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utepda1.sharepoint.com/sites/operaciones/Documentos compartidos/Planificacion/POA 2023/"/>
    </mc:Choice>
  </mc:AlternateContent>
  <xr:revisionPtr revIDLastSave="1042" documentId="13_ncr:1_{D61A4EE3-9D6A-49C4-BD1C-C276D3912C6B}" xr6:coauthVersionLast="47" xr6:coauthVersionMax="47" xr10:uidLastSave="{3C1DABD1-952C-4351-9B9F-8D4198AD4BDA}"/>
  <bookViews>
    <workbookView xWindow="21480" yWindow="-2865" windowWidth="29040" windowHeight="15840" activeTab="1" xr2:uid="{240CE599-9FD4-40BE-979D-68F5DAD59FD2}"/>
  </bookViews>
  <sheets>
    <sheet name="1.0MM" sheetId="12" r:id="rId1"/>
    <sheet name="POA 2023 (2)" sheetId="13" r:id="rId2"/>
    <sheet name="POA 2022 1ER TRIMESTRE" sheetId="1" state="hidden" r:id="rId3"/>
    <sheet name="POA 2022 2DO TRIMESTRE" sheetId="7" state="hidden" r:id="rId4"/>
    <sheet name="Leyenda" sheetId="2" state="hidden" r:id="rId5"/>
    <sheet name="Validación de Libramiento" sheetId="8" state="hidden" r:id="rId6"/>
    <sheet name="Trimestral ESTRATEGIA" sheetId="6" state="hidden" r:id="rId7"/>
  </sheets>
  <externalReferences>
    <externalReference r:id="rId8"/>
    <externalReference r:id="rId9"/>
  </externalReferences>
  <definedNames>
    <definedName name="_xlnm._FilterDatabase" localSheetId="2" hidden="1">'POA 2022 1ER TRIMESTRE'!$A$11:$BI$1507</definedName>
    <definedName name="_xlnm._FilterDatabase" localSheetId="3" hidden="1">'POA 2022 2DO TRIMESTRE'!$A$11:$DJ$1509</definedName>
    <definedName name="_xlnm._FilterDatabase" localSheetId="1" hidden="1">'POA 2023 (2)'!$A$11:$AW$1585</definedName>
    <definedName name="_xlnm._FilterDatabase" localSheetId="6" hidden="1">'Trimestral ESTRATEGIA'!$A$3:$K$3</definedName>
    <definedName name="_xlnm.Print_Area" localSheetId="2">'POA 2022 1ER TRIMESTRE'!$A$9:$AV$1872</definedName>
    <definedName name="_xlnm.Print_Area" localSheetId="3">'POA 2022 2DO TRIMESTRE'!$A$9:$AV$1877</definedName>
    <definedName name="_xlnm.Print_Area" localSheetId="1">'POA 2023 (2)'!$A$11:$AW$1943</definedName>
    <definedName name="_xlnm.Print_Area" localSheetId="5">'Validación de Libramiento'!$A$1:$AW$59</definedName>
    <definedName name="incBuyerDossierDetaillnkRequestReferenceNewTab" localSheetId="2">'POA 2022 1ER TRIMESTRE'!#REF!</definedName>
    <definedName name="incBuyerDossierDetaillnkRequestReferenceNewTab" localSheetId="3">'POA 2022 2DO TRIMESTRE'!#REF!</definedName>
    <definedName name="incBuyerDossierDetaillnkRequestReferenceNewTab" localSheetId="1">'POA 2023 (2)'!#REF!</definedName>
    <definedName name="_xlnm.Print_Titles" localSheetId="2">'POA 2022 1ER TRIMESTRE'!$11:$11</definedName>
    <definedName name="_xlnm.Print_Titles" localSheetId="3">'POA 2022 2DO TRIMESTRE'!$11:$11</definedName>
    <definedName name="_xlnm.Print_Titles" localSheetId="1">'POA 2023 (2)'!$11:$11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1091" i="13" l="1"/>
  <c r="U1123" i="13"/>
  <c r="U1112" i="13"/>
  <c r="AE1111" i="13"/>
  <c r="U1111" i="13"/>
  <c r="U1114" i="13"/>
  <c r="U1105" i="13"/>
  <c r="AE1106" i="13"/>
  <c r="U1106" i="13"/>
  <c r="U1086" i="13"/>
  <c r="U1131" i="13"/>
  <c r="U1089" i="13"/>
  <c r="AE1093" i="13"/>
  <c r="U1093" i="13"/>
  <c r="AH1058" i="13"/>
  <c r="U194" i="13"/>
  <c r="U156" i="13"/>
  <c r="Y156" i="13"/>
  <c r="AB156" i="13"/>
  <c r="AE156" i="13"/>
  <c r="U1255" i="13"/>
  <c r="U1250" i="13"/>
  <c r="U1246" i="13"/>
  <c r="U1259" i="13"/>
  <c r="U1264" i="13"/>
  <c r="U1268" i="13"/>
  <c r="U1273" i="13"/>
  <c r="U1277" i="13"/>
  <c r="U1282" i="13"/>
  <c r="U1286" i="13"/>
  <c r="AH1291" i="13"/>
  <c r="U1291" i="13"/>
  <c r="U1295" i="13"/>
  <c r="U1300" i="13"/>
  <c r="U1304" i="13"/>
  <c r="AH14" i="13"/>
  <c r="AH1549" i="13" l="1"/>
  <c r="AH1499" i="13"/>
  <c r="AH1500" i="13"/>
  <c r="AH140" i="13"/>
  <c r="AH653" i="13"/>
  <c r="U653" i="13"/>
  <c r="U741" i="13"/>
  <c r="Y741" i="13"/>
  <c r="AB741" i="13"/>
  <c r="AE741" i="13"/>
  <c r="AH741" i="13"/>
  <c r="Y796" i="13"/>
  <c r="AE860" i="13"/>
  <c r="AB860" i="13"/>
  <c r="Y860" i="13"/>
  <c r="U860" i="13"/>
  <c r="AE900" i="13"/>
  <c r="AB900" i="13"/>
  <c r="Y900" i="13"/>
  <c r="U900" i="13"/>
  <c r="U917" i="13"/>
  <c r="Y917" i="13"/>
  <c r="AB917" i="13"/>
  <c r="AE917" i="13"/>
  <c r="AH1060" i="13"/>
  <c r="AH1057" i="13"/>
  <c r="AH1049" i="13"/>
  <c r="AH1047" i="13"/>
  <c r="AH1046" i="13"/>
  <c r="AB1044" i="13"/>
  <c r="Y1044" i="13"/>
  <c r="U1044" i="13"/>
  <c r="Y1061" i="13"/>
  <c r="Y1076" i="13"/>
  <c r="AE1081" i="13"/>
  <c r="AB1081" i="13"/>
  <c r="Y1081" i="13"/>
  <c r="AE1085" i="13"/>
  <c r="AB1085" i="13"/>
  <c r="Y1085" i="13"/>
  <c r="U1085" i="13"/>
  <c r="AE1138" i="13"/>
  <c r="AB1138" i="13"/>
  <c r="Y1138" i="13"/>
  <c r="U1138" i="13"/>
  <c r="AE1144" i="13"/>
  <c r="AB1144" i="13"/>
  <c r="Y1144" i="13"/>
  <c r="U1144" i="13"/>
  <c r="Y1170" i="13"/>
  <c r="AH1190" i="13"/>
  <c r="AE1190" i="13"/>
  <c r="AB1190" i="13"/>
  <c r="Y1190" i="13"/>
  <c r="U1190" i="13"/>
  <c r="AE1193" i="13"/>
  <c r="AB1193" i="13"/>
  <c r="Y1193" i="13"/>
  <c r="U1193" i="13"/>
  <c r="AE1203" i="13"/>
  <c r="AB1203" i="13"/>
  <c r="Y1203" i="13"/>
  <c r="U1203" i="13"/>
  <c r="AH1207" i="13"/>
  <c r="AE1207" i="13"/>
  <c r="AB1207" i="13"/>
  <c r="Y1207" i="13"/>
  <c r="U1207" i="13"/>
  <c r="AE1211" i="13"/>
  <c r="AB1211" i="13"/>
  <c r="Y1211" i="13"/>
  <c r="U1211" i="13"/>
  <c r="AE1215" i="13"/>
  <c r="AB1215" i="13"/>
  <c r="Y1215" i="13"/>
  <c r="U1215" i="13"/>
  <c r="AE1225" i="13"/>
  <c r="AB1225" i="13"/>
  <c r="Y1225" i="13"/>
  <c r="U1225" i="13"/>
  <c r="Y1235" i="13"/>
  <c r="U1235" i="13"/>
  <c r="AH1240" i="13"/>
  <c r="AH1239" i="13"/>
  <c r="AH1238" i="13"/>
  <c r="AH1237" i="13"/>
  <c r="AH1236" i="13"/>
  <c r="AH1235" i="13" s="1"/>
  <c r="AE1235" i="13"/>
  <c r="AB1235" i="13"/>
  <c r="AE1279" i="13"/>
  <c r="AB1279" i="13"/>
  <c r="Y1279" i="13"/>
  <c r="U1279" i="13"/>
  <c r="AH1300" i="13"/>
  <c r="AH1304" i="13"/>
  <c r="AE1297" i="13"/>
  <c r="AB1297" i="13"/>
  <c r="Y1297" i="13"/>
  <c r="U1297" i="13"/>
  <c r="AE147" i="13"/>
  <c r="AB147" i="13"/>
  <c r="Y147" i="13"/>
  <c r="W147" i="13"/>
  <c r="X147" i="13"/>
  <c r="Z147" i="13"/>
  <c r="AA147" i="13"/>
  <c r="AC147" i="13"/>
  <c r="AD147" i="13"/>
  <c r="AF147" i="13"/>
  <c r="AG147" i="13"/>
  <c r="U147" i="13"/>
  <c r="AH167" i="13"/>
  <c r="AH166" i="13"/>
  <c r="AH161" i="13"/>
  <c r="AH156" i="13"/>
  <c r="AH1578" i="13" s="1"/>
  <c r="AH154" i="13"/>
  <c r="AH152" i="13"/>
  <c r="AH151" i="13"/>
  <c r="AH150" i="13"/>
  <c r="AB140" i="13"/>
  <c r="U141" i="13"/>
  <c r="U140" i="13" s="1"/>
  <c r="Z141" i="13"/>
  <c r="AA141" i="13"/>
  <c r="AB141" i="13"/>
  <c r="AH1048" i="13"/>
  <c r="AH153" i="13"/>
  <c r="AH175" i="13"/>
  <c r="AH1093" i="13"/>
  <c r="AH1114" i="13"/>
  <c r="A111" i="13"/>
  <c r="A158" i="13"/>
  <c r="A115" i="13"/>
  <c r="A15" i="13"/>
  <c r="A14" i="13"/>
  <c r="A13" i="13"/>
  <c r="U305" i="13"/>
  <c r="Y305" i="13"/>
  <c r="AB305" i="13"/>
  <c r="AH305" i="13"/>
  <c r="AH1584" i="13" s="1"/>
  <c r="AE305" i="13"/>
  <c r="U1584" i="13"/>
  <c r="U275" i="13"/>
  <c r="Y275" i="13"/>
  <c r="AB275" i="13"/>
  <c r="AE275" i="13"/>
  <c r="AH275" i="13"/>
  <c r="AH1583" i="13" s="1"/>
  <c r="U1583" i="13"/>
  <c r="U250" i="13"/>
  <c r="AH250" i="13"/>
  <c r="AH1582" i="13" s="1"/>
  <c r="Y250" i="13"/>
  <c r="AB250" i="13"/>
  <c r="AE250" i="13"/>
  <c r="U224" i="13"/>
  <c r="AH224" i="13"/>
  <c r="AH1581" i="13" s="1"/>
  <c r="Y224" i="13"/>
  <c r="AB224" i="13"/>
  <c r="AE224" i="13"/>
  <c r="AH157" i="13"/>
  <c r="AH158" i="13"/>
  <c r="AH159" i="13"/>
  <c r="AH160" i="13"/>
  <c r="AH162" i="13"/>
  <c r="AH163" i="13"/>
  <c r="AH164" i="13"/>
  <c r="AH165" i="13"/>
  <c r="AH168" i="13"/>
  <c r="AH170" i="13"/>
  <c r="AH171" i="13"/>
  <c r="AH172" i="13"/>
  <c r="AH173" i="13"/>
  <c r="AH174" i="13"/>
  <c r="AH176" i="13"/>
  <c r="AH177" i="13"/>
  <c r="AH179" i="13"/>
  <c r="AH180" i="13"/>
  <c r="AH181" i="13"/>
  <c r="AH182" i="13"/>
  <c r="AH183" i="13"/>
  <c r="AH184" i="13"/>
  <c r="AH185" i="13"/>
  <c r="AH186" i="13"/>
  <c r="AH187" i="13"/>
  <c r="AH188" i="13"/>
  <c r="AH189" i="13"/>
  <c r="AH190" i="13"/>
  <c r="AH192" i="13"/>
  <c r="AH193" i="13"/>
  <c r="AH194" i="13"/>
  <c r="AH195" i="13"/>
  <c r="AH196" i="13"/>
  <c r="AH197" i="13"/>
  <c r="AH198" i="13"/>
  <c r="AH199" i="13"/>
  <c r="AH201" i="13"/>
  <c r="AH202" i="13"/>
  <c r="AH203" i="13"/>
  <c r="AH204" i="13"/>
  <c r="AH205" i="13"/>
  <c r="AH206" i="13"/>
  <c r="AH207" i="13"/>
  <c r="AH208" i="13"/>
  <c r="AH209" i="13"/>
  <c r="AH210" i="13"/>
  <c r="AH211" i="13"/>
  <c r="AH213" i="13"/>
  <c r="AH214" i="13"/>
  <c r="AH215" i="13"/>
  <c r="AH216" i="13"/>
  <c r="AH217" i="13"/>
  <c r="AH218" i="13"/>
  <c r="AH219" i="13"/>
  <c r="AH220" i="13"/>
  <c r="AH221" i="13"/>
  <c r="AH222" i="13"/>
  <c r="AH223" i="13"/>
  <c r="AH225" i="13"/>
  <c r="AH226" i="13"/>
  <c r="AH227" i="13"/>
  <c r="AH228" i="13"/>
  <c r="AH229" i="13"/>
  <c r="AH230" i="13"/>
  <c r="AH231" i="13"/>
  <c r="AH232" i="13"/>
  <c r="AH253" i="13"/>
  <c r="AH278" i="13"/>
  <c r="AH233" i="13"/>
  <c r="AH234" i="13"/>
  <c r="AH235" i="13"/>
  <c r="AH236" i="13"/>
  <c r="AH238" i="13"/>
  <c r="AH237" i="13" s="1"/>
  <c r="AH239" i="13"/>
  <c r="AH240" i="13"/>
  <c r="AH241" i="13"/>
  <c r="AH242" i="13"/>
  <c r="AH243" i="13"/>
  <c r="AH244" i="13"/>
  <c r="AH245" i="13"/>
  <c r="AH246" i="13"/>
  <c r="AH247" i="13"/>
  <c r="AH248" i="13"/>
  <c r="AH249" i="13"/>
  <c r="AH251" i="13"/>
  <c r="AH252" i="13"/>
  <c r="AH254" i="13"/>
  <c r="AH255" i="13"/>
  <c r="AH256" i="13"/>
  <c r="AH257" i="13"/>
  <c r="AH258" i="13"/>
  <c r="AH259" i="13"/>
  <c r="AH260" i="13"/>
  <c r="AH261" i="13"/>
  <c r="AH262" i="13"/>
  <c r="AH263" i="13"/>
  <c r="AH264" i="13"/>
  <c r="AH266" i="13"/>
  <c r="AH265" i="13" s="1"/>
  <c r="AH267" i="13"/>
  <c r="AH268" i="13"/>
  <c r="AH269" i="13"/>
  <c r="AH270" i="13"/>
  <c r="AH271" i="13"/>
  <c r="AH272" i="13"/>
  <c r="AH273" i="13"/>
  <c r="AH274" i="13"/>
  <c r="AH276" i="13"/>
  <c r="AH277" i="13"/>
  <c r="AH279" i="13"/>
  <c r="AH280" i="13"/>
  <c r="AH281" i="13"/>
  <c r="AH282" i="13"/>
  <c r="AH283" i="13"/>
  <c r="AH284" i="13"/>
  <c r="AH285" i="13"/>
  <c r="AH286" i="13"/>
  <c r="AH287" i="13"/>
  <c r="AH288" i="13"/>
  <c r="AH289" i="13"/>
  <c r="AH290" i="13"/>
  <c r="AH291" i="13"/>
  <c r="AH292" i="13"/>
  <c r="AH293" i="13"/>
  <c r="AH295" i="13"/>
  <c r="AH294" i="13" s="1"/>
  <c r="AH296" i="13"/>
  <c r="AH297" i="13"/>
  <c r="AH298" i="13"/>
  <c r="AH299" i="13"/>
  <c r="AH300" i="13"/>
  <c r="AH301" i="13"/>
  <c r="AH302" i="13"/>
  <c r="AH303" i="13"/>
  <c r="AH304" i="13"/>
  <c r="AH306" i="13"/>
  <c r="AH307" i="13"/>
  <c r="AH308" i="13"/>
  <c r="AH309" i="13"/>
  <c r="AH310" i="13"/>
  <c r="AH311" i="13"/>
  <c r="AH312" i="13"/>
  <c r="AH313" i="13"/>
  <c r="AH314" i="13"/>
  <c r="AH315" i="13"/>
  <c r="AH316" i="13"/>
  <c r="AH317" i="13"/>
  <c r="U200" i="13"/>
  <c r="AH200" i="13"/>
  <c r="AH1580" i="13" s="1"/>
  <c r="Y200" i="13"/>
  <c r="AB200" i="13"/>
  <c r="AE200" i="13"/>
  <c r="U1580" i="13"/>
  <c r="AX1579" i="13"/>
  <c r="U178" i="13"/>
  <c r="AH178" i="13"/>
  <c r="AH1579" i="13" s="1"/>
  <c r="Y178" i="13"/>
  <c r="AB178" i="13"/>
  <c r="AE178" i="13"/>
  <c r="U1579" i="13"/>
  <c r="U1578" i="13"/>
  <c r="AE15" i="13"/>
  <c r="AE41" i="13"/>
  <c r="AE120" i="13"/>
  <c r="AE141" i="13"/>
  <c r="AE140" i="13" s="1"/>
  <c r="AE169" i="13"/>
  <c r="AE191" i="13"/>
  <c r="AE212" i="13"/>
  <c r="AE237" i="13"/>
  <c r="AE265" i="13"/>
  <c r="AE294" i="13"/>
  <c r="AE318" i="13"/>
  <c r="AE320" i="13"/>
  <c r="AE576" i="13"/>
  <c r="AE586" i="13"/>
  <c r="AE601" i="13"/>
  <c r="AE609" i="13"/>
  <c r="AE615" i="13"/>
  <c r="AE621" i="13"/>
  <c r="AE627" i="13"/>
  <c r="AE633" i="13"/>
  <c r="AE643" i="13"/>
  <c r="AE648" i="13"/>
  <c r="AE654" i="13"/>
  <c r="AE664" i="13"/>
  <c r="AE693" i="13"/>
  <c r="AE696" i="13"/>
  <c r="AE699" i="13"/>
  <c r="AE702" i="13"/>
  <c r="AE705" i="13"/>
  <c r="AE708" i="13"/>
  <c r="AE711" i="13"/>
  <c r="AE714" i="13"/>
  <c r="AE717" i="13"/>
  <c r="AE720" i="13"/>
  <c r="AE723" i="13"/>
  <c r="AE726" i="13"/>
  <c r="AE729" i="13"/>
  <c r="AE732" i="13"/>
  <c r="AE735" i="13"/>
  <c r="AE738" i="13"/>
  <c r="AE742" i="13"/>
  <c r="AE753" i="13"/>
  <c r="AE755" i="13"/>
  <c r="AE757" i="13"/>
  <c r="AE781" i="13"/>
  <c r="AE789" i="13"/>
  <c r="AE793" i="13"/>
  <c r="AE796" i="13"/>
  <c r="AE856" i="13"/>
  <c r="AE865" i="13"/>
  <c r="AE881" i="13"/>
  <c r="AE905" i="13"/>
  <c r="AE907" i="13"/>
  <c r="AE922" i="13"/>
  <c r="AE931" i="13"/>
  <c r="AE954" i="13"/>
  <c r="AE953" i="13"/>
  <c r="AE961" i="13"/>
  <c r="AE960" i="13" s="1"/>
  <c r="AE965" i="13"/>
  <c r="AE981" i="13"/>
  <c r="AE992" i="13"/>
  <c r="AE1057" i="13"/>
  <c r="AE1061" i="13"/>
  <c r="AE1076" i="13"/>
  <c r="AE1079" i="13"/>
  <c r="AE1157" i="13"/>
  <c r="AE1166" i="13"/>
  <c r="AE1170" i="13"/>
  <c r="AE1243" i="13"/>
  <c r="AE1252" i="13"/>
  <c r="AE1261" i="13"/>
  <c r="AE1270" i="13"/>
  <c r="AE1288" i="13"/>
  <c r="AE1306" i="13"/>
  <c r="AE1356" i="13"/>
  <c r="AE1361" i="13"/>
  <c r="AE1367" i="13"/>
  <c r="AE1372" i="13"/>
  <c r="AE1377" i="13"/>
  <c r="AE1382" i="13"/>
  <c r="AE1388" i="13"/>
  <c r="AE1411" i="13"/>
  <c r="AE1430" i="13"/>
  <c r="AE1439" i="13"/>
  <c r="AE1448" i="13"/>
  <c r="AE1457" i="13"/>
  <c r="AE1466" i="13"/>
  <c r="AE1475" i="13"/>
  <c r="AE1484" i="13"/>
  <c r="AE1493" i="13"/>
  <c r="AJ1575" i="13"/>
  <c r="AH1575" i="13"/>
  <c r="AJ1574" i="13"/>
  <c r="AH1574" i="13"/>
  <c r="AJ1573" i="13"/>
  <c r="AH1573" i="13"/>
  <c r="AJ1572" i="13"/>
  <c r="AH1572" i="13"/>
  <c r="AJ1571" i="13"/>
  <c r="AH1571" i="13"/>
  <c r="AJ1570" i="13"/>
  <c r="AH1570" i="13"/>
  <c r="AJ1569" i="13"/>
  <c r="AH1569" i="13"/>
  <c r="AJ1568" i="13"/>
  <c r="AH1568" i="13"/>
  <c r="A1568" i="13"/>
  <c r="AJ1567" i="13"/>
  <c r="AJ1562" i="13"/>
  <c r="AJ1563" i="13"/>
  <c r="AJ1564" i="13"/>
  <c r="AJ1565" i="13"/>
  <c r="AJ1566" i="13"/>
  <c r="AH1567" i="13"/>
  <c r="A1567" i="13"/>
  <c r="AH1566" i="13"/>
  <c r="A1566" i="13"/>
  <c r="AH1565" i="13"/>
  <c r="A1565" i="13"/>
  <c r="AH1564" i="13"/>
  <c r="A1564" i="13"/>
  <c r="AH1563" i="13"/>
  <c r="A1563" i="13"/>
  <c r="AH1562" i="13"/>
  <c r="A1562" i="13"/>
  <c r="AI1561" i="13"/>
  <c r="AG1561" i="13"/>
  <c r="AF1561" i="13"/>
  <c r="AF1553" i="13"/>
  <c r="AE1561" i="13"/>
  <c r="AD1561" i="13"/>
  <c r="AD1553" i="13"/>
  <c r="AC1561" i="13"/>
  <c r="AB1561" i="13"/>
  <c r="AA1561" i="13"/>
  <c r="Z1561" i="13"/>
  <c r="Y1561" i="13"/>
  <c r="X1561" i="13"/>
  <c r="X1553" i="13"/>
  <c r="W1561" i="13"/>
  <c r="U1561" i="13"/>
  <c r="U1553" i="13"/>
  <c r="R1561" i="13"/>
  <c r="A1561" i="13"/>
  <c r="AH1560" i="13"/>
  <c r="A1560" i="13"/>
  <c r="AJ1559" i="13"/>
  <c r="AH1559" i="13"/>
  <c r="A1559" i="13"/>
  <c r="AJ1558" i="13"/>
  <c r="AH1558" i="13"/>
  <c r="A1558" i="13"/>
  <c r="AJ1557" i="13"/>
  <c r="AH1557" i="13"/>
  <c r="A1557" i="13"/>
  <c r="AJ1556" i="13"/>
  <c r="AH1556" i="13"/>
  <c r="A1556" i="13"/>
  <c r="AJ1555" i="13"/>
  <c r="AH1555" i="13"/>
  <c r="A1555" i="13"/>
  <c r="AJ1554" i="13"/>
  <c r="AH1554" i="13"/>
  <c r="A1554" i="13"/>
  <c r="AI1553" i="13"/>
  <c r="AG1553" i="13"/>
  <c r="AE1553" i="13"/>
  <c r="AC1553" i="13"/>
  <c r="AB1553" i="13"/>
  <c r="AA1553" i="13"/>
  <c r="Z1553" i="13"/>
  <c r="Y1553" i="13"/>
  <c r="W1553" i="13"/>
  <c r="T1553" i="13"/>
  <c r="T1552" i="13" s="1"/>
  <c r="T1551" i="13" s="1"/>
  <c r="R1553" i="13"/>
  <c r="A1553" i="13"/>
  <c r="AM1552" i="13"/>
  <c r="AL1552" i="13"/>
  <c r="AK1552" i="13"/>
  <c r="A1552" i="13"/>
  <c r="A1551" i="13"/>
  <c r="AH1550" i="13"/>
  <c r="A1550" i="13"/>
  <c r="AG1549" i="13"/>
  <c r="AF1549" i="13"/>
  <c r="AE1549" i="13"/>
  <c r="AD1549" i="13"/>
  <c r="AC1549" i="13"/>
  <c r="AB1549" i="13"/>
  <c r="AA1549" i="13"/>
  <c r="Z1549" i="13"/>
  <c r="Y1549" i="13"/>
  <c r="X1549" i="13"/>
  <c r="W1549" i="13"/>
  <c r="U1549" i="13"/>
  <c r="A1549" i="13"/>
  <c r="AH1548" i="13"/>
  <c r="AH1547" i="13" s="1"/>
  <c r="A1548" i="13"/>
  <c r="AM1547" i="13"/>
  <c r="AL1547" i="13"/>
  <c r="AK1547" i="13"/>
  <c r="AI1547" i="13"/>
  <c r="AG1547" i="13"/>
  <c r="AF1547" i="13"/>
  <c r="AE1547" i="13"/>
  <c r="AD1547" i="13"/>
  <c r="AC1547" i="13"/>
  <c r="AB1547" i="13"/>
  <c r="AA1547" i="13"/>
  <c r="Z1547" i="13"/>
  <c r="Y1547" i="13"/>
  <c r="X1547" i="13"/>
  <c r="W1547" i="13"/>
  <c r="U1547" i="13"/>
  <c r="A1547" i="13"/>
  <c r="AH1546" i="13"/>
  <c r="A1546" i="13"/>
  <c r="AJ1545" i="13"/>
  <c r="AH1545" i="13"/>
  <c r="A1545" i="13"/>
  <c r="AJ1544" i="13"/>
  <c r="AH1544" i="13"/>
  <c r="A1544" i="13"/>
  <c r="AI1543" i="13"/>
  <c r="AG1543" i="13"/>
  <c r="AC1543" i="13"/>
  <c r="AB1543" i="13"/>
  <c r="AA1543" i="13"/>
  <c r="Z1543" i="13"/>
  <c r="W1543" i="13"/>
  <c r="U1543" i="13"/>
  <c r="A1543" i="13"/>
  <c r="AH1542" i="13"/>
  <c r="A1542" i="13"/>
  <c r="AJ1541" i="13"/>
  <c r="AH1541" i="13"/>
  <c r="A1541" i="13"/>
  <c r="AJ1540" i="13"/>
  <c r="AH1540" i="13"/>
  <c r="A1540" i="13"/>
  <c r="AJ1539" i="13"/>
  <c r="AH1539" i="13"/>
  <c r="A1539" i="13"/>
  <c r="AJ1538" i="13"/>
  <c r="AH1538" i="13"/>
  <c r="A1538" i="13"/>
  <c r="AJ1537" i="13"/>
  <c r="AH1537" i="13"/>
  <c r="A1537" i="13"/>
  <c r="AJ1536" i="13"/>
  <c r="AH1536" i="13"/>
  <c r="A1536" i="13"/>
  <c r="AI1535" i="13"/>
  <c r="AG1535" i="13"/>
  <c r="AF1535" i="13"/>
  <c r="AE1535" i="13"/>
  <c r="AD1535" i="13"/>
  <c r="AC1535" i="13"/>
  <c r="AB1535" i="13"/>
  <c r="AA1535" i="13"/>
  <c r="AA1501" i="13"/>
  <c r="AA1505" i="13"/>
  <c r="AA1509" i="13"/>
  <c r="AA1517" i="13"/>
  <c r="AA1527" i="13"/>
  <c r="Z1535" i="13"/>
  <c r="Y1535" i="13"/>
  <c r="X1535" i="13"/>
  <c r="W1535" i="13"/>
  <c r="U1535" i="13"/>
  <c r="A1535" i="13"/>
  <c r="AH1534" i="13"/>
  <c r="A1534" i="13"/>
  <c r="AJ1533" i="13"/>
  <c r="AH1533" i="13"/>
  <c r="A1533" i="13"/>
  <c r="AJ1532" i="13"/>
  <c r="AH1532" i="13"/>
  <c r="AH1528" i="13"/>
  <c r="AH1529" i="13"/>
  <c r="AH1530" i="13"/>
  <c r="AH1531" i="13"/>
  <c r="A1532" i="13"/>
  <c r="AJ1531" i="13"/>
  <c r="A1531" i="13"/>
  <c r="AJ1530" i="13"/>
  <c r="A1530" i="13"/>
  <c r="AJ1529" i="13"/>
  <c r="AJ1528" i="13"/>
  <c r="A1529" i="13"/>
  <c r="A1528" i="13"/>
  <c r="AI1527" i="13"/>
  <c r="AG1527" i="13"/>
  <c r="AF1527" i="13"/>
  <c r="AE1527" i="13"/>
  <c r="AD1527" i="13"/>
  <c r="AC1527" i="13"/>
  <c r="AB1527" i="13"/>
  <c r="Z1527" i="13"/>
  <c r="W1527" i="13"/>
  <c r="Y1527" i="13"/>
  <c r="X1527" i="13"/>
  <c r="U1527" i="13"/>
  <c r="A1527" i="13"/>
  <c r="AH1526" i="13"/>
  <c r="A1526" i="13"/>
  <c r="AJ1525" i="13"/>
  <c r="AH1525" i="13"/>
  <c r="A1525" i="13"/>
  <c r="AJ1524" i="13"/>
  <c r="AH1524" i="13"/>
  <c r="A1524" i="13"/>
  <c r="AJ1523" i="13"/>
  <c r="AH1523" i="13"/>
  <c r="A1523" i="13"/>
  <c r="AJ1522" i="13"/>
  <c r="AH1522" i="13"/>
  <c r="A1522" i="13"/>
  <c r="AJ1521" i="13"/>
  <c r="AH1521" i="13"/>
  <c r="AH1518" i="13"/>
  <c r="AH1519" i="13"/>
  <c r="AH1520" i="13"/>
  <c r="A1521" i="13"/>
  <c r="AJ1520" i="13"/>
  <c r="A1520" i="13"/>
  <c r="AJ1519" i="13"/>
  <c r="A1519" i="13"/>
  <c r="AJ1518" i="13"/>
  <c r="A1518" i="13"/>
  <c r="AI1517" i="13"/>
  <c r="AG1517" i="13"/>
  <c r="AF1517" i="13"/>
  <c r="AE1517" i="13"/>
  <c r="AD1517" i="13"/>
  <c r="AC1517" i="13"/>
  <c r="AC1501" i="13"/>
  <c r="AC1505" i="13"/>
  <c r="AC1509" i="13"/>
  <c r="AB1517" i="13"/>
  <c r="Z1517" i="13"/>
  <c r="Y1517" i="13"/>
  <c r="X1517" i="13"/>
  <c r="W1517" i="13"/>
  <c r="U1517" i="13"/>
  <c r="A1517" i="13"/>
  <c r="AH1516" i="13"/>
  <c r="A1516" i="13"/>
  <c r="AJ1515" i="13"/>
  <c r="AH1515" i="13"/>
  <c r="A1515" i="13"/>
  <c r="AJ1514" i="13"/>
  <c r="AH1514" i="13"/>
  <c r="AH1510" i="13"/>
  <c r="AH1511" i="13"/>
  <c r="AH1512" i="13"/>
  <c r="AH1513" i="13"/>
  <c r="A1514" i="13"/>
  <c r="AJ1513" i="13"/>
  <c r="A1513" i="13"/>
  <c r="AJ1512" i="13"/>
  <c r="A1512" i="13"/>
  <c r="AJ1511" i="13"/>
  <c r="A1511" i="13"/>
  <c r="AJ1510" i="13"/>
  <c r="A1510" i="13"/>
  <c r="AI1509" i="13"/>
  <c r="AG1509" i="13"/>
  <c r="AF1509" i="13"/>
  <c r="AE1509" i="13"/>
  <c r="AD1509" i="13"/>
  <c r="AB1509" i="13"/>
  <c r="Z1509" i="13"/>
  <c r="Y1509" i="13"/>
  <c r="X1509" i="13"/>
  <c r="W1509" i="13"/>
  <c r="U1509" i="13"/>
  <c r="A1509" i="13"/>
  <c r="AH1508" i="13"/>
  <c r="A1508" i="13"/>
  <c r="AJ1507" i="13"/>
  <c r="AH1507" i="13"/>
  <c r="A1507" i="13"/>
  <c r="AJ1506" i="13"/>
  <c r="AH1506" i="13"/>
  <c r="A1506" i="13"/>
  <c r="AI1505" i="13"/>
  <c r="AI1501" i="13"/>
  <c r="AG1505" i="13"/>
  <c r="AF1505" i="13"/>
  <c r="AE1505" i="13"/>
  <c r="AD1505" i="13"/>
  <c r="AB1505" i="13"/>
  <c r="Z1505" i="13"/>
  <c r="Y1505" i="13"/>
  <c r="X1505" i="13"/>
  <c r="W1505" i="13"/>
  <c r="U1505" i="13"/>
  <c r="A1505" i="13"/>
  <c r="AH1504" i="13"/>
  <c r="A1504" i="13"/>
  <c r="AJ1503" i="13"/>
  <c r="AJ1502" i="13"/>
  <c r="AH1503" i="13"/>
  <c r="A1503" i="13"/>
  <c r="AH1502" i="13"/>
  <c r="A1502" i="13"/>
  <c r="AG1501" i="13"/>
  <c r="AF1501" i="13"/>
  <c r="AE1501" i="13"/>
  <c r="AD1501" i="13"/>
  <c r="AB1501" i="13"/>
  <c r="Z1501" i="13"/>
  <c r="Y1501" i="13"/>
  <c r="X1501" i="13"/>
  <c r="W1501" i="13"/>
  <c r="U1501" i="13"/>
  <c r="A1501" i="13"/>
  <c r="AV1500" i="13"/>
  <c r="AV1499" i="13" s="1"/>
  <c r="A1500" i="13"/>
  <c r="A1499" i="13"/>
  <c r="AH1498" i="13"/>
  <c r="A1498" i="13"/>
  <c r="AJ1497" i="13"/>
  <c r="AH1497" i="13"/>
  <c r="AH1494" i="13"/>
  <c r="AH1495" i="13"/>
  <c r="AH1496" i="13"/>
  <c r="A1497" i="13"/>
  <c r="AJ1496" i="13"/>
  <c r="A1496" i="13"/>
  <c r="AJ1495" i="13"/>
  <c r="A1495" i="13"/>
  <c r="AJ1494" i="13"/>
  <c r="A1494" i="13"/>
  <c r="AV1493" i="13"/>
  <c r="AI1493" i="13"/>
  <c r="AG1493" i="13"/>
  <c r="AF1493" i="13"/>
  <c r="AD1493" i="13"/>
  <c r="AC1493" i="13"/>
  <c r="AB1493" i="13"/>
  <c r="AA1493" i="13"/>
  <c r="Z1493" i="13"/>
  <c r="Y1493" i="13"/>
  <c r="X1493" i="13"/>
  <c r="W1493" i="13"/>
  <c r="U1493" i="13"/>
  <c r="A1493" i="13"/>
  <c r="AH1492" i="13"/>
  <c r="A1492" i="13"/>
  <c r="AJ1491" i="13"/>
  <c r="AH1491" i="13"/>
  <c r="A1491" i="13"/>
  <c r="AJ1490" i="13"/>
  <c r="AH1490" i="13"/>
  <c r="A1490" i="13"/>
  <c r="AJ1489" i="13"/>
  <c r="AH1489" i="13"/>
  <c r="R1489" i="13"/>
  <c r="A1489" i="13"/>
  <c r="AJ1488" i="13"/>
  <c r="AH1488" i="13"/>
  <c r="A1488" i="13"/>
  <c r="AJ1487" i="13"/>
  <c r="AH1487" i="13"/>
  <c r="A1487" i="13"/>
  <c r="AJ1486" i="13"/>
  <c r="AH1486" i="13"/>
  <c r="A1486" i="13"/>
  <c r="AJ1485" i="13"/>
  <c r="AH1485" i="13"/>
  <c r="A1485" i="13"/>
  <c r="AV1484" i="13"/>
  <c r="AI1484" i="13"/>
  <c r="AG1484" i="13"/>
  <c r="AF1484" i="13"/>
  <c r="AD1484" i="13"/>
  <c r="AC1484" i="13"/>
  <c r="AB1484" i="13"/>
  <c r="AA1484" i="13"/>
  <c r="Z1484" i="13"/>
  <c r="Y1484" i="13"/>
  <c r="X1484" i="13"/>
  <c r="W1484" i="13"/>
  <c r="U1484" i="13"/>
  <c r="A1484" i="13"/>
  <c r="AH1483" i="13"/>
  <c r="A1483" i="13"/>
  <c r="AJ1482" i="13"/>
  <c r="AH1482" i="13"/>
  <c r="A1482" i="13"/>
  <c r="AJ1481" i="13"/>
  <c r="AH1481" i="13"/>
  <c r="A1481" i="13"/>
  <c r="AJ1480" i="13"/>
  <c r="AH1480" i="13"/>
  <c r="A1480" i="13"/>
  <c r="AJ1479" i="13"/>
  <c r="AH1479" i="13"/>
  <c r="A1479" i="13"/>
  <c r="AJ1478" i="13"/>
  <c r="AH1478" i="13"/>
  <c r="A1478" i="13"/>
  <c r="AJ1477" i="13"/>
  <c r="AH1477" i="13"/>
  <c r="A1477" i="13"/>
  <c r="AJ1476" i="13"/>
  <c r="AH1476" i="13"/>
  <c r="A1476" i="13"/>
  <c r="AV1475" i="13"/>
  <c r="AI1475" i="13"/>
  <c r="AG1475" i="13"/>
  <c r="AF1475" i="13"/>
  <c r="AD1475" i="13"/>
  <c r="AC1475" i="13"/>
  <c r="AB1475" i="13"/>
  <c r="AA1475" i="13"/>
  <c r="Z1475" i="13"/>
  <c r="Y1475" i="13"/>
  <c r="X1475" i="13"/>
  <c r="W1475" i="13"/>
  <c r="U1475" i="13"/>
  <c r="A1475" i="13"/>
  <c r="AH1474" i="13"/>
  <c r="A1474" i="13"/>
  <c r="AJ1473" i="13"/>
  <c r="AH1473" i="13"/>
  <c r="A1473" i="13"/>
  <c r="AJ1472" i="13"/>
  <c r="AH1472" i="13"/>
  <c r="A1472" i="13"/>
  <c r="AJ1471" i="13"/>
  <c r="AH1471" i="13"/>
  <c r="R1471" i="13"/>
  <c r="A1471" i="13"/>
  <c r="AJ1470" i="13"/>
  <c r="AH1470" i="13"/>
  <c r="AH1467" i="13"/>
  <c r="AH1468" i="13"/>
  <c r="AH1469" i="13"/>
  <c r="A1470" i="13"/>
  <c r="AJ1469" i="13"/>
  <c r="A1469" i="13"/>
  <c r="AJ1468" i="13"/>
  <c r="A1468" i="13"/>
  <c r="AJ1467" i="13"/>
  <c r="A1467" i="13"/>
  <c r="AV1466" i="13"/>
  <c r="AI1466" i="13"/>
  <c r="AG1466" i="13"/>
  <c r="AF1466" i="13"/>
  <c r="AD1466" i="13"/>
  <c r="AC1466" i="13"/>
  <c r="AB1466" i="13"/>
  <c r="AA1466" i="13"/>
  <c r="Z1466" i="13"/>
  <c r="Y1466" i="13"/>
  <c r="X1466" i="13"/>
  <c r="W1466" i="13"/>
  <c r="U1466" i="13"/>
  <c r="A1466" i="13"/>
  <c r="AH1465" i="13"/>
  <c r="A1465" i="13"/>
  <c r="AJ1464" i="13"/>
  <c r="AH1464" i="13"/>
  <c r="A1464" i="13"/>
  <c r="AJ1463" i="13"/>
  <c r="AH1463" i="13"/>
  <c r="A1463" i="13"/>
  <c r="AJ1462" i="13"/>
  <c r="AH1462" i="13"/>
  <c r="R1462" i="13"/>
  <c r="A1462" i="13"/>
  <c r="AJ1461" i="13"/>
  <c r="AH1461" i="13"/>
  <c r="A1461" i="13"/>
  <c r="AJ1460" i="13"/>
  <c r="AH1460" i="13"/>
  <c r="A1460" i="13"/>
  <c r="AJ1459" i="13"/>
  <c r="AJ1458" i="13"/>
  <c r="AH1459" i="13"/>
  <c r="A1459" i="13"/>
  <c r="AH1458" i="13"/>
  <c r="A1458" i="13"/>
  <c r="AV1457" i="13"/>
  <c r="AI1457" i="13"/>
  <c r="AG1457" i="13"/>
  <c r="AF1457" i="13"/>
  <c r="AD1457" i="13"/>
  <c r="AC1457" i="13"/>
  <c r="AB1457" i="13"/>
  <c r="AA1457" i="13"/>
  <c r="Z1457" i="13"/>
  <c r="Y1457" i="13"/>
  <c r="X1457" i="13"/>
  <c r="W1457" i="13"/>
  <c r="U1457" i="13"/>
  <c r="A1457" i="13"/>
  <c r="AJ1456" i="13"/>
  <c r="AH1456" i="13"/>
  <c r="A1456" i="13"/>
  <c r="AJ1455" i="13"/>
  <c r="AH1455" i="13"/>
  <c r="A1455" i="13"/>
  <c r="AJ1454" i="13"/>
  <c r="AH1454" i="13"/>
  <c r="A1454" i="13"/>
  <c r="AJ1453" i="13"/>
  <c r="AH1453" i="13"/>
  <c r="R1453" i="13"/>
  <c r="A1453" i="13"/>
  <c r="AJ1452" i="13"/>
  <c r="AH1452" i="13"/>
  <c r="A1452" i="13"/>
  <c r="AJ1451" i="13"/>
  <c r="AH1451" i="13"/>
  <c r="A1451" i="13"/>
  <c r="AJ1450" i="13"/>
  <c r="AH1450" i="13"/>
  <c r="AH1449" i="13"/>
  <c r="A1450" i="13"/>
  <c r="AJ1449" i="13"/>
  <c r="A1449" i="13"/>
  <c r="AV1448" i="13"/>
  <c r="AI1448" i="13"/>
  <c r="AG1448" i="13"/>
  <c r="AF1448" i="13"/>
  <c r="AD1448" i="13"/>
  <c r="AC1448" i="13"/>
  <c r="AB1448" i="13"/>
  <c r="AA1448" i="13"/>
  <c r="Z1448" i="13"/>
  <c r="Y1448" i="13"/>
  <c r="X1448" i="13"/>
  <c r="W1448" i="13"/>
  <c r="AJ1440" i="13"/>
  <c r="AJ1441" i="13"/>
  <c r="AJ1442" i="13"/>
  <c r="AJ1443" i="13"/>
  <c r="AJ1444" i="13"/>
  <c r="AJ1445" i="13"/>
  <c r="AJ1446" i="13"/>
  <c r="U1448" i="13"/>
  <c r="A1448" i="13"/>
  <c r="AH1447" i="13"/>
  <c r="AG1447" i="13"/>
  <c r="A1447" i="13"/>
  <c r="AH1446" i="13"/>
  <c r="AG1446" i="13"/>
  <c r="A1446" i="13"/>
  <c r="AH1445" i="13"/>
  <c r="AG1445" i="13"/>
  <c r="A1445" i="13"/>
  <c r="AH1444" i="13"/>
  <c r="AG1444" i="13"/>
  <c r="A1444" i="13"/>
  <c r="AH1443" i="13"/>
  <c r="AG1443" i="13"/>
  <c r="A1443" i="13"/>
  <c r="AH1442" i="13"/>
  <c r="AG1442" i="13"/>
  <c r="A1442" i="13"/>
  <c r="AH1441" i="13"/>
  <c r="AG1441" i="13"/>
  <c r="A1441" i="13"/>
  <c r="AH1440" i="13"/>
  <c r="AG1440" i="13"/>
  <c r="A1440" i="13"/>
  <c r="AV1439" i="13"/>
  <c r="AI1439" i="13"/>
  <c r="AF1439" i="13"/>
  <c r="AF1430" i="13"/>
  <c r="AD1439" i="13"/>
  <c r="AC1439" i="13"/>
  <c r="AB1439" i="13"/>
  <c r="AA1439" i="13"/>
  <c r="Z1439" i="13"/>
  <c r="Y1439" i="13"/>
  <c r="X1439" i="13"/>
  <c r="W1439" i="13"/>
  <c r="U1439" i="13"/>
  <c r="A1439" i="13"/>
  <c r="AH1438" i="13"/>
  <c r="AG1438" i="13"/>
  <c r="A1438" i="13"/>
  <c r="AJ1437" i="13"/>
  <c r="AH1437" i="13"/>
  <c r="AG1437" i="13"/>
  <c r="A1437" i="13"/>
  <c r="AJ1436" i="13"/>
  <c r="AH1436" i="13"/>
  <c r="AG1436" i="13"/>
  <c r="A1436" i="13"/>
  <c r="AJ1435" i="13"/>
  <c r="AH1435" i="13"/>
  <c r="AG1435" i="13"/>
  <c r="R1435" i="13"/>
  <c r="A1435" i="13"/>
  <c r="AJ1434" i="13"/>
  <c r="AH1434" i="13"/>
  <c r="AG1434" i="13"/>
  <c r="A1434" i="13"/>
  <c r="AJ1433" i="13"/>
  <c r="AH1433" i="13"/>
  <c r="AG1433" i="13"/>
  <c r="A1433" i="13"/>
  <c r="AJ1432" i="13"/>
  <c r="AH1432" i="13"/>
  <c r="AG1432" i="13"/>
  <c r="A1432" i="13"/>
  <c r="AJ1431" i="13"/>
  <c r="AH1431" i="13"/>
  <c r="AG1431" i="13"/>
  <c r="A1431" i="13"/>
  <c r="AV1430" i="13"/>
  <c r="AI1430" i="13"/>
  <c r="AD1430" i="13"/>
  <c r="AC1430" i="13"/>
  <c r="AB1430" i="13"/>
  <c r="AA1430" i="13"/>
  <c r="Z1430" i="13"/>
  <c r="Y1430" i="13"/>
  <c r="X1430" i="13"/>
  <c r="W1430" i="13"/>
  <c r="U1430" i="13"/>
  <c r="A1430" i="13"/>
  <c r="AM1429" i="13"/>
  <c r="AL1429" i="13"/>
  <c r="AK1429" i="13"/>
  <c r="A1429" i="13"/>
  <c r="AH1428" i="13"/>
  <c r="A1428" i="13"/>
  <c r="AJ1427" i="13"/>
  <c r="AH1427" i="13"/>
  <c r="A1427" i="13"/>
  <c r="AJ1426" i="13"/>
  <c r="AH1426" i="13"/>
  <c r="A1426" i="13"/>
  <c r="AJ1425" i="13"/>
  <c r="AH1425" i="13"/>
  <c r="A1425" i="13"/>
  <c r="AJ1424" i="13"/>
  <c r="AH1424" i="13"/>
  <c r="A1424" i="13"/>
  <c r="AJ1423" i="13"/>
  <c r="AH1423" i="13"/>
  <c r="A1423" i="13"/>
  <c r="AJ1422" i="13"/>
  <c r="AH1422" i="13"/>
  <c r="A1422" i="13"/>
  <c r="AJ1421" i="13"/>
  <c r="AH1421" i="13"/>
  <c r="A1421" i="13"/>
  <c r="AJ1420" i="13"/>
  <c r="AH1420" i="13"/>
  <c r="A1420" i="13"/>
  <c r="AJ1419" i="13"/>
  <c r="AH1419" i="13"/>
  <c r="A1419" i="13"/>
  <c r="AJ1418" i="13"/>
  <c r="AH1418" i="13"/>
  <c r="A1418" i="13"/>
  <c r="AJ1417" i="13"/>
  <c r="AH1417" i="13"/>
  <c r="A1417" i="13"/>
  <c r="AJ1416" i="13"/>
  <c r="AH1416" i="13"/>
  <c r="A1416" i="13"/>
  <c r="AJ1415" i="13"/>
  <c r="AH1415" i="13"/>
  <c r="A1415" i="13"/>
  <c r="AJ1414" i="13"/>
  <c r="AH1414" i="13"/>
  <c r="A1414" i="13"/>
  <c r="AJ1413" i="13"/>
  <c r="AH1413" i="13"/>
  <c r="A1413" i="13"/>
  <c r="AJ1412" i="13"/>
  <c r="AH1412" i="13"/>
  <c r="A1412" i="13"/>
  <c r="AV1411" i="13"/>
  <c r="AI1411" i="13"/>
  <c r="AG1411" i="13"/>
  <c r="AF1411" i="13"/>
  <c r="AD1411" i="13"/>
  <c r="AD1388" i="13"/>
  <c r="AC1411" i="13"/>
  <c r="AB1411" i="13"/>
  <c r="AA1411" i="13"/>
  <c r="AA1388" i="13"/>
  <c r="Z1411" i="13"/>
  <c r="W1411" i="13"/>
  <c r="Y1411" i="13"/>
  <c r="X1411" i="13"/>
  <c r="U1411" i="13"/>
  <c r="U1388" i="13"/>
  <c r="A1411" i="13"/>
  <c r="AH1410" i="13"/>
  <c r="A1410" i="13"/>
  <c r="AJ1409" i="13"/>
  <c r="AH1409" i="13"/>
  <c r="A1409" i="13"/>
  <c r="AJ1408" i="13"/>
  <c r="AH1408" i="13"/>
  <c r="A1408" i="13"/>
  <c r="AJ1407" i="13"/>
  <c r="AH1407" i="13"/>
  <c r="A1407" i="13"/>
  <c r="AJ1406" i="13"/>
  <c r="AH1406" i="13"/>
  <c r="A1406" i="13"/>
  <c r="AJ1405" i="13"/>
  <c r="AH1405" i="13"/>
  <c r="A1405" i="13"/>
  <c r="AJ1404" i="13"/>
  <c r="AH1404" i="13"/>
  <c r="A1404" i="13"/>
  <c r="AJ1403" i="13"/>
  <c r="AH1403" i="13"/>
  <c r="A1403" i="13"/>
  <c r="AJ1402" i="13"/>
  <c r="AH1402" i="13"/>
  <c r="A1402" i="13"/>
  <c r="AJ1401" i="13"/>
  <c r="AH1401" i="13"/>
  <c r="A1401" i="13"/>
  <c r="AJ1400" i="13"/>
  <c r="AH1400" i="13"/>
  <c r="A1400" i="13"/>
  <c r="AJ1399" i="13"/>
  <c r="AH1399" i="13"/>
  <c r="A1399" i="13"/>
  <c r="AJ1398" i="13"/>
  <c r="AH1398" i="13"/>
  <c r="A1398" i="13"/>
  <c r="AJ1397" i="13"/>
  <c r="AH1397" i="13"/>
  <c r="A1397" i="13"/>
  <c r="AJ1396" i="13"/>
  <c r="AH1396" i="13"/>
  <c r="A1396" i="13"/>
  <c r="AJ1395" i="13"/>
  <c r="AH1395" i="13"/>
  <c r="A1395" i="13"/>
  <c r="AJ1394" i="13"/>
  <c r="AH1394" i="13"/>
  <c r="A1394" i="13"/>
  <c r="AJ1393" i="13"/>
  <c r="AH1393" i="13"/>
  <c r="A1393" i="13"/>
  <c r="AJ1392" i="13"/>
  <c r="AH1392" i="13"/>
  <c r="A1392" i="13"/>
  <c r="AJ1391" i="13"/>
  <c r="AH1391" i="13"/>
  <c r="A1391" i="13"/>
  <c r="AJ1390" i="13"/>
  <c r="AH1390" i="13"/>
  <c r="A1390" i="13"/>
  <c r="AJ1389" i="13"/>
  <c r="AH1389" i="13"/>
  <c r="A1389" i="13"/>
  <c r="AV1388" i="13"/>
  <c r="AI1388" i="13"/>
  <c r="AG1388" i="13"/>
  <c r="AF1388" i="13"/>
  <c r="AC1388" i="13"/>
  <c r="AC1387" i="13" s="1"/>
  <c r="AB1388" i="13"/>
  <c r="Z1388" i="13"/>
  <c r="W1388" i="13"/>
  <c r="Y1388" i="13"/>
  <c r="X1388" i="13"/>
  <c r="A1388" i="13"/>
  <c r="A1387" i="13"/>
  <c r="AH1386" i="13"/>
  <c r="A1386" i="13"/>
  <c r="AJ1385" i="13"/>
  <c r="AH1385" i="13"/>
  <c r="A1385" i="13"/>
  <c r="AJ1384" i="13"/>
  <c r="AH1384" i="13"/>
  <c r="A1384" i="13"/>
  <c r="AJ1383" i="13"/>
  <c r="AH1383" i="13"/>
  <c r="A1383" i="13"/>
  <c r="AG1382" i="13"/>
  <c r="AF1382" i="13"/>
  <c r="AD1382" i="13"/>
  <c r="AC1382" i="13"/>
  <c r="AB1382" i="13"/>
  <c r="AA1382" i="13"/>
  <c r="Z1382" i="13"/>
  <c r="Y1382" i="13"/>
  <c r="X1382" i="13"/>
  <c r="W1382" i="13"/>
  <c r="U1382" i="13"/>
  <c r="A1382" i="13"/>
  <c r="AH1381" i="13"/>
  <c r="A1381" i="13"/>
  <c r="AJ1380" i="13"/>
  <c r="AH1380" i="13"/>
  <c r="A1380" i="13"/>
  <c r="AJ1379" i="13"/>
  <c r="AH1379" i="13"/>
  <c r="A1379" i="13"/>
  <c r="AJ1378" i="13"/>
  <c r="AH1378" i="13"/>
  <c r="A1378" i="13"/>
  <c r="AG1377" i="13"/>
  <c r="AF1377" i="13"/>
  <c r="AD1377" i="13"/>
  <c r="AC1377" i="13"/>
  <c r="AB1377" i="13"/>
  <c r="AA1377" i="13"/>
  <c r="Z1377" i="13"/>
  <c r="Y1377" i="13"/>
  <c r="X1377" i="13"/>
  <c r="W1377" i="13"/>
  <c r="U1377" i="13"/>
  <c r="A1377" i="13"/>
  <c r="AH1376" i="13"/>
  <c r="A1376" i="13"/>
  <c r="AJ1375" i="13"/>
  <c r="AH1375" i="13"/>
  <c r="A1375" i="13"/>
  <c r="AJ1374" i="13"/>
  <c r="AH1374" i="13"/>
  <c r="A1374" i="13"/>
  <c r="AJ1373" i="13"/>
  <c r="AH1373" i="13"/>
  <c r="A1373" i="13"/>
  <c r="AG1372" i="13"/>
  <c r="AF1372" i="13"/>
  <c r="AD1372" i="13"/>
  <c r="AC1372" i="13"/>
  <c r="AB1372" i="13"/>
  <c r="AA1372" i="13"/>
  <c r="Z1372" i="13"/>
  <c r="Y1372" i="13"/>
  <c r="X1372" i="13"/>
  <c r="W1372" i="13"/>
  <c r="U1372" i="13"/>
  <c r="A1372" i="13"/>
  <c r="AH1371" i="13"/>
  <c r="A1371" i="13"/>
  <c r="AJ1370" i="13"/>
  <c r="AH1370" i="13"/>
  <c r="A1370" i="13"/>
  <c r="AJ1369" i="13"/>
  <c r="AH1369" i="13"/>
  <c r="A1369" i="13"/>
  <c r="AJ1368" i="13"/>
  <c r="AH1368" i="13"/>
  <c r="A1368" i="13"/>
  <c r="AG1367" i="13"/>
  <c r="AF1367" i="13"/>
  <c r="AD1367" i="13"/>
  <c r="AC1367" i="13"/>
  <c r="AB1367" i="13"/>
  <c r="AA1367" i="13"/>
  <c r="Z1367" i="13"/>
  <c r="Y1367" i="13"/>
  <c r="X1367" i="13"/>
  <c r="W1367" i="13"/>
  <c r="U1367" i="13"/>
  <c r="A1367" i="13"/>
  <c r="AH1366" i="13"/>
  <c r="A1366" i="13"/>
  <c r="AJ1365" i="13"/>
  <c r="AH1365" i="13"/>
  <c r="AH1362" i="13"/>
  <c r="AH1363" i="13"/>
  <c r="AH1364" i="13"/>
  <c r="A1365" i="13"/>
  <c r="AJ1364" i="13"/>
  <c r="A1364" i="13"/>
  <c r="AJ1363" i="13"/>
  <c r="A1363" i="13"/>
  <c r="AJ1362" i="13"/>
  <c r="A1362" i="13"/>
  <c r="AG1361" i="13"/>
  <c r="AF1361" i="13"/>
  <c r="AD1361" i="13"/>
  <c r="AC1361" i="13"/>
  <c r="AB1361" i="13"/>
  <c r="AA1361" i="13"/>
  <c r="Z1361" i="13"/>
  <c r="W1361" i="13"/>
  <c r="Y1361" i="13"/>
  <c r="X1361" i="13"/>
  <c r="U1361" i="13"/>
  <c r="A1361" i="13"/>
  <c r="AH1360" i="13"/>
  <c r="A1360" i="13"/>
  <c r="AJ1359" i="13"/>
  <c r="AH1359" i="13"/>
  <c r="A1359" i="13"/>
  <c r="AJ1358" i="13"/>
  <c r="AH1358" i="13"/>
  <c r="A1358" i="13"/>
  <c r="AJ1357" i="13"/>
  <c r="AH1357" i="13"/>
  <c r="A1357" i="13"/>
  <c r="AG1356" i="13"/>
  <c r="AF1356" i="13"/>
  <c r="AD1356" i="13"/>
  <c r="AC1356" i="13"/>
  <c r="AB1356" i="13"/>
  <c r="AA1356" i="13"/>
  <c r="Z1356" i="13"/>
  <c r="Y1356" i="13"/>
  <c r="X1356" i="13"/>
  <c r="W1356" i="13"/>
  <c r="U1356" i="13"/>
  <c r="A1356" i="13"/>
  <c r="AH1355" i="13"/>
  <c r="A1355" i="13"/>
  <c r="AJ1354" i="13"/>
  <c r="AH1354" i="13"/>
  <c r="A1354" i="13"/>
  <c r="AJ1353" i="13"/>
  <c r="AH1353" i="13"/>
  <c r="A1353" i="13"/>
  <c r="AJ1352" i="13"/>
  <c r="AH1352" i="13"/>
  <c r="A1352" i="13"/>
  <c r="AJ1351" i="13"/>
  <c r="AH1351" i="13"/>
  <c r="A1351" i="13"/>
  <c r="AJ1350" i="13"/>
  <c r="AH1350" i="13"/>
  <c r="A1350" i="13"/>
  <c r="AJ1349" i="13"/>
  <c r="AH1349" i="13"/>
  <c r="A1349" i="13"/>
  <c r="AZ1348" i="13"/>
  <c r="AJ1348" i="13"/>
  <c r="AH1348" i="13"/>
  <c r="A1348" i="13"/>
  <c r="AJ1347" i="13"/>
  <c r="AH1347" i="13"/>
  <c r="A1347" i="13"/>
  <c r="AJ1346" i="13"/>
  <c r="AH1346" i="13"/>
  <c r="A1346" i="13"/>
  <c r="AJ1345" i="13"/>
  <c r="AH1345" i="13"/>
  <c r="A1345" i="13"/>
  <c r="AJ1344" i="13"/>
  <c r="AH1344" i="13"/>
  <c r="A1344" i="13"/>
  <c r="AJ1343" i="13"/>
  <c r="AH1343" i="13"/>
  <c r="A1343" i="13"/>
  <c r="AJ1342" i="13"/>
  <c r="AH1342" i="13"/>
  <c r="A1342" i="13"/>
  <c r="AJ1341" i="13"/>
  <c r="AH1341" i="13"/>
  <c r="A1341" i="13"/>
  <c r="AJ1340" i="13"/>
  <c r="AH1340" i="13"/>
  <c r="A1340" i="13"/>
  <c r="AJ1339" i="13"/>
  <c r="AH1339" i="13"/>
  <c r="A1339" i="13"/>
  <c r="AJ1338" i="13"/>
  <c r="AH1338" i="13"/>
  <c r="A1338" i="13"/>
  <c r="AJ1337" i="13"/>
  <c r="AH1337" i="13"/>
  <c r="A1337" i="13"/>
  <c r="AJ1336" i="13"/>
  <c r="AH1336" i="13"/>
  <c r="A1336" i="13"/>
  <c r="AJ1335" i="13"/>
  <c r="AH1335" i="13"/>
  <c r="A1335" i="13"/>
  <c r="AJ1334" i="13"/>
  <c r="AH1334" i="13"/>
  <c r="A1334" i="13"/>
  <c r="AJ1333" i="13"/>
  <c r="AH1333" i="13"/>
  <c r="A1333" i="13"/>
  <c r="AJ1332" i="13"/>
  <c r="AH1332" i="13"/>
  <c r="A1332" i="13"/>
  <c r="AJ1331" i="13"/>
  <c r="AH1331" i="13"/>
  <c r="A1331" i="13"/>
  <c r="AJ1330" i="13"/>
  <c r="AH1330" i="13"/>
  <c r="A1330" i="13"/>
  <c r="AJ1329" i="13"/>
  <c r="AH1329" i="13"/>
  <c r="A1329" i="13"/>
  <c r="AJ1328" i="13"/>
  <c r="AH1328" i="13"/>
  <c r="A1328" i="13"/>
  <c r="AJ1327" i="13"/>
  <c r="AH1327" i="13"/>
  <c r="A1327" i="13"/>
  <c r="AJ1326" i="13"/>
  <c r="AH1326" i="13"/>
  <c r="A1326" i="13"/>
  <c r="AJ1325" i="13"/>
  <c r="AH1325" i="13"/>
  <c r="A1325" i="13"/>
  <c r="AJ1324" i="13"/>
  <c r="AH1324" i="13"/>
  <c r="A1324" i="13"/>
  <c r="AJ1323" i="13"/>
  <c r="AH1323" i="13"/>
  <c r="A1323" i="13"/>
  <c r="AJ1322" i="13"/>
  <c r="AH1322" i="13"/>
  <c r="A1322" i="13"/>
  <c r="AJ1321" i="13"/>
  <c r="AH1321" i="13"/>
  <c r="A1321" i="13"/>
  <c r="AJ1320" i="13"/>
  <c r="AH1320" i="13"/>
  <c r="A1320" i="13"/>
  <c r="AJ1319" i="13"/>
  <c r="AH1319" i="13"/>
  <c r="A1319" i="13"/>
  <c r="AJ1318" i="13"/>
  <c r="AH1318" i="13"/>
  <c r="A1318" i="13"/>
  <c r="AJ1317" i="13"/>
  <c r="AH1317" i="13"/>
  <c r="A1317" i="13"/>
  <c r="AJ1316" i="13"/>
  <c r="AH1316" i="13"/>
  <c r="A1316" i="13"/>
  <c r="AJ1315" i="13"/>
  <c r="AH1315" i="13"/>
  <c r="A1315" i="13"/>
  <c r="AJ1314" i="13"/>
  <c r="AH1314" i="13"/>
  <c r="A1314" i="13"/>
  <c r="AJ1313" i="13"/>
  <c r="AH1313" i="13"/>
  <c r="A1313" i="13"/>
  <c r="AJ1312" i="13"/>
  <c r="AH1312" i="13"/>
  <c r="A1312" i="13"/>
  <c r="AJ1311" i="13"/>
  <c r="AH1311" i="13"/>
  <c r="A1311" i="13"/>
  <c r="AJ1310" i="13"/>
  <c r="AH1310" i="13"/>
  <c r="A1310" i="13"/>
  <c r="AJ1309" i="13"/>
  <c r="AH1309" i="13"/>
  <c r="A1309" i="13"/>
  <c r="AJ1308" i="13"/>
  <c r="AH1308" i="13"/>
  <c r="A1308" i="13"/>
  <c r="AJ1307" i="13"/>
  <c r="AH1307" i="13"/>
  <c r="Q1307" i="13"/>
  <c r="A1307" i="13"/>
  <c r="AV1306" i="13"/>
  <c r="AI1306" i="13"/>
  <c r="AG1306" i="13"/>
  <c r="AF1306" i="13"/>
  <c r="AD1306" i="13"/>
  <c r="AD1243" i="13"/>
  <c r="AD1252" i="13"/>
  <c r="AD1261" i="13"/>
  <c r="AD1270" i="13"/>
  <c r="AD1279" i="13"/>
  <c r="AD1288" i="13"/>
  <c r="AD1297" i="13"/>
  <c r="AC1306" i="13"/>
  <c r="AB1306" i="13"/>
  <c r="AA1306" i="13"/>
  <c r="Z1306" i="13"/>
  <c r="Y1306" i="13"/>
  <c r="X1306" i="13"/>
  <c r="W1306" i="13"/>
  <c r="U1306" i="13"/>
  <c r="U1243" i="13"/>
  <c r="U1252" i="13"/>
  <c r="U1261" i="13"/>
  <c r="U1270" i="13"/>
  <c r="U1288" i="13"/>
  <c r="A1306" i="13"/>
  <c r="AH1305" i="13"/>
  <c r="A1305" i="13"/>
  <c r="AJ1304" i="13"/>
  <c r="T1304" i="13"/>
  <c r="A1304" i="13"/>
  <c r="AJ1303" i="13"/>
  <c r="AH1303" i="13"/>
  <c r="A1303" i="13"/>
  <c r="AJ1302" i="13"/>
  <c r="AH1302" i="13"/>
  <c r="T1302" i="13"/>
  <c r="A1302" i="13"/>
  <c r="AJ1301" i="13"/>
  <c r="AH1301" i="13"/>
  <c r="T1301" i="13"/>
  <c r="A1301" i="13"/>
  <c r="AJ1300" i="13"/>
  <c r="T1300" i="13"/>
  <c r="A1300" i="13"/>
  <c r="AJ1299" i="13"/>
  <c r="AH1299" i="13"/>
  <c r="R1299" i="13"/>
  <c r="A1299" i="13"/>
  <c r="AJ1298" i="13"/>
  <c r="AH1298" i="13"/>
  <c r="A1298" i="13"/>
  <c r="AV1297" i="13"/>
  <c r="AI1297" i="13"/>
  <c r="AG1297" i="13"/>
  <c r="AF1297" i="13"/>
  <c r="AC1297" i="13"/>
  <c r="AA1297" i="13"/>
  <c r="Z1297" i="13"/>
  <c r="X1297" i="13"/>
  <c r="W1297" i="13"/>
  <c r="A1297" i="13"/>
  <c r="AH1296" i="13"/>
  <c r="A1296" i="13"/>
  <c r="AJ1295" i="13"/>
  <c r="AH1295" i="13"/>
  <c r="T1295" i="13"/>
  <c r="A1295" i="13"/>
  <c r="AJ1294" i="13"/>
  <c r="AH1294" i="13"/>
  <c r="A1294" i="13"/>
  <c r="AJ1293" i="13"/>
  <c r="AH1293" i="13"/>
  <c r="T1293" i="13"/>
  <c r="A1293" i="13"/>
  <c r="AJ1292" i="13"/>
  <c r="AH1292" i="13"/>
  <c r="T1292" i="13"/>
  <c r="A1292" i="13"/>
  <c r="AJ1291" i="13"/>
  <c r="T1291" i="13"/>
  <c r="A1291" i="13"/>
  <c r="AJ1290" i="13"/>
  <c r="AH1290" i="13"/>
  <c r="R1290" i="13"/>
  <c r="A1290" i="13"/>
  <c r="AJ1289" i="13"/>
  <c r="AH1289" i="13"/>
  <c r="A1289" i="13"/>
  <c r="AV1288" i="13"/>
  <c r="AI1288" i="13"/>
  <c r="AG1288" i="13"/>
  <c r="AF1288" i="13"/>
  <c r="AC1288" i="13"/>
  <c r="AB1288" i="13"/>
  <c r="AA1288" i="13"/>
  <c r="Z1288" i="13"/>
  <c r="W1288" i="13"/>
  <c r="Y1288" i="13"/>
  <c r="X1288" i="13"/>
  <c r="A1288" i="13"/>
  <c r="AH1287" i="13"/>
  <c r="A1287" i="13"/>
  <c r="AJ1286" i="13"/>
  <c r="AH1286" i="13"/>
  <c r="AH1280" i="13"/>
  <c r="AH1281" i="13"/>
  <c r="AH1282" i="13"/>
  <c r="AH1283" i="13"/>
  <c r="AH1284" i="13"/>
  <c r="AH1285" i="13"/>
  <c r="T1286" i="13"/>
  <c r="A1286" i="13"/>
  <c r="AJ1285" i="13"/>
  <c r="A1285" i="13"/>
  <c r="AJ1284" i="13"/>
  <c r="T1284" i="13"/>
  <c r="A1284" i="13"/>
  <c r="AJ1283" i="13"/>
  <c r="T1283" i="13"/>
  <c r="A1283" i="13"/>
  <c r="AJ1282" i="13"/>
  <c r="T1282" i="13"/>
  <c r="A1282" i="13"/>
  <c r="AJ1281" i="13"/>
  <c r="R1281" i="13"/>
  <c r="A1281" i="13"/>
  <c r="AJ1280" i="13"/>
  <c r="A1280" i="13"/>
  <c r="AV1279" i="13"/>
  <c r="AI1279" i="13"/>
  <c r="AG1279" i="13"/>
  <c r="AF1279" i="13"/>
  <c r="AC1279" i="13"/>
  <c r="AA1279" i="13"/>
  <c r="Z1279" i="13"/>
  <c r="X1279" i="13"/>
  <c r="W1279" i="13"/>
  <c r="A1279" i="13"/>
  <c r="AH1278" i="13"/>
  <c r="A1278" i="13"/>
  <c r="AJ1277" i="13"/>
  <c r="AH1277" i="13"/>
  <c r="T1277" i="13"/>
  <c r="A1277" i="13"/>
  <c r="AJ1276" i="13"/>
  <c r="AH1276" i="13"/>
  <c r="A1276" i="13"/>
  <c r="AJ1275" i="13"/>
  <c r="AH1275" i="13"/>
  <c r="T1275" i="13"/>
  <c r="A1275" i="13"/>
  <c r="AJ1274" i="13"/>
  <c r="AH1274" i="13"/>
  <c r="T1274" i="13"/>
  <c r="A1274" i="13"/>
  <c r="AJ1273" i="13"/>
  <c r="AH1273" i="13"/>
  <c r="T1273" i="13"/>
  <c r="A1273" i="13"/>
  <c r="AJ1272" i="13"/>
  <c r="AH1272" i="13"/>
  <c r="AH1271" i="13"/>
  <c r="R1272" i="13"/>
  <c r="A1272" i="13"/>
  <c r="AJ1271" i="13"/>
  <c r="A1271" i="13"/>
  <c r="AV1270" i="13"/>
  <c r="AM1270" i="13"/>
  <c r="AL1270" i="13"/>
  <c r="AK1270" i="13"/>
  <c r="AI1270" i="13"/>
  <c r="AG1270" i="13"/>
  <c r="AF1270" i="13"/>
  <c r="AC1270" i="13"/>
  <c r="AB1270" i="13"/>
  <c r="AA1270" i="13"/>
  <c r="Z1270" i="13"/>
  <c r="Y1270" i="13"/>
  <c r="X1270" i="13"/>
  <c r="W1270" i="13"/>
  <c r="A1270" i="13"/>
  <c r="AH1269" i="13"/>
  <c r="A1269" i="13"/>
  <c r="AJ1268" i="13"/>
  <c r="AH1268" i="13"/>
  <c r="T1268" i="13"/>
  <c r="A1268" i="13"/>
  <c r="AJ1267" i="13"/>
  <c r="AH1267" i="13"/>
  <c r="A1267" i="13"/>
  <c r="AJ1266" i="13"/>
  <c r="AH1266" i="13"/>
  <c r="T1266" i="13"/>
  <c r="A1266" i="13"/>
  <c r="AJ1265" i="13"/>
  <c r="AH1265" i="13"/>
  <c r="T1265" i="13"/>
  <c r="A1265" i="13"/>
  <c r="AJ1264" i="13"/>
  <c r="AH1264" i="13"/>
  <c r="A1264" i="13"/>
  <c r="AJ1263" i="13"/>
  <c r="AH1263" i="13"/>
  <c r="R1263" i="13"/>
  <c r="A1263" i="13"/>
  <c r="AJ1262" i="13"/>
  <c r="AH1262" i="13"/>
  <c r="A1262" i="13"/>
  <c r="AV1261" i="13"/>
  <c r="AI1261" i="13"/>
  <c r="AG1261" i="13"/>
  <c r="AF1261" i="13"/>
  <c r="AC1261" i="13"/>
  <c r="AB1261" i="13"/>
  <c r="AA1261" i="13"/>
  <c r="Z1261" i="13"/>
  <c r="Y1261" i="13"/>
  <c r="X1261" i="13"/>
  <c r="W1261" i="13"/>
  <c r="A1261" i="13"/>
  <c r="AH1260" i="13"/>
  <c r="A1260" i="13"/>
  <c r="AJ1259" i="13"/>
  <c r="AH1259" i="13"/>
  <c r="T1259" i="13"/>
  <c r="A1259" i="13"/>
  <c r="AJ1258" i="13"/>
  <c r="AJ1253" i="13"/>
  <c r="AJ1254" i="13"/>
  <c r="AJ1255" i="13"/>
  <c r="AJ1256" i="13"/>
  <c r="AJ1257" i="13"/>
  <c r="AH1258" i="13"/>
  <c r="A1258" i="13"/>
  <c r="AH1257" i="13"/>
  <c r="T1257" i="13"/>
  <c r="A1257" i="13"/>
  <c r="AH1256" i="13"/>
  <c r="T1256" i="13"/>
  <c r="A1256" i="13"/>
  <c r="AH1255" i="13"/>
  <c r="T1255" i="13"/>
  <c r="A1255" i="13"/>
  <c r="AH1254" i="13"/>
  <c r="R1254" i="13"/>
  <c r="A1254" i="13"/>
  <c r="AH1253" i="13"/>
  <c r="A1253" i="13"/>
  <c r="AV1252" i="13"/>
  <c r="AG1252" i="13"/>
  <c r="AF1252" i="13"/>
  <c r="AF1243" i="13"/>
  <c r="AC1252" i="13"/>
  <c r="AB1252" i="13"/>
  <c r="AA1252" i="13"/>
  <c r="Z1252" i="13"/>
  <c r="Y1252" i="13"/>
  <c r="Y1243" i="13"/>
  <c r="X1252" i="13"/>
  <c r="W1252" i="13"/>
  <c r="A1252" i="13"/>
  <c r="AH1251" i="13"/>
  <c r="A1251" i="13"/>
  <c r="AJ1250" i="13"/>
  <c r="AH1250" i="13"/>
  <c r="T1250" i="13"/>
  <c r="A1250" i="13"/>
  <c r="AJ1249" i="13"/>
  <c r="AH1249" i="13"/>
  <c r="A1249" i="13"/>
  <c r="AJ1248" i="13"/>
  <c r="AH1248" i="13"/>
  <c r="T1248" i="13"/>
  <c r="A1248" i="13"/>
  <c r="AJ1247" i="13"/>
  <c r="AH1247" i="13"/>
  <c r="T1247" i="13"/>
  <c r="A1247" i="13"/>
  <c r="AJ1246" i="13"/>
  <c r="AH1246" i="13"/>
  <c r="T1246" i="13"/>
  <c r="A1246" i="13"/>
  <c r="AJ1245" i="13"/>
  <c r="AH1245" i="13"/>
  <c r="R1245" i="13"/>
  <c r="A1245" i="13"/>
  <c r="AJ1244" i="13"/>
  <c r="AH1244" i="13"/>
  <c r="A1244" i="13"/>
  <c r="AV1243" i="13"/>
  <c r="AG1243" i="13"/>
  <c r="AC1243" i="13"/>
  <c r="AB1243" i="13"/>
  <c r="AA1243" i="13"/>
  <c r="Z1243" i="13"/>
  <c r="W1243" i="13"/>
  <c r="X1243" i="13"/>
  <c r="A1243" i="13"/>
  <c r="A1242" i="13"/>
  <c r="A1241" i="13"/>
  <c r="AJ1240" i="13"/>
  <c r="A1240" i="13"/>
  <c r="Y1239" i="13"/>
  <c r="A1239" i="13"/>
  <c r="A1238" i="13"/>
  <c r="A1237" i="13"/>
  <c r="AJ1236" i="13"/>
  <c r="A1236" i="13"/>
  <c r="AV1235" i="13"/>
  <c r="AI1235" i="13"/>
  <c r="AG1235" i="13"/>
  <c r="AF1235" i="13"/>
  <c r="AD1235" i="13"/>
  <c r="AC1235" i="13"/>
  <c r="AA1235" i="13"/>
  <c r="Z1235" i="13"/>
  <c r="W1235" i="13"/>
  <c r="AJ1226" i="13"/>
  <c r="AJ1227" i="13"/>
  <c r="AJ1228" i="13"/>
  <c r="X1235" i="13"/>
  <c r="A1235" i="13"/>
  <c r="AH1234" i="13"/>
  <c r="A1234" i="13"/>
  <c r="AH1233" i="13"/>
  <c r="A1233" i="13"/>
  <c r="Y1232" i="13"/>
  <c r="AH1232" i="13"/>
  <c r="A1232" i="13"/>
  <c r="AJ1231" i="13"/>
  <c r="AH1231" i="13"/>
  <c r="A1231" i="13"/>
  <c r="AJ1230" i="13"/>
  <c r="AH1230" i="13"/>
  <c r="A1230" i="13"/>
  <c r="AH1229" i="13"/>
  <c r="A1229" i="13"/>
  <c r="AH1228" i="13"/>
  <c r="A1228" i="13"/>
  <c r="AH1227" i="13"/>
  <c r="A1227" i="13"/>
  <c r="AH1226" i="13"/>
  <c r="AH1225" i="13" s="1"/>
  <c r="A1226" i="13"/>
  <c r="AV1225" i="13"/>
  <c r="AM1225" i="13"/>
  <c r="AL1225" i="13"/>
  <c r="AK1225" i="13"/>
  <c r="AI1225" i="13"/>
  <c r="AG1225" i="13"/>
  <c r="AF1225" i="13"/>
  <c r="AD1225" i="13"/>
  <c r="AC1225" i="13"/>
  <c r="AA1225" i="13"/>
  <c r="AA1215" i="13"/>
  <c r="AA1211" i="13"/>
  <c r="Z1225" i="13"/>
  <c r="X1225" i="13"/>
  <c r="W1225" i="13"/>
  <c r="A1225" i="13"/>
  <c r="AJ1224" i="13"/>
  <c r="AH1224" i="13"/>
  <c r="A1224" i="13"/>
  <c r="AJ1223" i="13"/>
  <c r="AH1223" i="13"/>
  <c r="A1223" i="13"/>
  <c r="AJ1222" i="13"/>
  <c r="AH1222" i="13"/>
  <c r="A1222" i="13"/>
  <c r="AJ1221" i="13"/>
  <c r="AH1221" i="13"/>
  <c r="A1221" i="13"/>
  <c r="AJ1220" i="13"/>
  <c r="AH1220" i="13"/>
  <c r="A1220" i="13"/>
  <c r="AJ1219" i="13"/>
  <c r="AH1219" i="13"/>
  <c r="A1219" i="13"/>
  <c r="AJ1218" i="13"/>
  <c r="AH1218" i="13"/>
  <c r="A1218" i="13"/>
  <c r="AJ1217" i="13"/>
  <c r="AH1217" i="13"/>
  <c r="A1217" i="13"/>
  <c r="AJ1216" i="13"/>
  <c r="AJ1215" i="13" s="1"/>
  <c r="AH1216" i="13"/>
  <c r="AH1215" i="13" s="1"/>
  <c r="A1216" i="13"/>
  <c r="AV1215" i="13"/>
  <c r="AI1215" i="13"/>
  <c r="AG1215" i="13"/>
  <c r="AG1211" i="13"/>
  <c r="AF1215" i="13"/>
  <c r="AD1215" i="13"/>
  <c r="AC1215" i="13"/>
  <c r="Z1215" i="13"/>
  <c r="Z1211" i="13"/>
  <c r="X1215" i="13"/>
  <c r="X1211" i="13"/>
  <c r="W1215" i="13"/>
  <c r="A1215" i="13"/>
  <c r="AJ1214" i="13"/>
  <c r="AH1214" i="13"/>
  <c r="A1214" i="13"/>
  <c r="AH1213" i="13"/>
  <c r="AH1212" i="13"/>
  <c r="AH1211" i="13" s="1"/>
  <c r="A1213" i="13"/>
  <c r="AJ1212" i="13"/>
  <c r="A1212" i="13"/>
  <c r="AI1211" i="13"/>
  <c r="AF1211" i="13"/>
  <c r="AD1211" i="13"/>
  <c r="AC1211" i="13"/>
  <c r="W1211" i="13"/>
  <c r="A1211" i="13"/>
  <c r="A1210" i="13"/>
  <c r="AH1209" i="13"/>
  <c r="R1209" i="13"/>
  <c r="A1209" i="13"/>
  <c r="AJ1208" i="13"/>
  <c r="AH1208" i="13"/>
  <c r="R1208" i="13"/>
  <c r="A1208" i="13"/>
  <c r="AV1207" i="13"/>
  <c r="AJ1207" i="13"/>
  <c r="AG1207" i="13"/>
  <c r="AF1207" i="13"/>
  <c r="AD1207" i="13"/>
  <c r="AC1207" i="13"/>
  <c r="AA1207" i="13"/>
  <c r="Z1207" i="13"/>
  <c r="X1207" i="13"/>
  <c r="W1207" i="13"/>
  <c r="A1207" i="13"/>
  <c r="AH1206" i="13"/>
  <c r="R1206" i="13"/>
  <c r="A1206" i="13"/>
  <c r="AJ1205" i="13"/>
  <c r="AH1205" i="13"/>
  <c r="AH1204" i="13"/>
  <c r="AH1203" i="13" s="1"/>
  <c r="R1205" i="13"/>
  <c r="A1205" i="13"/>
  <c r="AJ1204" i="13"/>
  <c r="R1204" i="13"/>
  <c r="A1204" i="13"/>
  <c r="AV1203" i="13"/>
  <c r="AI1203" i="13"/>
  <c r="AG1203" i="13"/>
  <c r="AF1203" i="13"/>
  <c r="AD1203" i="13"/>
  <c r="AC1203" i="13"/>
  <c r="AA1203" i="13"/>
  <c r="Z1203" i="13"/>
  <c r="W1203" i="13"/>
  <c r="X1203" i="13"/>
  <c r="A1203" i="13"/>
  <c r="AJ1202" i="13"/>
  <c r="AH1202" i="13"/>
  <c r="A1202" i="13"/>
  <c r="AJ1201" i="13"/>
  <c r="AH1201" i="13"/>
  <c r="A1201" i="13"/>
  <c r="AJ1200" i="13"/>
  <c r="AH1200" i="13"/>
  <c r="A1200" i="13"/>
  <c r="AH1199" i="13"/>
  <c r="A1199" i="13"/>
  <c r="AJ1198" i="13"/>
  <c r="AH1198" i="13"/>
  <c r="A1198" i="13"/>
  <c r="AJ1197" i="13"/>
  <c r="AH1197" i="13"/>
  <c r="A1197" i="13"/>
  <c r="AJ1196" i="13"/>
  <c r="AH1196" i="13"/>
  <c r="A1196" i="13"/>
  <c r="AJ1195" i="13"/>
  <c r="AH1195" i="13"/>
  <c r="A1195" i="13"/>
  <c r="AJ1194" i="13"/>
  <c r="Y1194" i="13"/>
  <c r="AH1194" i="13"/>
  <c r="AH1193" i="13" s="1"/>
  <c r="A1194" i="13"/>
  <c r="AV1193" i="13"/>
  <c r="AI1193" i="13"/>
  <c r="AG1193" i="13"/>
  <c r="AF1193" i="13"/>
  <c r="AD1193" i="13"/>
  <c r="AC1193" i="13"/>
  <c r="AA1193" i="13"/>
  <c r="Z1193" i="13"/>
  <c r="W1193" i="13"/>
  <c r="AJ1191" i="13"/>
  <c r="X1193" i="13"/>
  <c r="A1193" i="13"/>
  <c r="AH1192" i="13"/>
  <c r="A1192" i="13"/>
  <c r="AH1191" i="13"/>
  <c r="A1191" i="13"/>
  <c r="AV1190" i="13"/>
  <c r="AI1190" i="13"/>
  <c r="AG1190" i="13"/>
  <c r="AF1190" i="13"/>
  <c r="AD1190" i="13"/>
  <c r="AC1190" i="13"/>
  <c r="AA1190" i="13"/>
  <c r="Z1190" i="13"/>
  <c r="W1190" i="13"/>
  <c r="X1190" i="13"/>
  <c r="R1190" i="13"/>
  <c r="A1190" i="13"/>
  <c r="AH1189" i="13"/>
  <c r="AF1189" i="13"/>
  <c r="W1189" i="13"/>
  <c r="W1170" i="13"/>
  <c r="A1189" i="13"/>
  <c r="AJ1188" i="13"/>
  <c r="AH1188" i="13"/>
  <c r="AF1188" i="13"/>
  <c r="A1188" i="13"/>
  <c r="AJ1187" i="13"/>
  <c r="AH1187" i="13"/>
  <c r="AF1187" i="13"/>
  <c r="A1187" i="13"/>
  <c r="AH1186" i="13"/>
  <c r="A1186" i="13"/>
  <c r="AJ1185" i="13"/>
  <c r="AH1185" i="13"/>
  <c r="A1185" i="13"/>
  <c r="AJ1184" i="13"/>
  <c r="AH1184" i="13"/>
  <c r="A1184" i="13"/>
  <c r="AJ1183" i="13"/>
  <c r="AH1183" i="13"/>
  <c r="A1183" i="13"/>
  <c r="AJ1182" i="13"/>
  <c r="AH1182" i="13"/>
  <c r="A1182" i="13"/>
  <c r="AJ1181" i="13"/>
  <c r="AH1181" i="13"/>
  <c r="A1181" i="13"/>
  <c r="AJ1180" i="13"/>
  <c r="AH1180" i="13"/>
  <c r="A1180" i="13"/>
  <c r="AJ1179" i="13"/>
  <c r="AH1179" i="13"/>
  <c r="A1179" i="13"/>
  <c r="AJ1178" i="13"/>
  <c r="AH1178" i="13"/>
  <c r="A1178" i="13"/>
  <c r="AJ1177" i="13"/>
  <c r="AH1177" i="13"/>
  <c r="A1177" i="13"/>
  <c r="AJ1176" i="13"/>
  <c r="AH1176" i="13"/>
  <c r="A1176" i="13"/>
  <c r="AJ1175" i="13"/>
  <c r="AH1175" i="13"/>
  <c r="A1175" i="13"/>
  <c r="AJ1174" i="13"/>
  <c r="AH1174" i="13"/>
  <c r="A1174" i="13"/>
  <c r="AJ1173" i="13"/>
  <c r="AH1173" i="13"/>
  <c r="A1173" i="13"/>
  <c r="AJ1172" i="13"/>
  <c r="AH1172" i="13"/>
  <c r="A1172" i="13"/>
  <c r="AJ1171" i="13"/>
  <c r="AH1171" i="13"/>
  <c r="A1171" i="13"/>
  <c r="AV1170" i="13"/>
  <c r="AI1170" i="13"/>
  <c r="AG1170" i="13"/>
  <c r="AD1170" i="13"/>
  <c r="AC1170" i="13"/>
  <c r="AB1170" i="13"/>
  <c r="AA1170" i="13"/>
  <c r="Z1170" i="13"/>
  <c r="X1170" i="13"/>
  <c r="U1170" i="13"/>
  <c r="R1170" i="13"/>
  <c r="A1170" i="13"/>
  <c r="AH1169" i="13"/>
  <c r="A1169" i="13"/>
  <c r="AJ1168" i="13"/>
  <c r="AH1168" i="13"/>
  <c r="AH1167" i="13"/>
  <c r="A1168" i="13"/>
  <c r="AJ1167" i="13"/>
  <c r="A1167" i="13"/>
  <c r="AI1166" i="13"/>
  <c r="AG1166" i="13"/>
  <c r="AF1166" i="13"/>
  <c r="AD1166" i="13"/>
  <c r="AC1166" i="13"/>
  <c r="AB1166" i="13"/>
  <c r="AA1166" i="13"/>
  <c r="Z1166" i="13"/>
  <c r="W1166" i="13"/>
  <c r="Y1166" i="13"/>
  <c r="X1166" i="13"/>
  <c r="U1166" i="13"/>
  <c r="A1166" i="13"/>
  <c r="AH1165" i="13"/>
  <c r="A1165" i="13"/>
  <c r="AJ1164" i="13"/>
  <c r="AH1164" i="13"/>
  <c r="A1164" i="13"/>
  <c r="AI1163" i="13"/>
  <c r="AG1163" i="13"/>
  <c r="AD1163" i="13"/>
  <c r="AC1163" i="13"/>
  <c r="AB1163" i="13"/>
  <c r="AA1163" i="13"/>
  <c r="Z1163" i="13"/>
  <c r="W1163" i="13"/>
  <c r="Y1163" i="13"/>
  <c r="U1163" i="13"/>
  <c r="A1163" i="13"/>
  <c r="AJ1162" i="13"/>
  <c r="AH1162" i="13"/>
  <c r="A1162" i="13"/>
  <c r="AJ1161" i="13"/>
  <c r="AH1161" i="13"/>
  <c r="A1161" i="13"/>
  <c r="AJ1160" i="13"/>
  <c r="U1160" i="13"/>
  <c r="AH1160" i="13"/>
  <c r="A1160" i="13"/>
  <c r="AH1159" i="13"/>
  <c r="A1159" i="13"/>
  <c r="AJ1158" i="13"/>
  <c r="AH1158" i="13"/>
  <c r="A1158" i="13"/>
  <c r="AJ1157" i="13"/>
  <c r="U1157" i="13"/>
  <c r="Y1157" i="13"/>
  <c r="AB1157" i="13"/>
  <c r="A1157" i="13"/>
  <c r="AH1156" i="13"/>
  <c r="A1156" i="13"/>
  <c r="AJ1155" i="13"/>
  <c r="AH1155" i="13"/>
  <c r="A1155" i="13"/>
  <c r="AJ1154" i="13"/>
  <c r="AH1154" i="13"/>
  <c r="A1154" i="13"/>
  <c r="AJ1153" i="13"/>
  <c r="AH1153" i="13"/>
  <c r="A1153" i="13"/>
  <c r="AJ1152" i="13"/>
  <c r="AH1152" i="13"/>
  <c r="A1152" i="13"/>
  <c r="AJ1151" i="13"/>
  <c r="AH1151" i="13"/>
  <c r="A1151" i="13"/>
  <c r="AJ1150" i="13"/>
  <c r="AH1150" i="13"/>
  <c r="A1150" i="13"/>
  <c r="AJ1149" i="13"/>
  <c r="AH1149" i="13"/>
  <c r="A1149" i="13"/>
  <c r="AJ1148" i="13"/>
  <c r="AH1148" i="13"/>
  <c r="A1148" i="13"/>
  <c r="AJ1147" i="13"/>
  <c r="AJ1145" i="13"/>
  <c r="AJ1146" i="13"/>
  <c r="AH1147" i="13"/>
  <c r="A1147" i="13"/>
  <c r="AH1146" i="13"/>
  <c r="A1146" i="13"/>
  <c r="AH1145" i="13"/>
  <c r="AH1144" i="13" s="1"/>
  <c r="A1145" i="13"/>
  <c r="AV1144" i="13"/>
  <c r="AI1144" i="13"/>
  <c r="AG1144" i="13"/>
  <c r="AF1144" i="13"/>
  <c r="AF1138" i="13"/>
  <c r="AD1144" i="13"/>
  <c r="AC1144" i="13"/>
  <c r="AC1138" i="13"/>
  <c r="AA1144" i="13"/>
  <c r="AA1138" i="13"/>
  <c r="Z1144" i="13"/>
  <c r="X1144" i="13"/>
  <c r="W1144" i="13"/>
  <c r="A1144" i="13"/>
  <c r="AH1143" i="13"/>
  <c r="A1143" i="13"/>
  <c r="AJ1142" i="13"/>
  <c r="AH1142" i="13"/>
  <c r="A1142" i="13"/>
  <c r="AJ1141" i="13"/>
  <c r="AH1141" i="13"/>
  <c r="A1141" i="13"/>
  <c r="AJ1140" i="13"/>
  <c r="AH1140" i="13"/>
  <c r="A1140" i="13"/>
  <c r="AJ1139" i="13"/>
  <c r="AH1139" i="13"/>
  <c r="A1139" i="13"/>
  <c r="AV1138" i="13"/>
  <c r="AV1044" i="13"/>
  <c r="AV1043" i="13" s="1"/>
  <c r="AI1138" i="13"/>
  <c r="AG1138" i="13"/>
  <c r="AD1138" i="13"/>
  <c r="Z1138" i="13"/>
  <c r="W1138" i="13"/>
  <c r="X1138" i="13"/>
  <c r="A1138" i="13"/>
  <c r="A1137" i="13"/>
  <c r="AH1136" i="13"/>
  <c r="A1136" i="13"/>
  <c r="AJ1135" i="13"/>
  <c r="U1135" i="13"/>
  <c r="AH1135" i="13"/>
  <c r="A1135" i="13"/>
  <c r="AJ1134" i="13"/>
  <c r="U1134" i="13"/>
  <c r="AH1134" i="13"/>
  <c r="A1134" i="13"/>
  <c r="AJ1133" i="13"/>
  <c r="AH1133" i="13"/>
  <c r="A1133" i="13"/>
  <c r="AH1132" i="13"/>
  <c r="A1132" i="13"/>
  <c r="AH1131" i="13"/>
  <c r="A1131" i="13"/>
  <c r="AJ1130" i="13"/>
  <c r="AH1130" i="13"/>
  <c r="A1130" i="13"/>
  <c r="AJ1129" i="13"/>
  <c r="AH1129" i="13"/>
  <c r="A1129" i="13"/>
  <c r="AJ1128" i="13"/>
  <c r="AH1128" i="13"/>
  <c r="A1128" i="13"/>
  <c r="AJ1127" i="13"/>
  <c r="AH1127" i="13"/>
  <c r="A1127" i="13"/>
  <c r="AJ1126" i="13"/>
  <c r="Y1126" i="13"/>
  <c r="AH1126" i="13"/>
  <c r="A1126" i="13"/>
  <c r="AJ1125" i="13"/>
  <c r="AH1125" i="13"/>
  <c r="A1125" i="13"/>
  <c r="AJ1124" i="13"/>
  <c r="AH1124" i="13"/>
  <c r="A1124" i="13"/>
  <c r="AJ1123" i="13"/>
  <c r="AH1123" i="13"/>
  <c r="A1123" i="13"/>
  <c r="AJ1122" i="13"/>
  <c r="AH1122" i="13"/>
  <c r="A1122" i="13"/>
  <c r="AJ1121" i="13"/>
  <c r="Y1121" i="13"/>
  <c r="AH1121" i="13"/>
  <c r="A1121" i="13"/>
  <c r="AJ1120" i="13"/>
  <c r="AH1120" i="13"/>
  <c r="A1120" i="13"/>
  <c r="AJ1119" i="13"/>
  <c r="AH1119" i="13"/>
  <c r="A1119" i="13"/>
  <c r="AJ1118" i="13"/>
  <c r="AH1118" i="13"/>
  <c r="A1118" i="13"/>
  <c r="AJ1117" i="13"/>
  <c r="AH1117" i="13"/>
  <c r="A1117" i="13"/>
  <c r="AJ1116" i="13"/>
  <c r="AH1116" i="13"/>
  <c r="A1116" i="13"/>
  <c r="AJ1115" i="13"/>
  <c r="AH1115" i="13"/>
  <c r="A1115" i="13"/>
  <c r="AJ1114" i="13"/>
  <c r="A1114" i="13"/>
  <c r="AJ1113" i="13"/>
  <c r="Y1113" i="13"/>
  <c r="AH1113" i="13"/>
  <c r="A1113" i="13"/>
  <c r="AJ1112" i="13"/>
  <c r="AH1112" i="13"/>
  <c r="A1112" i="13"/>
  <c r="AJ1111" i="13"/>
  <c r="AH1111" i="13"/>
  <c r="A1111" i="13"/>
  <c r="AJ1110" i="13"/>
  <c r="Y1110" i="13"/>
  <c r="AH1110" i="13"/>
  <c r="A1110" i="13"/>
  <c r="AJ1109" i="13"/>
  <c r="AH1109" i="13"/>
  <c r="A1109" i="13"/>
  <c r="AJ1108" i="13"/>
  <c r="AH1108" i="13"/>
  <c r="A1108" i="13"/>
  <c r="AJ1107" i="13"/>
  <c r="AH1107" i="13"/>
  <c r="A1107" i="13"/>
  <c r="AJ1106" i="13"/>
  <c r="AH1106" i="13"/>
  <c r="A1106" i="13"/>
  <c r="AJ1105" i="13"/>
  <c r="AH1105" i="13"/>
  <c r="A1105" i="13"/>
  <c r="AJ1104" i="13"/>
  <c r="AH1104" i="13"/>
  <c r="A1104" i="13"/>
  <c r="AJ1103" i="13"/>
  <c r="AH1103" i="13"/>
  <c r="A1103" i="13"/>
  <c r="AJ1102" i="13"/>
  <c r="AH1102" i="13"/>
  <c r="A1102" i="13"/>
  <c r="AJ1101" i="13"/>
  <c r="AH1101" i="13"/>
  <c r="A1101" i="13"/>
  <c r="AJ1100" i="13"/>
  <c r="AH1100" i="13"/>
  <c r="A1100" i="13"/>
  <c r="AJ1099" i="13"/>
  <c r="AH1099" i="13"/>
  <c r="A1099" i="13"/>
  <c r="AJ1098" i="13"/>
  <c r="AH1098" i="13"/>
  <c r="A1098" i="13"/>
  <c r="AJ1097" i="13"/>
  <c r="AH1097" i="13"/>
  <c r="A1097" i="13"/>
  <c r="AJ1096" i="13"/>
  <c r="AH1096" i="13"/>
  <c r="A1096" i="13"/>
  <c r="AJ1095" i="13"/>
  <c r="Y1095" i="13"/>
  <c r="AH1095" i="13"/>
  <c r="A1095" i="13"/>
  <c r="AJ1094" i="13"/>
  <c r="Y1094" i="13"/>
  <c r="AH1094" i="13"/>
  <c r="A1094" i="13"/>
  <c r="AJ1093" i="13"/>
  <c r="A1093" i="13"/>
  <c r="AJ1092" i="13"/>
  <c r="AH1092" i="13"/>
  <c r="A1092" i="13"/>
  <c r="AJ1091" i="13"/>
  <c r="AH1091" i="13"/>
  <c r="A1091" i="13"/>
  <c r="AJ1090" i="13"/>
  <c r="AH1090" i="13"/>
  <c r="A1090" i="13"/>
  <c r="AJ1089" i="13"/>
  <c r="AH1089" i="13"/>
  <c r="A1089" i="13"/>
  <c r="AJ1088" i="13"/>
  <c r="AH1088" i="13"/>
  <c r="A1088" i="13"/>
  <c r="AJ1087" i="13"/>
  <c r="Y1087" i="13"/>
  <c r="AH1087" i="13"/>
  <c r="A1087" i="13"/>
  <c r="AJ1086" i="13"/>
  <c r="AH1086" i="13"/>
  <c r="A1086" i="13"/>
  <c r="AM1085" i="13"/>
  <c r="AL1085" i="13"/>
  <c r="AK1085" i="13"/>
  <c r="AI1085" i="13"/>
  <c r="AG1085" i="13"/>
  <c r="AF1085" i="13"/>
  <c r="AD1085" i="13"/>
  <c r="AC1085" i="13"/>
  <c r="AA1085" i="13"/>
  <c r="Z1085" i="13"/>
  <c r="W1085" i="13"/>
  <c r="X1085" i="13"/>
  <c r="A1085" i="13"/>
  <c r="AJ1084" i="13"/>
  <c r="AH1084" i="13"/>
  <c r="A1084" i="13"/>
  <c r="AJ1083" i="13"/>
  <c r="AH1083" i="13"/>
  <c r="A1083" i="13"/>
  <c r="AH1082" i="13"/>
  <c r="A1082" i="13"/>
  <c r="AI1081" i="13"/>
  <c r="AG1081" i="13"/>
  <c r="AF1081" i="13"/>
  <c r="AD1081" i="13"/>
  <c r="AC1081" i="13"/>
  <c r="AB1061" i="13"/>
  <c r="AB1076" i="13"/>
  <c r="AB1079" i="13"/>
  <c r="AA1081" i="13"/>
  <c r="Z1081" i="13"/>
  <c r="X1081" i="13"/>
  <c r="W1081" i="13"/>
  <c r="U1081" i="13"/>
  <c r="A1081" i="13"/>
  <c r="AH1080" i="13"/>
  <c r="AH1079" i="13" s="1"/>
  <c r="A1080" i="13"/>
  <c r="AJ1079" i="13"/>
  <c r="AI1079" i="13"/>
  <c r="AG1079" i="13"/>
  <c r="AF1079" i="13"/>
  <c r="AD1079" i="13"/>
  <c r="AC1079" i="13"/>
  <c r="W1079" i="13"/>
  <c r="Z1079" i="13"/>
  <c r="AA1079" i="13"/>
  <c r="Y1079" i="13"/>
  <c r="X1079" i="13"/>
  <c r="U1079" i="13"/>
  <c r="A1079" i="13"/>
  <c r="AH1078" i="13"/>
  <c r="A1078" i="13"/>
  <c r="AJ1077" i="13"/>
  <c r="AJ1076" i="13" s="1"/>
  <c r="AH1077" i="13"/>
  <c r="A1077" i="13"/>
  <c r="AI1076" i="13"/>
  <c r="AG1076" i="13"/>
  <c r="AF1076" i="13"/>
  <c r="AF1044" i="13"/>
  <c r="AF1061" i="13"/>
  <c r="AD1076" i="13"/>
  <c r="AC1076" i="13"/>
  <c r="AA1076" i="13"/>
  <c r="Z1076" i="13"/>
  <c r="X1076" i="13"/>
  <c r="W1076" i="13"/>
  <c r="U1076" i="13"/>
  <c r="A1076" i="13"/>
  <c r="AH1075" i="13"/>
  <c r="A1075" i="13"/>
  <c r="AJ1074" i="13"/>
  <c r="AH1074" i="13"/>
  <c r="A1074" i="13"/>
  <c r="AJ1073" i="13"/>
  <c r="AH1073" i="13"/>
  <c r="A1073" i="13"/>
  <c r="AH1072" i="13"/>
  <c r="R1072" i="13"/>
  <c r="A1072" i="13"/>
  <c r="AJ1071" i="13"/>
  <c r="AH1071" i="13"/>
  <c r="R1071" i="13"/>
  <c r="A1071" i="13"/>
  <c r="AJ1070" i="13"/>
  <c r="AH1070" i="13"/>
  <c r="R1070" i="13"/>
  <c r="A1070" i="13"/>
  <c r="AJ1069" i="13"/>
  <c r="AH1069" i="13"/>
  <c r="R1069" i="13"/>
  <c r="A1069" i="13"/>
  <c r="AJ1068" i="13"/>
  <c r="AH1068" i="13"/>
  <c r="R1068" i="13"/>
  <c r="A1068" i="13"/>
  <c r="AJ1067" i="13"/>
  <c r="AH1067" i="13"/>
  <c r="A1067" i="13"/>
  <c r="AJ1066" i="13"/>
  <c r="AH1066" i="13"/>
  <c r="A1066" i="13"/>
  <c r="AJ1065" i="13"/>
  <c r="AH1065" i="13"/>
  <c r="A1065" i="13"/>
  <c r="AJ1064" i="13"/>
  <c r="AH1064" i="13"/>
  <c r="A1064" i="13"/>
  <c r="AJ1063" i="13"/>
  <c r="AH1063" i="13"/>
  <c r="A1063" i="13"/>
  <c r="AJ1062" i="13"/>
  <c r="AH1062" i="13"/>
  <c r="A1062" i="13"/>
  <c r="AG1061" i="13"/>
  <c r="AD1061" i="13"/>
  <c r="AC1061" i="13"/>
  <c r="AC1044" i="13"/>
  <c r="AA1061" i="13"/>
  <c r="AA1044" i="13"/>
  <c r="Z1061" i="13"/>
  <c r="X1061" i="13"/>
  <c r="W1061" i="13"/>
  <c r="U1061" i="13"/>
  <c r="A1061" i="13"/>
  <c r="A1060" i="13"/>
  <c r="AJ1059" i="13"/>
  <c r="AH1059" i="13"/>
  <c r="A1059" i="13"/>
  <c r="AJ1058" i="13"/>
  <c r="A1058" i="13"/>
  <c r="AJ1057" i="13"/>
  <c r="U1057" i="13"/>
  <c r="Y1057" i="13"/>
  <c r="AB1057" i="13"/>
  <c r="A1057" i="13"/>
  <c r="AJ1056" i="13"/>
  <c r="AH1056" i="13"/>
  <c r="A1056" i="13"/>
  <c r="AJ1055" i="13"/>
  <c r="AH1055" i="13"/>
  <c r="A1055" i="13"/>
  <c r="AJ1054" i="13"/>
  <c r="AH1054" i="13"/>
  <c r="A1054" i="13"/>
  <c r="AJ1053" i="13"/>
  <c r="AH1053" i="13"/>
  <c r="A1053" i="13"/>
  <c r="AJ1052" i="13"/>
  <c r="AH1052" i="13"/>
  <c r="A1052" i="13"/>
  <c r="AJ1051" i="13"/>
  <c r="AH1051" i="13"/>
  <c r="A1051" i="13"/>
  <c r="AJ1050" i="13"/>
  <c r="AH1050" i="13"/>
  <c r="A1050" i="13"/>
  <c r="AJ1049" i="13"/>
  <c r="A1049" i="13"/>
  <c r="AJ1048" i="13"/>
  <c r="A1048" i="13"/>
  <c r="A1047" i="13"/>
  <c r="AJ1046" i="13"/>
  <c r="A1046" i="13"/>
  <c r="AJ1045" i="13"/>
  <c r="AH1045" i="13"/>
  <c r="A1045" i="13"/>
  <c r="AI1044" i="13"/>
  <c r="AG1044" i="13"/>
  <c r="AD1044" i="13"/>
  <c r="Z1044" i="13"/>
  <c r="X1044" i="13"/>
  <c r="W1044" i="13"/>
  <c r="A1044" i="13"/>
  <c r="A1043" i="13"/>
  <c r="A1042" i="13"/>
  <c r="AH1041" i="13"/>
  <c r="A1041" i="13"/>
  <c r="AJ1040" i="13"/>
  <c r="AH1040" i="13"/>
  <c r="A1040" i="13"/>
  <c r="AJ1039" i="13"/>
  <c r="AH1039" i="13"/>
  <c r="A1039" i="13"/>
  <c r="AJ1038" i="13"/>
  <c r="AH1038" i="13"/>
  <c r="A1038" i="13"/>
  <c r="AJ1037" i="13"/>
  <c r="AH1037" i="13"/>
  <c r="A1037" i="13"/>
  <c r="AJ1036" i="13"/>
  <c r="AH1036" i="13"/>
  <c r="AH1035" i="13" s="1"/>
  <c r="A1036" i="13"/>
  <c r="AM1035" i="13"/>
  <c r="AL1035" i="13"/>
  <c r="AK1035" i="13"/>
  <c r="AI1035" i="13"/>
  <c r="AI1015" i="13" s="1"/>
  <c r="AI1014" i="13" s="1"/>
  <c r="AG1035" i="13"/>
  <c r="AF1035" i="13"/>
  <c r="AE1035" i="13"/>
  <c r="AD1035" i="13"/>
  <c r="AC1035" i="13"/>
  <c r="AB1035" i="13"/>
  <c r="AA1035" i="13"/>
  <c r="Z1035" i="13"/>
  <c r="W1035" i="13"/>
  <c r="Y1035" i="13"/>
  <c r="X1035" i="13"/>
  <c r="U1035" i="13"/>
  <c r="A1035" i="13"/>
  <c r="AH1034" i="13"/>
  <c r="A1034" i="13"/>
  <c r="AJ1033" i="13"/>
  <c r="AH1033" i="13"/>
  <c r="A1033" i="13"/>
  <c r="AJ1032" i="13"/>
  <c r="AH1032" i="13"/>
  <c r="AH1031" i="13" s="1"/>
  <c r="A1032" i="13"/>
  <c r="AI1031" i="13"/>
  <c r="AG1031" i="13"/>
  <c r="AF1031" i="13"/>
  <c r="AE1031" i="13"/>
  <c r="AD1031" i="13"/>
  <c r="AC1031" i="13"/>
  <c r="AB1031" i="13"/>
  <c r="AA1031" i="13"/>
  <c r="Z1031" i="13"/>
  <c r="Y1031" i="13"/>
  <c r="X1031" i="13"/>
  <c r="W1031" i="13"/>
  <c r="U1031" i="13"/>
  <c r="A1031" i="13"/>
  <c r="AH1030" i="13"/>
  <c r="A1030" i="13"/>
  <c r="AJ1029" i="13"/>
  <c r="AH1029" i="13"/>
  <c r="A1029" i="13"/>
  <c r="AJ1028" i="13"/>
  <c r="AH1028" i="13"/>
  <c r="AH1024" i="13"/>
  <c r="AH1023" i="13" s="1"/>
  <c r="AH1025" i="13"/>
  <c r="AH1026" i="13"/>
  <c r="AH1027" i="13"/>
  <c r="A1028" i="13"/>
  <c r="AJ1027" i="13"/>
  <c r="A1027" i="13"/>
  <c r="AJ1026" i="13"/>
  <c r="A1026" i="13"/>
  <c r="AJ1025" i="13"/>
  <c r="A1025" i="13"/>
  <c r="AJ1024" i="13"/>
  <c r="A1024" i="13"/>
  <c r="AI1023" i="13"/>
  <c r="AG1023" i="13"/>
  <c r="AF1023" i="13"/>
  <c r="AE1023" i="13"/>
  <c r="AD1023" i="13"/>
  <c r="AC1023" i="13"/>
  <c r="AB1023" i="13"/>
  <c r="AA1023" i="13"/>
  <c r="Z1023" i="13"/>
  <c r="Y1023" i="13"/>
  <c r="X1023" i="13"/>
  <c r="W1023" i="13"/>
  <c r="U1023" i="13"/>
  <c r="A1023" i="13"/>
  <c r="AH1022" i="13"/>
  <c r="A1022" i="13"/>
  <c r="AJ1021" i="13"/>
  <c r="AH1021" i="13"/>
  <c r="AH1017" i="13"/>
  <c r="AH1016" i="13" s="1"/>
  <c r="AH1018" i="13"/>
  <c r="AH1019" i="13"/>
  <c r="AH1020" i="13"/>
  <c r="A1021" i="13"/>
  <c r="AJ1020" i="13"/>
  <c r="A1020" i="13"/>
  <c r="AJ1019" i="13"/>
  <c r="A1019" i="13"/>
  <c r="AJ1018" i="13"/>
  <c r="A1018" i="13"/>
  <c r="AJ1017" i="13"/>
  <c r="A1017" i="13"/>
  <c r="AI1016" i="13"/>
  <c r="AG1016" i="13"/>
  <c r="AF1016" i="13"/>
  <c r="AE1016" i="13"/>
  <c r="AD1016" i="13"/>
  <c r="AC1016" i="13"/>
  <c r="AB1016" i="13"/>
  <c r="AA1016" i="13"/>
  <c r="Z1016" i="13"/>
  <c r="Y1016" i="13"/>
  <c r="X1016" i="13"/>
  <c r="W1016" i="13"/>
  <c r="U1016" i="13"/>
  <c r="A1016" i="13"/>
  <c r="A1015" i="13"/>
  <c r="AV1014" i="13"/>
  <c r="AG1014" i="13"/>
  <c r="AF1014" i="13"/>
  <c r="AE1014" i="13"/>
  <c r="AD1014" i="13"/>
  <c r="AC1014" i="13"/>
  <c r="AB1014" i="13"/>
  <c r="AA1014" i="13"/>
  <c r="Z1014" i="13"/>
  <c r="Y1014" i="13"/>
  <c r="X1014" i="13"/>
  <c r="W1014" i="13"/>
  <c r="U1014" i="13"/>
  <c r="A1014" i="13"/>
  <c r="AH1013" i="13"/>
  <c r="A1013" i="13"/>
  <c r="AJ1012" i="13"/>
  <c r="AH1012" i="13"/>
  <c r="A1012" i="13"/>
  <c r="AJ1011" i="13"/>
  <c r="AH1011" i="13"/>
  <c r="A1011" i="13"/>
  <c r="AJ1010" i="13"/>
  <c r="AH1010" i="13"/>
  <c r="A1010" i="13"/>
  <c r="AJ1009" i="13"/>
  <c r="AH1009" i="13"/>
  <c r="A1009" i="13"/>
  <c r="AJ1008" i="13"/>
  <c r="AH1008" i="13"/>
  <c r="A1008" i="13"/>
  <c r="AJ1007" i="13"/>
  <c r="AH1007" i="13"/>
  <c r="A1007" i="13"/>
  <c r="AJ1006" i="13"/>
  <c r="AH1006" i="13"/>
  <c r="A1006" i="13"/>
  <c r="AJ1005" i="13"/>
  <c r="AH1005" i="13"/>
  <c r="A1005" i="13"/>
  <c r="AJ1004" i="13"/>
  <c r="AH1004" i="13"/>
  <c r="A1004" i="13"/>
  <c r="AJ1003" i="13"/>
  <c r="AH1003" i="13"/>
  <c r="A1003" i="13"/>
  <c r="AJ1002" i="13"/>
  <c r="AH1002" i="13"/>
  <c r="A1002" i="13"/>
  <c r="AJ1001" i="13"/>
  <c r="AH1001" i="13"/>
  <c r="A1001" i="13"/>
  <c r="AJ1000" i="13"/>
  <c r="AH1000" i="13"/>
  <c r="A1000" i="13"/>
  <c r="AJ999" i="13"/>
  <c r="AH999" i="13"/>
  <c r="A999" i="13"/>
  <c r="AJ998" i="13"/>
  <c r="AH998" i="13"/>
  <c r="A998" i="13"/>
  <c r="AJ997" i="13"/>
  <c r="AH997" i="13"/>
  <c r="A997" i="13"/>
  <c r="AJ996" i="13"/>
  <c r="AH996" i="13"/>
  <c r="A996" i="13"/>
  <c r="AJ995" i="13"/>
  <c r="AH995" i="13"/>
  <c r="A995" i="13"/>
  <c r="AJ994" i="13"/>
  <c r="AJ993" i="13"/>
  <c r="AH994" i="13"/>
  <c r="A994" i="13"/>
  <c r="AH993" i="13"/>
  <c r="AH992" i="13" s="1"/>
  <c r="A993" i="13"/>
  <c r="AI992" i="13"/>
  <c r="AG992" i="13"/>
  <c r="AF992" i="13"/>
  <c r="AD992" i="13"/>
  <c r="AC992" i="13"/>
  <c r="AC965" i="13"/>
  <c r="AC981" i="13"/>
  <c r="AB992" i="13"/>
  <c r="AA992" i="13"/>
  <c r="Z992" i="13"/>
  <c r="Y992" i="13"/>
  <c r="X992" i="13"/>
  <c r="W992" i="13"/>
  <c r="U992" i="13"/>
  <c r="A992" i="13"/>
  <c r="AH991" i="13"/>
  <c r="A991" i="13"/>
  <c r="AJ990" i="13"/>
  <c r="AH990" i="13"/>
  <c r="A990" i="13"/>
  <c r="AJ989" i="13"/>
  <c r="AH989" i="13"/>
  <c r="A989" i="13"/>
  <c r="AJ988" i="13"/>
  <c r="AH988" i="13"/>
  <c r="A988" i="13"/>
  <c r="AJ987" i="13"/>
  <c r="AH987" i="13"/>
  <c r="A987" i="13"/>
  <c r="AJ986" i="13"/>
  <c r="AH986" i="13"/>
  <c r="A986" i="13"/>
  <c r="AJ985" i="13"/>
  <c r="AH985" i="13"/>
  <c r="A985" i="13"/>
  <c r="AJ984" i="13"/>
  <c r="AH984" i="13"/>
  <c r="A984" i="13"/>
  <c r="AJ983" i="13"/>
  <c r="AH983" i="13"/>
  <c r="A983" i="13"/>
  <c r="AJ982" i="13"/>
  <c r="AH982" i="13"/>
  <c r="A982" i="13"/>
  <c r="AI981" i="13"/>
  <c r="AI965" i="13"/>
  <c r="AG981" i="13"/>
  <c r="AF981" i="13"/>
  <c r="AD981" i="13"/>
  <c r="AD965" i="13"/>
  <c r="AB981" i="13"/>
  <c r="AB965" i="13"/>
  <c r="AA981" i="13"/>
  <c r="Z981" i="13"/>
  <c r="Z965" i="13"/>
  <c r="Y981" i="13"/>
  <c r="X981" i="13"/>
  <c r="W981" i="13"/>
  <c r="U981" i="13"/>
  <c r="U965" i="13"/>
  <c r="A981" i="13"/>
  <c r="AH980" i="13"/>
  <c r="A980" i="13"/>
  <c r="AJ979" i="13"/>
  <c r="AH979" i="13"/>
  <c r="A979" i="13"/>
  <c r="AJ978" i="13"/>
  <c r="AH978" i="13"/>
  <c r="A978" i="13"/>
  <c r="AJ977" i="13"/>
  <c r="AH977" i="13"/>
  <c r="A977" i="13"/>
  <c r="AJ976" i="13"/>
  <c r="AH976" i="13"/>
  <c r="A976" i="13"/>
  <c r="AJ975" i="13"/>
  <c r="AH975" i="13"/>
  <c r="A975" i="13"/>
  <c r="AJ974" i="13"/>
  <c r="AH974" i="13"/>
  <c r="A974" i="13"/>
  <c r="AJ973" i="13"/>
  <c r="AH973" i="13"/>
  <c r="A973" i="13"/>
  <c r="AJ972" i="13"/>
  <c r="AH972" i="13"/>
  <c r="A972" i="13"/>
  <c r="AJ971" i="13"/>
  <c r="AH971" i="13"/>
  <c r="A971" i="13"/>
  <c r="AJ970" i="13"/>
  <c r="AH970" i="13"/>
  <c r="A970" i="13"/>
  <c r="AJ969" i="13"/>
  <c r="AH969" i="13"/>
  <c r="A969" i="13"/>
  <c r="AJ968" i="13"/>
  <c r="AH968" i="13"/>
  <c r="A968" i="13"/>
  <c r="AJ967" i="13"/>
  <c r="AH967" i="13"/>
  <c r="AH966" i="13"/>
  <c r="AH965" i="13" s="1"/>
  <c r="A967" i="13"/>
  <c r="AJ966" i="13"/>
  <c r="A966" i="13"/>
  <c r="AV965" i="13"/>
  <c r="AV964" i="13" s="1"/>
  <c r="AG965" i="13"/>
  <c r="AF965" i="13"/>
  <c r="AA965" i="13"/>
  <c r="Y965" i="13"/>
  <c r="X965" i="13"/>
  <c r="W965" i="13"/>
  <c r="A965" i="13"/>
  <c r="A964" i="13"/>
  <c r="AH963" i="13"/>
  <c r="AH962" i="13"/>
  <c r="A963" i="13"/>
  <c r="AJ962" i="13"/>
  <c r="A962" i="13"/>
  <c r="AV961" i="13"/>
  <c r="AV960" i="13" s="1"/>
  <c r="AM961" i="13"/>
  <c r="AL961" i="13"/>
  <c r="AK961" i="13"/>
  <c r="AI961" i="13"/>
  <c r="AI960" i="13" s="1"/>
  <c r="AG961" i="13"/>
  <c r="AG960" i="13" s="1"/>
  <c r="AF961" i="13"/>
  <c r="AF960" i="13" s="1"/>
  <c r="AD961" i="13"/>
  <c r="AD960" i="13" s="1"/>
  <c r="AC961" i="13"/>
  <c r="AC960" i="13" s="1"/>
  <c r="AB961" i="13"/>
  <c r="AB960" i="13" s="1"/>
  <c r="AA961" i="13"/>
  <c r="AA960" i="13" s="1"/>
  <c r="Z961" i="13"/>
  <c r="Z960" i="13" s="1"/>
  <c r="Y961" i="13"/>
  <c r="Y960" i="13" s="1"/>
  <c r="X961" i="13"/>
  <c r="X960" i="13" s="1"/>
  <c r="W961" i="13"/>
  <c r="W960" i="13" s="1"/>
  <c r="U961" i="13"/>
  <c r="U960" i="13" s="1"/>
  <c r="V960" i="13" s="1"/>
  <c r="A961" i="13"/>
  <c r="A960" i="13"/>
  <c r="AH959" i="13"/>
  <c r="A959" i="13"/>
  <c r="AJ958" i="13"/>
  <c r="AH958" i="13"/>
  <c r="A958" i="13"/>
  <c r="AJ957" i="13"/>
  <c r="AH957" i="13"/>
  <c r="A957" i="13"/>
  <c r="AJ956" i="13"/>
  <c r="AH956" i="13"/>
  <c r="AH955" i="13"/>
  <c r="A956" i="13"/>
  <c r="AJ955" i="13"/>
  <c r="A955" i="13"/>
  <c r="AV954" i="13"/>
  <c r="AI954" i="13"/>
  <c r="AG954" i="13"/>
  <c r="AF954" i="13"/>
  <c r="AD954" i="13"/>
  <c r="AC954" i="13"/>
  <c r="AB954" i="13"/>
  <c r="AA954" i="13"/>
  <c r="AA922" i="13"/>
  <c r="AA931" i="13"/>
  <c r="Z954" i="13"/>
  <c r="Y954" i="13"/>
  <c r="Y922" i="13"/>
  <c r="X954" i="13"/>
  <c r="W954" i="13"/>
  <c r="U954" i="13"/>
  <c r="A954" i="13"/>
  <c r="U953" i="13"/>
  <c r="AH953" i="13"/>
  <c r="Y953" i="13"/>
  <c r="AB953" i="13"/>
  <c r="A953" i="13"/>
  <c r="AJ952" i="13"/>
  <c r="AH952" i="13"/>
  <c r="A952" i="13"/>
  <c r="AJ951" i="13"/>
  <c r="AH951" i="13"/>
  <c r="A951" i="13"/>
  <c r="AJ950" i="13"/>
  <c r="Y950" i="13"/>
  <c r="Y931" i="13"/>
  <c r="AH950" i="13"/>
  <c r="A950" i="13"/>
  <c r="AJ949" i="13"/>
  <c r="AH949" i="13"/>
  <c r="A949" i="13"/>
  <c r="AJ948" i="13"/>
  <c r="AH948" i="13"/>
  <c r="A948" i="13"/>
  <c r="AH947" i="13"/>
  <c r="A947" i="13"/>
  <c r="AJ946" i="13"/>
  <c r="AH946" i="13"/>
  <c r="A946" i="13"/>
  <c r="AJ945" i="13"/>
  <c r="AH945" i="13"/>
  <c r="A945" i="13"/>
  <c r="AJ944" i="13"/>
  <c r="AH944" i="13"/>
  <c r="A944" i="13"/>
  <c r="AJ943" i="13"/>
  <c r="AH943" i="13"/>
  <c r="A943" i="13"/>
  <c r="AJ942" i="13"/>
  <c r="AH942" i="13"/>
  <c r="A942" i="13"/>
  <c r="AJ941" i="13"/>
  <c r="AH941" i="13"/>
  <c r="A941" i="13"/>
  <c r="AJ940" i="13"/>
  <c r="AH940" i="13"/>
  <c r="A940" i="13"/>
  <c r="AJ939" i="13"/>
  <c r="AH939" i="13"/>
  <c r="A939" i="13"/>
  <c r="AJ938" i="13"/>
  <c r="AH938" i="13"/>
  <c r="A938" i="13"/>
  <c r="AJ937" i="13"/>
  <c r="AH937" i="13"/>
  <c r="A937" i="13"/>
  <c r="AJ936" i="13"/>
  <c r="AH936" i="13"/>
  <c r="A936" i="13"/>
  <c r="AJ935" i="13"/>
  <c r="AH935" i="13"/>
  <c r="A935" i="13"/>
  <c r="AJ934" i="13"/>
  <c r="AH934" i="13"/>
  <c r="A934" i="13"/>
  <c r="AJ933" i="13"/>
  <c r="AH933" i="13"/>
  <c r="A933" i="13"/>
  <c r="AJ932" i="13"/>
  <c r="AH932" i="13"/>
  <c r="AH931" i="13" s="1"/>
  <c r="A932" i="13"/>
  <c r="AV931" i="13"/>
  <c r="AI931" i="13"/>
  <c r="AG931" i="13"/>
  <c r="AF931" i="13"/>
  <c r="AD931" i="13"/>
  <c r="AC931" i="13"/>
  <c r="AB931" i="13"/>
  <c r="Z931" i="13"/>
  <c r="X931" i="13"/>
  <c r="W931" i="13"/>
  <c r="U931" i="13"/>
  <c r="A931" i="13"/>
  <c r="AH930" i="13"/>
  <c r="A930" i="13"/>
  <c r="AJ929" i="13"/>
  <c r="AH929" i="13"/>
  <c r="A929" i="13"/>
  <c r="AJ928" i="13"/>
  <c r="AH928" i="13"/>
  <c r="A928" i="13"/>
  <c r="AJ927" i="13"/>
  <c r="AH927" i="13"/>
  <c r="A927" i="13"/>
  <c r="AJ926" i="13"/>
  <c r="AH926" i="13"/>
  <c r="A926" i="13"/>
  <c r="AJ925" i="13"/>
  <c r="AH925" i="13"/>
  <c r="A925" i="13"/>
  <c r="AJ924" i="13"/>
  <c r="AH924" i="13"/>
  <c r="A924" i="13"/>
  <c r="AJ923" i="13"/>
  <c r="AH923" i="13"/>
  <c r="A923" i="13"/>
  <c r="AV922" i="13"/>
  <c r="AI922" i="13"/>
  <c r="AG922" i="13"/>
  <c r="AF922" i="13"/>
  <c r="AD922" i="13"/>
  <c r="AC922" i="13"/>
  <c r="AB922" i="13"/>
  <c r="Z922" i="13"/>
  <c r="X922" i="13"/>
  <c r="W922" i="13"/>
  <c r="U922" i="13"/>
  <c r="A922" i="13"/>
  <c r="A921" i="13"/>
  <c r="AH920" i="13"/>
  <c r="A920" i="13"/>
  <c r="AJ919" i="13"/>
  <c r="AH919" i="13"/>
  <c r="A919" i="13"/>
  <c r="AJ918" i="13"/>
  <c r="AH918" i="13"/>
  <c r="A918" i="13"/>
  <c r="AV917" i="13"/>
  <c r="AI917" i="13"/>
  <c r="AG917" i="13"/>
  <c r="AF917" i="13"/>
  <c r="AD917" i="13"/>
  <c r="AC917" i="13"/>
  <c r="AA917" i="13"/>
  <c r="Z917" i="13"/>
  <c r="W917" i="13"/>
  <c r="X917" i="13"/>
  <c r="A917" i="13"/>
  <c r="AH916" i="13"/>
  <c r="A916" i="13"/>
  <c r="AJ915" i="13"/>
  <c r="AH915" i="13"/>
  <c r="AH908" i="13"/>
  <c r="AH909" i="13"/>
  <c r="AH910" i="13"/>
  <c r="AH911" i="13"/>
  <c r="AH912" i="13"/>
  <c r="AH913" i="13"/>
  <c r="AH914" i="13"/>
  <c r="A915" i="13"/>
  <c r="AJ914" i="13"/>
  <c r="A914" i="13"/>
  <c r="AJ913" i="13"/>
  <c r="A913" i="13"/>
  <c r="AJ912" i="13"/>
  <c r="A912" i="13"/>
  <c r="AJ911" i="13"/>
  <c r="A911" i="13"/>
  <c r="AJ910" i="13"/>
  <c r="A910" i="13"/>
  <c r="AJ909" i="13"/>
  <c r="A909" i="13"/>
  <c r="AJ908" i="13"/>
  <c r="A908" i="13"/>
  <c r="AV907" i="13"/>
  <c r="AI907" i="13"/>
  <c r="AG907" i="13"/>
  <c r="AF907" i="13"/>
  <c r="AD907" i="13"/>
  <c r="AC907" i="13"/>
  <c r="AB907" i="13"/>
  <c r="AA907" i="13"/>
  <c r="AA881" i="13"/>
  <c r="AA900" i="13"/>
  <c r="AA905" i="13"/>
  <c r="Z907" i="13"/>
  <c r="Y907" i="13"/>
  <c r="X907" i="13"/>
  <c r="W907" i="13"/>
  <c r="U907" i="13"/>
  <c r="A907" i="13"/>
  <c r="AH906" i="13"/>
  <c r="AH905" i="13" s="1"/>
  <c r="A906" i="13"/>
  <c r="AV905" i="13"/>
  <c r="AI905" i="13"/>
  <c r="AG905" i="13"/>
  <c r="AF905" i="13"/>
  <c r="AD905" i="13"/>
  <c r="AD881" i="13"/>
  <c r="AD900" i="13"/>
  <c r="AC905" i="13"/>
  <c r="AB905" i="13"/>
  <c r="Z905" i="13"/>
  <c r="Y905" i="13"/>
  <c r="X905" i="13"/>
  <c r="W905" i="13"/>
  <c r="U905" i="13"/>
  <c r="U881" i="13"/>
  <c r="A905" i="13"/>
  <c r="AH904" i="13"/>
  <c r="A904" i="13"/>
  <c r="AJ903" i="13"/>
  <c r="AH903" i="13"/>
  <c r="A903" i="13"/>
  <c r="AJ902" i="13"/>
  <c r="AH902" i="13"/>
  <c r="A902" i="13"/>
  <c r="AJ901" i="13"/>
  <c r="AH901" i="13"/>
  <c r="AH900" i="13" s="1"/>
  <c r="A901" i="13"/>
  <c r="AV900" i="13"/>
  <c r="AI900" i="13"/>
  <c r="AI881" i="13"/>
  <c r="AG900" i="13"/>
  <c r="AF900" i="13"/>
  <c r="AC900" i="13"/>
  <c r="Z900" i="13"/>
  <c r="W900" i="13"/>
  <c r="X900" i="13"/>
  <c r="A900" i="13"/>
  <c r="AH899" i="13"/>
  <c r="A899" i="13"/>
  <c r="AJ898" i="13"/>
  <c r="AH898" i="13"/>
  <c r="A898" i="13"/>
  <c r="AJ897" i="13"/>
  <c r="AH897" i="13"/>
  <c r="A897" i="13"/>
  <c r="AJ896" i="13"/>
  <c r="AH896" i="13"/>
  <c r="A896" i="13"/>
  <c r="AJ895" i="13"/>
  <c r="AH895" i="13"/>
  <c r="A895" i="13"/>
  <c r="AJ894" i="13"/>
  <c r="AH894" i="13"/>
  <c r="A894" i="13"/>
  <c r="AJ893" i="13"/>
  <c r="AH893" i="13"/>
  <c r="A893" i="13"/>
  <c r="AJ892" i="13"/>
  <c r="AH892" i="13"/>
  <c r="A892" i="13"/>
  <c r="AJ891" i="13"/>
  <c r="AH891" i="13"/>
  <c r="A891" i="13"/>
  <c r="AJ890" i="13"/>
  <c r="AH890" i="13"/>
  <c r="A890" i="13"/>
  <c r="AJ889" i="13"/>
  <c r="AH889" i="13"/>
  <c r="A889" i="13"/>
  <c r="AJ888" i="13"/>
  <c r="AH888" i="13"/>
  <c r="A888" i="13"/>
  <c r="AJ887" i="13"/>
  <c r="AH887" i="13"/>
  <c r="A887" i="13"/>
  <c r="AJ886" i="13"/>
  <c r="AH886" i="13"/>
  <c r="A886" i="13"/>
  <c r="AJ885" i="13"/>
  <c r="AH885" i="13"/>
  <c r="A885" i="13"/>
  <c r="AJ884" i="13"/>
  <c r="AH884" i="13"/>
  <c r="A884" i="13"/>
  <c r="AJ883" i="13"/>
  <c r="AJ882" i="13"/>
  <c r="AH883" i="13"/>
  <c r="A883" i="13"/>
  <c r="AH882" i="13"/>
  <c r="A882" i="13"/>
  <c r="AG881" i="13"/>
  <c r="AF881" i="13"/>
  <c r="AC881" i="13"/>
  <c r="AB881" i="13"/>
  <c r="Z881" i="13"/>
  <c r="Y881" i="13"/>
  <c r="X881" i="13"/>
  <c r="W881" i="13"/>
  <c r="A881" i="13"/>
  <c r="AM880" i="13"/>
  <c r="AM13" i="13" s="1"/>
  <c r="AL880" i="13"/>
  <c r="AL13" i="13" s="1"/>
  <c r="AK880" i="13"/>
  <c r="AK13" i="13" s="1"/>
  <c r="A880" i="13"/>
  <c r="AH879" i="13"/>
  <c r="A879" i="13"/>
  <c r="AJ878" i="13"/>
  <c r="AH878" i="13"/>
  <c r="A878" i="13"/>
  <c r="AJ877" i="13"/>
  <c r="AH877" i="13"/>
  <c r="A877" i="13"/>
  <c r="AJ876" i="13"/>
  <c r="AH876" i="13"/>
  <c r="A876" i="13"/>
  <c r="AJ875" i="13"/>
  <c r="AH875" i="13"/>
  <c r="A875" i="13"/>
  <c r="AJ874" i="13"/>
  <c r="AH874" i="13"/>
  <c r="A874" i="13"/>
  <c r="AJ873" i="13"/>
  <c r="AH873" i="13"/>
  <c r="A873" i="13"/>
  <c r="AJ872" i="13"/>
  <c r="AH872" i="13"/>
  <c r="A872" i="13"/>
  <c r="AJ871" i="13"/>
  <c r="AH871" i="13"/>
  <c r="A871" i="13"/>
  <c r="AJ870" i="13"/>
  <c r="AH870" i="13"/>
  <c r="A870" i="13"/>
  <c r="AJ869" i="13"/>
  <c r="AH869" i="13"/>
  <c r="A869" i="13"/>
  <c r="AJ868" i="13"/>
  <c r="AH868" i="13"/>
  <c r="A868" i="13"/>
  <c r="AJ867" i="13"/>
  <c r="AH867" i="13"/>
  <c r="A867" i="13"/>
  <c r="AJ866" i="13"/>
  <c r="AH866" i="13"/>
  <c r="A866" i="13"/>
  <c r="AV865" i="13"/>
  <c r="AI865" i="13"/>
  <c r="AG865" i="13"/>
  <c r="AF865" i="13"/>
  <c r="AD865" i="13"/>
  <c r="AC865" i="13"/>
  <c r="W865" i="13"/>
  <c r="Z865" i="13"/>
  <c r="AB865" i="13"/>
  <c r="AA865" i="13"/>
  <c r="Y865" i="13"/>
  <c r="X865" i="13"/>
  <c r="U865" i="13"/>
  <c r="A865" i="13"/>
  <c r="AH864" i="13"/>
  <c r="A864" i="13"/>
  <c r="AJ863" i="13"/>
  <c r="AH863" i="13"/>
  <c r="A863" i="13"/>
  <c r="AJ862" i="13"/>
  <c r="AH862" i="13"/>
  <c r="A862" i="13"/>
  <c r="AJ861" i="13"/>
  <c r="U861" i="13"/>
  <c r="AH861" i="13"/>
  <c r="AH860" i="13" s="1"/>
  <c r="A861" i="13"/>
  <c r="AV860" i="13"/>
  <c r="AI860" i="13"/>
  <c r="AG860" i="13"/>
  <c r="AF860" i="13"/>
  <c r="AD860" i="13"/>
  <c r="AD793" i="13"/>
  <c r="AD796" i="13"/>
  <c r="AD856" i="13"/>
  <c r="AC860" i="13"/>
  <c r="AA860" i="13"/>
  <c r="Z860" i="13"/>
  <c r="W860" i="13"/>
  <c r="X860" i="13"/>
  <c r="U793" i="13"/>
  <c r="U796" i="13"/>
  <c r="U856" i="13"/>
  <c r="A860" i="13"/>
  <c r="AH859" i="13"/>
  <c r="A859" i="13"/>
  <c r="AJ858" i="13"/>
  <c r="AH858" i="13"/>
  <c r="AH857" i="13"/>
  <c r="A858" i="13"/>
  <c r="AJ857" i="13"/>
  <c r="A857" i="13"/>
  <c r="AV856" i="13"/>
  <c r="AM856" i="13"/>
  <c r="AL856" i="13"/>
  <c r="AK856" i="13"/>
  <c r="AI856" i="13"/>
  <c r="AI796" i="13"/>
  <c r="AG856" i="13"/>
  <c r="AF856" i="13"/>
  <c r="AC856" i="13"/>
  <c r="AB856" i="13"/>
  <c r="AB793" i="13"/>
  <c r="AB796" i="13"/>
  <c r="AA856" i="13"/>
  <c r="Z856" i="13"/>
  <c r="Z793" i="13"/>
  <c r="Z796" i="13"/>
  <c r="Y856" i="13"/>
  <c r="X856" i="13"/>
  <c r="W856" i="13"/>
  <c r="A856" i="13"/>
  <c r="AH855" i="13"/>
  <c r="A855" i="13"/>
  <c r="AJ854" i="13"/>
  <c r="AH854" i="13"/>
  <c r="A854" i="13"/>
  <c r="AJ853" i="13"/>
  <c r="AH853" i="13"/>
  <c r="A853" i="13"/>
  <c r="AJ852" i="13"/>
  <c r="AH852" i="13"/>
  <c r="A852" i="13"/>
  <c r="AJ851" i="13"/>
  <c r="AH851" i="13"/>
  <c r="A851" i="13"/>
  <c r="AJ850" i="13"/>
  <c r="AH850" i="13"/>
  <c r="A850" i="13"/>
  <c r="AJ849" i="13"/>
  <c r="AH849" i="13"/>
  <c r="A849" i="13"/>
  <c r="AJ848" i="13"/>
  <c r="AH848" i="13"/>
  <c r="A848" i="13"/>
  <c r="AJ847" i="13"/>
  <c r="AH847" i="13"/>
  <c r="A847" i="13"/>
  <c r="AJ846" i="13"/>
  <c r="AH846" i="13"/>
  <c r="A846" i="13"/>
  <c r="AJ845" i="13"/>
  <c r="AH845" i="13"/>
  <c r="A845" i="13"/>
  <c r="AJ844" i="13"/>
  <c r="AH844" i="13"/>
  <c r="A844" i="13"/>
  <c r="AJ843" i="13"/>
  <c r="AH843" i="13"/>
  <c r="A843" i="13"/>
  <c r="AJ842" i="13"/>
  <c r="AH842" i="13"/>
  <c r="A842" i="13"/>
  <c r="AJ841" i="13"/>
  <c r="AH841" i="13"/>
  <c r="A841" i="13"/>
  <c r="AJ840" i="13"/>
  <c r="AH840" i="13"/>
  <c r="A840" i="13"/>
  <c r="AJ839" i="13"/>
  <c r="AH839" i="13"/>
  <c r="A839" i="13"/>
  <c r="AJ838" i="13"/>
  <c r="AH838" i="13"/>
  <c r="A838" i="13"/>
  <c r="AJ837" i="13"/>
  <c r="AH837" i="13"/>
  <c r="A837" i="13"/>
  <c r="AJ836" i="13"/>
  <c r="AH836" i="13"/>
  <c r="A836" i="13"/>
  <c r="AJ835" i="13"/>
  <c r="AH835" i="13"/>
  <c r="A835" i="13"/>
  <c r="AJ834" i="13"/>
  <c r="AH834" i="13"/>
  <c r="A834" i="13"/>
  <c r="AJ833" i="13"/>
  <c r="AH833" i="13"/>
  <c r="A833" i="13"/>
  <c r="AJ832" i="13"/>
  <c r="AH832" i="13"/>
  <c r="A832" i="13"/>
  <c r="AJ831" i="13"/>
  <c r="AH831" i="13"/>
  <c r="A831" i="13"/>
  <c r="AJ830" i="13"/>
  <c r="AH830" i="13"/>
  <c r="A830" i="13"/>
  <c r="AJ829" i="13"/>
  <c r="AH829" i="13"/>
  <c r="A829" i="13"/>
  <c r="AJ828" i="13"/>
  <c r="AH828" i="13"/>
  <c r="A828" i="13"/>
  <c r="AJ827" i="13"/>
  <c r="AH827" i="13"/>
  <c r="A827" i="13"/>
  <c r="AJ826" i="13"/>
  <c r="AH826" i="13"/>
  <c r="A826" i="13"/>
  <c r="AJ825" i="13"/>
  <c r="AH825" i="13"/>
  <c r="A825" i="13"/>
  <c r="AJ824" i="13"/>
  <c r="AH824" i="13"/>
  <c r="A824" i="13"/>
  <c r="AJ823" i="13"/>
  <c r="AH823" i="13"/>
  <c r="A823" i="13"/>
  <c r="AJ822" i="13"/>
  <c r="AH822" i="13"/>
  <c r="A822" i="13"/>
  <c r="AJ821" i="13"/>
  <c r="AH821" i="13"/>
  <c r="A821" i="13"/>
  <c r="AJ820" i="13"/>
  <c r="AH820" i="13"/>
  <c r="A820" i="13"/>
  <c r="AJ819" i="13"/>
  <c r="AH819" i="13"/>
  <c r="A819" i="13"/>
  <c r="AJ818" i="13"/>
  <c r="AH818" i="13"/>
  <c r="A818" i="13"/>
  <c r="AJ817" i="13"/>
  <c r="AH817" i="13"/>
  <c r="A817" i="13"/>
  <c r="AJ816" i="13"/>
  <c r="AH816" i="13"/>
  <c r="A816" i="13"/>
  <c r="AJ815" i="13"/>
  <c r="AH815" i="13"/>
  <c r="A815" i="13"/>
  <c r="AJ814" i="13"/>
  <c r="AH814" i="13"/>
  <c r="A814" i="13"/>
  <c r="AJ813" i="13"/>
  <c r="AH813" i="13"/>
  <c r="A813" i="13"/>
  <c r="AJ812" i="13"/>
  <c r="AH812" i="13"/>
  <c r="A812" i="13"/>
  <c r="AJ811" i="13"/>
  <c r="AH811" i="13"/>
  <c r="A811" i="13"/>
  <c r="AJ810" i="13"/>
  <c r="AH810" i="13"/>
  <c r="A810" i="13"/>
  <c r="AJ809" i="13"/>
  <c r="AH809" i="13"/>
  <c r="A809" i="13"/>
  <c r="AJ808" i="13"/>
  <c r="AH808" i="13"/>
  <c r="A808" i="13"/>
  <c r="AJ807" i="13"/>
  <c r="AH807" i="13"/>
  <c r="A807" i="13"/>
  <c r="AJ806" i="13"/>
  <c r="AH806" i="13"/>
  <c r="A806" i="13"/>
  <c r="AJ805" i="13"/>
  <c r="AH805" i="13"/>
  <c r="A805" i="13"/>
  <c r="AJ804" i="13"/>
  <c r="Y804" i="13"/>
  <c r="AH804" i="13"/>
  <c r="A804" i="13"/>
  <c r="AJ803" i="13"/>
  <c r="AH803" i="13"/>
  <c r="A803" i="13"/>
  <c r="AJ802" i="13"/>
  <c r="AH802" i="13"/>
  <c r="A802" i="13"/>
  <c r="AJ801" i="13"/>
  <c r="AH801" i="13"/>
  <c r="A801" i="13"/>
  <c r="AJ800" i="13"/>
  <c r="AH800" i="13"/>
  <c r="A800" i="13"/>
  <c r="AJ799" i="13"/>
  <c r="AH799" i="13"/>
  <c r="A799" i="13"/>
  <c r="AJ798" i="13"/>
  <c r="AH798" i="13"/>
  <c r="A798" i="13"/>
  <c r="AJ797" i="13"/>
  <c r="AH797" i="13"/>
  <c r="A797" i="13"/>
  <c r="AG796" i="13"/>
  <c r="AF796" i="13"/>
  <c r="AC796" i="13"/>
  <c r="AC793" i="13"/>
  <c r="AA796" i="13"/>
  <c r="X796" i="13"/>
  <c r="W796" i="13"/>
  <c r="A796" i="13"/>
  <c r="AH795" i="13"/>
  <c r="AH794" i="13"/>
  <c r="A795" i="13"/>
  <c r="AJ794" i="13"/>
  <c r="A794" i="13"/>
  <c r="AV793" i="13"/>
  <c r="AG793" i="13"/>
  <c r="AF793" i="13"/>
  <c r="AA793" i="13"/>
  <c r="Y793" i="13"/>
  <c r="X793" i="13"/>
  <c r="W793" i="13"/>
  <c r="A793" i="13"/>
  <c r="A792" i="13"/>
  <c r="AH791" i="13"/>
  <c r="A791" i="13"/>
  <c r="AJ790" i="13"/>
  <c r="AH790" i="13"/>
  <c r="R790" i="13"/>
  <c r="A790" i="13"/>
  <c r="AV789" i="13"/>
  <c r="AG789" i="13"/>
  <c r="AF789" i="13"/>
  <c r="AD789" i="13"/>
  <c r="AC789" i="13"/>
  <c r="AB789" i="13"/>
  <c r="AA789" i="13"/>
  <c r="Z789" i="13"/>
  <c r="Y789" i="13"/>
  <c r="X789" i="13"/>
  <c r="W789" i="13"/>
  <c r="U789" i="13"/>
  <c r="A789" i="13"/>
  <c r="AH788" i="13"/>
  <c r="A788" i="13"/>
  <c r="AJ787" i="13"/>
  <c r="AH787" i="13"/>
  <c r="A787" i="13"/>
  <c r="AJ786" i="13"/>
  <c r="AH786" i="13"/>
  <c r="A786" i="13"/>
  <c r="AJ785" i="13"/>
  <c r="AH785" i="13"/>
  <c r="A785" i="13"/>
  <c r="AJ784" i="13"/>
  <c r="AH784" i="13"/>
  <c r="A784" i="13"/>
  <c r="AJ783" i="13"/>
  <c r="AH783" i="13"/>
  <c r="A783" i="13"/>
  <c r="AJ782" i="13"/>
  <c r="AH782" i="13"/>
  <c r="A782" i="13"/>
  <c r="AV781" i="13"/>
  <c r="AI781" i="13"/>
  <c r="AG781" i="13"/>
  <c r="AF781" i="13"/>
  <c r="AD781" i="13"/>
  <c r="AC781" i="13"/>
  <c r="AB781" i="13"/>
  <c r="AA781" i="13"/>
  <c r="Z781" i="13"/>
  <c r="Y781" i="13"/>
  <c r="X781" i="13"/>
  <c r="W781" i="13"/>
  <c r="U781" i="13"/>
  <c r="A781" i="13"/>
  <c r="AH780" i="13"/>
  <c r="A780" i="13"/>
  <c r="AH779" i="13"/>
  <c r="A779" i="13"/>
  <c r="AH778" i="13"/>
  <c r="A778" i="13"/>
  <c r="AJ777" i="13"/>
  <c r="AH777" i="13"/>
  <c r="A777" i="13"/>
  <c r="AJ776" i="13"/>
  <c r="AH776" i="13"/>
  <c r="A776" i="13"/>
  <c r="AJ775" i="13"/>
  <c r="AH775" i="13"/>
  <c r="A775" i="13"/>
  <c r="AJ774" i="13"/>
  <c r="AH774" i="13"/>
  <c r="A774" i="13"/>
  <c r="AJ773" i="13"/>
  <c r="AH773" i="13"/>
  <c r="A773" i="13"/>
  <c r="AJ772" i="13"/>
  <c r="AH772" i="13"/>
  <c r="A772" i="13"/>
  <c r="AJ771" i="13"/>
  <c r="AH771" i="13"/>
  <c r="A771" i="13"/>
  <c r="AJ770" i="13"/>
  <c r="AH770" i="13"/>
  <c r="A770" i="13"/>
  <c r="AJ769" i="13"/>
  <c r="AH769" i="13"/>
  <c r="A769" i="13"/>
  <c r="AJ768" i="13"/>
  <c r="AH768" i="13"/>
  <c r="A768" i="13"/>
  <c r="AJ767" i="13"/>
  <c r="AH767" i="13"/>
  <c r="A767" i="13"/>
  <c r="AJ766" i="13"/>
  <c r="AH766" i="13"/>
  <c r="A766" i="13"/>
  <c r="AJ765" i="13"/>
  <c r="AH765" i="13"/>
  <c r="A765" i="13"/>
  <c r="AJ764" i="13"/>
  <c r="AH764" i="13"/>
  <c r="A764" i="13"/>
  <c r="AJ763" i="13"/>
  <c r="AH763" i="13"/>
  <c r="A763" i="13"/>
  <c r="AJ762" i="13"/>
  <c r="AH762" i="13"/>
  <c r="A762" i="13"/>
  <c r="AJ761" i="13"/>
  <c r="AH761" i="13"/>
  <c r="A761" i="13"/>
  <c r="AJ760" i="13"/>
  <c r="AH760" i="13"/>
  <c r="A760" i="13"/>
  <c r="AJ759" i="13"/>
  <c r="AH759" i="13"/>
  <c r="A759" i="13"/>
  <c r="AJ758" i="13"/>
  <c r="AH758" i="13"/>
  <c r="AH757" i="13" s="1"/>
  <c r="A758" i="13"/>
  <c r="AV757" i="13"/>
  <c r="AI757" i="13"/>
  <c r="AG757" i="13"/>
  <c r="AF757" i="13"/>
  <c r="AD757" i="13"/>
  <c r="AC757" i="13"/>
  <c r="AB757" i="13"/>
  <c r="AA757" i="13"/>
  <c r="Z757" i="13"/>
  <c r="Y757" i="13"/>
  <c r="X757" i="13"/>
  <c r="W757" i="13"/>
  <c r="U757" i="13"/>
  <c r="A757" i="13"/>
  <c r="AH756" i="13"/>
  <c r="AH755" i="13" s="1"/>
  <c r="A756" i="13"/>
  <c r="AI755" i="13"/>
  <c r="AG755" i="13"/>
  <c r="AF755" i="13"/>
  <c r="AD755" i="13"/>
  <c r="AC755" i="13"/>
  <c r="AB755" i="13"/>
  <c r="AA755" i="13"/>
  <c r="Z755" i="13"/>
  <c r="Y755" i="13"/>
  <c r="X755" i="13"/>
  <c r="W755" i="13"/>
  <c r="U755" i="13"/>
  <c r="A755" i="13"/>
  <c r="AH754" i="13"/>
  <c r="AH753" i="13" s="1"/>
  <c r="A754" i="13"/>
  <c r="AI753" i="13"/>
  <c r="AG753" i="13"/>
  <c r="AF753" i="13"/>
  <c r="AD753" i="13"/>
  <c r="AC753" i="13"/>
  <c r="AB753" i="13"/>
  <c r="AA753" i="13"/>
  <c r="Z753" i="13"/>
  <c r="Y753" i="13"/>
  <c r="X753" i="13"/>
  <c r="W753" i="13"/>
  <c r="U753" i="13"/>
  <c r="A753" i="13"/>
  <c r="AH752" i="13"/>
  <c r="R752" i="13"/>
  <c r="A752" i="13"/>
  <c r="AJ751" i="13"/>
  <c r="AH751" i="13"/>
  <c r="R751" i="13"/>
  <c r="A751" i="13"/>
  <c r="AJ750" i="13"/>
  <c r="AH750" i="13"/>
  <c r="R750" i="13"/>
  <c r="A750" i="13"/>
  <c r="AJ749" i="13"/>
  <c r="AH749" i="13"/>
  <c r="T749" i="13"/>
  <c r="R749" i="13"/>
  <c r="A749" i="13"/>
  <c r="AJ748" i="13"/>
  <c r="AH748" i="13"/>
  <c r="R748" i="13"/>
  <c r="A748" i="13"/>
  <c r="AJ747" i="13"/>
  <c r="AH747" i="13"/>
  <c r="R747" i="13"/>
  <c r="A747" i="13"/>
  <c r="AJ746" i="13"/>
  <c r="AH746" i="13"/>
  <c r="A746" i="13"/>
  <c r="AJ745" i="13"/>
  <c r="AH745" i="13"/>
  <c r="A745" i="13"/>
  <c r="AJ744" i="13"/>
  <c r="AH744" i="13"/>
  <c r="A744" i="13"/>
  <c r="AJ743" i="13"/>
  <c r="AH743" i="13"/>
  <c r="AH742" i="13" s="1"/>
  <c r="A743" i="13"/>
  <c r="AI742" i="13"/>
  <c r="AG742" i="13"/>
  <c r="AF742" i="13"/>
  <c r="AD742" i="13"/>
  <c r="AC742" i="13"/>
  <c r="AB742" i="13"/>
  <c r="AA742" i="13"/>
  <c r="Z742" i="13"/>
  <c r="Y742" i="13"/>
  <c r="X742" i="13"/>
  <c r="W742" i="13"/>
  <c r="U742" i="13"/>
  <c r="A742" i="13"/>
  <c r="A741" i="13"/>
  <c r="AH740" i="13"/>
  <c r="A740" i="13"/>
  <c r="AJ739" i="13"/>
  <c r="AH739" i="13"/>
  <c r="A739" i="13"/>
  <c r="AV738" i="13"/>
  <c r="AG738" i="13"/>
  <c r="AF738" i="13"/>
  <c r="AD738" i="13"/>
  <c r="AC738" i="13"/>
  <c r="AB738" i="13"/>
  <c r="AA738" i="13"/>
  <c r="Z738" i="13"/>
  <c r="W738" i="13"/>
  <c r="Y738" i="13"/>
  <c r="X738" i="13"/>
  <c r="U738" i="13"/>
  <c r="A738" i="13"/>
  <c r="AH737" i="13"/>
  <c r="A737" i="13"/>
  <c r="AJ736" i="13"/>
  <c r="AH736" i="13"/>
  <c r="A736" i="13"/>
  <c r="AV735" i="13"/>
  <c r="AG735" i="13"/>
  <c r="AF735" i="13"/>
  <c r="AD735" i="13"/>
  <c r="AC735" i="13"/>
  <c r="AB735" i="13"/>
  <c r="AA735" i="13"/>
  <c r="Z735" i="13"/>
  <c r="W735" i="13"/>
  <c r="Y735" i="13"/>
  <c r="X735" i="13"/>
  <c r="U735" i="13"/>
  <c r="A735" i="13"/>
  <c r="AH734" i="13"/>
  <c r="A734" i="13"/>
  <c r="AJ733" i="13"/>
  <c r="AH733" i="13"/>
  <c r="AH732" i="13" s="1"/>
  <c r="A733" i="13"/>
  <c r="AV732" i="13"/>
  <c r="AG732" i="13"/>
  <c r="AF732" i="13"/>
  <c r="AD732" i="13"/>
  <c r="AC732" i="13"/>
  <c r="AB732" i="13"/>
  <c r="AA732" i="13"/>
  <c r="Z732" i="13"/>
  <c r="W732" i="13"/>
  <c r="Y732" i="13"/>
  <c r="X732" i="13"/>
  <c r="U732" i="13"/>
  <c r="A732" i="13"/>
  <c r="AH731" i="13"/>
  <c r="A731" i="13"/>
  <c r="AJ730" i="13"/>
  <c r="AH730" i="13"/>
  <c r="A730" i="13"/>
  <c r="AV729" i="13"/>
  <c r="AG729" i="13"/>
  <c r="AF729" i="13"/>
  <c r="AD729" i="13"/>
  <c r="AC729" i="13"/>
  <c r="AB729" i="13"/>
  <c r="AA729" i="13"/>
  <c r="Z729" i="13"/>
  <c r="Y729" i="13"/>
  <c r="X729" i="13"/>
  <c r="W729" i="13"/>
  <c r="U729" i="13"/>
  <c r="A729" i="13"/>
  <c r="AH728" i="13"/>
  <c r="A728" i="13"/>
  <c r="AJ727" i="13"/>
  <c r="AH727" i="13"/>
  <c r="A727" i="13"/>
  <c r="AV726" i="13"/>
  <c r="AG726" i="13"/>
  <c r="AF726" i="13"/>
  <c r="AD726" i="13"/>
  <c r="AC726" i="13"/>
  <c r="AB726" i="13"/>
  <c r="AA726" i="13"/>
  <c r="Z726" i="13"/>
  <c r="W726" i="13"/>
  <c r="Y726" i="13"/>
  <c r="X726" i="13"/>
  <c r="U726" i="13"/>
  <c r="A726" i="13"/>
  <c r="AH725" i="13"/>
  <c r="A725" i="13"/>
  <c r="AJ724" i="13"/>
  <c r="AH724" i="13"/>
  <c r="A724" i="13"/>
  <c r="AV723" i="13"/>
  <c r="AG723" i="13"/>
  <c r="AF723" i="13"/>
  <c r="AD723" i="13"/>
  <c r="AC723" i="13"/>
  <c r="AB723" i="13"/>
  <c r="AA723" i="13"/>
  <c r="Z723" i="13"/>
  <c r="W723" i="13"/>
  <c r="Y723" i="13"/>
  <c r="X723" i="13"/>
  <c r="U723" i="13"/>
  <c r="A723" i="13"/>
  <c r="AH722" i="13"/>
  <c r="A722" i="13"/>
  <c r="AJ721" i="13"/>
  <c r="AH721" i="13"/>
  <c r="AH720" i="13" s="1"/>
  <c r="A721" i="13"/>
  <c r="AV720" i="13"/>
  <c r="AG720" i="13"/>
  <c r="AF720" i="13"/>
  <c r="AD720" i="13"/>
  <c r="AC720" i="13"/>
  <c r="AB720" i="13"/>
  <c r="AA720" i="13"/>
  <c r="Z720" i="13"/>
  <c r="Y720" i="13"/>
  <c r="X720" i="13"/>
  <c r="W720" i="13"/>
  <c r="U720" i="13"/>
  <c r="A720" i="13"/>
  <c r="AH719" i="13"/>
  <c r="A719" i="13"/>
  <c r="AJ718" i="13"/>
  <c r="AH718" i="13"/>
  <c r="A718" i="13"/>
  <c r="AV717" i="13"/>
  <c r="AG717" i="13"/>
  <c r="AF717" i="13"/>
  <c r="AD717" i="13"/>
  <c r="AC717" i="13"/>
  <c r="AB717" i="13"/>
  <c r="AA717" i="13"/>
  <c r="Z717" i="13"/>
  <c r="Y717" i="13"/>
  <c r="X717" i="13"/>
  <c r="W717" i="13"/>
  <c r="U717" i="13"/>
  <c r="A717" i="13"/>
  <c r="AH716" i="13"/>
  <c r="A716" i="13"/>
  <c r="AJ715" i="13"/>
  <c r="AH715" i="13"/>
  <c r="A715" i="13"/>
  <c r="AV714" i="13"/>
  <c r="AG714" i="13"/>
  <c r="AF714" i="13"/>
  <c r="AD714" i="13"/>
  <c r="AC714" i="13"/>
  <c r="AB714" i="13"/>
  <c r="AA714" i="13"/>
  <c r="Z714" i="13"/>
  <c r="Y714" i="13"/>
  <c r="X714" i="13"/>
  <c r="W714" i="13"/>
  <c r="U714" i="13"/>
  <c r="A714" i="13"/>
  <c r="AH713" i="13"/>
  <c r="A713" i="13"/>
  <c r="AJ712" i="13"/>
  <c r="AH712" i="13"/>
  <c r="A712" i="13"/>
  <c r="AG711" i="13"/>
  <c r="AF711" i="13"/>
  <c r="AD711" i="13"/>
  <c r="AC711" i="13"/>
  <c r="W711" i="13"/>
  <c r="Z711" i="13"/>
  <c r="AB711" i="13"/>
  <c r="AA711" i="13"/>
  <c r="Y711" i="13"/>
  <c r="X711" i="13"/>
  <c r="U711" i="13"/>
  <c r="A711" i="13"/>
  <c r="AH710" i="13"/>
  <c r="AH709" i="13"/>
  <c r="A710" i="13"/>
  <c r="AJ709" i="13"/>
  <c r="A709" i="13"/>
  <c r="AG708" i="13"/>
  <c r="AF708" i="13"/>
  <c r="AD708" i="13"/>
  <c r="AC708" i="13"/>
  <c r="AB708" i="13"/>
  <c r="AA708" i="13"/>
  <c r="Z708" i="13"/>
  <c r="Y708" i="13"/>
  <c r="X708" i="13"/>
  <c r="W708" i="13"/>
  <c r="U708" i="13"/>
  <c r="A708" i="13"/>
  <c r="AH707" i="13"/>
  <c r="AH706" i="13"/>
  <c r="A707" i="13"/>
  <c r="AJ706" i="13"/>
  <c r="A706" i="13"/>
  <c r="AG705" i="13"/>
  <c r="AD705" i="13"/>
  <c r="AC705" i="13"/>
  <c r="AB705" i="13"/>
  <c r="AA705" i="13"/>
  <c r="Z705" i="13"/>
  <c r="Y705" i="13"/>
  <c r="X705" i="13"/>
  <c r="W705" i="13"/>
  <c r="U705" i="13"/>
  <c r="A705" i="13"/>
  <c r="AH704" i="13"/>
  <c r="A704" i="13"/>
  <c r="AJ703" i="13"/>
  <c r="AH703" i="13"/>
  <c r="A703" i="13"/>
  <c r="AG702" i="13"/>
  <c r="AF702" i="13"/>
  <c r="AD702" i="13"/>
  <c r="AC702" i="13"/>
  <c r="AB702" i="13"/>
  <c r="AA702" i="13"/>
  <c r="Z702" i="13"/>
  <c r="W702" i="13"/>
  <c r="Y702" i="13"/>
  <c r="X702" i="13"/>
  <c r="U702" i="13"/>
  <c r="A702" i="13"/>
  <c r="AH701" i="13"/>
  <c r="AH700" i="13"/>
  <c r="A701" i="13"/>
  <c r="AJ700" i="13"/>
  <c r="A700" i="13"/>
  <c r="AG699" i="13"/>
  <c r="AF699" i="13"/>
  <c r="AD699" i="13"/>
  <c r="AC699" i="13"/>
  <c r="AB699" i="13"/>
  <c r="AA699" i="13"/>
  <c r="Z699" i="13"/>
  <c r="Y699" i="13"/>
  <c r="X699" i="13"/>
  <c r="W699" i="13"/>
  <c r="U699" i="13"/>
  <c r="A699" i="13"/>
  <c r="AH698" i="13"/>
  <c r="A698" i="13"/>
  <c r="AJ697" i="13"/>
  <c r="AH697" i="13"/>
  <c r="A697" i="13"/>
  <c r="AG696" i="13"/>
  <c r="AD696" i="13"/>
  <c r="AC696" i="13"/>
  <c r="AB696" i="13"/>
  <c r="AA696" i="13"/>
  <c r="Z696" i="13"/>
  <c r="Y696" i="13"/>
  <c r="X696" i="13"/>
  <c r="W696" i="13"/>
  <c r="U696" i="13"/>
  <c r="A696" i="13"/>
  <c r="AH695" i="13"/>
  <c r="A695" i="13"/>
  <c r="AJ694" i="13"/>
  <c r="AH694" i="13"/>
  <c r="A694" i="13"/>
  <c r="AG693" i="13"/>
  <c r="AF693" i="13"/>
  <c r="AD693" i="13"/>
  <c r="AC693" i="13"/>
  <c r="AB693" i="13"/>
  <c r="AA693" i="13"/>
  <c r="Z693" i="13"/>
  <c r="Y693" i="13"/>
  <c r="Y654" i="13"/>
  <c r="Y664" i="13"/>
  <c r="X693" i="13"/>
  <c r="W693" i="13"/>
  <c r="U693" i="13"/>
  <c r="A693" i="13"/>
  <c r="AH692" i="13"/>
  <c r="A692" i="13"/>
  <c r="AJ691" i="13"/>
  <c r="AH691" i="13"/>
  <c r="A691" i="13"/>
  <c r="AJ690" i="13"/>
  <c r="AH690" i="13"/>
  <c r="A690" i="13"/>
  <c r="AJ689" i="13"/>
  <c r="AH689" i="13"/>
  <c r="A689" i="13"/>
  <c r="AJ688" i="13"/>
  <c r="AH688" i="13"/>
  <c r="A688" i="13"/>
  <c r="AJ687" i="13"/>
  <c r="AH687" i="13"/>
  <c r="A687" i="13"/>
  <c r="AJ686" i="13"/>
  <c r="AH686" i="13"/>
  <c r="A686" i="13"/>
  <c r="AJ685" i="13"/>
  <c r="AH685" i="13"/>
  <c r="A685" i="13"/>
  <c r="AJ684" i="13"/>
  <c r="AH684" i="13"/>
  <c r="A684" i="13"/>
  <c r="AJ683" i="13"/>
  <c r="AH683" i="13"/>
  <c r="A683" i="13"/>
  <c r="AJ682" i="13"/>
  <c r="AH682" i="13"/>
  <c r="A682" i="13"/>
  <c r="AJ681" i="13"/>
  <c r="AH681" i="13"/>
  <c r="A681" i="13"/>
  <c r="AJ680" i="13"/>
  <c r="AH680" i="13"/>
  <c r="A680" i="13"/>
  <c r="AJ679" i="13"/>
  <c r="AH679" i="13"/>
  <c r="A679" i="13"/>
  <c r="AJ678" i="13"/>
  <c r="AH678" i="13"/>
  <c r="A678" i="13"/>
  <c r="AJ677" i="13"/>
  <c r="AH677" i="13"/>
  <c r="A677" i="13"/>
  <c r="AJ676" i="13"/>
  <c r="AH676" i="13"/>
  <c r="A676" i="13"/>
  <c r="AJ675" i="13"/>
  <c r="AH675" i="13"/>
  <c r="A675" i="13"/>
  <c r="AJ674" i="13"/>
  <c r="AH674" i="13"/>
  <c r="A674" i="13"/>
  <c r="AJ673" i="13"/>
  <c r="AH673" i="13"/>
  <c r="A673" i="13"/>
  <c r="AJ672" i="13"/>
  <c r="AH672" i="13"/>
  <c r="A672" i="13"/>
  <c r="AJ671" i="13"/>
  <c r="AH671" i="13"/>
  <c r="A671" i="13"/>
  <c r="AJ670" i="13"/>
  <c r="AH670" i="13"/>
  <c r="A670" i="13"/>
  <c r="AJ669" i="13"/>
  <c r="AH669" i="13"/>
  <c r="A669" i="13"/>
  <c r="AJ668" i="13"/>
  <c r="AH668" i="13"/>
  <c r="AH665" i="13"/>
  <c r="AH666" i="13"/>
  <c r="AH667" i="13"/>
  <c r="AH655" i="13"/>
  <c r="AH654" i="13" s="1"/>
  <c r="AH656" i="13"/>
  <c r="AH657" i="13"/>
  <c r="AH658" i="13"/>
  <c r="AH659" i="13"/>
  <c r="AH660" i="13"/>
  <c r="AH661" i="13"/>
  <c r="AH662" i="13"/>
  <c r="AH663" i="13"/>
  <c r="A668" i="13"/>
  <c r="AJ667" i="13"/>
  <c r="A667" i="13"/>
  <c r="AJ666" i="13"/>
  <c r="A666" i="13"/>
  <c r="AJ665" i="13"/>
  <c r="A665" i="13"/>
  <c r="AV664" i="13"/>
  <c r="AI664" i="13"/>
  <c r="AG664" i="13"/>
  <c r="AF664" i="13"/>
  <c r="AD664" i="13"/>
  <c r="AC664" i="13"/>
  <c r="AC654" i="13"/>
  <c r="AB664" i="13"/>
  <c r="AA664" i="13"/>
  <c r="AA654" i="13"/>
  <c r="Z664" i="13"/>
  <c r="X664" i="13"/>
  <c r="W664" i="13"/>
  <c r="U664" i="13"/>
  <c r="A664" i="13"/>
  <c r="A663" i="13"/>
  <c r="AJ662" i="13"/>
  <c r="A662" i="13"/>
  <c r="AJ661" i="13"/>
  <c r="A661" i="13"/>
  <c r="AJ660" i="13"/>
  <c r="A660" i="13"/>
  <c r="AJ659" i="13"/>
  <c r="A659" i="13"/>
  <c r="AY658" i="13"/>
  <c r="AJ658" i="13"/>
  <c r="A658" i="13"/>
  <c r="AJ657" i="13"/>
  <c r="A657" i="13"/>
  <c r="AJ656" i="13"/>
  <c r="A656" i="13"/>
  <c r="AJ655" i="13"/>
  <c r="A655" i="13"/>
  <c r="AI654" i="13"/>
  <c r="AG654" i="13"/>
  <c r="AF654" i="13"/>
  <c r="AD654" i="13"/>
  <c r="AB654" i="13"/>
  <c r="Z654" i="13"/>
  <c r="X654" i="13"/>
  <c r="W654" i="13"/>
  <c r="U654" i="13"/>
  <c r="A654" i="13"/>
  <c r="A653" i="13"/>
  <c r="AH652" i="13"/>
  <c r="AH649" i="13"/>
  <c r="AH650" i="13"/>
  <c r="AH651" i="13"/>
  <c r="A652" i="13"/>
  <c r="AJ651" i="13"/>
  <c r="A651" i="13"/>
  <c r="AJ650" i="13"/>
  <c r="A650" i="13"/>
  <c r="AJ649" i="13"/>
  <c r="A649" i="13"/>
  <c r="AV648" i="13"/>
  <c r="AG648" i="13"/>
  <c r="AF648" i="13"/>
  <c r="AD648" i="13"/>
  <c r="AC648" i="13"/>
  <c r="AB648" i="13"/>
  <c r="AA648" i="13"/>
  <c r="Z648" i="13"/>
  <c r="Y648" i="13"/>
  <c r="X648" i="13"/>
  <c r="W648" i="13"/>
  <c r="U648" i="13"/>
  <c r="T648" i="13"/>
  <c r="R648" i="13"/>
  <c r="A648" i="13"/>
  <c r="AH647" i="13"/>
  <c r="A647" i="13"/>
  <c r="AJ646" i="13"/>
  <c r="AH646" i="13"/>
  <c r="A646" i="13"/>
  <c r="AV645" i="13"/>
  <c r="AJ645" i="13"/>
  <c r="AH645" i="13"/>
  <c r="A645" i="13"/>
  <c r="AJ644" i="13"/>
  <c r="AH644" i="13"/>
  <c r="A644" i="13"/>
  <c r="AG643" i="13"/>
  <c r="AF643" i="13"/>
  <c r="AD643" i="13"/>
  <c r="AC643" i="13"/>
  <c r="AB643" i="13"/>
  <c r="AA643" i="13"/>
  <c r="Z643" i="13"/>
  <c r="Y643" i="13"/>
  <c r="X643" i="13"/>
  <c r="W643" i="13"/>
  <c r="U643" i="13"/>
  <c r="A643" i="13"/>
  <c r="AH642" i="13"/>
  <c r="A642" i="13"/>
  <c r="AJ641" i="13"/>
  <c r="AH641" i="13"/>
  <c r="A641" i="13"/>
  <c r="AJ640" i="13"/>
  <c r="AH640" i="13"/>
  <c r="R640" i="13"/>
  <c r="R638" i="13" s="1"/>
  <c r="A640" i="13"/>
  <c r="AJ639" i="13"/>
  <c r="AH639" i="13"/>
  <c r="A639" i="13"/>
  <c r="AV638" i="13"/>
  <c r="AG638" i="13"/>
  <c r="AF638" i="13"/>
  <c r="AE638" i="13"/>
  <c r="AD638" i="13"/>
  <c r="AC638" i="13"/>
  <c r="AB638" i="13"/>
  <c r="AA638" i="13"/>
  <c r="Z638" i="13"/>
  <c r="Y638" i="13"/>
  <c r="X638" i="13"/>
  <c r="W638" i="13"/>
  <c r="U638" i="13"/>
  <c r="T638" i="13"/>
  <c r="A638" i="13"/>
  <c r="AH637" i="13"/>
  <c r="A637" i="13"/>
  <c r="AJ636" i="13"/>
  <c r="AH636" i="13"/>
  <c r="A636" i="13"/>
  <c r="AJ635" i="13"/>
  <c r="AH635" i="13"/>
  <c r="A635" i="13"/>
  <c r="AJ634" i="13"/>
  <c r="AH634" i="13"/>
  <c r="A634" i="13"/>
  <c r="AG633" i="13"/>
  <c r="AF633" i="13"/>
  <c r="AD633" i="13"/>
  <c r="AC633" i="13"/>
  <c r="AB633" i="13"/>
  <c r="AA633" i="13"/>
  <c r="Z633" i="13"/>
  <c r="W633" i="13"/>
  <c r="Y633" i="13"/>
  <c r="X633" i="13"/>
  <c r="U633" i="13"/>
  <c r="T633" i="13"/>
  <c r="A633" i="13"/>
  <c r="AH632" i="13"/>
  <c r="A632" i="13"/>
  <c r="AJ631" i="13"/>
  <c r="AH631" i="13"/>
  <c r="A631" i="13"/>
  <c r="AJ630" i="13"/>
  <c r="AH630" i="13"/>
  <c r="A630" i="13"/>
  <c r="AJ629" i="13"/>
  <c r="AH629" i="13"/>
  <c r="A629" i="13"/>
  <c r="AJ628" i="13"/>
  <c r="AH628" i="13"/>
  <c r="A628" i="13"/>
  <c r="AV627" i="13"/>
  <c r="AG627" i="13"/>
  <c r="AF627" i="13"/>
  <c r="AD627" i="13"/>
  <c r="AC627" i="13"/>
  <c r="AB627" i="13"/>
  <c r="AA627" i="13"/>
  <c r="Z627" i="13"/>
  <c r="Y627" i="13"/>
  <c r="X627" i="13"/>
  <c r="W627" i="13"/>
  <c r="U627" i="13"/>
  <c r="T627" i="13"/>
  <c r="R627" i="13"/>
  <c r="A627" i="13"/>
  <c r="AH626" i="13"/>
  <c r="A626" i="13"/>
  <c r="AJ625" i="13"/>
  <c r="AH625" i="13"/>
  <c r="AH622" i="13"/>
  <c r="AH623" i="13"/>
  <c r="AH624" i="13"/>
  <c r="A625" i="13"/>
  <c r="AJ624" i="13"/>
  <c r="A624" i="13"/>
  <c r="AJ623" i="13"/>
  <c r="A623" i="13"/>
  <c r="AJ622" i="13"/>
  <c r="A622" i="13"/>
  <c r="AV621" i="13"/>
  <c r="AI621" i="13"/>
  <c r="AG621" i="13"/>
  <c r="AF621" i="13"/>
  <c r="AD621" i="13"/>
  <c r="AC621" i="13"/>
  <c r="AB621" i="13"/>
  <c r="AA621" i="13"/>
  <c r="Z621" i="13"/>
  <c r="Y621" i="13"/>
  <c r="X621" i="13"/>
  <c r="W621" i="13"/>
  <c r="U621" i="13"/>
  <c r="T621" i="13"/>
  <c r="R621" i="13"/>
  <c r="A621" i="13"/>
  <c r="AH620" i="13"/>
  <c r="A620" i="13"/>
  <c r="AJ619" i="13"/>
  <c r="AH619" i="13"/>
  <c r="A619" i="13"/>
  <c r="AJ618" i="13"/>
  <c r="AH618" i="13"/>
  <c r="A618" i="13"/>
  <c r="AJ617" i="13"/>
  <c r="AJ616" i="13"/>
  <c r="AH617" i="13"/>
  <c r="A617" i="13"/>
  <c r="AH616" i="13"/>
  <c r="A616" i="13"/>
  <c r="AI615" i="13"/>
  <c r="AG615" i="13"/>
  <c r="AF615" i="13"/>
  <c r="AD615" i="13"/>
  <c r="AC615" i="13"/>
  <c r="AB615" i="13"/>
  <c r="AA615" i="13"/>
  <c r="Z615" i="13"/>
  <c r="Y615" i="13"/>
  <c r="X615" i="13"/>
  <c r="W615" i="13"/>
  <c r="U615" i="13"/>
  <c r="A615" i="13"/>
  <c r="AH614" i="13"/>
  <c r="A614" i="13"/>
  <c r="AJ613" i="13"/>
  <c r="AH613" i="13"/>
  <c r="A613" i="13"/>
  <c r="AJ612" i="13"/>
  <c r="AH612" i="13"/>
  <c r="A612" i="13"/>
  <c r="AJ611" i="13"/>
  <c r="AH611" i="13"/>
  <c r="A611" i="13"/>
  <c r="AJ610" i="13"/>
  <c r="AH610" i="13"/>
  <c r="A610" i="13"/>
  <c r="AV609" i="13"/>
  <c r="AI609" i="13"/>
  <c r="AG609" i="13"/>
  <c r="AF609" i="13"/>
  <c r="AD609" i="13"/>
  <c r="AC609" i="13"/>
  <c r="AB609" i="13"/>
  <c r="AA609" i="13"/>
  <c r="Z609" i="13"/>
  <c r="W609" i="13"/>
  <c r="AJ602" i="13"/>
  <c r="AJ603" i="13"/>
  <c r="AJ604" i="13"/>
  <c r="AJ605" i="13"/>
  <c r="AJ606" i="13"/>
  <c r="AJ607" i="13"/>
  <c r="Y609" i="13"/>
  <c r="X609" i="13"/>
  <c r="U609" i="13"/>
  <c r="T609" i="13"/>
  <c r="R609" i="13"/>
  <c r="A609" i="13"/>
  <c r="AH608" i="13"/>
  <c r="R608" i="13"/>
  <c r="T608" i="13"/>
  <c r="A608" i="13"/>
  <c r="AH607" i="13"/>
  <c r="R607" i="13"/>
  <c r="T607" i="13"/>
  <c r="A607" i="13"/>
  <c r="AH606" i="13"/>
  <c r="R606" i="13"/>
  <c r="T606" i="13"/>
  <c r="A606" i="13"/>
  <c r="AH605" i="13"/>
  <c r="AH602" i="13"/>
  <c r="AH601" i="13" s="1"/>
  <c r="AH603" i="13"/>
  <c r="AH604" i="13"/>
  <c r="R605" i="13"/>
  <c r="T605" i="13"/>
  <c r="A605" i="13"/>
  <c r="R604" i="13"/>
  <c r="T604" i="13"/>
  <c r="A604" i="13"/>
  <c r="R603" i="13"/>
  <c r="T603" i="13"/>
  <c r="T602" i="13"/>
  <c r="A603" i="13"/>
  <c r="R602" i="13"/>
  <c r="A602" i="13"/>
  <c r="AV601" i="13"/>
  <c r="AI601" i="13"/>
  <c r="AG601" i="13"/>
  <c r="AF601" i="13"/>
  <c r="AD601" i="13"/>
  <c r="AC601" i="13"/>
  <c r="AB601" i="13"/>
  <c r="AA601" i="13"/>
  <c r="Z601" i="13"/>
  <c r="Y601" i="13"/>
  <c r="X601" i="13"/>
  <c r="W601" i="13"/>
  <c r="U601" i="13"/>
  <c r="A601" i="13"/>
  <c r="AH600" i="13"/>
  <c r="A600" i="13"/>
  <c r="AJ599" i="13"/>
  <c r="AH599" i="13"/>
  <c r="A599" i="13"/>
  <c r="AJ598" i="13"/>
  <c r="AH598" i="13"/>
  <c r="A598" i="13"/>
  <c r="AJ597" i="13"/>
  <c r="AH597" i="13"/>
  <c r="A597" i="13"/>
  <c r="AJ596" i="13"/>
  <c r="AH596" i="13"/>
  <c r="A596" i="13"/>
  <c r="AJ595" i="13"/>
  <c r="AH595" i="13"/>
  <c r="A595" i="13"/>
  <c r="AJ594" i="13"/>
  <c r="AH594" i="13"/>
  <c r="A594" i="13"/>
  <c r="AJ593" i="13"/>
  <c r="AH593" i="13"/>
  <c r="A593" i="13"/>
  <c r="AJ592" i="13"/>
  <c r="AH592" i="13"/>
  <c r="A592" i="13"/>
  <c r="AJ591" i="13"/>
  <c r="AH591" i="13"/>
  <c r="A591" i="13"/>
  <c r="AJ590" i="13"/>
  <c r="AH590" i="13"/>
  <c r="A590" i="13"/>
  <c r="AJ589" i="13"/>
  <c r="AH589" i="13"/>
  <c r="A589" i="13"/>
  <c r="AJ588" i="13"/>
  <c r="AH588" i="13"/>
  <c r="A588" i="13"/>
  <c r="AJ587" i="13"/>
  <c r="AH587" i="13"/>
  <c r="A587" i="13"/>
  <c r="AI586" i="13"/>
  <c r="AG586" i="13"/>
  <c r="AF586" i="13"/>
  <c r="AD586" i="13"/>
  <c r="AC586" i="13"/>
  <c r="AB586" i="13"/>
  <c r="AA586" i="13"/>
  <c r="Z586" i="13"/>
  <c r="W586" i="13"/>
  <c r="Y586" i="13"/>
  <c r="X586" i="13"/>
  <c r="U586" i="13"/>
  <c r="A586" i="13"/>
  <c r="AH585" i="13"/>
  <c r="A585" i="13"/>
  <c r="AJ584" i="13"/>
  <c r="AH584" i="13"/>
  <c r="A584" i="13"/>
  <c r="AJ583" i="13"/>
  <c r="AH583" i="13"/>
  <c r="A583" i="13"/>
  <c r="AJ582" i="13"/>
  <c r="AH582" i="13"/>
  <c r="A582" i="13"/>
  <c r="AJ581" i="13"/>
  <c r="AH581" i="13"/>
  <c r="A581" i="13"/>
  <c r="AJ580" i="13"/>
  <c r="AH580" i="13"/>
  <c r="A580" i="13"/>
  <c r="AJ579" i="13"/>
  <c r="AH579" i="13"/>
  <c r="A579" i="13"/>
  <c r="AJ578" i="13"/>
  <c r="AH578" i="13"/>
  <c r="AH577" i="13"/>
  <c r="AH576" i="13" s="1"/>
  <c r="A578" i="13"/>
  <c r="AJ577" i="13"/>
  <c r="A577" i="13"/>
  <c r="AI576" i="13"/>
  <c r="AG576" i="13"/>
  <c r="AF576" i="13"/>
  <c r="AD576" i="13"/>
  <c r="AC576" i="13"/>
  <c r="AB576" i="13"/>
  <c r="AA576" i="13"/>
  <c r="Z576" i="13"/>
  <c r="W576" i="13"/>
  <c r="Y576" i="13"/>
  <c r="X576" i="13"/>
  <c r="U576" i="13"/>
  <c r="A576" i="13"/>
  <c r="AH575" i="13"/>
  <c r="A575" i="13"/>
  <c r="AJ574" i="13"/>
  <c r="AH574" i="13"/>
  <c r="A574" i="13"/>
  <c r="AJ573" i="13"/>
  <c r="AH573" i="13"/>
  <c r="A573" i="13"/>
  <c r="AJ572" i="13"/>
  <c r="AH572" i="13"/>
  <c r="A572" i="13"/>
  <c r="AJ571" i="13"/>
  <c r="AH571" i="13"/>
  <c r="A571" i="13"/>
  <c r="AJ570" i="13"/>
  <c r="AH570" i="13"/>
  <c r="A570" i="13"/>
  <c r="AJ569" i="13"/>
  <c r="AH569" i="13"/>
  <c r="A569" i="13"/>
  <c r="AJ568" i="13"/>
  <c r="AH568" i="13"/>
  <c r="A568" i="13"/>
  <c r="AJ567" i="13"/>
  <c r="AH567" i="13"/>
  <c r="A567" i="13"/>
  <c r="AJ566" i="13"/>
  <c r="AH566" i="13"/>
  <c r="A566" i="13"/>
  <c r="AJ565" i="13"/>
  <c r="AH565" i="13"/>
  <c r="A565" i="13"/>
  <c r="AJ564" i="13"/>
  <c r="AH564" i="13"/>
  <c r="A564" i="13"/>
  <c r="AJ563" i="13"/>
  <c r="AH563" i="13"/>
  <c r="A563" i="13"/>
  <c r="AJ562" i="13"/>
  <c r="AH562" i="13"/>
  <c r="A562" i="13"/>
  <c r="AJ561" i="13"/>
  <c r="AH561" i="13"/>
  <c r="A561" i="13"/>
  <c r="AJ560" i="13"/>
  <c r="AH560" i="13"/>
  <c r="A560" i="13"/>
  <c r="AJ559" i="13"/>
  <c r="AH559" i="13"/>
  <c r="A559" i="13"/>
  <c r="AJ558" i="13"/>
  <c r="AH558" i="13"/>
  <c r="A558" i="13"/>
  <c r="AJ557" i="13"/>
  <c r="AH557" i="13"/>
  <c r="A557" i="13"/>
  <c r="AJ556" i="13"/>
  <c r="AH556" i="13"/>
  <c r="A556" i="13"/>
  <c r="AJ555" i="13"/>
  <c r="AH555" i="13"/>
  <c r="A555" i="13"/>
  <c r="AJ554" i="13"/>
  <c r="AH554" i="13"/>
  <c r="A554" i="13"/>
  <c r="AJ553" i="13"/>
  <c r="AH553" i="13"/>
  <c r="A553" i="13"/>
  <c r="AJ552" i="13"/>
  <c r="AH552" i="13"/>
  <c r="A552" i="13"/>
  <c r="AJ551" i="13"/>
  <c r="AH551" i="13"/>
  <c r="A551" i="13"/>
  <c r="AJ550" i="13"/>
  <c r="AH550" i="13"/>
  <c r="A550" i="13"/>
  <c r="AJ549" i="13"/>
  <c r="AH549" i="13"/>
  <c r="A549" i="13"/>
  <c r="AJ548" i="13"/>
  <c r="AH548" i="13"/>
  <c r="A548" i="13"/>
  <c r="AJ547" i="13"/>
  <c r="AH547" i="13"/>
  <c r="A547" i="13"/>
  <c r="AJ546" i="13"/>
  <c r="AH546" i="13"/>
  <c r="A546" i="13"/>
  <c r="AJ545" i="13"/>
  <c r="AH545" i="13"/>
  <c r="A545" i="13"/>
  <c r="AJ544" i="13"/>
  <c r="AH544" i="13"/>
  <c r="A544" i="13"/>
  <c r="AJ543" i="13"/>
  <c r="AH543" i="13"/>
  <c r="A543" i="13"/>
  <c r="AJ542" i="13"/>
  <c r="AH542" i="13"/>
  <c r="A542" i="13"/>
  <c r="AJ541" i="13"/>
  <c r="AH541" i="13"/>
  <c r="A541" i="13"/>
  <c r="AJ540" i="13"/>
  <c r="AH540" i="13"/>
  <c r="A540" i="13"/>
  <c r="AJ539" i="13"/>
  <c r="AH539" i="13"/>
  <c r="A539" i="13"/>
  <c r="AJ538" i="13"/>
  <c r="AH538" i="13"/>
  <c r="A538" i="13"/>
  <c r="AJ537" i="13"/>
  <c r="AH537" i="13"/>
  <c r="A537" i="13"/>
  <c r="AJ536" i="13"/>
  <c r="AH536" i="13"/>
  <c r="A536" i="13"/>
  <c r="AJ535" i="13"/>
  <c r="AH535" i="13"/>
  <c r="A535" i="13"/>
  <c r="AJ534" i="13"/>
  <c r="AH534" i="13"/>
  <c r="A534" i="13"/>
  <c r="AJ533" i="13"/>
  <c r="AH533" i="13"/>
  <c r="A533" i="13"/>
  <c r="AJ532" i="13"/>
  <c r="AH532" i="13"/>
  <c r="A532" i="13"/>
  <c r="AJ531" i="13"/>
  <c r="AH531" i="13"/>
  <c r="A531" i="13"/>
  <c r="AJ530" i="13"/>
  <c r="AH530" i="13"/>
  <c r="A530" i="13"/>
  <c r="AJ529" i="13"/>
  <c r="AH529" i="13"/>
  <c r="A529" i="13"/>
  <c r="AJ528" i="13"/>
  <c r="AH528" i="13"/>
  <c r="A528" i="13"/>
  <c r="AJ527" i="13"/>
  <c r="AH527" i="13"/>
  <c r="A527" i="13"/>
  <c r="AJ526" i="13"/>
  <c r="AH526" i="13"/>
  <c r="R526" i="13"/>
  <c r="A526" i="13"/>
  <c r="AJ525" i="13"/>
  <c r="AH525" i="13"/>
  <c r="R525" i="13"/>
  <c r="A525" i="13"/>
  <c r="AJ524" i="13"/>
  <c r="AH524" i="13"/>
  <c r="R524" i="13"/>
  <c r="A524" i="13"/>
  <c r="AJ523" i="13"/>
  <c r="AH523" i="13"/>
  <c r="R523" i="13"/>
  <c r="A523" i="13"/>
  <c r="AJ522" i="13"/>
  <c r="AH522" i="13"/>
  <c r="R522" i="13"/>
  <c r="A522" i="13"/>
  <c r="AJ521" i="13"/>
  <c r="AH521" i="13"/>
  <c r="R521" i="13"/>
  <c r="A521" i="13"/>
  <c r="AJ520" i="13"/>
  <c r="AH520" i="13"/>
  <c r="R520" i="13"/>
  <c r="A520" i="13"/>
  <c r="AJ519" i="13"/>
  <c r="AH519" i="13"/>
  <c r="R519" i="13"/>
  <c r="A519" i="13"/>
  <c r="AJ518" i="13"/>
  <c r="AH518" i="13"/>
  <c r="A518" i="13"/>
  <c r="AJ517" i="13"/>
  <c r="AH517" i="13"/>
  <c r="A517" i="13"/>
  <c r="AJ516" i="13"/>
  <c r="AH516" i="13"/>
  <c r="A516" i="13"/>
  <c r="AJ515" i="13"/>
  <c r="AH515" i="13"/>
  <c r="A515" i="13"/>
  <c r="AJ514" i="13"/>
  <c r="AH514" i="13"/>
  <c r="A514" i="13"/>
  <c r="AJ513" i="13"/>
  <c r="AH513" i="13"/>
  <c r="A513" i="13"/>
  <c r="AJ512" i="13"/>
  <c r="AH512" i="13"/>
  <c r="A512" i="13"/>
  <c r="AJ511" i="13"/>
  <c r="AH511" i="13"/>
  <c r="A511" i="13"/>
  <c r="AJ510" i="13"/>
  <c r="AH510" i="13"/>
  <c r="A510" i="13"/>
  <c r="AJ509" i="13"/>
  <c r="AH509" i="13"/>
  <c r="A509" i="13"/>
  <c r="AJ508" i="13"/>
  <c r="AH508" i="13"/>
  <c r="A508" i="13"/>
  <c r="AJ507" i="13"/>
  <c r="AH507" i="13"/>
  <c r="A507" i="13"/>
  <c r="AJ506" i="13"/>
  <c r="AH506" i="13"/>
  <c r="A506" i="13"/>
  <c r="AJ505" i="13"/>
  <c r="U505" i="13"/>
  <c r="AH505" i="13"/>
  <c r="A505" i="13"/>
  <c r="AJ504" i="13"/>
  <c r="AH504" i="13"/>
  <c r="A504" i="13"/>
  <c r="AJ503" i="13"/>
  <c r="AH503" i="13"/>
  <c r="A503" i="13"/>
  <c r="AJ502" i="13"/>
  <c r="AH502" i="13"/>
  <c r="A502" i="13"/>
  <c r="AJ501" i="13"/>
  <c r="AH501" i="13"/>
  <c r="A501" i="13"/>
  <c r="AJ500" i="13"/>
  <c r="AH500" i="13"/>
  <c r="A500" i="13"/>
  <c r="AJ499" i="13"/>
  <c r="AH499" i="13"/>
  <c r="A499" i="13"/>
  <c r="AJ498" i="13"/>
  <c r="AH498" i="13"/>
  <c r="A498" i="13"/>
  <c r="AJ497" i="13"/>
  <c r="AH497" i="13"/>
  <c r="A497" i="13"/>
  <c r="AJ496" i="13"/>
  <c r="AH496" i="13"/>
  <c r="A496" i="13"/>
  <c r="AJ495" i="13"/>
  <c r="AH495" i="13"/>
  <c r="A495" i="13"/>
  <c r="AJ494" i="13"/>
  <c r="AH494" i="13"/>
  <c r="A494" i="13"/>
  <c r="AJ493" i="13"/>
  <c r="AH493" i="13"/>
  <c r="A493" i="13"/>
  <c r="AJ492" i="13"/>
  <c r="AH492" i="13"/>
  <c r="A492" i="13"/>
  <c r="AJ491" i="13"/>
  <c r="AH491" i="13"/>
  <c r="A491" i="13"/>
  <c r="AJ490" i="13"/>
  <c r="AH490" i="13"/>
  <c r="R490" i="13"/>
  <c r="A490" i="13"/>
  <c r="AJ489" i="13"/>
  <c r="AH489" i="13"/>
  <c r="R489" i="13"/>
  <c r="A489" i="13"/>
  <c r="AJ488" i="13"/>
  <c r="AH488" i="13"/>
  <c r="R488" i="13"/>
  <c r="A488" i="13"/>
  <c r="AJ487" i="13"/>
  <c r="AH487" i="13"/>
  <c r="R487" i="13"/>
  <c r="A487" i="13"/>
  <c r="AJ486" i="13"/>
  <c r="AH486" i="13"/>
  <c r="R486" i="13"/>
  <c r="A486" i="13"/>
  <c r="AJ485" i="13"/>
  <c r="AH485" i="13"/>
  <c r="R485" i="13"/>
  <c r="A485" i="13"/>
  <c r="AJ484" i="13"/>
  <c r="AH484" i="13"/>
  <c r="T484" i="13"/>
  <c r="A484" i="13"/>
  <c r="AJ483" i="13"/>
  <c r="AH483" i="13"/>
  <c r="R483" i="13"/>
  <c r="A483" i="13"/>
  <c r="AJ482" i="13"/>
  <c r="AH482" i="13"/>
  <c r="R482" i="13"/>
  <c r="A482" i="13"/>
  <c r="AJ481" i="13"/>
  <c r="AH481" i="13"/>
  <c r="R481" i="13"/>
  <c r="A481" i="13"/>
  <c r="AJ480" i="13"/>
  <c r="AH480" i="13"/>
  <c r="R480" i="13"/>
  <c r="A480" i="13"/>
  <c r="AJ479" i="13"/>
  <c r="AH479" i="13"/>
  <c r="R479" i="13"/>
  <c r="A479" i="13"/>
  <c r="AJ478" i="13"/>
  <c r="AH478" i="13"/>
  <c r="R478" i="13"/>
  <c r="A478" i="13"/>
  <c r="AJ477" i="13"/>
  <c r="AH477" i="13"/>
  <c r="R477" i="13"/>
  <c r="A477" i="13"/>
  <c r="AJ476" i="13"/>
  <c r="AH476" i="13"/>
  <c r="A476" i="13"/>
  <c r="AJ475" i="13"/>
  <c r="AH475" i="13"/>
  <c r="A475" i="13"/>
  <c r="AJ474" i="13"/>
  <c r="AH474" i="13"/>
  <c r="A474" i="13"/>
  <c r="AJ473" i="13"/>
  <c r="AH473" i="13"/>
  <c r="A473" i="13"/>
  <c r="AJ472" i="13"/>
  <c r="AH472" i="13"/>
  <c r="A472" i="13"/>
  <c r="BE469" i="13"/>
  <c r="BE471" i="13" s="1"/>
  <c r="AJ471" i="13"/>
  <c r="AH471" i="13"/>
  <c r="A471" i="13"/>
  <c r="AJ470" i="13"/>
  <c r="AH470" i="13"/>
  <c r="A470" i="13"/>
  <c r="AJ469" i="13"/>
  <c r="AH469" i="13"/>
  <c r="A469" i="13"/>
  <c r="AJ468" i="13"/>
  <c r="AH468" i="13"/>
  <c r="A468" i="13"/>
  <c r="AJ467" i="13"/>
  <c r="AH467" i="13"/>
  <c r="A467" i="13"/>
  <c r="AJ466" i="13"/>
  <c r="AH466" i="13"/>
  <c r="A466" i="13"/>
  <c r="AJ465" i="13"/>
  <c r="AH465" i="13"/>
  <c r="A465" i="13"/>
  <c r="AJ464" i="13"/>
  <c r="AH464" i="13"/>
  <c r="A464" i="13"/>
  <c r="AJ463" i="13"/>
  <c r="AH463" i="13"/>
  <c r="A463" i="13"/>
  <c r="AJ462" i="13"/>
  <c r="AH462" i="13"/>
  <c r="A462" i="13"/>
  <c r="AJ461" i="13"/>
  <c r="AH461" i="13"/>
  <c r="A461" i="13"/>
  <c r="AJ460" i="13"/>
  <c r="AH460" i="13"/>
  <c r="A460" i="13"/>
  <c r="AJ459" i="13"/>
  <c r="AH459" i="13"/>
  <c r="A459" i="13"/>
  <c r="AJ458" i="13"/>
  <c r="AH458" i="13"/>
  <c r="A458" i="13"/>
  <c r="AJ457" i="13"/>
  <c r="AH457" i="13"/>
  <c r="A457" i="13"/>
  <c r="AJ456" i="13"/>
  <c r="AH456" i="13"/>
  <c r="A456" i="13"/>
  <c r="AJ455" i="13"/>
  <c r="AH455" i="13"/>
  <c r="A455" i="13"/>
  <c r="AJ454" i="13"/>
  <c r="AH454" i="13"/>
  <c r="A454" i="13"/>
  <c r="AJ453" i="13"/>
  <c r="AH453" i="13"/>
  <c r="A453" i="13"/>
  <c r="AJ452" i="13"/>
  <c r="AH452" i="13"/>
  <c r="A452" i="13"/>
  <c r="AJ451" i="13"/>
  <c r="AH451" i="13"/>
  <c r="A451" i="13"/>
  <c r="AJ450" i="13"/>
  <c r="AH450" i="13"/>
  <c r="A450" i="13"/>
  <c r="AJ449" i="13"/>
  <c r="AH449" i="13"/>
  <c r="A449" i="13"/>
  <c r="AJ448" i="13"/>
  <c r="AH448" i="13"/>
  <c r="A448" i="13"/>
  <c r="AJ447" i="13"/>
  <c r="AH447" i="13"/>
  <c r="A447" i="13"/>
  <c r="AJ446" i="13"/>
  <c r="AH446" i="13"/>
  <c r="A446" i="13"/>
  <c r="AJ445" i="13"/>
  <c r="AH445" i="13"/>
  <c r="A445" i="13"/>
  <c r="AJ444" i="13"/>
  <c r="AH444" i="13"/>
  <c r="A444" i="13"/>
  <c r="AJ443" i="13"/>
  <c r="AH443" i="13"/>
  <c r="A443" i="13"/>
  <c r="AJ442" i="13"/>
  <c r="AH442" i="13"/>
  <c r="A442" i="13"/>
  <c r="AJ441" i="13"/>
  <c r="AH441" i="13"/>
  <c r="A441" i="13"/>
  <c r="AJ440" i="13"/>
  <c r="AH440" i="13"/>
  <c r="A440" i="13"/>
  <c r="AJ439" i="13"/>
  <c r="AH439" i="13"/>
  <c r="A439" i="13"/>
  <c r="AJ438" i="13"/>
  <c r="AH438" i="13"/>
  <c r="A438" i="13"/>
  <c r="AJ437" i="13"/>
  <c r="AH437" i="13"/>
  <c r="A437" i="13"/>
  <c r="AJ436" i="13"/>
  <c r="AH436" i="13"/>
  <c r="A436" i="13"/>
  <c r="AJ435" i="13"/>
  <c r="AH435" i="13"/>
  <c r="A435" i="13"/>
  <c r="AJ434" i="13"/>
  <c r="AH434" i="13"/>
  <c r="A434" i="13"/>
  <c r="AJ433" i="13"/>
  <c r="AH433" i="13"/>
  <c r="A433" i="13"/>
  <c r="AJ432" i="13"/>
  <c r="AH432" i="13"/>
  <c r="A432" i="13"/>
  <c r="AJ431" i="13"/>
  <c r="AH431" i="13"/>
  <c r="A431" i="13"/>
  <c r="AJ430" i="13"/>
  <c r="AH430" i="13"/>
  <c r="A430" i="13"/>
  <c r="AJ429" i="13"/>
  <c r="AH429" i="13"/>
  <c r="A429" i="13"/>
  <c r="AJ428" i="13"/>
  <c r="AH428" i="13"/>
  <c r="A428" i="13"/>
  <c r="AJ427" i="13"/>
  <c r="AH427" i="13"/>
  <c r="A427" i="13"/>
  <c r="AJ426" i="13"/>
  <c r="AH426" i="13"/>
  <c r="A426" i="13"/>
  <c r="AJ425" i="13"/>
  <c r="AH425" i="13"/>
  <c r="A425" i="13"/>
  <c r="AJ424" i="13"/>
  <c r="AH424" i="13"/>
  <c r="A424" i="13"/>
  <c r="AJ423" i="13"/>
  <c r="AH423" i="13"/>
  <c r="A423" i="13"/>
  <c r="AJ422" i="13"/>
  <c r="AH422" i="13"/>
  <c r="A422" i="13"/>
  <c r="AJ421" i="13"/>
  <c r="AH421" i="13"/>
  <c r="A421" i="13"/>
  <c r="AJ420" i="13"/>
  <c r="AH420" i="13"/>
  <c r="A420" i="13"/>
  <c r="AJ419" i="13"/>
  <c r="AH419" i="13"/>
  <c r="A419" i="13"/>
  <c r="AZ418" i="13"/>
  <c r="AV418" i="13"/>
  <c r="AJ418" i="13"/>
  <c r="AH418" i="13"/>
  <c r="A418" i="13"/>
  <c r="AV417" i="13"/>
  <c r="AJ417" i="13"/>
  <c r="AH417" i="13"/>
  <c r="A417" i="13"/>
  <c r="AX415" i="13"/>
  <c r="AX416" i="13" s="1"/>
  <c r="AV416" i="13"/>
  <c r="AJ416" i="13"/>
  <c r="AH416" i="13"/>
  <c r="A416" i="13"/>
  <c r="AV415" i="13"/>
  <c r="AJ415" i="13"/>
  <c r="AH415" i="13"/>
  <c r="A415" i="13"/>
  <c r="AV414" i="13"/>
  <c r="AJ414" i="13"/>
  <c r="AH414" i="13"/>
  <c r="A414" i="13"/>
  <c r="AV413" i="13"/>
  <c r="AJ413" i="13"/>
  <c r="AH413" i="13"/>
  <c r="A413" i="13"/>
  <c r="AV412" i="13"/>
  <c r="AJ412" i="13"/>
  <c r="AH412" i="13"/>
  <c r="A412" i="13"/>
  <c r="AJ411" i="13"/>
  <c r="AH411" i="13"/>
  <c r="A411" i="13"/>
  <c r="AJ410" i="13"/>
  <c r="AH410" i="13"/>
  <c r="A410" i="13"/>
  <c r="AJ409" i="13"/>
  <c r="AH409" i="13"/>
  <c r="A409" i="13"/>
  <c r="AJ408" i="13"/>
  <c r="AH408" i="13"/>
  <c r="A408" i="13"/>
  <c r="AJ407" i="13"/>
  <c r="AH407" i="13"/>
  <c r="A407" i="13"/>
  <c r="AJ406" i="13"/>
  <c r="AH406" i="13"/>
  <c r="A406" i="13"/>
  <c r="AJ405" i="13"/>
  <c r="AH405" i="13"/>
  <c r="A405" i="13"/>
  <c r="AJ404" i="13"/>
  <c r="AH404" i="13"/>
  <c r="A404" i="13"/>
  <c r="AJ403" i="13"/>
  <c r="AH403" i="13"/>
  <c r="A403" i="13"/>
  <c r="AJ402" i="13"/>
  <c r="AH402" i="13"/>
  <c r="A402" i="13"/>
  <c r="AJ401" i="13"/>
  <c r="AH401" i="13"/>
  <c r="A401" i="13"/>
  <c r="AJ400" i="13"/>
  <c r="AH400" i="13"/>
  <c r="A400" i="13"/>
  <c r="AJ399" i="13"/>
  <c r="AH399" i="13"/>
  <c r="A399" i="13"/>
  <c r="AJ398" i="13"/>
  <c r="AH398" i="13"/>
  <c r="A398" i="13"/>
  <c r="AJ397" i="13"/>
  <c r="AH397" i="13"/>
  <c r="A397" i="13"/>
  <c r="AJ396" i="13"/>
  <c r="AH396" i="13"/>
  <c r="A396" i="13"/>
  <c r="AJ395" i="13"/>
  <c r="AH395" i="13"/>
  <c r="A395" i="13"/>
  <c r="AJ394" i="13"/>
  <c r="AH394" i="13"/>
  <c r="A394" i="13"/>
  <c r="AJ393" i="13"/>
  <c r="AH393" i="13"/>
  <c r="A393" i="13"/>
  <c r="AJ392" i="13"/>
  <c r="AH392" i="13"/>
  <c r="A392" i="13"/>
  <c r="AJ391" i="13"/>
  <c r="U391" i="13"/>
  <c r="AH391" i="13"/>
  <c r="A391" i="13"/>
  <c r="AJ390" i="13"/>
  <c r="AH390" i="13"/>
  <c r="A390" i="13"/>
  <c r="AJ389" i="13"/>
  <c r="AH389" i="13"/>
  <c r="A389" i="13"/>
  <c r="AJ388" i="13"/>
  <c r="AH388" i="13"/>
  <c r="A388" i="13"/>
  <c r="AJ387" i="13"/>
  <c r="AH387" i="13"/>
  <c r="A387" i="13"/>
  <c r="AJ386" i="13"/>
  <c r="AH386" i="13"/>
  <c r="A386" i="13"/>
  <c r="AJ385" i="13"/>
  <c r="AH385" i="13"/>
  <c r="A385" i="13"/>
  <c r="AJ384" i="13"/>
  <c r="AH384" i="13"/>
  <c r="A384" i="13"/>
  <c r="AJ383" i="13"/>
  <c r="AH383" i="13"/>
  <c r="A383" i="13"/>
  <c r="AJ382" i="13"/>
  <c r="AH382" i="13"/>
  <c r="A382" i="13"/>
  <c r="AJ381" i="13"/>
  <c r="AH381" i="13"/>
  <c r="A381" i="13"/>
  <c r="AJ380" i="13"/>
  <c r="AH380" i="13"/>
  <c r="A380" i="13"/>
  <c r="AJ379" i="13"/>
  <c r="AH379" i="13"/>
  <c r="A379" i="13"/>
  <c r="AJ378" i="13"/>
  <c r="AH378" i="13"/>
  <c r="A378" i="13"/>
  <c r="AJ377" i="13"/>
  <c r="AH377" i="13"/>
  <c r="A377" i="13"/>
  <c r="AJ376" i="13"/>
  <c r="AH376" i="13"/>
  <c r="A376" i="13"/>
  <c r="AJ375" i="13"/>
  <c r="AH375" i="13"/>
  <c r="A375" i="13"/>
  <c r="AJ374" i="13"/>
  <c r="AH374" i="13"/>
  <c r="A374" i="13"/>
  <c r="AJ373" i="13"/>
  <c r="AH373" i="13"/>
  <c r="A373" i="13"/>
  <c r="AJ372" i="13"/>
  <c r="AH372" i="13"/>
  <c r="A372" i="13"/>
  <c r="AJ371" i="13"/>
  <c r="AH371" i="13"/>
  <c r="A371" i="13"/>
  <c r="AJ370" i="13"/>
  <c r="AH370" i="13"/>
  <c r="A370" i="13"/>
  <c r="AJ369" i="13"/>
  <c r="U369" i="13"/>
  <c r="Y369" i="13"/>
  <c r="AH369" i="13"/>
  <c r="A369" i="13"/>
  <c r="AJ368" i="13"/>
  <c r="U368" i="13"/>
  <c r="AH368" i="13"/>
  <c r="Y368" i="13"/>
  <c r="A368" i="13"/>
  <c r="AJ367" i="13"/>
  <c r="U367" i="13"/>
  <c r="AH367" i="13"/>
  <c r="Y367" i="13"/>
  <c r="A367" i="13"/>
  <c r="AJ366" i="13"/>
  <c r="U366" i="13"/>
  <c r="Y366" i="13"/>
  <c r="AH366" i="13"/>
  <c r="A366" i="13"/>
  <c r="AJ365" i="13"/>
  <c r="U365" i="13"/>
  <c r="Y365" i="13"/>
  <c r="AH365" i="13"/>
  <c r="A365" i="13"/>
  <c r="AJ364" i="13"/>
  <c r="U364" i="13"/>
  <c r="AH364" i="13"/>
  <c r="Y364" i="13"/>
  <c r="A364" i="13"/>
  <c r="AJ363" i="13"/>
  <c r="U363" i="13"/>
  <c r="AH363" i="13"/>
  <c r="Y363" i="13"/>
  <c r="A363" i="13"/>
  <c r="AJ362" i="13"/>
  <c r="AH362" i="13"/>
  <c r="A362" i="13"/>
  <c r="AJ361" i="13"/>
  <c r="AH361" i="13"/>
  <c r="A361" i="13"/>
  <c r="AJ360" i="13"/>
  <c r="AH360" i="13"/>
  <c r="A360" i="13"/>
  <c r="AJ359" i="13"/>
  <c r="AH359" i="13"/>
  <c r="A359" i="13"/>
  <c r="AJ358" i="13"/>
  <c r="AH358" i="13"/>
  <c r="A358" i="13"/>
  <c r="AJ357" i="13"/>
  <c r="AH357" i="13"/>
  <c r="A357" i="13"/>
  <c r="AJ356" i="13"/>
  <c r="AH356" i="13"/>
  <c r="A356" i="13"/>
  <c r="AJ355" i="13"/>
  <c r="AH355" i="13"/>
  <c r="A355" i="13"/>
  <c r="AJ354" i="13"/>
  <c r="AH354" i="13"/>
  <c r="A354" i="13"/>
  <c r="AJ353" i="13"/>
  <c r="AH353" i="13"/>
  <c r="A353" i="13"/>
  <c r="AJ352" i="13"/>
  <c r="AH352" i="13"/>
  <c r="A352" i="13"/>
  <c r="AJ351" i="13"/>
  <c r="AH351" i="13"/>
  <c r="A351" i="13"/>
  <c r="AJ350" i="13"/>
  <c r="AH350" i="13"/>
  <c r="A350" i="13"/>
  <c r="AJ349" i="13"/>
  <c r="AH349" i="13"/>
  <c r="A349" i="13"/>
  <c r="AJ348" i="13"/>
  <c r="AH348" i="13"/>
  <c r="A348" i="13"/>
  <c r="AJ347" i="13"/>
  <c r="AH347" i="13"/>
  <c r="A347" i="13"/>
  <c r="AJ346" i="13"/>
  <c r="AH346" i="13"/>
  <c r="A346" i="13"/>
  <c r="AJ345" i="13"/>
  <c r="AH345" i="13"/>
  <c r="A345" i="13"/>
  <c r="AJ344" i="13"/>
  <c r="AH344" i="13"/>
  <c r="A344" i="13"/>
  <c r="AJ343" i="13"/>
  <c r="AH343" i="13"/>
  <c r="A343" i="13"/>
  <c r="AJ342" i="13"/>
  <c r="AH342" i="13"/>
  <c r="A342" i="13"/>
  <c r="AJ341" i="13"/>
  <c r="AH341" i="13"/>
  <c r="A341" i="13"/>
  <c r="AJ340" i="13"/>
  <c r="AH340" i="13"/>
  <c r="A340" i="13"/>
  <c r="AJ339" i="13"/>
  <c r="AH339" i="13"/>
  <c r="A339" i="13"/>
  <c r="AJ338" i="13"/>
  <c r="AH338" i="13"/>
  <c r="A338" i="13"/>
  <c r="AJ337" i="13"/>
  <c r="AH337" i="13"/>
  <c r="A337" i="13"/>
  <c r="AJ336" i="13"/>
  <c r="AH336" i="13"/>
  <c r="A336" i="13"/>
  <c r="AJ335" i="13"/>
  <c r="AH335" i="13"/>
  <c r="A335" i="13"/>
  <c r="AJ334" i="13"/>
  <c r="AH334" i="13"/>
  <c r="A334" i="13"/>
  <c r="AJ333" i="13"/>
  <c r="AH333" i="13"/>
  <c r="A333" i="13"/>
  <c r="AJ332" i="13"/>
  <c r="AH332" i="13"/>
  <c r="A332" i="13"/>
  <c r="AJ331" i="13"/>
  <c r="AH331" i="13"/>
  <c r="A331" i="13"/>
  <c r="AJ330" i="13"/>
  <c r="AH330" i="13"/>
  <c r="A330" i="13"/>
  <c r="AJ329" i="13"/>
  <c r="AH329" i="13"/>
  <c r="A329" i="13"/>
  <c r="AJ328" i="13"/>
  <c r="AH328" i="13"/>
  <c r="A328" i="13"/>
  <c r="AJ327" i="13"/>
  <c r="AH327" i="13"/>
  <c r="A327" i="13"/>
  <c r="AJ326" i="13"/>
  <c r="AH326" i="13"/>
  <c r="A326" i="13"/>
  <c r="AJ325" i="13"/>
  <c r="AH325" i="13"/>
  <c r="A325" i="13"/>
  <c r="AJ324" i="13"/>
  <c r="AH324" i="13"/>
  <c r="AH321" i="13"/>
  <c r="AH320" i="13" s="1"/>
  <c r="AH322" i="13"/>
  <c r="AH323" i="13"/>
  <c r="A324" i="13"/>
  <c r="AJ323" i="13"/>
  <c r="A323" i="13"/>
  <c r="AJ322" i="13"/>
  <c r="A322" i="13"/>
  <c r="AJ321" i="13"/>
  <c r="A321" i="13"/>
  <c r="AM320" i="13"/>
  <c r="AL320" i="13"/>
  <c r="AK320" i="13"/>
  <c r="AI320" i="13"/>
  <c r="AG320" i="13"/>
  <c r="AF320" i="13"/>
  <c r="AD320" i="13"/>
  <c r="AC320" i="13"/>
  <c r="AB320" i="13"/>
  <c r="AA320" i="13"/>
  <c r="Z320" i="13"/>
  <c r="X320" i="13"/>
  <c r="W320" i="13"/>
  <c r="T320" i="13"/>
  <c r="A320" i="13"/>
  <c r="AH319" i="13"/>
  <c r="AH318" i="13" s="1"/>
  <c r="A319" i="13"/>
  <c r="AV318" i="13"/>
  <c r="AI318" i="13"/>
  <c r="AG318" i="13"/>
  <c r="AF318" i="13"/>
  <c r="AD318" i="13"/>
  <c r="AB318" i="13"/>
  <c r="AA318" i="13"/>
  <c r="Z318" i="13"/>
  <c r="Y318" i="13"/>
  <c r="X318" i="13"/>
  <c r="W318" i="13"/>
  <c r="U318" i="13"/>
  <c r="T318" i="13"/>
  <c r="S318" i="13"/>
  <c r="R318" i="13"/>
  <c r="A318" i="13"/>
  <c r="A317" i="13"/>
  <c r="AJ316" i="13"/>
  <c r="A316" i="13"/>
  <c r="AJ315" i="13"/>
  <c r="A315" i="13"/>
  <c r="AJ314" i="13"/>
  <c r="A314" i="13"/>
  <c r="AJ313" i="13"/>
  <c r="A313" i="13"/>
  <c r="AJ312" i="13"/>
  <c r="A312" i="13"/>
  <c r="AJ311" i="13"/>
  <c r="A311" i="13"/>
  <c r="AJ310" i="13"/>
  <c r="A310" i="13"/>
  <c r="AJ309" i="13"/>
  <c r="A309" i="13"/>
  <c r="AJ308" i="13"/>
  <c r="A308" i="13"/>
  <c r="AJ307" i="13"/>
  <c r="A307" i="13"/>
  <c r="AJ306" i="13"/>
  <c r="A306" i="13"/>
  <c r="AJ305" i="13"/>
  <c r="A305" i="13"/>
  <c r="AJ304" i="13"/>
  <c r="A304" i="13"/>
  <c r="AJ303" i="13"/>
  <c r="A303" i="13"/>
  <c r="AJ302" i="13"/>
  <c r="A302" i="13"/>
  <c r="AJ301" i="13"/>
  <c r="T301" i="13"/>
  <c r="A301" i="13"/>
  <c r="AJ300" i="13"/>
  <c r="T300" i="13"/>
  <c r="A300" i="13"/>
  <c r="AJ299" i="13"/>
  <c r="T299" i="13"/>
  <c r="A299" i="13"/>
  <c r="AJ298" i="13"/>
  <c r="A298" i="13"/>
  <c r="AV297" i="13"/>
  <c r="AJ297" i="13"/>
  <c r="T297" i="13"/>
  <c r="A297" i="13"/>
  <c r="AV296" i="13"/>
  <c r="AJ296" i="13"/>
  <c r="T296" i="13"/>
  <c r="A296" i="13"/>
  <c r="AV295" i="13"/>
  <c r="AJ295" i="13"/>
  <c r="T295" i="13"/>
  <c r="A295" i="13"/>
  <c r="AI294" i="13"/>
  <c r="AG294" i="13"/>
  <c r="AF294" i="13"/>
  <c r="AD294" i="13"/>
  <c r="AC294" i="13"/>
  <c r="AA294" i="13"/>
  <c r="Z294" i="13"/>
  <c r="W294" i="13"/>
  <c r="Y294" i="13"/>
  <c r="X294" i="13"/>
  <c r="U294" i="13"/>
  <c r="A294" i="13"/>
  <c r="A293" i="13"/>
  <c r="AJ292" i="13"/>
  <c r="A292" i="13"/>
  <c r="AJ291" i="13"/>
  <c r="A291" i="13"/>
  <c r="AJ290" i="13"/>
  <c r="A290" i="13"/>
  <c r="AJ289" i="13"/>
  <c r="A289" i="13"/>
  <c r="AJ288" i="13"/>
  <c r="A288" i="13"/>
  <c r="AJ287" i="13"/>
  <c r="A287" i="13"/>
  <c r="AJ286" i="13"/>
  <c r="A286" i="13"/>
  <c r="AJ285" i="13"/>
  <c r="A285" i="13"/>
  <c r="AJ284" i="13"/>
  <c r="A284" i="13"/>
  <c r="AJ283" i="13"/>
  <c r="A283" i="13"/>
  <c r="AJ282" i="13"/>
  <c r="A282" i="13"/>
  <c r="AJ281" i="13"/>
  <c r="A281" i="13"/>
  <c r="AJ280" i="13"/>
  <c r="A280" i="13"/>
  <c r="AJ279" i="13"/>
  <c r="A279" i="13"/>
  <c r="AJ278" i="13"/>
  <c r="A278" i="13"/>
  <c r="AJ277" i="13"/>
  <c r="A277" i="13"/>
  <c r="AJ276" i="13"/>
  <c r="A276" i="13"/>
  <c r="AJ275" i="13"/>
  <c r="A275" i="13"/>
  <c r="AJ274" i="13"/>
  <c r="A274" i="13"/>
  <c r="AJ273" i="13"/>
  <c r="A273" i="13"/>
  <c r="AJ272" i="13"/>
  <c r="A272" i="13"/>
  <c r="AJ271" i="13"/>
  <c r="A271" i="13"/>
  <c r="AJ270" i="13"/>
  <c r="T270" i="13"/>
  <c r="A270" i="13"/>
  <c r="AJ269" i="13"/>
  <c r="T269" i="13"/>
  <c r="A269" i="13"/>
  <c r="AJ268" i="13"/>
  <c r="A268" i="13"/>
  <c r="AV267" i="13"/>
  <c r="AJ267" i="13"/>
  <c r="T267" i="13"/>
  <c r="T266" i="13"/>
  <c r="A267" i="13"/>
  <c r="BI266" i="13"/>
  <c r="BH266" i="13"/>
  <c r="AV266" i="13"/>
  <c r="AV265" i="13"/>
  <c r="AJ266" i="13"/>
  <c r="A266" i="13"/>
  <c r="AI265" i="13"/>
  <c r="AG265" i="13"/>
  <c r="AG169" i="13"/>
  <c r="AG191" i="13"/>
  <c r="AG212" i="13"/>
  <c r="AG237" i="13"/>
  <c r="AF265" i="13"/>
  <c r="AD265" i="13"/>
  <c r="AC265" i="13"/>
  <c r="AB265" i="13"/>
  <c r="AA265" i="13"/>
  <c r="Z265" i="13"/>
  <c r="W265" i="13"/>
  <c r="Y265" i="13"/>
  <c r="X265" i="13"/>
  <c r="U265" i="13"/>
  <c r="A265" i="13"/>
  <c r="A264" i="13"/>
  <c r="AJ263" i="13"/>
  <c r="A263" i="13"/>
  <c r="AJ262" i="13"/>
  <c r="A262" i="13"/>
  <c r="AJ261" i="13"/>
  <c r="A261" i="13"/>
  <c r="AJ260" i="13"/>
  <c r="A260" i="13"/>
  <c r="AJ259" i="13"/>
  <c r="A259" i="13"/>
  <c r="AJ258" i="13"/>
  <c r="A258" i="13"/>
  <c r="AJ257" i="13"/>
  <c r="A257" i="13"/>
  <c r="AJ256" i="13"/>
  <c r="A256" i="13"/>
  <c r="AJ255" i="13"/>
  <c r="A255" i="13"/>
  <c r="AJ254" i="13"/>
  <c r="A254" i="13"/>
  <c r="AJ253" i="13"/>
  <c r="A253" i="13"/>
  <c r="AJ252" i="13"/>
  <c r="A252" i="13"/>
  <c r="AJ251" i="13"/>
  <c r="A251" i="13"/>
  <c r="AJ250" i="13"/>
  <c r="A250" i="13"/>
  <c r="AJ249" i="13"/>
  <c r="A249" i="13"/>
  <c r="AJ248" i="13"/>
  <c r="A248" i="13"/>
  <c r="AJ247" i="13"/>
  <c r="A247" i="13"/>
  <c r="AJ246" i="13"/>
  <c r="T246" i="13"/>
  <c r="A246" i="13"/>
  <c r="AJ245" i="13"/>
  <c r="T245" i="13"/>
  <c r="A245" i="13"/>
  <c r="AJ244" i="13"/>
  <c r="T244" i="13"/>
  <c r="A244" i="13"/>
  <c r="AJ243" i="13"/>
  <c r="T243" i="13"/>
  <c r="A243" i="13"/>
  <c r="AJ242" i="13"/>
  <c r="A242" i="13"/>
  <c r="AJ241" i="13"/>
  <c r="T241" i="13"/>
  <c r="A241" i="13"/>
  <c r="AJ240" i="13"/>
  <c r="AJ238" i="13"/>
  <c r="AJ239" i="13"/>
  <c r="T240" i="13"/>
  <c r="A240" i="13"/>
  <c r="T239" i="13"/>
  <c r="A239" i="13"/>
  <c r="T238" i="13"/>
  <c r="A238" i="13"/>
  <c r="AM237" i="13"/>
  <c r="AL237" i="13"/>
  <c r="AK237" i="13"/>
  <c r="AI237" i="13"/>
  <c r="AF237" i="13"/>
  <c r="AD237" i="13"/>
  <c r="AC237" i="13"/>
  <c r="AB237" i="13"/>
  <c r="AA237" i="13"/>
  <c r="Z237" i="13"/>
  <c r="W237" i="13"/>
  <c r="Y237" i="13"/>
  <c r="X237" i="13"/>
  <c r="U237" i="13"/>
  <c r="R237" i="13"/>
  <c r="A237" i="13"/>
  <c r="A236" i="13"/>
  <c r="AJ235" i="13"/>
  <c r="A235" i="13"/>
  <c r="AJ234" i="13"/>
  <c r="A234" i="13"/>
  <c r="AJ233" i="13"/>
  <c r="A233" i="13"/>
  <c r="AJ232" i="13"/>
  <c r="A232" i="13"/>
  <c r="AJ231" i="13"/>
  <c r="A231" i="13"/>
  <c r="AJ230" i="13"/>
  <c r="A230" i="13"/>
  <c r="AJ229" i="13"/>
  <c r="A229" i="13"/>
  <c r="AJ228" i="13"/>
  <c r="A228" i="13"/>
  <c r="AJ227" i="13"/>
  <c r="A227" i="13"/>
  <c r="AJ226" i="13"/>
  <c r="A226" i="13"/>
  <c r="AJ225" i="13"/>
  <c r="A225" i="13"/>
  <c r="AJ224" i="13"/>
  <c r="A224" i="13"/>
  <c r="AJ223" i="13"/>
  <c r="A223" i="13"/>
  <c r="AJ222" i="13"/>
  <c r="A222" i="13"/>
  <c r="AJ221" i="13"/>
  <c r="A221" i="13"/>
  <c r="AJ220" i="13"/>
  <c r="A220" i="13"/>
  <c r="AJ219" i="13"/>
  <c r="A219" i="13"/>
  <c r="AJ218" i="13"/>
  <c r="T218" i="13"/>
  <c r="A218" i="13"/>
  <c r="AJ217" i="13"/>
  <c r="T217" i="13"/>
  <c r="A217" i="13"/>
  <c r="AJ216" i="13"/>
  <c r="A216" i="13"/>
  <c r="AJ215" i="13"/>
  <c r="A215" i="13"/>
  <c r="AJ214" i="13"/>
  <c r="T214" i="13"/>
  <c r="A214" i="13"/>
  <c r="AJ213" i="13"/>
  <c r="T213" i="13"/>
  <c r="A213" i="13"/>
  <c r="AV212" i="13"/>
  <c r="AI212" i="13"/>
  <c r="AI147" i="13"/>
  <c r="AI169" i="13"/>
  <c r="AI191" i="13"/>
  <c r="AF212" i="13"/>
  <c r="AD212" i="13"/>
  <c r="AC212" i="13"/>
  <c r="AB212" i="13"/>
  <c r="AA212" i="13"/>
  <c r="Z212" i="13"/>
  <c r="Y212" i="13"/>
  <c r="X212" i="13"/>
  <c r="W212" i="13"/>
  <c r="R212" i="13"/>
  <c r="A212" i="13"/>
  <c r="A211" i="13"/>
  <c r="AJ210" i="13"/>
  <c r="A210" i="13"/>
  <c r="AJ209" i="13"/>
  <c r="A209" i="13"/>
  <c r="AJ208" i="13"/>
  <c r="A208" i="13"/>
  <c r="AJ207" i="13"/>
  <c r="A207" i="13"/>
  <c r="AJ206" i="13"/>
  <c r="A206" i="13"/>
  <c r="AJ205" i="13"/>
  <c r="A205" i="13"/>
  <c r="AJ204" i="13"/>
  <c r="A204" i="13"/>
  <c r="AJ203" i="13"/>
  <c r="A203" i="13"/>
  <c r="AJ202" i="13"/>
  <c r="A202" i="13"/>
  <c r="AJ201" i="13"/>
  <c r="A201" i="13"/>
  <c r="AJ200" i="13"/>
  <c r="A200" i="13"/>
  <c r="AJ199" i="13"/>
  <c r="A199" i="13"/>
  <c r="AJ198" i="13"/>
  <c r="A198" i="13"/>
  <c r="AJ197" i="13"/>
  <c r="A197" i="13"/>
  <c r="AJ196" i="13"/>
  <c r="T196" i="13"/>
  <c r="A196" i="13"/>
  <c r="AJ195" i="13"/>
  <c r="T195" i="13"/>
  <c r="A195" i="13"/>
  <c r="AJ194" i="13"/>
  <c r="A194" i="13"/>
  <c r="AV193" i="13"/>
  <c r="AJ193" i="13"/>
  <c r="T193" i="13"/>
  <c r="A193" i="13"/>
  <c r="AV192" i="13"/>
  <c r="AJ192" i="13"/>
  <c r="T192" i="13"/>
  <c r="A192" i="13"/>
  <c r="AF191" i="13"/>
  <c r="AD191" i="13"/>
  <c r="AC191" i="13"/>
  <c r="AB191" i="13"/>
  <c r="AA191" i="13"/>
  <c r="AA169" i="13"/>
  <c r="Z191" i="13"/>
  <c r="Y191" i="13"/>
  <c r="X191" i="13"/>
  <c r="W191" i="13"/>
  <c r="U191" i="13"/>
  <c r="R191" i="13"/>
  <c r="A191" i="13"/>
  <c r="A190" i="13"/>
  <c r="AJ189" i="13"/>
  <c r="A189" i="13"/>
  <c r="AJ188" i="13"/>
  <c r="A188" i="13"/>
  <c r="AJ187" i="13"/>
  <c r="A187" i="13"/>
  <c r="AJ186" i="13"/>
  <c r="A186" i="13"/>
  <c r="AJ185" i="13"/>
  <c r="A185" i="13"/>
  <c r="AJ184" i="13"/>
  <c r="A184" i="13"/>
  <c r="AJ183" i="13"/>
  <c r="A183" i="13"/>
  <c r="AJ182" i="13"/>
  <c r="A182" i="13"/>
  <c r="AJ181" i="13"/>
  <c r="A181" i="13"/>
  <c r="AJ180" i="13"/>
  <c r="A180" i="13"/>
  <c r="AJ179" i="13"/>
  <c r="A179" i="13"/>
  <c r="AJ178" i="13"/>
  <c r="A178" i="13"/>
  <c r="AJ177" i="13"/>
  <c r="A177" i="13"/>
  <c r="AJ176" i="13"/>
  <c r="A176" i="13"/>
  <c r="AJ175" i="13"/>
  <c r="A175" i="13"/>
  <c r="AJ174" i="13"/>
  <c r="T174" i="13"/>
  <c r="A174" i="13"/>
  <c r="AJ173" i="13"/>
  <c r="T173" i="13"/>
  <c r="A173" i="13"/>
  <c r="AJ172" i="13"/>
  <c r="A172" i="13"/>
  <c r="AJ171" i="13"/>
  <c r="T171" i="13"/>
  <c r="T170" i="13"/>
  <c r="A171" i="13"/>
  <c r="AJ170" i="13"/>
  <c r="A170" i="13"/>
  <c r="AV169" i="13"/>
  <c r="AF169" i="13"/>
  <c r="AD169" i="13"/>
  <c r="AC169" i="13"/>
  <c r="AB169" i="13"/>
  <c r="Z169" i="13"/>
  <c r="W169" i="13"/>
  <c r="Y169" i="13"/>
  <c r="X169" i="13"/>
  <c r="U169" i="13"/>
  <c r="R169" i="13"/>
  <c r="A169" i="13"/>
  <c r="A168" i="13"/>
  <c r="AJ167" i="13"/>
  <c r="A167" i="13"/>
  <c r="AJ166" i="13"/>
  <c r="A166" i="13"/>
  <c r="AJ165" i="13"/>
  <c r="A165" i="13"/>
  <c r="AJ164" i="13"/>
  <c r="A164" i="13"/>
  <c r="AJ163" i="13"/>
  <c r="A163" i="13"/>
  <c r="AJ162" i="13"/>
  <c r="A162" i="13"/>
  <c r="AJ161" i="13"/>
  <c r="Y161" i="13"/>
  <c r="A161" i="13"/>
  <c r="AJ160" i="13"/>
  <c r="A160" i="13"/>
  <c r="AJ159" i="13"/>
  <c r="A159" i="13"/>
  <c r="AJ158" i="13"/>
  <c r="AJ157" i="13"/>
  <c r="A157" i="13"/>
  <c r="AJ156" i="13"/>
  <c r="A156" i="13"/>
  <c r="AJ155" i="13"/>
  <c r="AH155" i="13"/>
  <c r="A155" i="13"/>
  <c r="AJ154" i="13"/>
  <c r="A154" i="13"/>
  <c r="AJ153" i="13"/>
  <c r="A153" i="13"/>
  <c r="AJ152" i="13"/>
  <c r="T152" i="13"/>
  <c r="A152" i="13"/>
  <c r="AJ151" i="13"/>
  <c r="T151" i="13"/>
  <c r="A151" i="13"/>
  <c r="AJ150" i="13"/>
  <c r="A150" i="13"/>
  <c r="AJ149" i="13"/>
  <c r="AH149" i="13"/>
  <c r="T149" i="13"/>
  <c r="A149" i="13"/>
  <c r="AJ148" i="13"/>
  <c r="AH148" i="13"/>
  <c r="T148" i="13"/>
  <c r="A148" i="13"/>
  <c r="AV147" i="13"/>
  <c r="AM147" i="13"/>
  <c r="AL147" i="13"/>
  <c r="AK147" i="13"/>
  <c r="R147" i="13"/>
  <c r="A147" i="13"/>
  <c r="A146" i="13"/>
  <c r="AH145" i="13"/>
  <c r="A145" i="13"/>
  <c r="AJ144" i="13"/>
  <c r="AH144" i="13"/>
  <c r="A144" i="13"/>
  <c r="AJ143" i="13"/>
  <c r="AH143" i="13"/>
  <c r="A143" i="13"/>
  <c r="AJ142" i="13"/>
  <c r="AH142" i="13"/>
  <c r="AH141" i="13" s="1"/>
  <c r="A142" i="13"/>
  <c r="AV141" i="13"/>
  <c r="AV140" i="13" s="1"/>
  <c r="AI141" i="13"/>
  <c r="AI140" i="13" s="1"/>
  <c r="AG141" i="13"/>
  <c r="AG140" i="13" s="1"/>
  <c r="AF141" i="13"/>
  <c r="AF140" i="13" s="1"/>
  <c r="AD141" i="13"/>
  <c r="AD140" i="13" s="1"/>
  <c r="AC141" i="13"/>
  <c r="AC140" i="13" s="1"/>
  <c r="AA140" i="13"/>
  <c r="Z140" i="13"/>
  <c r="Y141" i="13"/>
  <c r="Y140" i="13" s="1"/>
  <c r="X141" i="13"/>
  <c r="X140" i="13" s="1"/>
  <c r="W141" i="13"/>
  <c r="W140" i="13" s="1"/>
  <c r="T141" i="13"/>
  <c r="T140" i="13" s="1"/>
  <c r="R141" i="13"/>
  <c r="A141" i="13"/>
  <c r="A140" i="13"/>
  <c r="AJ139" i="13"/>
  <c r="A139" i="13"/>
  <c r="AJ138" i="13"/>
  <c r="A138" i="13"/>
  <c r="AJ137" i="13"/>
  <c r="A137" i="13"/>
  <c r="AJ136" i="13"/>
  <c r="A136" i="13"/>
  <c r="AJ135" i="13"/>
  <c r="A135" i="13"/>
  <c r="AJ134" i="13"/>
  <c r="A134" i="13"/>
  <c r="AJ133" i="13"/>
  <c r="A133" i="13"/>
  <c r="AJ132" i="13"/>
  <c r="A132" i="13"/>
  <c r="AJ131" i="13"/>
  <c r="A131" i="13"/>
  <c r="AJ130" i="13"/>
  <c r="A130" i="13"/>
  <c r="AJ129" i="13"/>
  <c r="A129" i="13"/>
  <c r="AJ128" i="13"/>
  <c r="A128" i="13"/>
  <c r="AJ127" i="13"/>
  <c r="A127" i="13"/>
  <c r="AJ126" i="13"/>
  <c r="A126" i="13"/>
  <c r="AJ125" i="13"/>
  <c r="A125" i="13"/>
  <c r="AJ124" i="13"/>
  <c r="A124" i="13"/>
  <c r="AJ123" i="13"/>
  <c r="A123" i="13"/>
  <c r="AJ122" i="13"/>
  <c r="AJ121" i="13"/>
  <c r="A122" i="13"/>
  <c r="A121" i="13"/>
  <c r="AI120" i="13"/>
  <c r="AH120" i="13"/>
  <c r="AG120" i="13"/>
  <c r="AG15" i="13"/>
  <c r="AG41" i="13"/>
  <c r="AF120" i="13"/>
  <c r="AD120" i="13"/>
  <c r="AC120" i="13"/>
  <c r="AB120" i="13"/>
  <c r="AA120" i="13"/>
  <c r="Z120" i="13"/>
  <c r="Y120" i="13"/>
  <c r="Y15" i="13"/>
  <c r="X120" i="13"/>
  <c r="X15" i="13"/>
  <c r="X41" i="13"/>
  <c r="W120" i="13"/>
  <c r="U120" i="13"/>
  <c r="T120" i="13"/>
  <c r="A120" i="13"/>
  <c r="T119" i="13"/>
  <c r="A119" i="13"/>
  <c r="AJ118" i="13"/>
  <c r="AH118" i="13"/>
  <c r="A118" i="13"/>
  <c r="AJ117" i="13"/>
  <c r="AH117" i="13"/>
  <c r="A117" i="13"/>
  <c r="AJ116" i="13"/>
  <c r="AH116" i="13"/>
  <c r="A116" i="13"/>
  <c r="AJ115" i="13"/>
  <c r="AH115" i="13"/>
  <c r="AJ114" i="13"/>
  <c r="AH114" i="13"/>
  <c r="A114" i="13"/>
  <c r="AJ113" i="13"/>
  <c r="AH113" i="13"/>
  <c r="A113" i="13"/>
  <c r="AJ112" i="13"/>
  <c r="AH112" i="13"/>
  <c r="A112" i="13"/>
  <c r="AJ111" i="13"/>
  <c r="Y111" i="13"/>
  <c r="AH111" i="13"/>
  <c r="AJ110" i="13"/>
  <c r="Y110" i="13"/>
  <c r="AH110" i="13"/>
  <c r="A110" i="13"/>
  <c r="AJ109" i="13"/>
  <c r="Y109" i="13"/>
  <c r="AH109" i="13"/>
  <c r="A109" i="13"/>
  <c r="AJ108" i="13"/>
  <c r="Y108" i="13"/>
  <c r="AH108" i="13"/>
  <c r="A108" i="13"/>
  <c r="AJ107" i="13"/>
  <c r="Y107" i="13"/>
  <c r="AH107" i="13"/>
  <c r="A107" i="13"/>
  <c r="AJ106" i="13"/>
  <c r="Y106" i="13"/>
  <c r="Y41" i="13"/>
  <c r="A106" i="13"/>
  <c r="AJ105" i="13"/>
  <c r="Y105" i="13"/>
  <c r="AH105" i="13"/>
  <c r="A105" i="13"/>
  <c r="AJ104" i="13"/>
  <c r="AH104" i="13"/>
  <c r="A104" i="13"/>
  <c r="AJ103" i="13"/>
  <c r="AH103" i="13"/>
  <c r="A103" i="13"/>
  <c r="AJ102" i="13"/>
  <c r="AH102" i="13"/>
  <c r="A102" i="13"/>
  <c r="AJ101" i="13"/>
  <c r="AH101" i="13"/>
  <c r="A101" i="13"/>
  <c r="AJ100" i="13"/>
  <c r="AH100" i="13"/>
  <c r="A100" i="13"/>
  <c r="AJ99" i="13"/>
  <c r="AH99" i="13"/>
  <c r="A99" i="13"/>
  <c r="AJ98" i="13"/>
  <c r="AH98" i="13"/>
  <c r="A98" i="13"/>
  <c r="AJ97" i="13"/>
  <c r="AH97" i="13"/>
  <c r="A97" i="13"/>
  <c r="AJ96" i="13"/>
  <c r="AH96" i="13"/>
  <c r="A96" i="13"/>
  <c r="AJ95" i="13"/>
  <c r="AH95" i="13"/>
  <c r="A95" i="13"/>
  <c r="AJ94" i="13"/>
  <c r="AH94" i="13"/>
  <c r="A94" i="13"/>
  <c r="AJ93" i="13"/>
  <c r="AH93" i="13"/>
  <c r="A93" i="13"/>
  <c r="AJ92" i="13"/>
  <c r="AH92" i="13"/>
  <c r="A92" i="13"/>
  <c r="AJ91" i="13"/>
  <c r="AH91" i="13"/>
  <c r="A91" i="13"/>
  <c r="AJ90" i="13"/>
  <c r="AH90" i="13"/>
  <c r="A90" i="13"/>
  <c r="AJ89" i="13"/>
  <c r="AH89" i="13"/>
  <c r="A89" i="13"/>
  <c r="AJ88" i="13"/>
  <c r="AH88" i="13"/>
  <c r="A88" i="13"/>
  <c r="AJ87" i="13"/>
  <c r="AH87" i="13"/>
  <c r="A87" i="13"/>
  <c r="AJ86" i="13"/>
  <c r="AH86" i="13"/>
  <c r="A86" i="13"/>
  <c r="AJ85" i="13"/>
  <c r="AH85" i="13"/>
  <c r="A85" i="13"/>
  <c r="AJ84" i="13"/>
  <c r="AH84" i="13"/>
  <c r="A84" i="13"/>
  <c r="AJ83" i="13"/>
  <c r="AH83" i="13"/>
  <c r="A83" i="13"/>
  <c r="AJ82" i="13"/>
  <c r="AH82" i="13"/>
  <c r="A82" i="13"/>
  <c r="AJ81" i="13"/>
  <c r="AH81" i="13"/>
  <c r="A81" i="13"/>
  <c r="AJ80" i="13"/>
  <c r="AH80" i="13"/>
  <c r="A80" i="13"/>
  <c r="AJ79" i="13"/>
  <c r="AH79" i="13"/>
  <c r="A79" i="13"/>
  <c r="AJ78" i="13"/>
  <c r="AH78" i="13"/>
  <c r="A78" i="13"/>
  <c r="AJ77" i="13"/>
  <c r="AH77" i="13"/>
  <c r="A77" i="13"/>
  <c r="AJ76" i="13"/>
  <c r="AH76" i="13"/>
  <c r="A76" i="13"/>
  <c r="AJ75" i="13"/>
  <c r="AH75" i="13"/>
  <c r="A75" i="13"/>
  <c r="AJ74" i="13"/>
  <c r="AH74" i="13"/>
  <c r="A74" i="13"/>
  <c r="AJ73" i="13"/>
  <c r="AH73" i="13"/>
  <c r="A73" i="13"/>
  <c r="AJ72" i="13"/>
  <c r="AH72" i="13"/>
  <c r="A72" i="13"/>
  <c r="AJ71" i="13"/>
  <c r="AH71" i="13"/>
  <c r="A71" i="13"/>
  <c r="AJ70" i="13"/>
  <c r="AH70" i="13"/>
  <c r="A70" i="13"/>
  <c r="AJ69" i="13"/>
  <c r="AH69" i="13"/>
  <c r="A69" i="13"/>
  <c r="AJ68" i="13"/>
  <c r="AH68" i="13"/>
  <c r="A68" i="13"/>
  <c r="AJ67" i="13"/>
  <c r="AH67" i="13"/>
  <c r="A67" i="13"/>
  <c r="AJ66" i="13"/>
  <c r="AH66" i="13"/>
  <c r="A66" i="13"/>
  <c r="AJ65" i="13"/>
  <c r="AH65" i="13"/>
  <c r="A65" i="13"/>
  <c r="AJ64" i="13"/>
  <c r="AH64" i="13"/>
  <c r="A64" i="13"/>
  <c r="AJ63" i="13"/>
  <c r="AH63" i="13"/>
  <c r="A63" i="13"/>
  <c r="AJ62" i="13"/>
  <c r="AH62" i="13"/>
  <c r="A62" i="13"/>
  <c r="AJ61" i="13"/>
  <c r="AH61" i="13"/>
  <c r="A61" i="13"/>
  <c r="AJ60" i="13"/>
  <c r="AH60" i="13"/>
  <c r="A60" i="13"/>
  <c r="AJ59" i="13"/>
  <c r="AH59" i="13"/>
  <c r="A59" i="13"/>
  <c r="AJ58" i="13"/>
  <c r="AH58" i="13"/>
  <c r="A58" i="13"/>
  <c r="AJ57" i="13"/>
  <c r="AH57" i="13"/>
  <c r="A57" i="13"/>
  <c r="AJ56" i="13"/>
  <c r="AH56" i="13"/>
  <c r="A56" i="13"/>
  <c r="AJ55" i="13"/>
  <c r="AH55" i="13"/>
  <c r="A55" i="13"/>
  <c r="AJ54" i="13"/>
  <c r="AH54" i="13"/>
  <c r="A54" i="13"/>
  <c r="AJ53" i="13"/>
  <c r="AH53" i="13"/>
  <c r="A53" i="13"/>
  <c r="AJ52" i="13"/>
  <c r="AH52" i="13"/>
  <c r="A52" i="13"/>
  <c r="AJ51" i="13"/>
  <c r="AH51" i="13"/>
  <c r="A51" i="13"/>
  <c r="AJ50" i="13"/>
  <c r="AH50" i="13"/>
  <c r="A50" i="13"/>
  <c r="AJ49" i="13"/>
  <c r="AH49" i="13"/>
  <c r="A49" i="13"/>
  <c r="AJ48" i="13"/>
  <c r="AH48" i="13"/>
  <c r="A48" i="13"/>
  <c r="AJ47" i="13"/>
  <c r="AH47" i="13"/>
  <c r="A47" i="13"/>
  <c r="AJ46" i="13"/>
  <c r="AH46" i="13"/>
  <c r="A46" i="13"/>
  <c r="AJ45" i="13"/>
  <c r="AH45" i="13"/>
  <c r="A45" i="13"/>
  <c r="AJ44" i="13"/>
  <c r="AH44" i="13"/>
  <c r="A44" i="13"/>
  <c r="AJ43" i="13"/>
  <c r="AH43" i="13"/>
  <c r="A43" i="13"/>
  <c r="AJ42" i="13"/>
  <c r="AH42" i="13"/>
  <c r="AH41" i="13" s="1"/>
  <c r="A42" i="13"/>
  <c r="AI41" i="13"/>
  <c r="AI15" i="13"/>
  <c r="AF41" i="13"/>
  <c r="AF15" i="13"/>
  <c r="AD41" i="13"/>
  <c r="AC41" i="13"/>
  <c r="AC15" i="13"/>
  <c r="AB41" i="13"/>
  <c r="AA41" i="13"/>
  <c r="Z41" i="13"/>
  <c r="Z15" i="13"/>
  <c r="W41" i="13"/>
  <c r="W15" i="13"/>
  <c r="U41" i="13"/>
  <c r="T41" i="13"/>
  <c r="R41" i="13"/>
  <c r="A41" i="13"/>
  <c r="AJ40" i="13"/>
  <c r="AH40" i="13"/>
  <c r="A40" i="13"/>
  <c r="AJ39" i="13"/>
  <c r="AH39" i="13"/>
  <c r="A39" i="13"/>
  <c r="AJ38" i="13"/>
  <c r="AH38" i="13"/>
  <c r="A38" i="13"/>
  <c r="AJ37" i="13"/>
  <c r="AH37" i="13"/>
  <c r="A37" i="13"/>
  <c r="AJ36" i="13"/>
  <c r="AH36" i="13"/>
  <c r="A36" i="13"/>
  <c r="AJ35" i="13"/>
  <c r="AH35" i="13"/>
  <c r="A35" i="13"/>
  <c r="AJ34" i="13"/>
  <c r="AH34" i="13"/>
  <c r="A34" i="13"/>
  <c r="AJ33" i="13"/>
  <c r="AH33" i="13"/>
  <c r="A33" i="13"/>
  <c r="AJ32" i="13"/>
  <c r="AH32" i="13"/>
  <c r="A32" i="13"/>
  <c r="AJ31" i="13"/>
  <c r="AH31" i="13"/>
  <c r="A31" i="13"/>
  <c r="AJ30" i="13"/>
  <c r="AH30" i="13"/>
  <c r="A30" i="13"/>
  <c r="AJ29" i="13"/>
  <c r="AH29" i="13"/>
  <c r="A29" i="13"/>
  <c r="AJ28" i="13"/>
  <c r="AH28" i="13"/>
  <c r="A28" i="13"/>
  <c r="AJ27" i="13"/>
  <c r="AH27" i="13"/>
  <c r="A27" i="13"/>
  <c r="AJ26" i="13"/>
  <c r="AH26" i="13"/>
  <c r="A26" i="13"/>
  <c r="AJ25" i="13"/>
  <c r="AH25" i="13"/>
  <c r="A25" i="13"/>
  <c r="AJ24" i="13"/>
  <c r="AH24" i="13"/>
  <c r="A24" i="13"/>
  <c r="AJ23" i="13"/>
  <c r="AH23" i="13"/>
  <c r="A23" i="13"/>
  <c r="AJ22" i="13"/>
  <c r="AH22" i="13"/>
  <c r="A22" i="13"/>
  <c r="AJ21" i="13"/>
  <c r="AH21" i="13"/>
  <c r="A21" i="13"/>
  <c r="AJ20" i="13"/>
  <c r="AH20" i="13"/>
  <c r="A20" i="13"/>
  <c r="AJ19" i="13"/>
  <c r="AJ16" i="13"/>
  <c r="AJ17" i="13"/>
  <c r="AJ18" i="13"/>
  <c r="AH19" i="13"/>
  <c r="A19" i="13"/>
  <c r="AH18" i="13"/>
  <c r="AA18" i="13"/>
  <c r="A18" i="13"/>
  <c r="AH17" i="13"/>
  <c r="AA17" i="13"/>
  <c r="A17" i="13"/>
  <c r="AH16" i="13"/>
  <c r="AH15" i="13" s="1"/>
  <c r="AA16" i="13"/>
  <c r="A16" i="13"/>
  <c r="AD15" i="13"/>
  <c r="AB15" i="13"/>
  <c r="U15" i="13"/>
  <c r="T15" i="13"/>
  <c r="R15" i="13"/>
  <c r="AP13" i="13"/>
  <c r="AO13" i="13"/>
  <c r="E4" i="12"/>
  <c r="D4" i="12"/>
  <c r="C24" i="12"/>
  <c r="C15" i="12"/>
  <c r="C26" i="12"/>
  <c r="U18" i="7"/>
  <c r="U15" i="7"/>
  <c r="X13" i="7"/>
  <c r="AN14" i="7"/>
  <c r="AA777" i="7"/>
  <c r="AJ17" i="7"/>
  <c r="AJ566" i="7"/>
  <c r="AJ846" i="7"/>
  <c r="AJ936" i="7"/>
  <c r="AJ935" i="7"/>
  <c r="AI956" i="7"/>
  <c r="AJ956" i="7"/>
  <c r="AJ967" i="7"/>
  <c r="AI967" i="7"/>
  <c r="AJ991" i="7"/>
  <c r="AI991" i="7"/>
  <c r="AI1006" i="7"/>
  <c r="AJ1006" i="7"/>
  <c r="AI998" i="7"/>
  <c r="AJ998" i="7"/>
  <c r="AI1010" i="7"/>
  <c r="AJ1010" i="7"/>
  <c r="AK1010" i="7"/>
  <c r="AL1010" i="7"/>
  <c r="AM1010" i="7"/>
  <c r="AJ1495" i="7"/>
  <c r="AI1427" i="7"/>
  <c r="AI1418" i="7"/>
  <c r="AI1409" i="7"/>
  <c r="AI1400" i="7"/>
  <c r="AI1391" i="7"/>
  <c r="AI1382" i="7"/>
  <c r="AJ1147" i="7"/>
  <c r="AJ308" i="7"/>
  <c r="AJ131" i="7"/>
  <c r="AJ110" i="7"/>
  <c r="AJ385" i="7"/>
  <c r="AJ1198" i="7"/>
  <c r="AJ1234" i="7"/>
  <c r="AJ1225" i="7"/>
  <c r="AJ1216" i="7"/>
  <c r="AJ1207" i="7"/>
  <c r="AJ1189" i="7"/>
  <c r="AJ1180" i="7"/>
  <c r="AJ447" i="7"/>
  <c r="AJ408" i="7"/>
  <c r="AJ407" i="7"/>
  <c r="AJ406" i="7"/>
  <c r="AJ405" i="7"/>
  <c r="AJ155" i="7"/>
  <c r="AJ177" i="7"/>
  <c r="AJ250" i="7"/>
  <c r="AJ303" i="7"/>
  <c r="AJ198" i="7"/>
  <c r="AJ279" i="7"/>
  <c r="AJ222" i="7"/>
  <c r="AJ297" i="7"/>
  <c r="AJ268" i="7"/>
  <c r="AJ243" i="7"/>
  <c r="AJ192" i="7"/>
  <c r="AJ216" i="7"/>
  <c r="AJ170" i="7"/>
  <c r="AJ148" i="7"/>
  <c r="AJ1148" i="7"/>
  <c r="AJ872" i="7"/>
  <c r="AJ1063" i="7"/>
  <c r="AJ950" i="7"/>
  <c r="AJ940" i="7"/>
  <c r="AJ191" i="7"/>
  <c r="AJ517" i="7"/>
  <c r="AJ863" i="7"/>
  <c r="AJ1089" i="7"/>
  <c r="AJ821" i="7"/>
  <c r="AJ777" i="7"/>
  <c r="AJ530" i="7"/>
  <c r="AJ529" i="7"/>
  <c r="AJ528" i="7"/>
  <c r="AJ527" i="7"/>
  <c r="AJ526" i="7"/>
  <c r="AJ525" i="7"/>
  <c r="AJ524" i="7"/>
  <c r="AJ862" i="7"/>
  <c r="AJ990" i="7"/>
  <c r="AJ989" i="7"/>
  <c r="AJ939" i="7"/>
  <c r="AJ523" i="7"/>
  <c r="AJ522" i="7"/>
  <c r="AJ521" i="7"/>
  <c r="AJ520" i="7"/>
  <c r="AJ519" i="7"/>
  <c r="AJ518" i="7"/>
  <c r="AJ1059" i="7"/>
  <c r="AJ340" i="7"/>
  <c r="AJ342" i="7"/>
  <c r="AJ343" i="7"/>
  <c r="AJ1050" i="7"/>
  <c r="AJ1048" i="7"/>
  <c r="AJ728" i="7"/>
  <c r="AJ726" i="7"/>
  <c r="AJ1095" i="7"/>
  <c r="AJ1058" i="7"/>
  <c r="AJ899" i="7"/>
  <c r="AJ898" i="7"/>
  <c r="AJ1430" i="7"/>
  <c r="AJ1427" i="7"/>
  <c r="AJ1420" i="7"/>
  <c r="AJ1418" i="7"/>
  <c r="AJ1411" i="7"/>
  <c r="AJ1409" i="7"/>
  <c r="AJ1402" i="7"/>
  <c r="AJ1400" i="7"/>
  <c r="AJ1393" i="7"/>
  <c r="AJ1391" i="7"/>
  <c r="AJ1384" i="7"/>
  <c r="AJ1382" i="7"/>
  <c r="AJ1375" i="7"/>
  <c r="AJ1373" i="7"/>
  <c r="AJ1366" i="7"/>
  <c r="AJ1364" i="7"/>
  <c r="AJ903" i="7"/>
  <c r="AJ762" i="7"/>
  <c r="AJ761" i="7"/>
  <c r="AJ760" i="7"/>
  <c r="AJ759" i="7"/>
  <c r="AJ758" i="7"/>
  <c r="AJ757" i="7"/>
  <c r="AJ756" i="7"/>
  <c r="AJ741" i="7"/>
  <c r="AJ101" i="7"/>
  <c r="AJ100" i="7"/>
  <c r="AJ99" i="7"/>
  <c r="AJ98" i="7"/>
  <c r="AJ97" i="7"/>
  <c r="AJ96" i="7"/>
  <c r="AJ95" i="7"/>
  <c r="AJ473" i="7"/>
  <c r="AJ472" i="7"/>
  <c r="AJ471" i="7"/>
  <c r="AJ470" i="7"/>
  <c r="AJ469" i="7"/>
  <c r="AJ468" i="7"/>
  <c r="AJ467" i="7"/>
  <c r="AJ1363" i="7"/>
  <c r="AJ52" i="7"/>
  <c r="AJ16" i="7"/>
  <c r="AJ1032" i="7"/>
  <c r="AJ644" i="7"/>
  <c r="AJ1349" i="7"/>
  <c r="AJ1345" i="7"/>
  <c r="AJ647" i="7"/>
  <c r="AJ645" i="7"/>
  <c r="AJ643" i="7"/>
  <c r="AJ642" i="7"/>
  <c r="AJ641" i="7"/>
  <c r="AJ640" i="7"/>
  <c r="AJ639" i="7"/>
  <c r="AJ638" i="7"/>
  <c r="AJ843" i="7"/>
  <c r="AJ841" i="7"/>
  <c r="AJ353" i="7"/>
  <c r="AJ354" i="7"/>
  <c r="AJ356" i="7"/>
  <c r="AJ359" i="7"/>
  <c r="AJ358" i="7"/>
  <c r="AJ357" i="7"/>
  <c r="AJ355" i="7"/>
  <c r="AJ558" i="7"/>
  <c r="AJ557" i="7"/>
  <c r="AJ555" i="7"/>
  <c r="AJ554" i="7"/>
  <c r="AJ553" i="7"/>
  <c r="AJ552" i="7"/>
  <c r="AJ556" i="7"/>
  <c r="AJ1033" i="7"/>
  <c r="AJ404" i="7"/>
  <c r="AJ403" i="7"/>
  <c r="AJ402" i="7"/>
  <c r="AJ319" i="7"/>
  <c r="AJ310" i="7"/>
  <c r="AJ384" i="7"/>
  <c r="AJ383" i="7"/>
  <c r="AJ387" i="7"/>
  <c r="AJ386" i="7"/>
  <c r="AJ382" i="7"/>
  <c r="AJ381" i="7"/>
  <c r="AJ1061" i="7"/>
  <c r="AJ288" i="7"/>
  <c r="AJ258" i="7"/>
  <c r="AJ232" i="7"/>
  <c r="AJ206" i="7"/>
  <c r="AJ184" i="7"/>
  <c r="AJ162" i="7"/>
  <c r="AJ140" i="7"/>
  <c r="AJ1238" i="7"/>
  <c r="AJ1231" i="7"/>
  <c r="AJ1229" i="7"/>
  <c r="AJ1222" i="7"/>
  <c r="AJ1220" i="7"/>
  <c r="AJ1213" i="7"/>
  <c r="AJ1211" i="7"/>
  <c r="AJ1204" i="7"/>
  <c r="AJ1202" i="7"/>
  <c r="AJ1195" i="7"/>
  <c r="AJ1193" i="7"/>
  <c r="AJ1186" i="7"/>
  <c r="AJ1184" i="7"/>
  <c r="AJ1177" i="7"/>
  <c r="AJ1084" i="7"/>
  <c r="AJ1021" i="7"/>
  <c r="AJ1022" i="7"/>
  <c r="AJ240" i="7"/>
  <c r="AJ214" i="7"/>
  <c r="AJ190" i="7"/>
  <c r="AJ168" i="7"/>
  <c r="AJ295" i="7"/>
  <c r="AJ265" i="7"/>
  <c r="AJ1019" i="7"/>
  <c r="AJ146" i="7"/>
  <c r="Y639" i="7"/>
  <c r="AJ215" i="7"/>
  <c r="AJ1060" i="7"/>
  <c r="AJ1055" i="7"/>
  <c r="AJ307" i="7"/>
  <c r="AJ284" i="7"/>
  <c r="AJ283" i="7"/>
  <c r="AJ255" i="7"/>
  <c r="AJ254" i="7"/>
  <c r="AJ227" i="7"/>
  <c r="AJ226" i="7"/>
  <c r="AJ202" i="7"/>
  <c r="AJ201" i="7"/>
  <c r="AJ181" i="7"/>
  <c r="AJ180" i="7"/>
  <c r="AJ159" i="7"/>
  <c r="AJ158" i="7"/>
  <c r="A293" i="7"/>
  <c r="A262" i="7"/>
  <c r="A238" i="7"/>
  <c r="A188" i="7"/>
  <c r="A166" i="7"/>
  <c r="A144" i="7"/>
  <c r="X1123" i="7"/>
  <c r="X1120" i="7"/>
  <c r="W739" i="7"/>
  <c r="X739" i="7"/>
  <c r="V739" i="7"/>
  <c r="X632" i="7"/>
  <c r="W632" i="7"/>
  <c r="X627" i="7"/>
  <c r="W627" i="7"/>
  <c r="X622" i="7"/>
  <c r="X617" i="7"/>
  <c r="X611" i="7"/>
  <c r="X605" i="7"/>
  <c r="X599" i="7"/>
  <c r="W599" i="7"/>
  <c r="X593" i="7"/>
  <c r="Y19" i="7"/>
  <c r="Y20" i="7"/>
  <c r="Y21" i="7"/>
  <c r="Y22" i="7"/>
  <c r="Y23" i="7"/>
  <c r="Y24" i="7"/>
  <c r="Y25" i="7"/>
  <c r="Y26" i="7"/>
  <c r="Y27" i="7"/>
  <c r="Y28" i="7"/>
  <c r="Y29" i="7"/>
  <c r="Y30" i="7"/>
  <c r="Y31" i="7"/>
  <c r="Y32" i="7"/>
  <c r="Y33" i="7"/>
  <c r="Y34" i="7"/>
  <c r="Y35" i="7"/>
  <c r="Y36" i="7"/>
  <c r="Y37" i="7"/>
  <c r="Y38" i="7"/>
  <c r="Y39" i="7"/>
  <c r="Y40" i="7"/>
  <c r="Y41" i="7"/>
  <c r="Y42" i="7"/>
  <c r="Y43" i="7"/>
  <c r="Y44" i="7"/>
  <c r="Y45" i="7"/>
  <c r="Y46" i="7"/>
  <c r="Y47" i="7"/>
  <c r="Y48" i="7"/>
  <c r="Y49" i="7"/>
  <c r="Y50" i="7"/>
  <c r="Y51"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11" i="7"/>
  <c r="Y112" i="7"/>
  <c r="Y113" i="7"/>
  <c r="Y114" i="7"/>
  <c r="Y115" i="7"/>
  <c r="Y116" i="7"/>
  <c r="Y117" i="7"/>
  <c r="Y118" i="7"/>
  <c r="Y119" i="7"/>
  <c r="Y120" i="7"/>
  <c r="Y121" i="7"/>
  <c r="Y122" i="7"/>
  <c r="Y123" i="7"/>
  <c r="Y124" i="7"/>
  <c r="Y125" i="7"/>
  <c r="Y126" i="7"/>
  <c r="Y127" i="7"/>
  <c r="Y128" i="7"/>
  <c r="Y129" i="7"/>
  <c r="Y132" i="7"/>
  <c r="Y133" i="7"/>
  <c r="Y134" i="7"/>
  <c r="Y135" i="7"/>
  <c r="Y138" i="7"/>
  <c r="Y139" i="7"/>
  <c r="Y141" i="7"/>
  <c r="Y142" i="7"/>
  <c r="Y143" i="7"/>
  <c r="Y145" i="7"/>
  <c r="Y146" i="7"/>
  <c r="Y149" i="7"/>
  <c r="Y150" i="7"/>
  <c r="Y151" i="7"/>
  <c r="Y152" i="7"/>
  <c r="Y153" i="7"/>
  <c r="Y154" i="7"/>
  <c r="Y155" i="7"/>
  <c r="Y156" i="7"/>
  <c r="Y157" i="7"/>
  <c r="Y158" i="7"/>
  <c r="Y160" i="7"/>
  <c r="Y161" i="7"/>
  <c r="Y163" i="7"/>
  <c r="Y164" i="7"/>
  <c r="Y165" i="7"/>
  <c r="Y167" i="7"/>
  <c r="Y168" i="7"/>
  <c r="Y169" i="7"/>
  <c r="Y171" i="7"/>
  <c r="Y172" i="7"/>
  <c r="Y173" i="7"/>
  <c r="Y174" i="7"/>
  <c r="Y175" i="7"/>
  <c r="Y176" i="7"/>
  <c r="Y177" i="7"/>
  <c r="Y178" i="7"/>
  <c r="Y179" i="7"/>
  <c r="Y180" i="7"/>
  <c r="Y182" i="7"/>
  <c r="Y183" i="7"/>
  <c r="Y185" i="7"/>
  <c r="Y186" i="7"/>
  <c r="Y187" i="7"/>
  <c r="Y189" i="7"/>
  <c r="Y190" i="7"/>
  <c r="Y191" i="7"/>
  <c r="Y193" i="7"/>
  <c r="Y194" i="7"/>
  <c r="Y195" i="7"/>
  <c r="Y196" i="7"/>
  <c r="Y197" i="7"/>
  <c r="Y198" i="7"/>
  <c r="Y199" i="7"/>
  <c r="Y200" i="7"/>
  <c r="Y201" i="7"/>
  <c r="Y203" i="7"/>
  <c r="Y204" i="7"/>
  <c r="Y205" i="7"/>
  <c r="Y207" i="7"/>
  <c r="Y208" i="7"/>
  <c r="Y209" i="7"/>
  <c r="Y210" i="7"/>
  <c r="Y211" i="7"/>
  <c r="Y212" i="7"/>
  <c r="Y213" i="7"/>
  <c r="Y214" i="7"/>
  <c r="Y215" i="7"/>
  <c r="Y217" i="7"/>
  <c r="Y218" i="7"/>
  <c r="Y219" i="7"/>
  <c r="Y220" i="7"/>
  <c r="Y221" i="7"/>
  <c r="Y222" i="7"/>
  <c r="Y223" i="7"/>
  <c r="Y224" i="7"/>
  <c r="Y225" i="7"/>
  <c r="Y226" i="7"/>
  <c r="Y228" i="7"/>
  <c r="Y229" i="7"/>
  <c r="Y230" i="7"/>
  <c r="Y231" i="7"/>
  <c r="Y233" i="7"/>
  <c r="Y234" i="7"/>
  <c r="Y235" i="7"/>
  <c r="Y236" i="7"/>
  <c r="Y237" i="7"/>
  <c r="Y239" i="7"/>
  <c r="Y240" i="7"/>
  <c r="Y241" i="7"/>
  <c r="Y242" i="7"/>
  <c r="Y244" i="7"/>
  <c r="Y245" i="7"/>
  <c r="Y246" i="7"/>
  <c r="Y247" i="7"/>
  <c r="Y248" i="7"/>
  <c r="Y249" i="7"/>
  <c r="Y250" i="7"/>
  <c r="Y251" i="7"/>
  <c r="Y252" i="7"/>
  <c r="Y253" i="7"/>
  <c r="Y254" i="7"/>
  <c r="Y256" i="7"/>
  <c r="Y257" i="7"/>
  <c r="Y259" i="7"/>
  <c r="Y260" i="7"/>
  <c r="Y261" i="7"/>
  <c r="Y263" i="7"/>
  <c r="Y264" i="7"/>
  <c r="Y265" i="7"/>
  <c r="Y266" i="7"/>
  <c r="Y267" i="7"/>
  <c r="Y269" i="7"/>
  <c r="Y270" i="7"/>
  <c r="Y271" i="7"/>
  <c r="Y272" i="7"/>
  <c r="Y273" i="7"/>
  <c r="Y274" i="7"/>
  <c r="Y275" i="7"/>
  <c r="Y276" i="7"/>
  <c r="Y277" i="7"/>
  <c r="Y278" i="7"/>
  <c r="Y279" i="7"/>
  <c r="Y280" i="7"/>
  <c r="Y281" i="7"/>
  <c r="Y282" i="7"/>
  <c r="Y283" i="7"/>
  <c r="Y285" i="7"/>
  <c r="Y286" i="7"/>
  <c r="Y287" i="7"/>
  <c r="Y289" i="7"/>
  <c r="Y290" i="7"/>
  <c r="Y291" i="7"/>
  <c r="Y292" i="7"/>
  <c r="Y294" i="7"/>
  <c r="Y295" i="7"/>
  <c r="Y296" i="7"/>
  <c r="Y298" i="7"/>
  <c r="Y299" i="7"/>
  <c r="Y300" i="7"/>
  <c r="Y301" i="7"/>
  <c r="Y302" i="7"/>
  <c r="Y303" i="7"/>
  <c r="Y304" i="7"/>
  <c r="Y305" i="7"/>
  <c r="Y306" i="7"/>
  <c r="Y307" i="7"/>
  <c r="Y309" i="7"/>
  <c r="Y308"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39" i="7"/>
  <c r="Y340" i="7"/>
  <c r="Y341" i="7"/>
  <c r="Y342" i="7"/>
  <c r="Y343" i="7"/>
  <c r="Y344" i="7"/>
  <c r="Y345" i="7"/>
  <c r="Y346" i="7"/>
  <c r="Y347" i="7"/>
  <c r="Y348" i="7"/>
  <c r="Y349" i="7"/>
  <c r="Y350" i="7"/>
  <c r="Y351" i="7"/>
  <c r="Y352" i="7"/>
  <c r="Y353" i="7"/>
  <c r="Y354" i="7"/>
  <c r="Y355" i="7"/>
  <c r="Y356" i="7"/>
  <c r="Y357" i="7"/>
  <c r="Y358" i="7"/>
  <c r="Y359" i="7"/>
  <c r="Y360" i="7"/>
  <c r="Y361" i="7"/>
  <c r="Y362" i="7"/>
  <c r="Y363" i="7"/>
  <c r="Y364" i="7"/>
  <c r="Y365" i="7"/>
  <c r="Y366" i="7"/>
  <c r="Y367" i="7"/>
  <c r="Y368" i="7"/>
  <c r="Y369" i="7"/>
  <c r="Y370" i="7"/>
  <c r="Y371" i="7"/>
  <c r="Y372" i="7"/>
  <c r="Y373" i="7"/>
  <c r="Y374" i="7"/>
  <c r="Y375" i="7"/>
  <c r="Y376" i="7"/>
  <c r="Y377" i="7"/>
  <c r="Y378" i="7"/>
  <c r="Y379" i="7"/>
  <c r="Y380" i="7"/>
  <c r="Y381" i="7"/>
  <c r="Y383" i="7"/>
  <c r="Y384" i="7"/>
  <c r="Y386" i="7"/>
  <c r="Y387" i="7"/>
  <c r="Y388" i="7"/>
  <c r="Y389" i="7"/>
  <c r="Y390" i="7"/>
  <c r="Y391" i="7"/>
  <c r="Y392" i="7"/>
  <c r="Y393" i="7"/>
  <c r="Y394" i="7"/>
  <c r="Y395" i="7"/>
  <c r="Y396" i="7"/>
  <c r="Y397" i="7"/>
  <c r="Y398" i="7"/>
  <c r="Y399" i="7"/>
  <c r="Y400" i="7"/>
  <c r="Y401" i="7"/>
  <c r="Y402" i="7"/>
  <c r="Y403" i="7"/>
  <c r="Y404" i="7"/>
  <c r="Y405" i="7"/>
  <c r="Y406" i="7"/>
  <c r="Y407" i="7"/>
  <c r="Y408" i="7"/>
  <c r="Y409" i="7"/>
  <c r="Y410" i="7"/>
  <c r="Y411" i="7"/>
  <c r="Y412" i="7"/>
  <c r="Y413" i="7"/>
  <c r="Y414" i="7"/>
  <c r="Y415" i="7"/>
  <c r="Y416" i="7"/>
  <c r="Y417" i="7"/>
  <c r="Y418" i="7"/>
  <c r="Y419" i="7"/>
  <c r="Y420" i="7"/>
  <c r="Y421" i="7"/>
  <c r="Y422" i="7"/>
  <c r="Y423" i="7"/>
  <c r="Y424" i="7"/>
  <c r="Y425" i="7"/>
  <c r="Y426" i="7"/>
  <c r="Y427" i="7"/>
  <c r="Y428" i="7"/>
  <c r="Y429" i="7"/>
  <c r="Y430" i="7"/>
  <c r="Y431" i="7"/>
  <c r="Y432" i="7"/>
  <c r="Y433" i="7"/>
  <c r="Y434" i="7"/>
  <c r="Y435" i="7"/>
  <c r="Y436" i="7"/>
  <c r="Y437" i="7"/>
  <c r="Y438" i="7"/>
  <c r="Y439" i="7"/>
  <c r="Y440" i="7"/>
  <c r="Y441" i="7"/>
  <c r="Y442" i="7"/>
  <c r="Y443" i="7"/>
  <c r="Y444" i="7"/>
  <c r="Y445" i="7"/>
  <c r="Y446" i="7"/>
  <c r="Y447" i="7"/>
  <c r="Y448" i="7"/>
  <c r="Y449" i="7"/>
  <c r="Y450" i="7"/>
  <c r="Y451" i="7"/>
  <c r="Y452" i="7"/>
  <c r="Y453" i="7"/>
  <c r="Y454" i="7"/>
  <c r="Y455" i="7"/>
  <c r="Y456" i="7"/>
  <c r="Y457" i="7"/>
  <c r="Y458" i="7"/>
  <c r="Y459" i="7"/>
  <c r="Y460" i="7"/>
  <c r="Y461" i="7"/>
  <c r="Y462" i="7"/>
  <c r="Y463" i="7"/>
  <c r="Y464" i="7"/>
  <c r="Y465" i="7"/>
  <c r="Y466" i="7"/>
  <c r="Y467" i="7"/>
  <c r="Y468" i="7"/>
  <c r="Y469" i="7"/>
  <c r="Y470" i="7"/>
  <c r="Y471" i="7"/>
  <c r="Y472" i="7"/>
  <c r="Y473" i="7"/>
  <c r="Y474" i="7"/>
  <c r="Y475" i="7"/>
  <c r="Y476" i="7"/>
  <c r="Y477" i="7"/>
  <c r="Y478" i="7"/>
  <c r="Y479" i="7"/>
  <c r="Y480" i="7"/>
  <c r="Y481" i="7"/>
  <c r="Y482" i="7"/>
  <c r="Y483" i="7"/>
  <c r="Y484" i="7"/>
  <c r="Y485" i="7"/>
  <c r="Y486" i="7"/>
  <c r="Y487" i="7"/>
  <c r="Y488" i="7"/>
  <c r="Y489" i="7"/>
  <c r="Y490" i="7"/>
  <c r="Y491" i="7"/>
  <c r="Y492" i="7"/>
  <c r="Y493" i="7"/>
  <c r="Y494" i="7"/>
  <c r="Y495" i="7"/>
  <c r="Y496" i="7"/>
  <c r="Y497" i="7"/>
  <c r="Y498" i="7"/>
  <c r="Y499" i="7"/>
  <c r="Y500" i="7"/>
  <c r="Y501" i="7"/>
  <c r="Y502" i="7"/>
  <c r="Y503" i="7"/>
  <c r="Y504" i="7"/>
  <c r="Y505" i="7"/>
  <c r="Y506" i="7"/>
  <c r="Y507" i="7"/>
  <c r="Y508" i="7"/>
  <c r="Y509" i="7"/>
  <c r="Y510" i="7"/>
  <c r="Y511" i="7"/>
  <c r="Y512" i="7"/>
  <c r="Y513" i="7"/>
  <c r="Y514" i="7"/>
  <c r="Y515" i="7"/>
  <c r="Y516" i="7"/>
  <c r="Y517" i="7"/>
  <c r="Y518" i="7"/>
  <c r="Y519" i="7"/>
  <c r="Y520" i="7"/>
  <c r="Y521" i="7"/>
  <c r="Y522" i="7"/>
  <c r="Y523" i="7"/>
  <c r="Y524" i="7"/>
  <c r="Y525" i="7"/>
  <c r="Y526" i="7"/>
  <c r="Y527" i="7"/>
  <c r="Y528" i="7"/>
  <c r="Y529" i="7"/>
  <c r="Y530" i="7"/>
  <c r="Y531" i="7"/>
  <c r="Y532" i="7"/>
  <c r="Y533" i="7"/>
  <c r="Y534" i="7"/>
  <c r="Y535" i="7"/>
  <c r="Y536" i="7"/>
  <c r="Y537" i="7"/>
  <c r="Y538" i="7"/>
  <c r="Y539" i="7"/>
  <c r="Y540" i="7"/>
  <c r="Y541" i="7"/>
  <c r="Y542" i="7"/>
  <c r="Y543" i="7"/>
  <c r="Y544" i="7"/>
  <c r="Y545" i="7"/>
  <c r="Y546" i="7"/>
  <c r="Y547" i="7"/>
  <c r="Y548" i="7"/>
  <c r="Y549" i="7"/>
  <c r="Y550" i="7"/>
  <c r="Y551" i="7"/>
  <c r="Y552" i="7"/>
  <c r="Y553" i="7"/>
  <c r="Y554" i="7"/>
  <c r="Y555" i="7"/>
  <c r="Y556" i="7"/>
  <c r="Y557" i="7"/>
  <c r="Y558" i="7"/>
  <c r="Y559" i="7"/>
  <c r="Y560" i="7"/>
  <c r="Y561" i="7"/>
  <c r="Y562" i="7"/>
  <c r="Y563" i="7"/>
  <c r="Y564" i="7"/>
  <c r="Y565" i="7"/>
  <c r="Y567" i="7"/>
  <c r="Y568" i="7"/>
  <c r="Y569" i="7"/>
  <c r="Y570" i="7"/>
  <c r="Y571" i="7"/>
  <c r="Y572" i="7"/>
  <c r="Y574" i="7"/>
  <c r="Y575" i="7"/>
  <c r="Y576" i="7"/>
  <c r="Y577" i="7"/>
  <c r="Y578" i="7"/>
  <c r="Y579" i="7"/>
  <c r="Y580" i="7"/>
  <c r="Y581" i="7"/>
  <c r="Y582" i="7"/>
  <c r="Y583" i="7"/>
  <c r="Y584" i="7"/>
  <c r="Y586" i="7"/>
  <c r="Y587" i="7"/>
  <c r="Y588" i="7"/>
  <c r="Y589" i="7"/>
  <c r="Y590" i="7"/>
  <c r="Y591" i="7"/>
  <c r="Y592" i="7"/>
  <c r="Y594" i="7"/>
  <c r="Y595" i="7"/>
  <c r="Y596" i="7"/>
  <c r="Y597" i="7"/>
  <c r="Y598" i="7"/>
  <c r="Y600" i="7"/>
  <c r="Y601" i="7"/>
  <c r="Y602" i="7"/>
  <c r="Y603" i="7"/>
  <c r="Y604" i="7"/>
  <c r="Y606" i="7"/>
  <c r="Y607" i="7"/>
  <c r="Y608" i="7"/>
  <c r="Y609" i="7"/>
  <c r="Y610" i="7"/>
  <c r="Y612" i="7"/>
  <c r="Y613" i="7"/>
  <c r="Y614" i="7"/>
  <c r="Y615" i="7"/>
  <c r="Y616" i="7"/>
  <c r="Y618" i="7"/>
  <c r="Y619" i="7"/>
  <c r="Y620" i="7"/>
  <c r="Y621" i="7"/>
  <c r="Y623" i="7"/>
  <c r="Y624" i="7"/>
  <c r="Y625" i="7"/>
  <c r="Y626" i="7"/>
  <c r="Y628" i="7"/>
  <c r="Y629" i="7"/>
  <c r="Y630" i="7"/>
  <c r="Y631" i="7"/>
  <c r="Y633" i="7"/>
  <c r="Y634" i="7"/>
  <c r="Y635" i="7"/>
  <c r="Y636" i="7"/>
  <c r="Y646" i="7"/>
  <c r="Y649" i="7"/>
  <c r="Y650" i="7"/>
  <c r="Y651" i="7"/>
  <c r="Y652" i="7"/>
  <c r="Y653" i="7"/>
  <c r="Y654" i="7"/>
  <c r="Y655" i="7"/>
  <c r="Y656" i="7"/>
  <c r="Y657" i="7"/>
  <c r="Y658" i="7"/>
  <c r="Y659" i="7"/>
  <c r="Y660" i="7"/>
  <c r="Y661" i="7"/>
  <c r="Y662" i="7"/>
  <c r="Y663" i="7"/>
  <c r="Y664" i="7"/>
  <c r="Y665" i="7"/>
  <c r="Y666" i="7"/>
  <c r="Y667" i="7"/>
  <c r="Y668" i="7"/>
  <c r="Y669" i="7"/>
  <c r="Y670" i="7"/>
  <c r="Y671" i="7"/>
  <c r="Y672" i="7"/>
  <c r="Y673" i="7"/>
  <c r="Y674" i="7"/>
  <c r="Y675" i="7"/>
  <c r="Y676" i="7"/>
  <c r="Y678" i="7"/>
  <c r="Y679" i="7"/>
  <c r="Y681" i="7"/>
  <c r="Y682" i="7"/>
  <c r="Y684" i="7"/>
  <c r="Y685" i="7"/>
  <c r="Y687" i="7"/>
  <c r="Y688" i="7"/>
  <c r="Y690" i="7"/>
  <c r="Y691" i="7"/>
  <c r="Y693" i="7"/>
  <c r="Y694" i="7"/>
  <c r="Y696" i="7"/>
  <c r="Y697" i="7"/>
  <c r="Y699" i="7"/>
  <c r="Y700" i="7"/>
  <c r="Y702" i="7"/>
  <c r="Y703" i="7"/>
  <c r="Y705" i="7"/>
  <c r="Y706" i="7"/>
  <c r="Y708" i="7"/>
  <c r="Y709" i="7"/>
  <c r="Y711" i="7"/>
  <c r="Y712" i="7"/>
  <c r="Y714" i="7"/>
  <c r="Y715" i="7"/>
  <c r="Y717" i="7"/>
  <c r="Y718" i="7"/>
  <c r="Y720" i="7"/>
  <c r="Y721" i="7"/>
  <c r="Y723" i="7"/>
  <c r="Y724" i="7"/>
  <c r="Y727" i="7"/>
  <c r="Y728" i="7"/>
  <c r="Y729" i="7"/>
  <c r="Y730" i="7"/>
  <c r="Y731" i="7"/>
  <c r="Y732" i="7"/>
  <c r="Y733" i="7"/>
  <c r="Y734" i="7"/>
  <c r="Y735" i="7"/>
  <c r="Y736" i="7"/>
  <c r="Y738" i="7"/>
  <c r="Y740" i="7"/>
  <c r="Y739" i="7"/>
  <c r="Y742" i="7"/>
  <c r="Y743" i="7"/>
  <c r="Y744" i="7"/>
  <c r="Y745" i="7"/>
  <c r="Y746" i="7"/>
  <c r="Y747" i="7"/>
  <c r="Y748" i="7"/>
  <c r="Y749" i="7"/>
  <c r="Y750" i="7"/>
  <c r="Y751" i="7"/>
  <c r="Y752" i="7"/>
  <c r="Y753" i="7"/>
  <c r="Y754" i="7"/>
  <c r="Y755" i="7"/>
  <c r="Y756" i="7"/>
  <c r="Y757" i="7"/>
  <c r="Y758" i="7"/>
  <c r="Y759" i="7"/>
  <c r="Y760" i="7"/>
  <c r="Y761" i="7"/>
  <c r="Y762" i="7"/>
  <c r="Y764" i="7"/>
  <c r="Y765" i="7"/>
  <c r="Y766" i="7"/>
  <c r="Y767" i="7"/>
  <c r="Y768" i="7"/>
  <c r="Y769" i="7"/>
  <c r="Y770" i="7"/>
  <c r="Y772" i="7"/>
  <c r="Y771" i="7"/>
  <c r="Y775" i="7"/>
  <c r="Y776" i="7"/>
  <c r="Y778" i="7"/>
  <c r="Y779" i="7"/>
  <c r="Y780" i="7"/>
  <c r="Y781" i="7"/>
  <c r="Y782" i="7"/>
  <c r="Y783" i="7"/>
  <c r="Y784" i="7"/>
  <c r="Y785" i="7"/>
  <c r="Y786" i="7"/>
  <c r="Y787" i="7"/>
  <c r="Y788" i="7"/>
  <c r="Y789" i="7"/>
  <c r="Y790" i="7"/>
  <c r="Y791" i="7"/>
  <c r="Y792" i="7"/>
  <c r="Y793" i="7"/>
  <c r="Y794" i="7"/>
  <c r="Y795" i="7"/>
  <c r="Y796" i="7"/>
  <c r="Y797" i="7"/>
  <c r="Y798" i="7"/>
  <c r="Y799" i="7"/>
  <c r="Y800" i="7"/>
  <c r="Y801" i="7"/>
  <c r="Y802" i="7"/>
  <c r="Y803" i="7"/>
  <c r="Y804" i="7"/>
  <c r="Y805" i="7"/>
  <c r="Y806" i="7"/>
  <c r="Y807" i="7"/>
  <c r="Y808" i="7"/>
  <c r="Y809" i="7"/>
  <c r="Y810" i="7"/>
  <c r="Y811" i="7"/>
  <c r="Y812" i="7"/>
  <c r="Y813" i="7"/>
  <c r="Y814" i="7"/>
  <c r="Y815" i="7"/>
  <c r="Y816" i="7"/>
  <c r="Y817" i="7"/>
  <c r="Y818" i="7"/>
  <c r="Y819" i="7"/>
  <c r="Y820" i="7"/>
  <c r="Y821" i="7"/>
  <c r="AB821" i="7"/>
  <c r="Y822" i="7"/>
  <c r="Y823" i="7"/>
  <c r="Y824" i="7"/>
  <c r="Y825" i="7"/>
  <c r="Y826" i="7"/>
  <c r="Y827" i="7"/>
  <c r="Y828" i="7"/>
  <c r="Y829" i="7"/>
  <c r="Y830" i="7"/>
  <c r="Y831" i="7"/>
  <c r="Y832" i="7"/>
  <c r="Y833" i="7"/>
  <c r="Y834" i="7"/>
  <c r="Y835" i="7"/>
  <c r="Y836" i="7"/>
  <c r="Y838" i="7"/>
  <c r="Y839" i="7"/>
  <c r="Y840" i="7"/>
  <c r="Y842" i="7"/>
  <c r="Y843" i="7"/>
  <c r="Y844" i="7"/>
  <c r="Y845" i="7"/>
  <c r="Y847" i="7"/>
  <c r="Y848" i="7"/>
  <c r="Y849" i="7"/>
  <c r="Y850" i="7"/>
  <c r="Y851" i="7"/>
  <c r="Y852" i="7"/>
  <c r="Y853" i="7"/>
  <c r="Y854" i="7"/>
  <c r="Y855" i="7"/>
  <c r="Y856" i="7"/>
  <c r="Y857" i="7"/>
  <c r="Y858" i="7"/>
  <c r="Y859" i="7"/>
  <c r="Y860" i="7"/>
  <c r="Y863" i="7"/>
  <c r="Y864" i="7"/>
  <c r="Y865" i="7"/>
  <c r="Y866" i="7"/>
  <c r="Y867" i="7"/>
  <c r="Y868" i="7"/>
  <c r="Y869" i="7"/>
  <c r="Y870" i="7"/>
  <c r="Y871" i="7"/>
  <c r="Y872" i="7"/>
  <c r="Y873" i="7"/>
  <c r="Y874" i="7"/>
  <c r="Y875" i="7"/>
  <c r="Y876" i="7"/>
  <c r="Y877" i="7"/>
  <c r="Y878" i="7"/>
  <c r="Y879" i="7"/>
  <c r="Y880" i="7"/>
  <c r="Y882" i="7"/>
  <c r="Y883" i="7"/>
  <c r="Y884" i="7"/>
  <c r="Y885" i="7"/>
  <c r="Y887" i="7"/>
  <c r="Y886" i="7"/>
  <c r="Y889" i="7"/>
  <c r="Y890" i="7"/>
  <c r="Y891" i="7"/>
  <c r="Y892" i="7"/>
  <c r="Y893" i="7"/>
  <c r="Y894" i="7"/>
  <c r="Y895" i="7"/>
  <c r="Y896" i="7"/>
  <c r="Y897" i="7"/>
  <c r="Y899" i="7"/>
  <c r="Y900" i="7"/>
  <c r="Y901" i="7"/>
  <c r="Y904" i="7"/>
  <c r="Y905" i="7"/>
  <c r="Y906" i="7"/>
  <c r="Y907" i="7"/>
  <c r="Y908" i="7"/>
  <c r="Y909" i="7"/>
  <c r="Y910" i="7"/>
  <c r="Y911" i="7"/>
  <c r="Y913" i="7"/>
  <c r="Y914" i="7"/>
  <c r="Y915" i="7"/>
  <c r="Y916" i="7"/>
  <c r="Y917" i="7"/>
  <c r="Y918" i="7"/>
  <c r="Y919" i="7"/>
  <c r="Y920" i="7"/>
  <c r="Y921" i="7"/>
  <c r="Y922" i="7"/>
  <c r="Y923" i="7"/>
  <c r="Y924" i="7"/>
  <c r="Y925" i="7"/>
  <c r="Y926" i="7"/>
  <c r="Y927" i="7"/>
  <c r="Y928" i="7"/>
  <c r="Y930" i="7"/>
  <c r="Y931" i="7"/>
  <c r="Y932" i="7"/>
  <c r="Y933" i="7"/>
  <c r="Y934" i="7"/>
  <c r="Y937" i="7"/>
  <c r="Y938" i="7"/>
  <c r="Y941" i="7"/>
  <c r="Y942" i="7"/>
  <c r="Y943" i="7"/>
  <c r="Y944" i="7"/>
  <c r="Y945" i="7"/>
  <c r="Y946" i="7"/>
  <c r="Y947" i="7"/>
  <c r="Y948" i="7"/>
  <c r="Y949" i="7"/>
  <c r="Y950" i="7"/>
  <c r="Y951" i="7"/>
  <c r="Y952" i="7"/>
  <c r="Y953" i="7"/>
  <c r="Y954" i="7"/>
  <c r="Y955" i="7"/>
  <c r="Y957" i="7"/>
  <c r="Y958" i="7"/>
  <c r="Y959" i="7"/>
  <c r="Y960" i="7"/>
  <c r="Y961" i="7"/>
  <c r="Y962" i="7"/>
  <c r="Y963" i="7"/>
  <c r="Y964" i="7"/>
  <c r="Y965" i="7"/>
  <c r="Y966" i="7"/>
  <c r="Y968" i="7"/>
  <c r="Y969" i="7"/>
  <c r="Y970" i="7"/>
  <c r="Y971" i="7"/>
  <c r="Y972" i="7"/>
  <c r="Y973" i="7"/>
  <c r="Y974" i="7"/>
  <c r="Y975" i="7"/>
  <c r="Y976" i="7"/>
  <c r="Y977" i="7"/>
  <c r="Y978" i="7"/>
  <c r="Y979" i="7"/>
  <c r="Y980" i="7"/>
  <c r="Y981" i="7"/>
  <c r="Y982" i="7"/>
  <c r="Y983" i="7"/>
  <c r="Y984" i="7"/>
  <c r="Y985" i="7"/>
  <c r="Y986" i="7"/>
  <c r="Y987" i="7"/>
  <c r="Y991" i="7"/>
  <c r="Y992" i="7"/>
  <c r="Y993" i="7"/>
  <c r="Y994" i="7"/>
  <c r="Y995" i="7"/>
  <c r="Y996" i="7"/>
  <c r="Y997" i="7"/>
  <c r="Y998" i="7"/>
  <c r="Y999" i="7"/>
  <c r="Y1000" i="7"/>
  <c r="Y1001" i="7"/>
  <c r="Y1002" i="7"/>
  <c r="Y1003" i="7"/>
  <c r="Y1004" i="7"/>
  <c r="Y1005" i="7"/>
  <c r="Y1006" i="7"/>
  <c r="Y1007" i="7"/>
  <c r="Y1008" i="7"/>
  <c r="Y1009" i="7"/>
  <c r="Y1010" i="7"/>
  <c r="Y1011" i="7"/>
  <c r="Y1012" i="7"/>
  <c r="Y1013" i="7"/>
  <c r="Y1014" i="7"/>
  <c r="Y1015" i="7"/>
  <c r="Y1016" i="7"/>
  <c r="Y1020" i="7"/>
  <c r="Y1021" i="7"/>
  <c r="Y1022" i="7"/>
  <c r="Y1023" i="7"/>
  <c r="Y1024" i="7"/>
  <c r="Y1025" i="7"/>
  <c r="Y1026" i="7"/>
  <c r="Y1027" i="7"/>
  <c r="Y1028" i="7"/>
  <c r="Y1029" i="7"/>
  <c r="Y1030" i="7"/>
  <c r="Y1031" i="7"/>
  <c r="Y1033" i="7"/>
  <c r="Y1034" i="7"/>
  <c r="Y1035" i="7"/>
  <c r="Y1037" i="7"/>
  <c r="Y1038" i="7"/>
  <c r="Y1039" i="7"/>
  <c r="Y1040" i="7"/>
  <c r="Y1041" i="7"/>
  <c r="Y1042" i="7"/>
  <c r="Y1043" i="7"/>
  <c r="Y1044" i="7"/>
  <c r="Y1045" i="7"/>
  <c r="Y1046" i="7"/>
  <c r="Y1047" i="7"/>
  <c r="Y1049" i="7"/>
  <c r="Y1050" i="7"/>
  <c r="Y1052" i="7"/>
  <c r="Y1051" i="7"/>
  <c r="Y1054" i="7"/>
  <c r="Y1053" i="7"/>
  <c r="Y1056" i="7"/>
  <c r="Y1057" i="7"/>
  <c r="Y1058" i="7"/>
  <c r="Y1059" i="7"/>
  <c r="Y1061" i="7"/>
  <c r="Y1062" i="7"/>
  <c r="Y1064" i="7"/>
  <c r="Y1065" i="7"/>
  <c r="Y1066" i="7"/>
  <c r="Y1067" i="7"/>
  <c r="Y1068" i="7"/>
  <c r="Y1069" i="7"/>
  <c r="Y1070" i="7"/>
  <c r="Y1071" i="7"/>
  <c r="Y1072" i="7"/>
  <c r="Y1073" i="7"/>
  <c r="Y1074" i="7"/>
  <c r="Y1075" i="7"/>
  <c r="Y1076" i="7"/>
  <c r="Y1077" i="7"/>
  <c r="Y1078" i="7"/>
  <c r="Y1079" i="7"/>
  <c r="Y1080" i="7"/>
  <c r="Y1081" i="7"/>
  <c r="Y1082" i="7"/>
  <c r="Y1083" i="7"/>
  <c r="Y1084" i="7"/>
  <c r="Y1085" i="7"/>
  <c r="Y1086" i="7"/>
  <c r="Y1087" i="7"/>
  <c r="Y1088" i="7"/>
  <c r="Y1089" i="7"/>
  <c r="Y1090" i="7"/>
  <c r="Y1091" i="7"/>
  <c r="Y1092" i="7"/>
  <c r="Y1093" i="7"/>
  <c r="Y1094" i="7"/>
  <c r="Y1095" i="7"/>
  <c r="Y1096" i="7"/>
  <c r="Y1097" i="7"/>
  <c r="Y1098" i="7"/>
  <c r="Y1099" i="7"/>
  <c r="Y1102" i="7"/>
  <c r="Y1103" i="7"/>
  <c r="Y1104" i="7"/>
  <c r="Y1105" i="7"/>
  <c r="Y1106" i="7"/>
  <c r="Y1108" i="7"/>
  <c r="Y1109" i="7"/>
  <c r="Y1110" i="7"/>
  <c r="Y1111" i="7"/>
  <c r="Y1112" i="7"/>
  <c r="Y1113" i="7"/>
  <c r="Y1114" i="7"/>
  <c r="Y1115" i="7"/>
  <c r="Y1116" i="7"/>
  <c r="Y1117" i="7"/>
  <c r="Y1118" i="7"/>
  <c r="Y1119" i="7"/>
  <c r="Y1121" i="7"/>
  <c r="Y1122" i="7"/>
  <c r="Y1124" i="7"/>
  <c r="Y1125" i="7"/>
  <c r="Y1126" i="7"/>
  <c r="Y1128" i="7"/>
  <c r="Y1129" i="7"/>
  <c r="Y1130" i="7"/>
  <c r="Y1131" i="7"/>
  <c r="Y1132" i="7"/>
  <c r="Y1133" i="7"/>
  <c r="Y1134" i="7"/>
  <c r="Y1135" i="7"/>
  <c r="Y1136" i="7"/>
  <c r="Y1137" i="7"/>
  <c r="Y1138" i="7"/>
  <c r="Y1139" i="7"/>
  <c r="Y1140" i="7"/>
  <c r="Y1141" i="7"/>
  <c r="Y1142" i="7"/>
  <c r="Y1143" i="7"/>
  <c r="Y1145" i="7"/>
  <c r="Y1146" i="7"/>
  <c r="Y1149" i="7"/>
  <c r="Y1150" i="7"/>
  <c r="Y1151" i="7"/>
  <c r="Y1152" i="7"/>
  <c r="Y1153" i="7"/>
  <c r="Y1155" i="7"/>
  <c r="Y1156" i="7"/>
  <c r="Y1157" i="7"/>
  <c r="Y1159" i="7"/>
  <c r="Y1160" i="7"/>
  <c r="Y1163" i="7"/>
  <c r="Y1164" i="7"/>
  <c r="Y1166" i="7"/>
  <c r="Y1165" i="7"/>
  <c r="Y1168" i="7"/>
  <c r="Y1169" i="7"/>
  <c r="Y1170" i="7"/>
  <c r="Y1171" i="7"/>
  <c r="Y1173" i="7"/>
  <c r="Y1174" i="7"/>
  <c r="Y1178" i="7"/>
  <c r="Y1179" i="7"/>
  <c r="Y1180" i="7"/>
  <c r="Y1181" i="7"/>
  <c r="Y1182" i="7"/>
  <c r="Y1183" i="7"/>
  <c r="Y1185" i="7"/>
  <c r="Y1187" i="7"/>
  <c r="Y1188" i="7"/>
  <c r="Y1189" i="7"/>
  <c r="Y1190" i="7"/>
  <c r="Y1191" i="7"/>
  <c r="Y1192" i="7"/>
  <c r="Y1194" i="7"/>
  <c r="Y1196" i="7"/>
  <c r="Y1197" i="7"/>
  <c r="Y1198" i="7"/>
  <c r="Y1199" i="7"/>
  <c r="Y1200" i="7"/>
  <c r="Y1201" i="7"/>
  <c r="Y1203" i="7"/>
  <c r="Y1205" i="7"/>
  <c r="Y1206" i="7"/>
  <c r="Y1207" i="7"/>
  <c r="Y1208" i="7"/>
  <c r="Y1209" i="7"/>
  <c r="Y1210" i="7"/>
  <c r="Y1212" i="7"/>
  <c r="Y1214" i="7"/>
  <c r="Y1215" i="7"/>
  <c r="Y1216" i="7"/>
  <c r="Y1217" i="7"/>
  <c r="Y1218" i="7"/>
  <c r="Y1219" i="7"/>
  <c r="Y1221" i="7"/>
  <c r="Y1223" i="7"/>
  <c r="Y1224" i="7"/>
  <c r="Y1225" i="7"/>
  <c r="Y1226" i="7"/>
  <c r="Y1227" i="7"/>
  <c r="Y1228" i="7"/>
  <c r="Y1230" i="7"/>
  <c r="Y1232" i="7"/>
  <c r="Y1233" i="7"/>
  <c r="Y1234" i="7"/>
  <c r="Y1235" i="7"/>
  <c r="Y1236" i="7"/>
  <c r="Y1237" i="7"/>
  <c r="Y1239" i="7"/>
  <c r="Y1241" i="7"/>
  <c r="Y1242" i="7"/>
  <c r="Y1243" i="7"/>
  <c r="Y1244" i="7"/>
  <c r="Y1245" i="7"/>
  <c r="Y1246" i="7"/>
  <c r="Y1247" i="7"/>
  <c r="Y1248" i="7"/>
  <c r="Y1249" i="7"/>
  <c r="Y1250" i="7"/>
  <c r="Y1251" i="7"/>
  <c r="Y1252" i="7"/>
  <c r="Y1253" i="7"/>
  <c r="Y1254" i="7"/>
  <c r="Y1255" i="7"/>
  <c r="Y1256" i="7"/>
  <c r="Y1257" i="7"/>
  <c r="Y1258" i="7"/>
  <c r="Y1259" i="7"/>
  <c r="Y1260" i="7"/>
  <c r="Y1261" i="7"/>
  <c r="Y1262" i="7"/>
  <c r="Y1263" i="7"/>
  <c r="Y1264" i="7"/>
  <c r="Y1265" i="7"/>
  <c r="Y1266" i="7"/>
  <c r="Y1267" i="7"/>
  <c r="Y1268" i="7"/>
  <c r="Y1269" i="7"/>
  <c r="Y1270" i="7"/>
  <c r="Y1271" i="7"/>
  <c r="Y1272" i="7"/>
  <c r="Y1273" i="7"/>
  <c r="Y1274" i="7"/>
  <c r="Y1275" i="7"/>
  <c r="Y1276" i="7"/>
  <c r="Y1277" i="7"/>
  <c r="Y1278" i="7"/>
  <c r="Y1279" i="7"/>
  <c r="Y1280" i="7"/>
  <c r="Y1281" i="7"/>
  <c r="Y1282" i="7"/>
  <c r="Y1283" i="7"/>
  <c r="Y1284" i="7"/>
  <c r="Y1285" i="7"/>
  <c r="Y1286" i="7"/>
  <c r="Y1287" i="7"/>
  <c r="Y1288" i="7"/>
  <c r="Y1289" i="7"/>
  <c r="Y1291" i="7"/>
  <c r="Y1292" i="7"/>
  <c r="Y1293" i="7"/>
  <c r="Y1294" i="7"/>
  <c r="Y1296" i="7"/>
  <c r="Y1297" i="7"/>
  <c r="Y1298" i="7"/>
  <c r="Y1299" i="7"/>
  <c r="Y1300" i="7"/>
  <c r="Y1302" i="7"/>
  <c r="Y1303" i="7"/>
  <c r="Y1304" i="7"/>
  <c r="Y1305" i="7"/>
  <c r="Y1307" i="7"/>
  <c r="Y1308" i="7"/>
  <c r="Y1309" i="7"/>
  <c r="Y1310" i="7"/>
  <c r="Y1312" i="7"/>
  <c r="Y1313" i="7"/>
  <c r="Y1314" i="7"/>
  <c r="Y1315" i="7"/>
  <c r="Y1317" i="7"/>
  <c r="Y1318" i="7"/>
  <c r="Y1319" i="7"/>
  <c r="Y1320" i="7"/>
  <c r="Y1323" i="7"/>
  <c r="Y1324" i="7"/>
  <c r="Y1325" i="7"/>
  <c r="Y1326" i="7"/>
  <c r="Y1327" i="7"/>
  <c r="Y1328" i="7"/>
  <c r="Y1329" i="7"/>
  <c r="Y1330" i="7"/>
  <c r="Y1331" i="7"/>
  <c r="Y1332" i="7"/>
  <c r="Y1333" i="7"/>
  <c r="Y1334" i="7"/>
  <c r="Y1335" i="7"/>
  <c r="Y1336" i="7"/>
  <c r="Y1337" i="7"/>
  <c r="Y1338" i="7"/>
  <c r="Y1339" i="7"/>
  <c r="Y1340" i="7"/>
  <c r="Y1341" i="7"/>
  <c r="Y1342" i="7"/>
  <c r="Y1343" i="7"/>
  <c r="Y1344" i="7"/>
  <c r="Y1346" i="7"/>
  <c r="Y1347" i="7"/>
  <c r="Y1348" i="7"/>
  <c r="Y1356" i="7"/>
  <c r="Y1357" i="7"/>
  <c r="Y1358" i="7"/>
  <c r="Y1359" i="7"/>
  <c r="Y1360" i="7"/>
  <c r="Y1361" i="7"/>
  <c r="Y1362" i="7"/>
  <c r="Y1365" i="7"/>
  <c r="Y1366" i="7"/>
  <c r="Y1367" i="7"/>
  <c r="Y1368" i="7"/>
  <c r="Y1369" i="7"/>
  <c r="Y1370" i="7"/>
  <c r="Y1371" i="7"/>
  <c r="Y1372" i="7"/>
  <c r="Y1374" i="7"/>
  <c r="Y1375" i="7"/>
  <c r="Y1376" i="7"/>
  <c r="Y1377" i="7"/>
  <c r="Y1378" i="7"/>
  <c r="Y1379" i="7"/>
  <c r="Y1380" i="7"/>
  <c r="Y1381" i="7"/>
  <c r="Y1383" i="7"/>
  <c r="Y1384" i="7"/>
  <c r="Y1385" i="7"/>
  <c r="Y1386" i="7"/>
  <c r="Y1387" i="7"/>
  <c r="Y1388" i="7"/>
  <c r="Y1389" i="7"/>
  <c r="Y1390" i="7"/>
  <c r="Y1392" i="7"/>
  <c r="Y1393" i="7"/>
  <c r="Y1394" i="7"/>
  <c r="Y1395" i="7"/>
  <c r="Y1396" i="7"/>
  <c r="Y1397" i="7"/>
  <c r="Y1398" i="7"/>
  <c r="Y1399" i="7"/>
  <c r="Y1401" i="7"/>
  <c r="Y1402" i="7"/>
  <c r="Y1403" i="7"/>
  <c r="Y1404" i="7"/>
  <c r="Y1405" i="7"/>
  <c r="Y1406" i="7"/>
  <c r="Y1407" i="7"/>
  <c r="Y1408" i="7"/>
  <c r="Y1410" i="7"/>
  <c r="Y1411" i="7"/>
  <c r="Y1412" i="7"/>
  <c r="Y1413" i="7"/>
  <c r="Y1414" i="7"/>
  <c r="Y1415" i="7"/>
  <c r="Y1416" i="7"/>
  <c r="Y1417" i="7"/>
  <c r="Y1419" i="7"/>
  <c r="Y1420" i="7"/>
  <c r="Y1421" i="7"/>
  <c r="Y1422" i="7"/>
  <c r="Y1423" i="7"/>
  <c r="Y1424" i="7"/>
  <c r="Y1425" i="7"/>
  <c r="Y1426" i="7"/>
  <c r="Y1428" i="7"/>
  <c r="Y1429" i="7"/>
  <c r="Y1430" i="7"/>
  <c r="Y1431" i="7"/>
  <c r="Y1432" i="7"/>
  <c r="Y1436" i="7"/>
  <c r="Y1437" i="7"/>
  <c r="Y1438" i="7"/>
  <c r="Y1440" i="7"/>
  <c r="Y1441" i="7"/>
  <c r="Y1442" i="7"/>
  <c r="Y1444" i="7"/>
  <c r="Y1445" i="7"/>
  <c r="Y1446" i="7"/>
  <c r="Y1447" i="7"/>
  <c r="Y1448" i="7"/>
  <c r="Y1449" i="7"/>
  <c r="Y1450" i="7"/>
  <c r="Y1452" i="7"/>
  <c r="Y1453" i="7"/>
  <c r="Y1454" i="7"/>
  <c r="Y1455" i="7"/>
  <c r="Y1456" i="7"/>
  <c r="Y1457" i="7"/>
  <c r="Y1458" i="7"/>
  <c r="Y1459" i="7"/>
  <c r="Y1460" i="7"/>
  <c r="Y1462" i="7"/>
  <c r="Y1463" i="7"/>
  <c r="Y1464" i="7"/>
  <c r="Y1465" i="7"/>
  <c r="Y1466" i="7"/>
  <c r="Y1467" i="7"/>
  <c r="Y1468" i="7"/>
  <c r="Y1470" i="7"/>
  <c r="Y1471" i="7"/>
  <c r="Y1472" i="7"/>
  <c r="Y1473" i="7"/>
  <c r="Y1474" i="7"/>
  <c r="Y1475" i="7"/>
  <c r="Y1476" i="7"/>
  <c r="Y1478" i="7"/>
  <c r="Y1479" i="7"/>
  <c r="Y1480" i="7"/>
  <c r="Y1482" i="7"/>
  <c r="Y1484" i="7"/>
  <c r="Y1488" i="7"/>
  <c r="Y1489" i="7"/>
  <c r="Y1490" i="7"/>
  <c r="Y1491" i="7"/>
  <c r="Y1492" i="7"/>
  <c r="Y1493" i="7"/>
  <c r="Y1494" i="7"/>
  <c r="Y1496" i="7"/>
  <c r="Y1497" i="7"/>
  <c r="Y1498" i="7"/>
  <c r="Y1499" i="7"/>
  <c r="Y1500" i="7"/>
  <c r="Y1501" i="7"/>
  <c r="Y1502" i="7"/>
  <c r="Y1503" i="7"/>
  <c r="Y1504" i="7"/>
  <c r="Y1505" i="7"/>
  <c r="Y1506" i="7"/>
  <c r="Y1507" i="7"/>
  <c r="Y1508" i="7"/>
  <c r="Y1509" i="7"/>
  <c r="Y18" i="7"/>
  <c r="V1451" i="7"/>
  <c r="V1439" i="7"/>
  <c r="V1443" i="7"/>
  <c r="V1435" i="7"/>
  <c r="V1427" i="7"/>
  <c r="V1418" i="7"/>
  <c r="V1409" i="7"/>
  <c r="V1400" i="7"/>
  <c r="V1391" i="7"/>
  <c r="V1382" i="7"/>
  <c r="V1373" i="7"/>
  <c r="V1364" i="7"/>
  <c r="V1322" i="7"/>
  <c r="V1213" i="7"/>
  <c r="V1177" i="7"/>
  <c r="V1101" i="7"/>
  <c r="V1055" i="7"/>
  <c r="V1053" i="7"/>
  <c r="V1051" i="7"/>
  <c r="V1048" i="7"/>
  <c r="V1036" i="7"/>
  <c r="V1019" i="7"/>
  <c r="V1311" i="7"/>
  <c r="Y1311" i="7"/>
  <c r="V1306" i="7"/>
  <c r="Y1306" i="7"/>
  <c r="V1301" i="7"/>
  <c r="Y1301" i="7"/>
  <c r="V1295" i="7"/>
  <c r="Y1295" i="7"/>
  <c r="V1290" i="7"/>
  <c r="Y1290" i="7"/>
  <c r="V1240" i="7"/>
  <c r="V1231" i="7"/>
  <c r="V1222" i="7"/>
  <c r="V1195" i="7"/>
  <c r="V1204" i="7"/>
  <c r="V1186" i="7"/>
  <c r="V1172" i="7"/>
  <c r="V1167" i="7"/>
  <c r="V1165" i="7"/>
  <c r="V1162" i="7"/>
  <c r="V1158" i="7"/>
  <c r="V1154" i="7"/>
  <c r="V1147" i="7"/>
  <c r="V1144" i="7"/>
  <c r="V1127" i="7"/>
  <c r="V1123" i="7"/>
  <c r="V1120" i="7"/>
  <c r="V1107" i="7"/>
  <c r="V989" i="7"/>
  <c r="V967" i="7"/>
  <c r="V956" i="7"/>
  <c r="Y956" i="7"/>
  <c r="V940" i="7"/>
  <c r="V936" i="7"/>
  <c r="V935" i="7"/>
  <c r="V929" i="7"/>
  <c r="V912" i="7"/>
  <c r="V903" i="7"/>
  <c r="V898" i="7"/>
  <c r="V888" i="7"/>
  <c r="V886" i="7"/>
  <c r="V881" i="7"/>
  <c r="V862" i="7"/>
  <c r="V846" i="7"/>
  <c r="V841" i="7"/>
  <c r="V837" i="7"/>
  <c r="V777" i="7"/>
  <c r="V774" i="7"/>
  <c r="V771" i="7"/>
  <c r="V763" i="7"/>
  <c r="V741" i="7"/>
  <c r="V726" i="7"/>
  <c r="V722" i="7"/>
  <c r="V719" i="7"/>
  <c r="V716" i="7"/>
  <c r="V713" i="7"/>
  <c r="V710" i="7"/>
  <c r="V707" i="7"/>
  <c r="V704" i="7"/>
  <c r="V701" i="7"/>
  <c r="V698" i="7"/>
  <c r="V695" i="7"/>
  <c r="V692" i="7"/>
  <c r="V689" i="7"/>
  <c r="V686" i="7"/>
  <c r="V683" i="7"/>
  <c r="V680" i="7"/>
  <c r="V677" i="7"/>
  <c r="V648" i="7"/>
  <c r="V638" i="7"/>
  <c r="Y162" i="7"/>
  <c r="V632" i="7"/>
  <c r="V627" i="7"/>
  <c r="V622" i="7"/>
  <c r="V617" i="7"/>
  <c r="V611" i="7"/>
  <c r="V605" i="7"/>
  <c r="V599" i="7"/>
  <c r="V593" i="7"/>
  <c r="V585" i="7"/>
  <c r="V573" i="7"/>
  <c r="V566" i="7"/>
  <c r="V310" i="7"/>
  <c r="V308" i="7"/>
  <c r="V284" i="7"/>
  <c r="V255" i="7"/>
  <c r="V227" i="7"/>
  <c r="V202" i="7"/>
  <c r="V181" i="7"/>
  <c r="V137" i="7"/>
  <c r="V131" i="7"/>
  <c r="V130" i="7"/>
  <c r="V110" i="7"/>
  <c r="V52" i="7"/>
  <c r="V17" i="7"/>
  <c r="AW1513" i="7"/>
  <c r="A1502" i="7"/>
  <c r="A1501" i="7"/>
  <c r="A1500" i="7"/>
  <c r="A1499" i="7"/>
  <c r="A1498" i="7"/>
  <c r="A1497" i="7"/>
  <c r="A1496" i="7"/>
  <c r="AI1495" i="7"/>
  <c r="AH1495" i="7"/>
  <c r="AG1495" i="7"/>
  <c r="V1495" i="7"/>
  <c r="U1495" i="7"/>
  <c r="R1495" i="7"/>
  <c r="A1495" i="7"/>
  <c r="A1494" i="7"/>
  <c r="A1493" i="7"/>
  <c r="A1492" i="7"/>
  <c r="A1491" i="7"/>
  <c r="A1490" i="7"/>
  <c r="A1489" i="7"/>
  <c r="A1488" i="7"/>
  <c r="AJ1487" i="7"/>
  <c r="AJ1486" i="7"/>
  <c r="AJ1485" i="7"/>
  <c r="AI1487" i="7"/>
  <c r="AH1487" i="7"/>
  <c r="AG1487" i="7"/>
  <c r="AD1487" i="7"/>
  <c r="AD1486" i="7"/>
  <c r="AD1485" i="7"/>
  <c r="AC1487" i="7"/>
  <c r="AC1486" i="7"/>
  <c r="AA1487" i="7"/>
  <c r="AA1486" i="7"/>
  <c r="AA1485" i="7"/>
  <c r="Z1487" i="7"/>
  <c r="Z1486" i="7"/>
  <c r="Z1485" i="7"/>
  <c r="X1487" i="7"/>
  <c r="X1486" i="7"/>
  <c r="X1485" i="7"/>
  <c r="W1487" i="7"/>
  <c r="W1486" i="7"/>
  <c r="W1485" i="7"/>
  <c r="V1487" i="7"/>
  <c r="U1487" i="7"/>
  <c r="T1487" i="7"/>
  <c r="T1486" i="7"/>
  <c r="T1485" i="7"/>
  <c r="R1487" i="7"/>
  <c r="A1487" i="7"/>
  <c r="AM1486" i="7"/>
  <c r="AL1486" i="7"/>
  <c r="AK1486" i="7"/>
  <c r="A1486" i="7"/>
  <c r="AC1485" i="7"/>
  <c r="A1485" i="7"/>
  <c r="A1484" i="7"/>
  <c r="A1483" i="7"/>
  <c r="A1482" i="7"/>
  <c r="AM1481" i="7"/>
  <c r="AL1481" i="7"/>
  <c r="AK1481" i="7"/>
  <c r="AJ1481" i="7"/>
  <c r="AI1481" i="7"/>
  <c r="AH1481" i="7"/>
  <c r="AG1481" i="7"/>
  <c r="V1481" i="7"/>
  <c r="U1481" i="7"/>
  <c r="A1481" i="7"/>
  <c r="A1480" i="7"/>
  <c r="A1479" i="7"/>
  <c r="A1478" i="7"/>
  <c r="AJ1477" i="7"/>
  <c r="AI1477" i="7"/>
  <c r="AH1477" i="7"/>
  <c r="AG1477" i="7"/>
  <c r="V1477" i="7"/>
  <c r="U1477" i="7"/>
  <c r="A1477" i="7"/>
  <c r="A1476" i="7"/>
  <c r="A1475" i="7"/>
  <c r="A1474" i="7"/>
  <c r="A1473" i="7"/>
  <c r="A1472" i="7"/>
  <c r="A1471" i="7"/>
  <c r="A1470" i="7"/>
  <c r="AJ1469" i="7"/>
  <c r="AI1469" i="7"/>
  <c r="AH1469" i="7"/>
  <c r="AG1469" i="7"/>
  <c r="V1469" i="7"/>
  <c r="U1469" i="7"/>
  <c r="A1469" i="7"/>
  <c r="A1468" i="7"/>
  <c r="A1467" i="7"/>
  <c r="A1466" i="7"/>
  <c r="A1465" i="7"/>
  <c r="A1464" i="7"/>
  <c r="A1463" i="7"/>
  <c r="A1462" i="7"/>
  <c r="AJ1461" i="7"/>
  <c r="AI1461" i="7"/>
  <c r="AH1461" i="7"/>
  <c r="AG1461" i="7"/>
  <c r="V1461" i="7"/>
  <c r="U1461" i="7"/>
  <c r="A1461" i="7"/>
  <c r="A1460" i="7"/>
  <c r="A1459" i="7"/>
  <c r="A1458" i="7"/>
  <c r="A1457" i="7"/>
  <c r="A1456" i="7"/>
  <c r="A1455" i="7"/>
  <c r="A1454" i="7"/>
  <c r="A1453" i="7"/>
  <c r="A1452" i="7"/>
  <c r="AJ1451" i="7"/>
  <c r="AI1451" i="7"/>
  <c r="AH1451" i="7"/>
  <c r="AG1451" i="7"/>
  <c r="U1451" i="7"/>
  <c r="A1451" i="7"/>
  <c r="A1450" i="7"/>
  <c r="A1449" i="7"/>
  <c r="A1448" i="7"/>
  <c r="A1447" i="7"/>
  <c r="A1446" i="7"/>
  <c r="A1445" i="7"/>
  <c r="A1444" i="7"/>
  <c r="AJ1443" i="7"/>
  <c r="AI1443" i="7"/>
  <c r="AH1443" i="7"/>
  <c r="AG1443" i="7"/>
  <c r="U1443" i="7"/>
  <c r="A1443" i="7"/>
  <c r="A1442" i="7"/>
  <c r="A1441" i="7"/>
  <c r="A1440" i="7"/>
  <c r="AJ1439" i="7"/>
  <c r="AI1439" i="7"/>
  <c r="AH1439" i="7"/>
  <c r="AG1439" i="7"/>
  <c r="U1439" i="7"/>
  <c r="A1439" i="7"/>
  <c r="A1438" i="7"/>
  <c r="A1437" i="7"/>
  <c r="A1436" i="7"/>
  <c r="AJ1435" i="7"/>
  <c r="AI1435" i="7"/>
  <c r="AH1435" i="7"/>
  <c r="AG1435" i="7"/>
  <c r="U1435" i="7"/>
  <c r="A1435" i="7"/>
  <c r="AF1434" i="7"/>
  <c r="AF1433" i="7"/>
  <c r="AE1434" i="7"/>
  <c r="AE1433" i="7"/>
  <c r="AD1434" i="7"/>
  <c r="AD1433" i="7"/>
  <c r="AC1434" i="7"/>
  <c r="AC1433" i="7"/>
  <c r="AB1434" i="7"/>
  <c r="AB1433" i="7"/>
  <c r="AA1434" i="7"/>
  <c r="AA1433" i="7"/>
  <c r="Z1434" i="7"/>
  <c r="Z1433" i="7"/>
  <c r="X1434" i="7"/>
  <c r="X1433" i="7"/>
  <c r="W1434" i="7"/>
  <c r="W1433" i="7"/>
  <c r="A1434" i="7"/>
  <c r="A1433" i="7"/>
  <c r="A1432" i="7"/>
  <c r="A1431" i="7"/>
  <c r="AH1430" i="7"/>
  <c r="AH1427" i="7"/>
  <c r="AG1430" i="7"/>
  <c r="AG1427" i="7"/>
  <c r="AA1430" i="7"/>
  <c r="AA1427" i="7"/>
  <c r="A1430" i="7"/>
  <c r="A1429" i="7"/>
  <c r="A1428" i="7"/>
  <c r="AF1427" i="7"/>
  <c r="AE1427" i="7"/>
  <c r="AC1427" i="7"/>
  <c r="AB1427" i="7"/>
  <c r="Z1427" i="7"/>
  <c r="W1427" i="7"/>
  <c r="A1427" i="7"/>
  <c r="AH1426" i="7"/>
  <c r="AD1426" i="7"/>
  <c r="AG1426" i="7"/>
  <c r="A1426" i="7"/>
  <c r="AD1425" i="7"/>
  <c r="AA1425" i="7"/>
  <c r="X1425" i="7"/>
  <c r="U1425" i="7"/>
  <c r="A1425" i="7"/>
  <c r="AD1424" i="7"/>
  <c r="AA1424" i="7"/>
  <c r="X1424" i="7"/>
  <c r="U1424" i="7"/>
  <c r="A1424" i="7"/>
  <c r="AH1423" i="7"/>
  <c r="U1423" i="7"/>
  <c r="AG1423" i="7"/>
  <c r="R1423" i="7"/>
  <c r="A1423" i="7"/>
  <c r="AH1422" i="7"/>
  <c r="X1422" i="7"/>
  <c r="AG1422" i="7"/>
  <c r="A1422" i="7"/>
  <c r="AD1421" i="7"/>
  <c r="AA1421" i="7"/>
  <c r="X1421" i="7"/>
  <c r="U1421" i="7"/>
  <c r="A1421" i="7"/>
  <c r="AH1420" i="7"/>
  <c r="AG1420" i="7"/>
  <c r="A1420" i="7"/>
  <c r="AD1419" i="7"/>
  <c r="AA1419" i="7"/>
  <c r="X1419" i="7"/>
  <c r="U1419" i="7"/>
  <c r="A1419" i="7"/>
  <c r="AF1418" i="7"/>
  <c r="AE1418" i="7"/>
  <c r="AC1418" i="7"/>
  <c r="AB1418" i="7"/>
  <c r="Z1418" i="7"/>
  <c r="W1418" i="7"/>
  <c r="A1418" i="7"/>
  <c r="AH1417" i="7"/>
  <c r="U1417" i="7"/>
  <c r="AG1417" i="7"/>
  <c r="A1417" i="7"/>
  <c r="AD1416" i="7"/>
  <c r="AA1416" i="7"/>
  <c r="X1416" i="7"/>
  <c r="U1416" i="7"/>
  <c r="A1416" i="7"/>
  <c r="AD1415" i="7"/>
  <c r="AA1415" i="7"/>
  <c r="X1415" i="7"/>
  <c r="U1415" i="7"/>
  <c r="A1415" i="7"/>
  <c r="AH1414" i="7"/>
  <c r="AA1414" i="7"/>
  <c r="AG1414" i="7"/>
  <c r="A1414" i="7"/>
  <c r="AH1413" i="7"/>
  <c r="AA1413" i="7"/>
  <c r="AG1413" i="7"/>
  <c r="A1413" i="7"/>
  <c r="AD1412" i="7"/>
  <c r="AA1412" i="7"/>
  <c r="X1412" i="7"/>
  <c r="U1412" i="7"/>
  <c r="A1412" i="7"/>
  <c r="AH1411" i="7"/>
  <c r="AG1411" i="7"/>
  <c r="A1411" i="7"/>
  <c r="AD1410" i="7"/>
  <c r="AA1410" i="7"/>
  <c r="X1410" i="7"/>
  <c r="U1410" i="7"/>
  <c r="A1410" i="7"/>
  <c r="AF1409" i="7"/>
  <c r="AE1409" i="7"/>
  <c r="AC1409" i="7"/>
  <c r="AB1409" i="7"/>
  <c r="Z1409" i="7"/>
  <c r="W1409" i="7"/>
  <c r="A1409" i="7"/>
  <c r="AH1408" i="7"/>
  <c r="AA1408" i="7"/>
  <c r="AG1408" i="7"/>
  <c r="A1408" i="7"/>
  <c r="AD1407" i="7"/>
  <c r="AA1407" i="7"/>
  <c r="X1407" i="7"/>
  <c r="U1407" i="7"/>
  <c r="A1407" i="7"/>
  <c r="AD1406" i="7"/>
  <c r="AA1406" i="7"/>
  <c r="X1406" i="7"/>
  <c r="U1406" i="7"/>
  <c r="A1406" i="7"/>
  <c r="AH1405" i="7"/>
  <c r="U1405" i="7"/>
  <c r="AG1405" i="7"/>
  <c r="R1405" i="7"/>
  <c r="A1405" i="7"/>
  <c r="AH1404" i="7"/>
  <c r="U1404" i="7"/>
  <c r="AG1404" i="7"/>
  <c r="A1404" i="7"/>
  <c r="AD1403" i="7"/>
  <c r="AA1403" i="7"/>
  <c r="X1403" i="7"/>
  <c r="U1403" i="7"/>
  <c r="A1403" i="7"/>
  <c r="AH1402" i="7"/>
  <c r="AG1402" i="7"/>
  <c r="A1402" i="7"/>
  <c r="AD1401" i="7"/>
  <c r="AA1401" i="7"/>
  <c r="X1401" i="7"/>
  <c r="U1401" i="7"/>
  <c r="A1401" i="7"/>
  <c r="AF1400" i="7"/>
  <c r="AE1400" i="7"/>
  <c r="AC1400" i="7"/>
  <c r="AB1400" i="7"/>
  <c r="Z1400" i="7"/>
  <c r="W1400" i="7"/>
  <c r="A1400" i="7"/>
  <c r="AH1399" i="7"/>
  <c r="AD1399" i="7"/>
  <c r="AG1399" i="7"/>
  <c r="A1399" i="7"/>
  <c r="AD1398" i="7"/>
  <c r="AA1398" i="7"/>
  <c r="X1398" i="7"/>
  <c r="U1398" i="7"/>
  <c r="A1398" i="7"/>
  <c r="AD1397" i="7"/>
  <c r="AA1397" i="7"/>
  <c r="X1397" i="7"/>
  <c r="U1397" i="7"/>
  <c r="A1397" i="7"/>
  <c r="AH1396" i="7"/>
  <c r="AA1396" i="7"/>
  <c r="AG1396" i="7"/>
  <c r="R1396" i="7"/>
  <c r="A1396" i="7"/>
  <c r="AH1395" i="7"/>
  <c r="X1395" i="7"/>
  <c r="AG1395" i="7"/>
  <c r="A1395" i="7"/>
  <c r="AD1394" i="7"/>
  <c r="AA1394" i="7"/>
  <c r="X1394" i="7"/>
  <c r="U1394" i="7"/>
  <c r="A1394" i="7"/>
  <c r="AH1393" i="7"/>
  <c r="AG1393" i="7"/>
  <c r="A1393" i="7"/>
  <c r="AD1392" i="7"/>
  <c r="AA1392" i="7"/>
  <c r="X1392" i="7"/>
  <c r="U1392" i="7"/>
  <c r="A1392" i="7"/>
  <c r="AF1391" i="7"/>
  <c r="AE1391" i="7"/>
  <c r="AC1391" i="7"/>
  <c r="AB1391" i="7"/>
  <c r="Z1391" i="7"/>
  <c r="W1391" i="7"/>
  <c r="A1391" i="7"/>
  <c r="AH1390" i="7"/>
  <c r="AA1390" i="7"/>
  <c r="AG1390" i="7"/>
  <c r="A1390" i="7"/>
  <c r="AD1389" i="7"/>
  <c r="AA1389" i="7"/>
  <c r="X1389" i="7"/>
  <c r="U1389" i="7"/>
  <c r="A1389" i="7"/>
  <c r="AD1388" i="7"/>
  <c r="AA1388" i="7"/>
  <c r="X1388" i="7"/>
  <c r="U1388" i="7"/>
  <c r="A1388" i="7"/>
  <c r="AH1387" i="7"/>
  <c r="U1387" i="7"/>
  <c r="AG1387" i="7"/>
  <c r="R1387" i="7"/>
  <c r="A1387" i="7"/>
  <c r="AH1386" i="7"/>
  <c r="AA1386" i="7"/>
  <c r="AG1386" i="7"/>
  <c r="A1386" i="7"/>
  <c r="AD1385" i="7"/>
  <c r="AA1385" i="7"/>
  <c r="X1385" i="7"/>
  <c r="U1385" i="7"/>
  <c r="A1385" i="7"/>
  <c r="AH1384" i="7"/>
  <c r="AG1384" i="7"/>
  <c r="A1384" i="7"/>
  <c r="AD1383" i="7"/>
  <c r="AA1383" i="7"/>
  <c r="X1383" i="7"/>
  <c r="U1383" i="7"/>
  <c r="A1383" i="7"/>
  <c r="AF1382" i="7"/>
  <c r="AE1382" i="7"/>
  <c r="AC1382" i="7"/>
  <c r="AB1382" i="7"/>
  <c r="Z1382" i="7"/>
  <c r="W1382" i="7"/>
  <c r="A1382" i="7"/>
  <c r="AH1381" i="7"/>
  <c r="AD1381" i="7"/>
  <c r="AG1381" i="7"/>
  <c r="A1381" i="7"/>
  <c r="AD1380" i="7"/>
  <c r="AA1380" i="7"/>
  <c r="X1380" i="7"/>
  <c r="U1380" i="7"/>
  <c r="A1380" i="7"/>
  <c r="AD1379" i="7"/>
  <c r="AA1379" i="7"/>
  <c r="X1379" i="7"/>
  <c r="U1379" i="7"/>
  <c r="A1379" i="7"/>
  <c r="AH1378" i="7"/>
  <c r="U1378" i="7"/>
  <c r="AG1378" i="7"/>
  <c r="A1378" i="7"/>
  <c r="AH1377" i="7"/>
  <c r="AA1377" i="7"/>
  <c r="AG1377" i="7"/>
  <c r="A1377" i="7"/>
  <c r="AD1376" i="7"/>
  <c r="AA1376" i="7"/>
  <c r="X1376" i="7"/>
  <c r="U1376" i="7"/>
  <c r="A1376" i="7"/>
  <c r="AH1375" i="7"/>
  <c r="AG1375" i="7"/>
  <c r="A1375" i="7"/>
  <c r="AD1374" i="7"/>
  <c r="AA1374" i="7"/>
  <c r="X1374" i="7"/>
  <c r="U1374" i="7"/>
  <c r="A1374" i="7"/>
  <c r="AI1373" i="7"/>
  <c r="AF1373" i="7"/>
  <c r="AE1373" i="7"/>
  <c r="AC1373" i="7"/>
  <c r="AB1373" i="7"/>
  <c r="Z1373" i="7"/>
  <c r="W1373" i="7"/>
  <c r="A1373" i="7"/>
  <c r="AH1372" i="7"/>
  <c r="AA1372" i="7"/>
  <c r="A1372" i="7"/>
  <c r="AD1371" i="7"/>
  <c r="AA1371" i="7"/>
  <c r="X1371" i="7"/>
  <c r="U1371" i="7"/>
  <c r="A1371" i="7"/>
  <c r="AD1370" i="7"/>
  <c r="AA1370" i="7"/>
  <c r="X1370" i="7"/>
  <c r="U1370" i="7"/>
  <c r="A1370" i="7"/>
  <c r="AH1369" i="7"/>
  <c r="AA1369" i="7"/>
  <c r="R1369" i="7"/>
  <c r="A1369" i="7"/>
  <c r="AH1368" i="7"/>
  <c r="AA1368" i="7"/>
  <c r="A1368" i="7"/>
  <c r="AD1367" i="7"/>
  <c r="AA1367" i="7"/>
  <c r="X1367" i="7"/>
  <c r="U1367" i="7"/>
  <c r="A1367" i="7"/>
  <c r="AH1366" i="7"/>
  <c r="A1366" i="7"/>
  <c r="U1365" i="7"/>
  <c r="A1365" i="7"/>
  <c r="AI1364" i="7"/>
  <c r="AG1364" i="7"/>
  <c r="AF1364" i="7"/>
  <c r="AE1364" i="7"/>
  <c r="AC1364" i="7"/>
  <c r="AB1364" i="7"/>
  <c r="Z1364" i="7"/>
  <c r="W1364" i="7"/>
  <c r="A1364" i="7"/>
  <c r="AM1363" i="7"/>
  <c r="AL1363" i="7"/>
  <c r="AK1363" i="7"/>
  <c r="A1363" i="7"/>
  <c r="A1362" i="7"/>
  <c r="A1361" i="7"/>
  <c r="A1360" i="7"/>
  <c r="A1359" i="7"/>
  <c r="A1358" i="7"/>
  <c r="A1357" i="7"/>
  <c r="A1356" i="7"/>
  <c r="A1355" i="7"/>
  <c r="A1354" i="7"/>
  <c r="A1353" i="7"/>
  <c r="A1352" i="7"/>
  <c r="A1351" i="7"/>
  <c r="A1350" i="7"/>
  <c r="Y1349" i="7"/>
  <c r="X1349" i="7"/>
  <c r="X1345" i="7"/>
  <c r="U1349" i="7"/>
  <c r="U1345" i="7"/>
  <c r="A1349" i="7"/>
  <c r="A1348" i="7"/>
  <c r="A1347" i="7"/>
  <c r="A1346" i="7"/>
  <c r="AI1345" i="7"/>
  <c r="AH1345" i="7"/>
  <c r="AG1345" i="7"/>
  <c r="AF1345" i="7"/>
  <c r="AE1345" i="7"/>
  <c r="AD1345" i="7"/>
  <c r="AC1345" i="7"/>
  <c r="AB1345" i="7"/>
  <c r="AA1345" i="7"/>
  <c r="Z1345" i="7"/>
  <c r="W1345"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J1322" i="7"/>
  <c r="AJ1321" i="7"/>
  <c r="AI1322" i="7"/>
  <c r="AH1322" i="7"/>
  <c r="AG1322" i="7"/>
  <c r="AF1322" i="7"/>
  <c r="AE1322" i="7"/>
  <c r="AD1322" i="7"/>
  <c r="AC1322" i="7"/>
  <c r="AB1322" i="7"/>
  <c r="AA1322" i="7"/>
  <c r="Z1322" i="7"/>
  <c r="X1322" i="7"/>
  <c r="W1322" i="7"/>
  <c r="U1322" i="7"/>
  <c r="A1322" i="7"/>
  <c r="A1321" i="7"/>
  <c r="A1320" i="7"/>
  <c r="A1319" i="7"/>
  <c r="A1318" i="7"/>
  <c r="A1317" i="7"/>
  <c r="AH1316" i="7"/>
  <c r="AG1316" i="7"/>
  <c r="V1316" i="7"/>
  <c r="Y1316" i="7"/>
  <c r="U1316" i="7"/>
  <c r="A1316" i="7"/>
  <c r="A1315" i="7"/>
  <c r="A1314" i="7"/>
  <c r="A1313" i="7"/>
  <c r="A1312" i="7"/>
  <c r="AH1311" i="7"/>
  <c r="AG1311" i="7"/>
  <c r="U1311" i="7"/>
  <c r="A1311" i="7"/>
  <c r="A1310" i="7"/>
  <c r="A1309" i="7"/>
  <c r="A1308" i="7"/>
  <c r="A1307" i="7"/>
  <c r="AH1306" i="7"/>
  <c r="AG1306" i="7"/>
  <c r="U1306" i="7"/>
  <c r="A1306" i="7"/>
  <c r="A1305" i="7"/>
  <c r="A1304" i="7"/>
  <c r="A1303" i="7"/>
  <c r="A1302" i="7"/>
  <c r="AH1301" i="7"/>
  <c r="AG1301" i="7"/>
  <c r="U1301" i="7"/>
  <c r="A1301" i="7"/>
  <c r="A1300" i="7"/>
  <c r="A1299" i="7"/>
  <c r="A1298" i="7"/>
  <c r="A1297" i="7"/>
  <c r="A1296" i="7"/>
  <c r="AH1295" i="7"/>
  <c r="AG1295" i="7"/>
  <c r="U1295" i="7"/>
  <c r="A1295" i="7"/>
  <c r="A1294" i="7"/>
  <c r="A1293" i="7"/>
  <c r="A1292" i="7"/>
  <c r="A1291" i="7"/>
  <c r="AH1290" i="7"/>
  <c r="AG1290" i="7"/>
  <c r="U1290"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Q1241" i="7"/>
  <c r="A1241" i="7"/>
  <c r="AJ1240" i="7"/>
  <c r="AJ1176" i="7"/>
  <c r="AJ1175" i="7"/>
  <c r="AI1240" i="7"/>
  <c r="AH1240" i="7"/>
  <c r="AG1240" i="7"/>
  <c r="AF1240" i="7"/>
  <c r="AE1240" i="7"/>
  <c r="AD1240" i="7"/>
  <c r="AC1240" i="7"/>
  <c r="AB1240" i="7"/>
  <c r="AA1240" i="7"/>
  <c r="Z1240" i="7"/>
  <c r="X1240" i="7"/>
  <c r="W1240" i="7"/>
  <c r="U1240" i="7"/>
  <c r="A1240" i="7"/>
  <c r="U1239" i="7"/>
  <c r="A1239" i="7"/>
  <c r="AC1238" i="7"/>
  <c r="Z1238" i="7"/>
  <c r="W1238" i="7"/>
  <c r="T1238" i="7"/>
  <c r="A1238" i="7"/>
  <c r="AD1237" i="7"/>
  <c r="AC1237" i="7"/>
  <c r="A1237" i="7"/>
  <c r="AD1236" i="7"/>
  <c r="AC1236" i="7"/>
  <c r="AA1236" i="7"/>
  <c r="Z1236" i="7"/>
  <c r="X1236" i="7"/>
  <c r="W1236" i="7"/>
  <c r="U1236" i="7"/>
  <c r="T1236" i="7"/>
  <c r="A1236" i="7"/>
  <c r="AA1235" i="7"/>
  <c r="Z1235" i="7"/>
  <c r="U1235" i="7"/>
  <c r="T1235" i="7"/>
  <c r="A1235" i="7"/>
  <c r="AC1234" i="7"/>
  <c r="Z1234" i="7"/>
  <c r="X1234" i="7"/>
  <c r="W1234" i="7"/>
  <c r="U1234" i="7"/>
  <c r="T1234" i="7"/>
  <c r="A1234" i="7"/>
  <c r="AA1233" i="7"/>
  <c r="X1233" i="7"/>
  <c r="R1233" i="7"/>
  <c r="W1233" i="7"/>
  <c r="A1233" i="7"/>
  <c r="U1232" i="7"/>
  <c r="A1232" i="7"/>
  <c r="AI1231" i="7"/>
  <c r="AH1231" i="7"/>
  <c r="AG1231" i="7"/>
  <c r="AF1231" i="7"/>
  <c r="AE1231" i="7"/>
  <c r="AB1231" i="7"/>
  <c r="A1231" i="7"/>
  <c r="U1230" i="7"/>
  <c r="A1230" i="7"/>
  <c r="Y1229" i="7"/>
  <c r="AC1229" i="7"/>
  <c r="Z1229" i="7"/>
  <c r="W1229" i="7"/>
  <c r="T1229" i="7"/>
  <c r="A1229" i="7"/>
  <c r="AD1228" i="7"/>
  <c r="AC1228" i="7"/>
  <c r="A1228" i="7"/>
  <c r="AD1227" i="7"/>
  <c r="AC1227" i="7"/>
  <c r="AA1227" i="7"/>
  <c r="Z1227" i="7"/>
  <c r="X1227" i="7"/>
  <c r="W1227" i="7"/>
  <c r="U1227" i="7"/>
  <c r="T1227" i="7"/>
  <c r="A1227" i="7"/>
  <c r="AA1226" i="7"/>
  <c r="Z1226" i="7"/>
  <c r="U1226" i="7"/>
  <c r="T1226" i="7"/>
  <c r="A1226" i="7"/>
  <c r="AC1225" i="7"/>
  <c r="Z1225" i="7"/>
  <c r="X1225" i="7"/>
  <c r="W1225" i="7"/>
  <c r="U1225" i="7"/>
  <c r="T1225" i="7"/>
  <c r="A1225" i="7"/>
  <c r="AA1224" i="7"/>
  <c r="X1224" i="7"/>
  <c r="R1224" i="7"/>
  <c r="W1224" i="7"/>
  <c r="A1224" i="7"/>
  <c r="U1223" i="7"/>
  <c r="A1223" i="7"/>
  <c r="AI1222" i="7"/>
  <c r="AH1222" i="7"/>
  <c r="AG1222" i="7"/>
  <c r="AF1222" i="7"/>
  <c r="AE1222" i="7"/>
  <c r="AB1222" i="7"/>
  <c r="A1222" i="7"/>
  <c r="U1221" i="7"/>
  <c r="A1221" i="7"/>
  <c r="Y1220" i="7"/>
  <c r="T1220" i="7"/>
  <c r="A1220" i="7"/>
  <c r="AD1219" i="7"/>
  <c r="AC1219" i="7"/>
  <c r="A1219" i="7"/>
  <c r="AD1218" i="7"/>
  <c r="AC1218" i="7"/>
  <c r="AA1218" i="7"/>
  <c r="Z1218" i="7"/>
  <c r="X1218" i="7"/>
  <c r="W1218" i="7"/>
  <c r="U1218" i="7"/>
  <c r="T1218" i="7"/>
  <c r="A1218" i="7"/>
  <c r="AA1217" i="7"/>
  <c r="Z1217" i="7"/>
  <c r="U1217" i="7"/>
  <c r="T1217" i="7"/>
  <c r="A1217" i="7"/>
  <c r="Z1216" i="7"/>
  <c r="X1216" i="7"/>
  <c r="W1216" i="7"/>
  <c r="U1216" i="7"/>
  <c r="T1216" i="7"/>
  <c r="A1216" i="7"/>
  <c r="AA1215" i="7"/>
  <c r="X1215" i="7"/>
  <c r="R1215" i="7"/>
  <c r="Z1215" i="7"/>
  <c r="A1215" i="7"/>
  <c r="U1214" i="7"/>
  <c r="A1214" i="7"/>
  <c r="AI1213" i="7"/>
  <c r="AH1213" i="7"/>
  <c r="AG1213" i="7"/>
  <c r="AF1213" i="7"/>
  <c r="AE1213" i="7"/>
  <c r="AB1213" i="7"/>
  <c r="A1213" i="7"/>
  <c r="U1212" i="7"/>
  <c r="A1212" i="7"/>
  <c r="Y1211" i="7"/>
  <c r="AC1211" i="7"/>
  <c r="Z1211" i="7"/>
  <c r="W1211" i="7"/>
  <c r="T1211" i="7"/>
  <c r="A1211" i="7"/>
  <c r="AD1210" i="7"/>
  <c r="AC1210" i="7"/>
  <c r="A1210" i="7"/>
  <c r="AD1209" i="7"/>
  <c r="AC1209" i="7"/>
  <c r="AA1209" i="7"/>
  <c r="Z1209" i="7"/>
  <c r="X1209" i="7"/>
  <c r="W1209" i="7"/>
  <c r="U1209" i="7"/>
  <c r="T1209" i="7"/>
  <c r="A1209" i="7"/>
  <c r="AA1208" i="7"/>
  <c r="Z1208" i="7"/>
  <c r="U1208" i="7"/>
  <c r="T1208" i="7"/>
  <c r="A1208" i="7"/>
  <c r="Z1207" i="7"/>
  <c r="X1207" i="7"/>
  <c r="W1207" i="7"/>
  <c r="U1207" i="7"/>
  <c r="T1207" i="7"/>
  <c r="A1207" i="7"/>
  <c r="AA1206" i="7"/>
  <c r="X1206" i="7"/>
  <c r="R1206" i="7"/>
  <c r="W1206" i="7"/>
  <c r="A1206" i="7"/>
  <c r="U1205" i="7"/>
  <c r="A1205" i="7"/>
  <c r="AM1204" i="7"/>
  <c r="AL1204" i="7"/>
  <c r="AK1204" i="7"/>
  <c r="AI1204" i="7"/>
  <c r="AH1204" i="7"/>
  <c r="AG1204" i="7"/>
  <c r="AF1204" i="7"/>
  <c r="AE1204" i="7"/>
  <c r="AB1204" i="7"/>
  <c r="A1204" i="7"/>
  <c r="U1203" i="7"/>
  <c r="A1203" i="7"/>
  <c r="Y1202" i="7"/>
  <c r="AC1202" i="7"/>
  <c r="Z1202" i="7"/>
  <c r="W1202" i="7"/>
  <c r="T1202" i="7"/>
  <c r="A1202" i="7"/>
  <c r="AD1201" i="7"/>
  <c r="AC1201" i="7"/>
  <c r="A1201" i="7"/>
  <c r="AD1200" i="7"/>
  <c r="AC1200" i="7"/>
  <c r="AA1200" i="7"/>
  <c r="Z1200" i="7"/>
  <c r="X1200" i="7"/>
  <c r="W1200" i="7"/>
  <c r="U1200" i="7"/>
  <c r="T1200" i="7"/>
  <c r="A1200" i="7"/>
  <c r="AA1199" i="7"/>
  <c r="Z1199" i="7"/>
  <c r="U1199" i="7"/>
  <c r="T1199" i="7"/>
  <c r="A1199" i="7"/>
  <c r="U1198" i="7"/>
  <c r="A1198" i="7"/>
  <c r="AA1197" i="7"/>
  <c r="X1197" i="7"/>
  <c r="R1197" i="7"/>
  <c r="W1197" i="7"/>
  <c r="A1197" i="7"/>
  <c r="U1196" i="7"/>
  <c r="A1196" i="7"/>
  <c r="AI1195" i="7"/>
  <c r="AH1195" i="7"/>
  <c r="AG1195" i="7"/>
  <c r="AF1195" i="7"/>
  <c r="AE1195" i="7"/>
  <c r="AB1195" i="7"/>
  <c r="A1195" i="7"/>
  <c r="A1194" i="7"/>
  <c r="Y1193" i="7"/>
  <c r="AC1193" i="7"/>
  <c r="Z1193" i="7"/>
  <c r="W1193" i="7"/>
  <c r="T1193" i="7"/>
  <c r="A1193" i="7"/>
  <c r="AC1192" i="7"/>
  <c r="A1192" i="7"/>
  <c r="AD1191" i="7"/>
  <c r="AC1191" i="7"/>
  <c r="AA1191" i="7"/>
  <c r="Z1191" i="7"/>
  <c r="X1191" i="7"/>
  <c r="W1191" i="7"/>
  <c r="U1191" i="7"/>
  <c r="T1191" i="7"/>
  <c r="A1191" i="7"/>
  <c r="AA1190" i="7"/>
  <c r="Z1190" i="7"/>
  <c r="U1190" i="7"/>
  <c r="T1190" i="7"/>
  <c r="A1190" i="7"/>
  <c r="AD1189" i="7"/>
  <c r="AC1189" i="7"/>
  <c r="AA1189" i="7"/>
  <c r="Z1189" i="7"/>
  <c r="X1189" i="7"/>
  <c r="W1189" i="7"/>
  <c r="U1189" i="7"/>
  <c r="T1189" i="7"/>
  <c r="A1189" i="7"/>
  <c r="Z1188" i="7"/>
  <c r="W1188" i="7"/>
  <c r="R1188" i="7"/>
  <c r="A1188" i="7"/>
  <c r="A1187" i="7"/>
  <c r="AH1186" i="7"/>
  <c r="AG1186" i="7"/>
  <c r="AF1186" i="7"/>
  <c r="AE1186" i="7"/>
  <c r="AB1186" i="7"/>
  <c r="A1186" i="7"/>
  <c r="A1185" i="7"/>
  <c r="Y1184" i="7"/>
  <c r="X1184" i="7"/>
  <c r="W1184" i="7"/>
  <c r="T1184" i="7"/>
  <c r="A1184" i="7"/>
  <c r="AD1183" i="7"/>
  <c r="AC1183" i="7"/>
  <c r="A1183" i="7"/>
  <c r="AD1182" i="7"/>
  <c r="AC1182" i="7"/>
  <c r="AA1182" i="7"/>
  <c r="Z1182" i="7"/>
  <c r="X1182" i="7"/>
  <c r="W1182" i="7"/>
  <c r="U1182" i="7"/>
  <c r="T1182" i="7"/>
  <c r="A1182" i="7"/>
  <c r="AA1181" i="7"/>
  <c r="Z1181" i="7"/>
  <c r="U1181" i="7"/>
  <c r="T1181" i="7"/>
  <c r="A1181" i="7"/>
  <c r="AD1180" i="7"/>
  <c r="AC1180" i="7"/>
  <c r="AA1180" i="7"/>
  <c r="Z1180" i="7"/>
  <c r="X1180" i="7"/>
  <c r="W1180" i="7"/>
  <c r="U1180" i="7"/>
  <c r="T1180" i="7"/>
  <c r="A1180" i="7"/>
  <c r="R1179" i="7"/>
  <c r="Z1179" i="7"/>
  <c r="A1179" i="7"/>
  <c r="A1178" i="7"/>
  <c r="AI1177" i="7"/>
  <c r="AH1177" i="7"/>
  <c r="AG1177" i="7"/>
  <c r="AF1177" i="7"/>
  <c r="AE1177" i="7"/>
  <c r="AB1177" i="7"/>
  <c r="A1177" i="7"/>
  <c r="A1176" i="7"/>
  <c r="A1175" i="7"/>
  <c r="A1174" i="7"/>
  <c r="A1173" i="7"/>
  <c r="AJ1172" i="7"/>
  <c r="AI1172" i="7"/>
  <c r="AH1172" i="7"/>
  <c r="AG1172" i="7"/>
  <c r="AF1172" i="7"/>
  <c r="AE1172" i="7"/>
  <c r="AD1172" i="7"/>
  <c r="AC1172" i="7"/>
  <c r="AB1172" i="7"/>
  <c r="AA1172" i="7"/>
  <c r="Z1172" i="7"/>
  <c r="X1172" i="7"/>
  <c r="W1172" i="7"/>
  <c r="U1172" i="7"/>
  <c r="A1172" i="7"/>
  <c r="A1171" i="7"/>
  <c r="A1170" i="7"/>
  <c r="A1169" i="7"/>
  <c r="A1168" i="7"/>
  <c r="AM1167" i="7"/>
  <c r="AL1167" i="7"/>
  <c r="AK1167" i="7"/>
  <c r="AJ1167" i="7"/>
  <c r="AI1167" i="7"/>
  <c r="AH1167" i="7"/>
  <c r="AG1167" i="7"/>
  <c r="AF1167" i="7"/>
  <c r="AE1167" i="7"/>
  <c r="AD1167" i="7"/>
  <c r="AC1167" i="7"/>
  <c r="AB1167" i="7"/>
  <c r="AA1167" i="7"/>
  <c r="Z1167" i="7"/>
  <c r="X1167" i="7"/>
  <c r="W1167" i="7"/>
  <c r="U1167" i="7"/>
  <c r="A1167" i="7"/>
  <c r="AD1166" i="7"/>
  <c r="AD1165" i="7"/>
  <c r="AA1166" i="7"/>
  <c r="AA1165" i="7"/>
  <c r="X1166" i="7"/>
  <c r="X1165" i="7"/>
  <c r="U1166" i="7"/>
  <c r="U1165" i="7"/>
  <c r="A1166" i="7"/>
  <c r="AJ1165" i="7"/>
  <c r="AI1165" i="7"/>
  <c r="AH1165" i="7"/>
  <c r="AG1165" i="7"/>
  <c r="AF1165" i="7"/>
  <c r="AE1165" i="7"/>
  <c r="AC1165" i="7"/>
  <c r="AB1165" i="7"/>
  <c r="Z1165" i="7"/>
  <c r="W1165" i="7"/>
  <c r="A1165" i="7"/>
  <c r="A1164" i="7"/>
  <c r="A1163" i="7"/>
  <c r="AJ1162" i="7"/>
  <c r="AI1162" i="7"/>
  <c r="AH1162" i="7"/>
  <c r="AG1162" i="7"/>
  <c r="AF1162" i="7"/>
  <c r="AE1162" i="7"/>
  <c r="AD1162" i="7"/>
  <c r="AC1162" i="7"/>
  <c r="AB1162" i="7"/>
  <c r="AA1162" i="7"/>
  <c r="Z1162" i="7"/>
  <c r="X1162" i="7"/>
  <c r="W1162" i="7"/>
  <c r="U1162" i="7"/>
  <c r="A1162" i="7"/>
  <c r="A1161" i="7"/>
  <c r="R1160" i="7"/>
  <c r="A1160" i="7"/>
  <c r="R1159" i="7"/>
  <c r="A1159" i="7"/>
  <c r="AH1158" i="7"/>
  <c r="AG1158" i="7"/>
  <c r="AF1158" i="7"/>
  <c r="AE1158" i="7"/>
  <c r="AD1158" i="7"/>
  <c r="AC1158" i="7"/>
  <c r="AB1158" i="7"/>
  <c r="AA1158" i="7"/>
  <c r="Z1158" i="7"/>
  <c r="X1158" i="7"/>
  <c r="W1158" i="7"/>
  <c r="U1158" i="7"/>
  <c r="A1158" i="7"/>
  <c r="R1157" i="7"/>
  <c r="A1157" i="7"/>
  <c r="R1156" i="7"/>
  <c r="A1156" i="7"/>
  <c r="R1155" i="7"/>
  <c r="A1155" i="7"/>
  <c r="AH1154" i="7"/>
  <c r="AG1154" i="7"/>
  <c r="AF1154" i="7"/>
  <c r="AE1154" i="7"/>
  <c r="AD1154" i="7"/>
  <c r="AC1154" i="7"/>
  <c r="AB1154" i="7"/>
  <c r="AA1154" i="7"/>
  <c r="Z1154" i="7"/>
  <c r="X1154" i="7"/>
  <c r="W1154" i="7"/>
  <c r="U1154" i="7"/>
  <c r="A1154" i="7"/>
  <c r="AD1153" i="7"/>
  <c r="AA1153" i="7"/>
  <c r="X1153" i="7"/>
  <c r="U1153" i="7"/>
  <c r="A1153" i="7"/>
  <c r="U1152" i="7"/>
  <c r="A1152" i="7"/>
  <c r="AD1151" i="7"/>
  <c r="AA1151" i="7"/>
  <c r="X1151" i="7"/>
  <c r="U1151" i="7"/>
  <c r="A1151" i="7"/>
  <c r="AD1150" i="7"/>
  <c r="AA1150" i="7"/>
  <c r="X1150" i="7"/>
  <c r="U1150" i="7"/>
  <c r="A1150" i="7"/>
  <c r="X1149" i="7"/>
  <c r="U1149" i="7"/>
  <c r="A1149" i="7"/>
  <c r="U1148" i="7"/>
  <c r="A1148" i="7"/>
  <c r="AI1147" i="7"/>
  <c r="AH1147" i="7"/>
  <c r="AG1147" i="7"/>
  <c r="AF1147" i="7"/>
  <c r="AE1147" i="7"/>
  <c r="AC1147" i="7"/>
  <c r="AB1147" i="7"/>
  <c r="Z1147" i="7"/>
  <c r="W1147" i="7"/>
  <c r="A1147" i="7"/>
  <c r="A1146" i="7"/>
  <c r="A1145" i="7"/>
  <c r="AJ1144" i="7"/>
  <c r="AI1144" i="7"/>
  <c r="AH1144" i="7"/>
  <c r="AG1144" i="7"/>
  <c r="AF1144" i="7"/>
  <c r="AE1144" i="7"/>
  <c r="AD1144" i="7"/>
  <c r="AC1144" i="7"/>
  <c r="AB1144" i="7"/>
  <c r="AA1144" i="7"/>
  <c r="Z1144" i="7"/>
  <c r="X1144" i="7"/>
  <c r="W1144" i="7"/>
  <c r="U1144" i="7"/>
  <c r="R1144" i="7"/>
  <c r="A1144" i="7"/>
  <c r="AD1143" i="7"/>
  <c r="AA1143" i="7"/>
  <c r="X1143" i="7"/>
  <c r="U1143" i="7"/>
  <c r="A1143" i="7"/>
  <c r="AD1142" i="7"/>
  <c r="AA1142" i="7"/>
  <c r="X1142" i="7"/>
  <c r="U1142" i="7"/>
  <c r="A1142" i="7"/>
  <c r="AD1141" i="7"/>
  <c r="AA1141" i="7"/>
  <c r="X1141" i="7"/>
  <c r="U1141" i="7"/>
  <c r="A1141" i="7"/>
  <c r="AD1140" i="7"/>
  <c r="AA1140" i="7"/>
  <c r="X1140" i="7"/>
  <c r="U1140" i="7"/>
  <c r="A1140" i="7"/>
  <c r="A1139" i="7"/>
  <c r="A1138" i="7"/>
  <c r="A1137" i="7"/>
  <c r="A1136" i="7"/>
  <c r="A1135" i="7"/>
  <c r="A1134" i="7"/>
  <c r="A1133" i="7"/>
  <c r="A1132" i="7"/>
  <c r="A1131" i="7"/>
  <c r="A1130" i="7"/>
  <c r="A1129" i="7"/>
  <c r="A1128" i="7"/>
  <c r="AJ1127" i="7"/>
  <c r="AI1127" i="7"/>
  <c r="AH1127" i="7"/>
  <c r="AG1127" i="7"/>
  <c r="AF1127" i="7"/>
  <c r="AE1127" i="7"/>
  <c r="AC1127" i="7"/>
  <c r="AB1127" i="7"/>
  <c r="Z1127" i="7"/>
  <c r="W1127" i="7"/>
  <c r="R1127" i="7"/>
  <c r="A1127" i="7"/>
  <c r="A1126" i="7"/>
  <c r="A1125" i="7"/>
  <c r="A1124" i="7"/>
  <c r="AJ1123" i="7"/>
  <c r="AI1123" i="7"/>
  <c r="AH1123" i="7"/>
  <c r="AG1123" i="7"/>
  <c r="U1123" i="7"/>
  <c r="A1123" i="7"/>
  <c r="A1122" i="7"/>
  <c r="A1121" i="7"/>
  <c r="AJ1120" i="7"/>
  <c r="AI1120" i="7"/>
  <c r="AH1120" i="7"/>
  <c r="AG1120" i="7"/>
  <c r="U1120" i="7"/>
  <c r="A1120" i="7"/>
  <c r="A1119" i="7"/>
  <c r="A1118" i="7"/>
  <c r="A1117" i="7"/>
  <c r="A1116" i="7"/>
  <c r="A1115" i="7"/>
  <c r="A1114" i="7"/>
  <c r="A1113" i="7"/>
  <c r="A1112" i="7"/>
  <c r="A1111" i="7"/>
  <c r="A1110" i="7"/>
  <c r="A1109" i="7"/>
  <c r="A1108" i="7"/>
  <c r="AH1107" i="7"/>
  <c r="AG1107" i="7"/>
  <c r="AF1107" i="7"/>
  <c r="AE1107" i="7"/>
  <c r="AD1107" i="7"/>
  <c r="AC1107" i="7"/>
  <c r="AB1107" i="7"/>
  <c r="AA1107" i="7"/>
  <c r="Z1107" i="7"/>
  <c r="X1107" i="7"/>
  <c r="W1107" i="7"/>
  <c r="U1107" i="7"/>
  <c r="A1107" i="7"/>
  <c r="A1106" i="7"/>
  <c r="A1105" i="7"/>
  <c r="A1104" i="7"/>
  <c r="A1103" i="7"/>
  <c r="A1102" i="7"/>
  <c r="AJ1101" i="7"/>
  <c r="AI1101" i="7"/>
  <c r="AH1101" i="7"/>
  <c r="AG1101" i="7"/>
  <c r="AF1101" i="7"/>
  <c r="AE1101" i="7"/>
  <c r="AD1101" i="7"/>
  <c r="AC1101" i="7"/>
  <c r="AB1101" i="7"/>
  <c r="AA1101" i="7"/>
  <c r="Z1101" i="7"/>
  <c r="X1101" i="7"/>
  <c r="W1101" i="7"/>
  <c r="U1101" i="7"/>
  <c r="A1101" i="7"/>
  <c r="A1100" i="7"/>
  <c r="A1099" i="7"/>
  <c r="A1098" i="7"/>
  <c r="A1097" i="7"/>
  <c r="A1096" i="7"/>
  <c r="AD1095" i="7"/>
  <c r="AA1095" i="7"/>
  <c r="X1095" i="7"/>
  <c r="U1095" i="7"/>
  <c r="A1095" i="7"/>
  <c r="A1094" i="7"/>
  <c r="A1093" i="7"/>
  <c r="A1092" i="7"/>
  <c r="AD1091" i="7"/>
  <c r="AA1091" i="7"/>
  <c r="X1091" i="7"/>
  <c r="U1091" i="7"/>
  <c r="A1091" i="7"/>
  <c r="A1090" i="7"/>
  <c r="A1089" i="7"/>
  <c r="A1088" i="7"/>
  <c r="A1087" i="7"/>
  <c r="A1086" i="7"/>
  <c r="A1085" i="7"/>
  <c r="AD1084" i="7"/>
  <c r="AA1084" i="7"/>
  <c r="X1084" i="7"/>
  <c r="A1084" i="7"/>
  <c r="A1083" i="7"/>
  <c r="A1082" i="7"/>
  <c r="A1081" i="7"/>
  <c r="A1080" i="7"/>
  <c r="A1079" i="7"/>
  <c r="A1078" i="7"/>
  <c r="A1077" i="7"/>
  <c r="A1076" i="7"/>
  <c r="A1075" i="7"/>
  <c r="A1074" i="7"/>
  <c r="A1073" i="7"/>
  <c r="A1072" i="7"/>
  <c r="A1071" i="7"/>
  <c r="A1070" i="7"/>
  <c r="A1069" i="7"/>
  <c r="A1068" i="7"/>
  <c r="A1067" i="7"/>
  <c r="A1066" i="7"/>
  <c r="A1065" i="7"/>
  <c r="A1064" i="7"/>
  <c r="Y1063" i="7"/>
  <c r="AD1063" i="7"/>
  <c r="AA1063" i="7"/>
  <c r="X1063" i="7"/>
  <c r="A1063" i="7"/>
  <c r="AD1062" i="7"/>
  <c r="AA1062" i="7"/>
  <c r="X1062" i="7"/>
  <c r="U1062" i="7"/>
  <c r="A1062" i="7"/>
  <c r="AA1061" i="7"/>
  <c r="X1061" i="7"/>
  <c r="U1061" i="7"/>
  <c r="A1061" i="7"/>
  <c r="Y1060" i="7"/>
  <c r="A1060" i="7"/>
  <c r="AD1059" i="7"/>
  <c r="AA1059" i="7"/>
  <c r="X1059" i="7"/>
  <c r="U1059" i="7"/>
  <c r="A1059" i="7"/>
  <c r="U1058" i="7"/>
  <c r="A1058" i="7"/>
  <c r="X1057" i="7"/>
  <c r="U1057" i="7"/>
  <c r="A1057" i="7"/>
  <c r="A1056" i="7"/>
  <c r="AM1055" i="7"/>
  <c r="AL1055" i="7"/>
  <c r="AK1055" i="7"/>
  <c r="AI1055" i="7"/>
  <c r="AH1055" i="7"/>
  <c r="AG1055" i="7"/>
  <c r="AF1055" i="7"/>
  <c r="AE1055" i="7"/>
  <c r="AC1055" i="7"/>
  <c r="AB1055" i="7"/>
  <c r="Z1055" i="7"/>
  <c r="W1055" i="7"/>
  <c r="A1055" i="7"/>
  <c r="A1054" i="7"/>
  <c r="AJ1053" i="7"/>
  <c r="AI1053" i="7"/>
  <c r="AH1053" i="7"/>
  <c r="AG1053" i="7"/>
  <c r="AF1053" i="7"/>
  <c r="AE1053" i="7"/>
  <c r="AD1053" i="7"/>
  <c r="AC1053" i="7"/>
  <c r="AB1053" i="7"/>
  <c r="AA1053" i="7"/>
  <c r="Z1053" i="7"/>
  <c r="X1053" i="7"/>
  <c r="W1053" i="7"/>
  <c r="U1053" i="7"/>
  <c r="A1053" i="7"/>
  <c r="A1052" i="7"/>
  <c r="AJ1051" i="7"/>
  <c r="AJ1018" i="7"/>
  <c r="AI1051" i="7"/>
  <c r="AH1051" i="7"/>
  <c r="AG1051" i="7"/>
  <c r="AF1051" i="7"/>
  <c r="AE1051" i="7"/>
  <c r="AD1051" i="7"/>
  <c r="AC1051" i="7"/>
  <c r="AB1051" i="7"/>
  <c r="AA1051" i="7"/>
  <c r="Z1051" i="7"/>
  <c r="X1051" i="7"/>
  <c r="W1051" i="7"/>
  <c r="U1051" i="7"/>
  <c r="A1051" i="7"/>
  <c r="AA1050" i="7"/>
  <c r="AA1048" i="7"/>
  <c r="U1050" i="7"/>
  <c r="U1048" i="7"/>
  <c r="A1050" i="7"/>
  <c r="AD1049" i="7"/>
  <c r="AD1048" i="7"/>
  <c r="A1049" i="7"/>
  <c r="AI1048" i="7"/>
  <c r="AH1048" i="7"/>
  <c r="AG1048" i="7"/>
  <c r="AF1048" i="7"/>
  <c r="AE1048" i="7"/>
  <c r="AC1048" i="7"/>
  <c r="AB1048" i="7"/>
  <c r="Z1048" i="7"/>
  <c r="X1048" i="7"/>
  <c r="W1048" i="7"/>
  <c r="A1048" i="7"/>
  <c r="R1047" i="7"/>
  <c r="A1047" i="7"/>
  <c r="R1046" i="7"/>
  <c r="A1046" i="7"/>
  <c r="R1045" i="7"/>
  <c r="A1045" i="7"/>
  <c r="R1044" i="7"/>
  <c r="A1044" i="7"/>
  <c r="R1043" i="7"/>
  <c r="A1043" i="7"/>
  <c r="A1042" i="7"/>
  <c r="A1041" i="7"/>
  <c r="A1040" i="7"/>
  <c r="A1039" i="7"/>
  <c r="A1038" i="7"/>
  <c r="A1037" i="7"/>
  <c r="AH1036" i="7"/>
  <c r="AG1036" i="7"/>
  <c r="AF1036" i="7"/>
  <c r="AE1036" i="7"/>
  <c r="AD1036" i="7"/>
  <c r="AC1036" i="7"/>
  <c r="AB1036" i="7"/>
  <c r="AA1036" i="7"/>
  <c r="Z1036" i="7"/>
  <c r="X1036" i="7"/>
  <c r="W1036" i="7"/>
  <c r="U1036" i="7"/>
  <c r="A1036" i="7"/>
  <c r="AD1035" i="7"/>
  <c r="AA1035" i="7"/>
  <c r="AA1019" i="7"/>
  <c r="X1035" i="7"/>
  <c r="U1035" i="7"/>
  <c r="A1035" i="7"/>
  <c r="AD1034" i="7"/>
  <c r="A1034" i="7"/>
  <c r="A1033" i="7"/>
  <c r="Y1032" i="7"/>
  <c r="A1032" i="7"/>
  <c r="A1031" i="7"/>
  <c r="A1030" i="7"/>
  <c r="A1029" i="7"/>
  <c r="A1028" i="7"/>
  <c r="A1027" i="7"/>
  <c r="AD1026" i="7"/>
  <c r="A1026" i="7"/>
  <c r="AD1025" i="7"/>
  <c r="A1025" i="7"/>
  <c r="AD1024" i="7"/>
  <c r="A1024" i="7"/>
  <c r="A1023" i="7"/>
  <c r="Z1022" i="7"/>
  <c r="AC1022" i="7"/>
  <c r="W1022" i="7"/>
  <c r="W1019" i="7"/>
  <c r="U1022" i="7"/>
  <c r="X1022" i="7"/>
  <c r="A1022" i="7"/>
  <c r="Z1021" i="7"/>
  <c r="AC1021" i="7"/>
  <c r="A1021" i="7"/>
  <c r="A1020" i="7"/>
  <c r="AI1019" i="7"/>
  <c r="AH1019" i="7"/>
  <c r="AG1019" i="7"/>
  <c r="AF1019" i="7"/>
  <c r="AE1019" i="7"/>
  <c r="AB1019" i="7"/>
  <c r="A1019" i="7"/>
  <c r="A1018" i="7"/>
  <c r="A1017" i="7"/>
  <c r="A1016" i="7"/>
  <c r="A1015" i="7"/>
  <c r="A1014" i="7"/>
  <c r="A1013" i="7"/>
  <c r="A1012" i="7"/>
  <c r="A1011" i="7"/>
  <c r="AH1010" i="7"/>
  <c r="AH990" i="7"/>
  <c r="AH989" i="7"/>
  <c r="AG1010" i="7"/>
  <c r="AG990" i="7"/>
  <c r="AG989" i="7"/>
  <c r="A1010" i="7"/>
  <c r="A1009" i="7"/>
  <c r="A1008" i="7"/>
  <c r="A1007" i="7"/>
  <c r="AH1006" i="7"/>
  <c r="AG1006" i="7"/>
  <c r="A1006" i="7"/>
  <c r="A1005" i="7"/>
  <c r="A1004" i="7"/>
  <c r="A1003" i="7"/>
  <c r="A1002" i="7"/>
  <c r="A1001" i="7"/>
  <c r="A1000" i="7"/>
  <c r="A999" i="7"/>
  <c r="AH998" i="7"/>
  <c r="AG998" i="7"/>
  <c r="A998" i="7"/>
  <c r="A997" i="7"/>
  <c r="A996" i="7"/>
  <c r="A995" i="7"/>
  <c r="A994" i="7"/>
  <c r="A993" i="7"/>
  <c r="A992" i="7"/>
  <c r="AH991" i="7"/>
  <c r="AG991" i="7"/>
  <c r="A991" i="7"/>
  <c r="AI990" i="7"/>
  <c r="AI989" i="7"/>
  <c r="A990" i="7"/>
  <c r="AF989" i="7"/>
  <c r="AE989" i="7"/>
  <c r="AD989" i="7"/>
  <c r="AC989" i="7"/>
  <c r="AB989" i="7"/>
  <c r="AA989" i="7"/>
  <c r="Z989" i="7"/>
  <c r="X989" i="7"/>
  <c r="W989" i="7"/>
  <c r="U989" i="7"/>
  <c r="A989" i="7"/>
  <c r="A988" i="7"/>
  <c r="A987" i="7"/>
  <c r="A986" i="7"/>
  <c r="A985" i="7"/>
  <c r="A984" i="7"/>
  <c r="A983" i="7"/>
  <c r="A982" i="7"/>
  <c r="A981" i="7"/>
  <c r="A980" i="7"/>
  <c r="A979" i="7"/>
  <c r="A978" i="7"/>
  <c r="A977" i="7"/>
  <c r="A976" i="7"/>
  <c r="A975" i="7"/>
  <c r="A974" i="7"/>
  <c r="A973" i="7"/>
  <c r="A972" i="7"/>
  <c r="A971" i="7"/>
  <c r="A970" i="7"/>
  <c r="A969" i="7"/>
  <c r="A968" i="7"/>
  <c r="AH967" i="7"/>
  <c r="AG967" i="7"/>
  <c r="U967" i="7"/>
  <c r="A967" i="7"/>
  <c r="A966" i="7"/>
  <c r="A965" i="7"/>
  <c r="A964" i="7"/>
  <c r="A963" i="7"/>
  <c r="A962" i="7"/>
  <c r="A961" i="7"/>
  <c r="A960" i="7"/>
  <c r="A959" i="7"/>
  <c r="A958" i="7"/>
  <c r="A957" i="7"/>
  <c r="AH956" i="7"/>
  <c r="U956" i="7"/>
  <c r="A956" i="7"/>
  <c r="A955" i="7"/>
  <c r="A954" i="7"/>
  <c r="A953" i="7"/>
  <c r="U952" i="7"/>
  <c r="A952" i="7"/>
  <c r="U951" i="7"/>
  <c r="A951" i="7"/>
  <c r="U950" i="7"/>
  <c r="A950" i="7"/>
  <c r="A949" i="7"/>
  <c r="A948" i="7"/>
  <c r="A947" i="7"/>
  <c r="A946" i="7"/>
  <c r="A945" i="7"/>
  <c r="A944" i="7"/>
  <c r="A943" i="7"/>
  <c r="A942" i="7"/>
  <c r="A941" i="7"/>
  <c r="AI940" i="7"/>
  <c r="AI939" i="7"/>
  <c r="AH940" i="7"/>
  <c r="AG940" i="7"/>
  <c r="AF940" i="7"/>
  <c r="AF939" i="7"/>
  <c r="AE940" i="7"/>
  <c r="AE939" i="7"/>
  <c r="AD940" i="7"/>
  <c r="AD939" i="7"/>
  <c r="AC940" i="7"/>
  <c r="AC939" i="7"/>
  <c r="AB940" i="7"/>
  <c r="AB939" i="7"/>
  <c r="AA940" i="7"/>
  <c r="AA939" i="7"/>
  <c r="Z940" i="7"/>
  <c r="Z939" i="7"/>
  <c r="X940" i="7"/>
  <c r="X939" i="7"/>
  <c r="W940" i="7"/>
  <c r="W939" i="7"/>
  <c r="A940" i="7"/>
  <c r="A939" i="7"/>
  <c r="A938" i="7"/>
  <c r="A937" i="7"/>
  <c r="AM936" i="7"/>
  <c r="AL936" i="7"/>
  <c r="AK936" i="7"/>
  <c r="AI936" i="7"/>
  <c r="AI935" i="7"/>
  <c r="AH936" i="7"/>
  <c r="AH935" i="7"/>
  <c r="AG936" i="7"/>
  <c r="AG935" i="7"/>
  <c r="AF936" i="7"/>
  <c r="AF935" i="7"/>
  <c r="AE936" i="7"/>
  <c r="AE935" i="7"/>
  <c r="AD936" i="7"/>
  <c r="AD935" i="7"/>
  <c r="AC936" i="7"/>
  <c r="AC935" i="7"/>
  <c r="AB936" i="7"/>
  <c r="AB935" i="7"/>
  <c r="AA936" i="7"/>
  <c r="AA935" i="7"/>
  <c r="Z936" i="7"/>
  <c r="Z935" i="7"/>
  <c r="X936" i="7"/>
  <c r="X935" i="7"/>
  <c r="W936" i="7"/>
  <c r="W935" i="7"/>
  <c r="U936" i="7"/>
  <c r="U935" i="7"/>
  <c r="A936" i="7"/>
  <c r="A935" i="7"/>
  <c r="A934" i="7"/>
  <c r="A933" i="7"/>
  <c r="A932" i="7"/>
  <c r="A931" i="7"/>
  <c r="A930" i="7"/>
  <c r="AJ929" i="7"/>
  <c r="AI929" i="7"/>
  <c r="AH929" i="7"/>
  <c r="AG929" i="7"/>
  <c r="AF929" i="7"/>
  <c r="AE929" i="7"/>
  <c r="AD929" i="7"/>
  <c r="AC929" i="7"/>
  <c r="AB929" i="7"/>
  <c r="AA929" i="7"/>
  <c r="Z929" i="7"/>
  <c r="X929" i="7"/>
  <c r="W929" i="7"/>
  <c r="U929" i="7"/>
  <c r="A929" i="7"/>
  <c r="A928" i="7"/>
  <c r="A927" i="7"/>
  <c r="A926" i="7"/>
  <c r="A925" i="7"/>
  <c r="A924" i="7"/>
  <c r="A923" i="7"/>
  <c r="A922" i="7"/>
  <c r="A921" i="7"/>
  <c r="A920" i="7"/>
  <c r="A919" i="7"/>
  <c r="A918" i="7"/>
  <c r="A917" i="7"/>
  <c r="A916" i="7"/>
  <c r="A915" i="7"/>
  <c r="A914" i="7"/>
  <c r="A913" i="7"/>
  <c r="AJ912" i="7"/>
  <c r="AJ902" i="7"/>
  <c r="AI912" i="7"/>
  <c r="AH912" i="7"/>
  <c r="AG912" i="7"/>
  <c r="AF912" i="7"/>
  <c r="AE912" i="7"/>
  <c r="AD912" i="7"/>
  <c r="AC912" i="7"/>
  <c r="AB912" i="7"/>
  <c r="AA912" i="7"/>
  <c r="Z912" i="7"/>
  <c r="X912" i="7"/>
  <c r="W912" i="7"/>
  <c r="U912" i="7"/>
  <c r="A912" i="7"/>
  <c r="A911" i="7"/>
  <c r="A910" i="7"/>
  <c r="A909" i="7"/>
  <c r="A908" i="7"/>
  <c r="A907" i="7"/>
  <c r="A906" i="7"/>
  <c r="A905" i="7"/>
  <c r="A904" i="7"/>
  <c r="AI903" i="7"/>
  <c r="AH903" i="7"/>
  <c r="AG903" i="7"/>
  <c r="AF903" i="7"/>
  <c r="AE903" i="7"/>
  <c r="AD903" i="7"/>
  <c r="AC903" i="7"/>
  <c r="AB903" i="7"/>
  <c r="AA903" i="7"/>
  <c r="Z903" i="7"/>
  <c r="X903" i="7"/>
  <c r="W903" i="7"/>
  <c r="U903" i="7"/>
  <c r="A903" i="7"/>
  <c r="A902" i="7"/>
  <c r="A901" i="7"/>
  <c r="A900" i="7"/>
  <c r="AH899" i="7"/>
  <c r="AH898" i="7"/>
  <c r="A899" i="7"/>
  <c r="AI898" i="7"/>
  <c r="AG898" i="7"/>
  <c r="AF898" i="7"/>
  <c r="AE898" i="7"/>
  <c r="AD898" i="7"/>
  <c r="AC898" i="7"/>
  <c r="AB898" i="7"/>
  <c r="AA898" i="7"/>
  <c r="Z898" i="7"/>
  <c r="X898" i="7"/>
  <c r="W898" i="7"/>
  <c r="U898" i="7"/>
  <c r="A898" i="7"/>
  <c r="A897" i="7"/>
  <c r="A896" i="7"/>
  <c r="A895" i="7"/>
  <c r="A894" i="7"/>
  <c r="A893" i="7"/>
  <c r="A892" i="7"/>
  <c r="A891" i="7"/>
  <c r="A890" i="7"/>
  <c r="A889" i="7"/>
  <c r="AJ888" i="7"/>
  <c r="AI888" i="7"/>
  <c r="AH888" i="7"/>
  <c r="AG888" i="7"/>
  <c r="AF888" i="7"/>
  <c r="AE888" i="7"/>
  <c r="AD888" i="7"/>
  <c r="AC888" i="7"/>
  <c r="AB888" i="7"/>
  <c r="AA888" i="7"/>
  <c r="Z888" i="7"/>
  <c r="X888" i="7"/>
  <c r="W888" i="7"/>
  <c r="U888" i="7"/>
  <c r="A888" i="7"/>
  <c r="AH887" i="7"/>
  <c r="AH886" i="7"/>
  <c r="AG887" i="7"/>
  <c r="AG886" i="7"/>
  <c r="A887" i="7"/>
  <c r="AJ886" i="7"/>
  <c r="AI886" i="7"/>
  <c r="AF886" i="7"/>
  <c r="AE886" i="7"/>
  <c r="AD886" i="7"/>
  <c r="AC886" i="7"/>
  <c r="AB886" i="7"/>
  <c r="AA886" i="7"/>
  <c r="Z886" i="7"/>
  <c r="W886" i="7"/>
  <c r="A886" i="7"/>
  <c r="A885" i="7"/>
  <c r="A884" i="7"/>
  <c r="A883" i="7"/>
  <c r="X882" i="7"/>
  <c r="X881" i="7"/>
  <c r="U882" i="7"/>
  <c r="U881" i="7"/>
  <c r="A882" i="7"/>
  <c r="AJ881" i="7"/>
  <c r="AI881" i="7"/>
  <c r="AH881" i="7"/>
  <c r="AG881" i="7"/>
  <c r="AF881" i="7"/>
  <c r="AE881" i="7"/>
  <c r="AD881" i="7"/>
  <c r="AC881" i="7"/>
  <c r="AB881" i="7"/>
  <c r="AA881" i="7"/>
  <c r="Z881" i="7"/>
  <c r="W881" i="7"/>
  <c r="A881" i="7"/>
  <c r="A880" i="7"/>
  <c r="AH879" i="7"/>
  <c r="X879" i="7"/>
  <c r="A879" i="7"/>
  <c r="AH878" i="7"/>
  <c r="X878" i="7"/>
  <c r="A878" i="7"/>
  <c r="A877" i="7"/>
  <c r="AH876" i="7"/>
  <c r="A876" i="7"/>
  <c r="AH875" i="7"/>
  <c r="X875" i="7"/>
  <c r="A875" i="7"/>
  <c r="A874" i="7"/>
  <c r="A873" i="7"/>
  <c r="A872" i="7"/>
  <c r="A871" i="7"/>
  <c r="A870" i="7"/>
  <c r="A869" i="7"/>
  <c r="A868" i="7"/>
  <c r="A867" i="7"/>
  <c r="A866" i="7"/>
  <c r="A865" i="7"/>
  <c r="A864" i="7"/>
  <c r="A863" i="7"/>
  <c r="AI862" i="7"/>
  <c r="AG862" i="7"/>
  <c r="A862" i="7"/>
  <c r="AM861" i="7"/>
  <c r="AL861" i="7"/>
  <c r="AK861" i="7"/>
  <c r="A861" i="7"/>
  <c r="A860" i="7"/>
  <c r="A859" i="7"/>
  <c r="A858" i="7"/>
  <c r="A857" i="7"/>
  <c r="A856" i="7"/>
  <c r="A855" i="7"/>
  <c r="X854" i="7"/>
  <c r="X846" i="7"/>
  <c r="U854" i="7"/>
  <c r="U846" i="7"/>
  <c r="A854" i="7"/>
  <c r="A853" i="7"/>
  <c r="A852" i="7"/>
  <c r="A851" i="7"/>
  <c r="A850" i="7"/>
  <c r="A849" i="7"/>
  <c r="A848" i="7"/>
  <c r="A847" i="7"/>
  <c r="AI846" i="7"/>
  <c r="AH846" i="7"/>
  <c r="AG846" i="7"/>
  <c r="AF846" i="7"/>
  <c r="AE846" i="7"/>
  <c r="AD846" i="7"/>
  <c r="AC846" i="7"/>
  <c r="AB846" i="7"/>
  <c r="AA846" i="7"/>
  <c r="Z846" i="7"/>
  <c r="W846" i="7"/>
  <c r="A846" i="7"/>
  <c r="A845" i="7"/>
  <c r="A844" i="7"/>
  <c r="AD843" i="7"/>
  <c r="AD841" i="7"/>
  <c r="AA843" i="7"/>
  <c r="AA841" i="7"/>
  <c r="X843" i="7"/>
  <c r="X841" i="7"/>
  <c r="U843" i="7"/>
  <c r="U841" i="7"/>
  <c r="A843" i="7"/>
  <c r="A842" i="7"/>
  <c r="AI841" i="7"/>
  <c r="AH841" i="7"/>
  <c r="AG841" i="7"/>
  <c r="AF841" i="7"/>
  <c r="AE841" i="7"/>
  <c r="AC841" i="7"/>
  <c r="AB841" i="7"/>
  <c r="Z841" i="7"/>
  <c r="W841" i="7"/>
  <c r="A841" i="7"/>
  <c r="A840" i="7"/>
  <c r="A839" i="7"/>
  <c r="A838" i="7"/>
  <c r="AM837" i="7"/>
  <c r="AL837" i="7"/>
  <c r="AK837" i="7"/>
  <c r="AJ837" i="7"/>
  <c r="AJ773" i="7"/>
  <c r="AI837" i="7"/>
  <c r="AH837" i="7"/>
  <c r="AG837" i="7"/>
  <c r="AF837" i="7"/>
  <c r="AE837" i="7"/>
  <c r="AD837" i="7"/>
  <c r="AC837" i="7"/>
  <c r="AB837" i="7"/>
  <c r="AA837" i="7"/>
  <c r="Z837" i="7"/>
  <c r="X837" i="7"/>
  <c r="W837" i="7"/>
  <c r="U837" i="7"/>
  <c r="A837" i="7"/>
  <c r="A836" i="7"/>
  <c r="A835" i="7"/>
  <c r="A834" i="7"/>
  <c r="A833" i="7"/>
  <c r="A832" i="7"/>
  <c r="A831" i="7"/>
  <c r="A830" i="7"/>
  <c r="A829" i="7"/>
  <c r="A828" i="7"/>
  <c r="A827" i="7"/>
  <c r="A826" i="7"/>
  <c r="A825" i="7"/>
  <c r="A824" i="7"/>
  <c r="A823" i="7"/>
  <c r="A822" i="7"/>
  <c r="AD821" i="7"/>
  <c r="AD777" i="7"/>
  <c r="AC821" i="7"/>
  <c r="AA821" i="7"/>
  <c r="X821"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X791" i="7"/>
  <c r="A791" i="7"/>
  <c r="X790" i="7"/>
  <c r="A790" i="7"/>
  <c r="X789" i="7"/>
  <c r="A789" i="7"/>
  <c r="X788" i="7"/>
  <c r="A788" i="7"/>
  <c r="X787" i="7"/>
  <c r="A787" i="7"/>
  <c r="X786" i="7"/>
  <c r="A786" i="7"/>
  <c r="X785" i="7"/>
  <c r="A785" i="7"/>
  <c r="A784" i="7"/>
  <c r="A783" i="7"/>
  <c r="A782" i="7"/>
  <c r="A781" i="7"/>
  <c r="A780" i="7"/>
  <c r="A779" i="7"/>
  <c r="A778" i="7"/>
  <c r="AI777" i="7"/>
  <c r="AH777" i="7"/>
  <c r="AG777" i="7"/>
  <c r="U777" i="7"/>
  <c r="A777" i="7"/>
  <c r="A776" i="7"/>
  <c r="A775" i="7"/>
  <c r="AH774" i="7"/>
  <c r="AG774" i="7"/>
  <c r="AF774" i="7"/>
  <c r="AE774" i="7"/>
  <c r="AD774" i="7"/>
  <c r="AC774" i="7"/>
  <c r="AB774" i="7"/>
  <c r="AA774" i="7"/>
  <c r="Z774" i="7"/>
  <c r="X774" i="7"/>
  <c r="W774" i="7"/>
  <c r="U774" i="7"/>
  <c r="A774" i="7"/>
  <c r="A773" i="7"/>
  <c r="R772" i="7"/>
  <c r="A772" i="7"/>
  <c r="AH771" i="7"/>
  <c r="AG771" i="7"/>
  <c r="AF771" i="7"/>
  <c r="AE771" i="7"/>
  <c r="AD771" i="7"/>
  <c r="AC771" i="7"/>
  <c r="AB771" i="7"/>
  <c r="AA771" i="7"/>
  <c r="Z771" i="7"/>
  <c r="X771" i="7"/>
  <c r="W771" i="7"/>
  <c r="U771" i="7"/>
  <c r="A771" i="7"/>
  <c r="A770" i="7"/>
  <c r="A769" i="7"/>
  <c r="A768" i="7"/>
  <c r="A767" i="7"/>
  <c r="A766" i="7"/>
  <c r="A765" i="7"/>
  <c r="A764" i="7"/>
  <c r="AJ763" i="7"/>
  <c r="AI763" i="7"/>
  <c r="AH763" i="7"/>
  <c r="AG763" i="7"/>
  <c r="AF763" i="7"/>
  <c r="AE763" i="7"/>
  <c r="AD763" i="7"/>
  <c r="AC763" i="7"/>
  <c r="AB763" i="7"/>
  <c r="AA763" i="7"/>
  <c r="Z763" i="7"/>
  <c r="X763" i="7"/>
  <c r="W763" i="7"/>
  <c r="U763" i="7"/>
  <c r="A763" i="7"/>
  <c r="AH762" i="7"/>
  <c r="X762" i="7"/>
  <c r="A762" i="7"/>
  <c r="AH761" i="7"/>
  <c r="U761" i="7"/>
  <c r="A761" i="7"/>
  <c r="AH760" i="7"/>
  <c r="X760" i="7"/>
  <c r="A760" i="7"/>
  <c r="AH759" i="7"/>
  <c r="U759" i="7"/>
  <c r="A759" i="7"/>
  <c r="AH758" i="7"/>
  <c r="X758" i="7"/>
  <c r="A758" i="7"/>
  <c r="AH757" i="7"/>
  <c r="X757" i="7"/>
  <c r="A757" i="7"/>
  <c r="AH756" i="7"/>
  <c r="U756" i="7"/>
  <c r="A756" i="7"/>
  <c r="AH755" i="7"/>
  <c r="X755" i="7"/>
  <c r="A755" i="7"/>
  <c r="AH754" i="7"/>
  <c r="X754" i="7"/>
  <c r="A754" i="7"/>
  <c r="AH753" i="7"/>
  <c r="X753" i="7"/>
  <c r="A753" i="7"/>
  <c r="AH752" i="7"/>
  <c r="X752" i="7"/>
  <c r="A752" i="7"/>
  <c r="AH751" i="7"/>
  <c r="U751" i="7"/>
  <c r="A751" i="7"/>
  <c r="AH750" i="7"/>
  <c r="X750" i="7"/>
  <c r="A750" i="7"/>
  <c r="AH749" i="7"/>
  <c r="X749" i="7"/>
  <c r="A749" i="7"/>
  <c r="AH748" i="7"/>
  <c r="AA748" i="7"/>
  <c r="X748" i="7"/>
  <c r="A748" i="7"/>
  <c r="AH747" i="7"/>
  <c r="AA747" i="7"/>
  <c r="X747" i="7"/>
  <c r="A747" i="7"/>
  <c r="AH746" i="7"/>
  <c r="AA746" i="7"/>
  <c r="X746" i="7"/>
  <c r="A746" i="7"/>
  <c r="AH745" i="7"/>
  <c r="X745" i="7"/>
  <c r="U745" i="7"/>
  <c r="A745" i="7"/>
  <c r="AH744" i="7"/>
  <c r="AA744" i="7"/>
  <c r="X744" i="7"/>
  <c r="A744" i="7"/>
  <c r="U743" i="7"/>
  <c r="A743" i="7"/>
  <c r="A742" i="7"/>
  <c r="AI741" i="7"/>
  <c r="AG741" i="7"/>
  <c r="AF741" i="7"/>
  <c r="AE741" i="7"/>
  <c r="AD741" i="7"/>
  <c r="AC741" i="7"/>
  <c r="AB741" i="7"/>
  <c r="Z741" i="7"/>
  <c r="W741" i="7"/>
  <c r="A741" i="7"/>
  <c r="A740" i="7"/>
  <c r="AJ739" i="7"/>
  <c r="AI739" i="7"/>
  <c r="AH739" i="7"/>
  <c r="AG739" i="7"/>
  <c r="A739" i="7"/>
  <c r="A738" i="7"/>
  <c r="AJ737" i="7"/>
  <c r="AI737" i="7"/>
  <c r="AH737" i="7"/>
  <c r="AG737" i="7"/>
  <c r="A737" i="7"/>
  <c r="R736" i="7"/>
  <c r="A736" i="7"/>
  <c r="R735" i="7"/>
  <c r="A735" i="7"/>
  <c r="R734" i="7"/>
  <c r="A734" i="7"/>
  <c r="Z733" i="7"/>
  <c r="Z726" i="7"/>
  <c r="W733" i="7"/>
  <c r="W726" i="7"/>
  <c r="T733" i="7"/>
  <c r="A733" i="7"/>
  <c r="R732" i="7"/>
  <c r="A732" i="7"/>
  <c r="R731" i="7"/>
  <c r="A731" i="7"/>
  <c r="A730" i="7"/>
  <c r="A729" i="7"/>
  <c r="AH728" i="7"/>
  <c r="AH726" i="7"/>
  <c r="A728" i="7"/>
  <c r="A727" i="7"/>
  <c r="AI726" i="7"/>
  <c r="AG726" i="7"/>
  <c r="AD726" i="7"/>
  <c r="AC726" i="7"/>
  <c r="AA726" i="7"/>
  <c r="X726" i="7"/>
  <c r="U726" i="7"/>
  <c r="A726" i="7"/>
  <c r="A725" i="7"/>
  <c r="A724" i="7"/>
  <c r="A723" i="7"/>
  <c r="AH722" i="7"/>
  <c r="AG722" i="7"/>
  <c r="AF722" i="7"/>
  <c r="AE722" i="7"/>
  <c r="AD722" i="7"/>
  <c r="AC722" i="7"/>
  <c r="AB722" i="7"/>
  <c r="AA722" i="7"/>
  <c r="Z722" i="7"/>
  <c r="X722" i="7"/>
  <c r="W722" i="7"/>
  <c r="U722" i="7"/>
  <c r="A722" i="7"/>
  <c r="A721" i="7"/>
  <c r="A720" i="7"/>
  <c r="AH719" i="7"/>
  <c r="AG719" i="7"/>
  <c r="AF719" i="7"/>
  <c r="AE719" i="7"/>
  <c r="AD719" i="7"/>
  <c r="AC719" i="7"/>
  <c r="AB719" i="7"/>
  <c r="AA719" i="7"/>
  <c r="Z719" i="7"/>
  <c r="X719" i="7"/>
  <c r="W719" i="7"/>
  <c r="U719" i="7"/>
  <c r="A719" i="7"/>
  <c r="A718" i="7"/>
  <c r="A717" i="7"/>
  <c r="AH716" i="7"/>
  <c r="AG716" i="7"/>
  <c r="AF716" i="7"/>
  <c r="AE716" i="7"/>
  <c r="AD716" i="7"/>
  <c r="AC716" i="7"/>
  <c r="AB716" i="7"/>
  <c r="AA716" i="7"/>
  <c r="Z716" i="7"/>
  <c r="X716" i="7"/>
  <c r="W716" i="7"/>
  <c r="U716" i="7"/>
  <c r="A716" i="7"/>
  <c r="A715" i="7"/>
  <c r="A714" i="7"/>
  <c r="AH713" i="7"/>
  <c r="AG713" i="7"/>
  <c r="AF713" i="7"/>
  <c r="AE713" i="7"/>
  <c r="AD713" i="7"/>
  <c r="AC713" i="7"/>
  <c r="AB713" i="7"/>
  <c r="AA713" i="7"/>
  <c r="Z713" i="7"/>
  <c r="X713" i="7"/>
  <c r="W713" i="7"/>
  <c r="U713" i="7"/>
  <c r="A713" i="7"/>
  <c r="A712" i="7"/>
  <c r="A711" i="7"/>
  <c r="AH710" i="7"/>
  <c r="AG710" i="7"/>
  <c r="AF710" i="7"/>
  <c r="AE710" i="7"/>
  <c r="AD710" i="7"/>
  <c r="AC710" i="7"/>
  <c r="AB710" i="7"/>
  <c r="AA710" i="7"/>
  <c r="Z710" i="7"/>
  <c r="X710" i="7"/>
  <c r="W710" i="7"/>
  <c r="U710" i="7"/>
  <c r="A710" i="7"/>
  <c r="A709" i="7"/>
  <c r="A708" i="7"/>
  <c r="AH707" i="7"/>
  <c r="AG707" i="7"/>
  <c r="AF707" i="7"/>
  <c r="AE707" i="7"/>
  <c r="AD707" i="7"/>
  <c r="AC707" i="7"/>
  <c r="AB707" i="7"/>
  <c r="AA707" i="7"/>
  <c r="Z707" i="7"/>
  <c r="X707" i="7"/>
  <c r="W707" i="7"/>
  <c r="U707" i="7"/>
  <c r="A707" i="7"/>
  <c r="A706" i="7"/>
  <c r="A705" i="7"/>
  <c r="AH704" i="7"/>
  <c r="AG704" i="7"/>
  <c r="AF704" i="7"/>
  <c r="AE704" i="7"/>
  <c r="AD704" i="7"/>
  <c r="AC704" i="7"/>
  <c r="AB704" i="7"/>
  <c r="AA704" i="7"/>
  <c r="Z704" i="7"/>
  <c r="X704" i="7"/>
  <c r="W704" i="7"/>
  <c r="U704" i="7"/>
  <c r="A704" i="7"/>
  <c r="A703" i="7"/>
  <c r="A702" i="7"/>
  <c r="AH701" i="7"/>
  <c r="AG701" i="7"/>
  <c r="AF701" i="7"/>
  <c r="AE701" i="7"/>
  <c r="AD701" i="7"/>
  <c r="AC701" i="7"/>
  <c r="AB701" i="7"/>
  <c r="AA701" i="7"/>
  <c r="Z701" i="7"/>
  <c r="X701" i="7"/>
  <c r="W701" i="7"/>
  <c r="U701" i="7"/>
  <c r="A701" i="7"/>
  <c r="A700" i="7"/>
  <c r="A699" i="7"/>
  <c r="AH698" i="7"/>
  <c r="AG698" i="7"/>
  <c r="AF698" i="7"/>
  <c r="AE698" i="7"/>
  <c r="AD698" i="7"/>
  <c r="AC698" i="7"/>
  <c r="AB698" i="7"/>
  <c r="AA698" i="7"/>
  <c r="Z698" i="7"/>
  <c r="X698" i="7"/>
  <c r="W698" i="7"/>
  <c r="U698" i="7"/>
  <c r="A698" i="7"/>
  <c r="A697" i="7"/>
  <c r="AH696" i="7"/>
  <c r="AH695" i="7"/>
  <c r="AG696" i="7"/>
  <c r="AG695" i="7"/>
  <c r="X696" i="7"/>
  <c r="X695" i="7"/>
  <c r="U696" i="7"/>
  <c r="U695" i="7"/>
  <c r="A696" i="7"/>
  <c r="AD695" i="7"/>
  <c r="AC695" i="7"/>
  <c r="AA695" i="7"/>
  <c r="Z695" i="7"/>
  <c r="W695" i="7"/>
  <c r="A695" i="7"/>
  <c r="A694" i="7"/>
  <c r="AH693" i="7"/>
  <c r="AH692" i="7"/>
  <c r="AG693" i="7"/>
  <c r="AG692" i="7"/>
  <c r="X693" i="7"/>
  <c r="X692" i="7"/>
  <c r="U693" i="7"/>
  <c r="U692" i="7"/>
  <c r="A693" i="7"/>
  <c r="AC692" i="7"/>
  <c r="AA692" i="7"/>
  <c r="Z692" i="7"/>
  <c r="W692" i="7"/>
  <c r="A692" i="7"/>
  <c r="A691" i="7"/>
  <c r="AH690" i="7"/>
  <c r="AH689" i="7"/>
  <c r="AG690" i="7"/>
  <c r="AG689" i="7"/>
  <c r="U690" i="7"/>
  <c r="A690" i="7"/>
  <c r="AD689" i="7"/>
  <c r="AC689" i="7"/>
  <c r="AA689" i="7"/>
  <c r="Z689" i="7"/>
  <c r="W689" i="7"/>
  <c r="A689" i="7"/>
  <c r="A688" i="7"/>
  <c r="AH687" i="7"/>
  <c r="AH686" i="7"/>
  <c r="AG687" i="7"/>
  <c r="AG686" i="7"/>
  <c r="X687" i="7"/>
  <c r="X686" i="7"/>
  <c r="U687" i="7"/>
  <c r="U686" i="7"/>
  <c r="A687" i="7"/>
  <c r="AD686" i="7"/>
  <c r="AC686" i="7"/>
  <c r="AA686" i="7"/>
  <c r="Z686" i="7"/>
  <c r="W686" i="7"/>
  <c r="A686" i="7"/>
  <c r="A685" i="7"/>
  <c r="AH684" i="7"/>
  <c r="AH683" i="7"/>
  <c r="AG684" i="7"/>
  <c r="AG683" i="7"/>
  <c r="X684" i="7"/>
  <c r="X683" i="7"/>
  <c r="U684" i="7"/>
  <c r="U683" i="7"/>
  <c r="A684" i="7"/>
  <c r="AD683" i="7"/>
  <c r="AC683" i="7"/>
  <c r="AA683" i="7"/>
  <c r="Z683" i="7"/>
  <c r="W683" i="7"/>
  <c r="A683" i="7"/>
  <c r="A682" i="7"/>
  <c r="X681" i="7"/>
  <c r="X680" i="7"/>
  <c r="U681" i="7"/>
  <c r="U680" i="7"/>
  <c r="A681" i="7"/>
  <c r="AH680" i="7"/>
  <c r="AG680" i="7"/>
  <c r="AD680" i="7"/>
  <c r="AC680" i="7"/>
  <c r="AA680" i="7"/>
  <c r="Z680" i="7"/>
  <c r="W680" i="7"/>
  <c r="A680" i="7"/>
  <c r="A679" i="7"/>
  <c r="AH678" i="7"/>
  <c r="AH677" i="7"/>
  <c r="AG678" i="7"/>
  <c r="AG677" i="7"/>
  <c r="X678" i="7"/>
  <c r="X677" i="7"/>
  <c r="U678" i="7"/>
  <c r="U677" i="7"/>
  <c r="A678" i="7"/>
  <c r="AD677" i="7"/>
  <c r="AC677" i="7"/>
  <c r="AA677" i="7"/>
  <c r="Z677" i="7"/>
  <c r="W677"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J648" i="7"/>
  <c r="AJ637" i="7"/>
  <c r="AI648" i="7"/>
  <c r="AH648" i="7"/>
  <c r="AG648" i="7"/>
  <c r="AF648" i="7"/>
  <c r="AE648" i="7"/>
  <c r="AD648" i="7"/>
  <c r="AC648" i="7"/>
  <c r="AB648" i="7"/>
  <c r="AA648" i="7"/>
  <c r="Z648" i="7"/>
  <c r="X648" i="7"/>
  <c r="W648" i="7"/>
  <c r="U648" i="7"/>
  <c r="A648" i="7"/>
  <c r="Y647" i="7"/>
  <c r="AD647" i="7"/>
  <c r="A647" i="7"/>
  <c r="U646" i="7"/>
  <c r="A646" i="7"/>
  <c r="Y645" i="7"/>
  <c r="AH645" i="7"/>
  <c r="A645" i="7"/>
  <c r="Y644" i="7"/>
  <c r="AH644" i="7"/>
  <c r="X644" i="7"/>
  <c r="A644" i="7"/>
  <c r="Y643" i="7"/>
  <c r="AH643" i="7"/>
  <c r="AD643" i="7"/>
  <c r="A643" i="7"/>
  <c r="Y642" i="7"/>
  <c r="AH642" i="7"/>
  <c r="AD642" i="7"/>
  <c r="A642" i="7"/>
  <c r="Y641" i="7"/>
  <c r="AH641" i="7"/>
  <c r="AA641" i="7"/>
  <c r="A641" i="7"/>
  <c r="Y640" i="7"/>
  <c r="AH640" i="7"/>
  <c r="AD640" i="7"/>
  <c r="A640" i="7"/>
  <c r="AH639" i="7"/>
  <c r="AA639" i="7"/>
  <c r="A639" i="7"/>
  <c r="AI638" i="7"/>
  <c r="AG638" i="7"/>
  <c r="AC638" i="7"/>
  <c r="Z638" i="7"/>
  <c r="W638" i="7"/>
  <c r="A638" i="7"/>
  <c r="A637" i="7"/>
  <c r="A636" i="7"/>
  <c r="A635" i="7"/>
  <c r="A634" i="7"/>
  <c r="A633" i="7"/>
  <c r="AH632" i="7"/>
  <c r="AG632" i="7"/>
  <c r="AF632" i="7"/>
  <c r="AC632" i="7"/>
  <c r="Z632" i="7"/>
  <c r="U632" i="7"/>
  <c r="T632" i="7"/>
  <c r="R632" i="7"/>
  <c r="A632" i="7"/>
  <c r="A631" i="7"/>
  <c r="A630" i="7"/>
  <c r="AF629" i="7"/>
  <c r="A629" i="7"/>
  <c r="A628" i="7"/>
  <c r="AH627" i="7"/>
  <c r="AG627" i="7"/>
  <c r="U627" i="7"/>
  <c r="A627" i="7"/>
  <c r="A626" i="7"/>
  <c r="A625" i="7"/>
  <c r="R624" i="7"/>
  <c r="R622" i="7"/>
  <c r="A624" i="7"/>
  <c r="A623" i="7"/>
  <c r="AH622" i="7"/>
  <c r="AG622" i="7"/>
  <c r="AF622" i="7"/>
  <c r="AC622" i="7"/>
  <c r="Z622" i="7"/>
  <c r="W622" i="7"/>
  <c r="U622" i="7"/>
  <c r="T622" i="7"/>
  <c r="A622" i="7"/>
  <c r="A621" i="7"/>
  <c r="A620" i="7"/>
  <c r="A619" i="7"/>
  <c r="A618" i="7"/>
  <c r="AH617" i="7"/>
  <c r="AG617" i="7"/>
  <c r="AC617" i="7"/>
  <c r="Z617" i="7"/>
  <c r="W617" i="7"/>
  <c r="U617" i="7"/>
  <c r="T617" i="7"/>
  <c r="A617" i="7"/>
  <c r="A616" i="7"/>
  <c r="A615" i="7"/>
  <c r="A614" i="7"/>
  <c r="A613" i="7"/>
  <c r="A612" i="7"/>
  <c r="AH611" i="7"/>
  <c r="AG611" i="7"/>
  <c r="AF611" i="7"/>
  <c r="AC611" i="7"/>
  <c r="Z611" i="7"/>
  <c r="W611" i="7"/>
  <c r="U611" i="7"/>
  <c r="T611" i="7"/>
  <c r="R611" i="7"/>
  <c r="A611" i="7"/>
  <c r="A610" i="7"/>
  <c r="A609" i="7"/>
  <c r="A608" i="7"/>
  <c r="A607" i="7"/>
  <c r="A606" i="7"/>
  <c r="AJ605" i="7"/>
  <c r="AI605" i="7"/>
  <c r="AH605" i="7"/>
  <c r="AG605" i="7"/>
  <c r="AF605" i="7"/>
  <c r="AC605" i="7"/>
  <c r="Z605" i="7"/>
  <c r="W605" i="7"/>
  <c r="U605" i="7"/>
  <c r="T605" i="7"/>
  <c r="R605" i="7"/>
  <c r="A605" i="7"/>
  <c r="A604" i="7"/>
  <c r="A603" i="7"/>
  <c r="A602" i="7"/>
  <c r="A601" i="7"/>
  <c r="A600" i="7"/>
  <c r="AJ599" i="7"/>
  <c r="AI599" i="7"/>
  <c r="AH599" i="7"/>
  <c r="AG599" i="7"/>
  <c r="U599" i="7"/>
  <c r="A599" i="7"/>
  <c r="A598" i="7"/>
  <c r="A597" i="7"/>
  <c r="A596" i="7"/>
  <c r="A595" i="7"/>
  <c r="A594" i="7"/>
  <c r="AJ593" i="7"/>
  <c r="AI593" i="7"/>
  <c r="AH593" i="7"/>
  <c r="AG593" i="7"/>
  <c r="AF593" i="7"/>
  <c r="AC593" i="7"/>
  <c r="Z593" i="7"/>
  <c r="W593" i="7"/>
  <c r="U593" i="7"/>
  <c r="T593" i="7"/>
  <c r="R593" i="7"/>
  <c r="A593" i="7"/>
  <c r="R592" i="7"/>
  <c r="T592" i="7"/>
  <c r="A592" i="7"/>
  <c r="R591" i="7"/>
  <c r="AC591" i="7"/>
  <c r="A591" i="7"/>
  <c r="R590" i="7"/>
  <c r="AC590" i="7"/>
  <c r="A590" i="7"/>
  <c r="R589" i="7"/>
  <c r="T589" i="7"/>
  <c r="A589" i="7"/>
  <c r="R588" i="7"/>
  <c r="AC588" i="7"/>
  <c r="A588" i="7"/>
  <c r="R587" i="7"/>
  <c r="A587" i="7"/>
  <c r="R586" i="7"/>
  <c r="AC586" i="7"/>
  <c r="A586" i="7"/>
  <c r="AJ585" i="7"/>
  <c r="AI585" i="7"/>
  <c r="AH585" i="7"/>
  <c r="AG585" i="7"/>
  <c r="AF585" i="7"/>
  <c r="AE585" i="7"/>
  <c r="AD585" i="7"/>
  <c r="AB585" i="7"/>
  <c r="AA585" i="7"/>
  <c r="Z585" i="7"/>
  <c r="X585" i="7"/>
  <c r="W585" i="7"/>
  <c r="U585" i="7"/>
  <c r="A585" i="7"/>
  <c r="AD584" i="7"/>
  <c r="AD573" i="7"/>
  <c r="AA584" i="7"/>
  <c r="AA573" i="7"/>
  <c r="X584" i="7"/>
  <c r="X573" i="7"/>
  <c r="U584" i="7"/>
  <c r="U573" i="7"/>
  <c r="A584" i="7"/>
  <c r="A583" i="7"/>
  <c r="A582" i="7"/>
  <c r="A581" i="7"/>
  <c r="A580" i="7"/>
  <c r="A579" i="7"/>
  <c r="A578" i="7"/>
  <c r="A577" i="7"/>
  <c r="A576" i="7"/>
  <c r="A575" i="7"/>
  <c r="A574" i="7"/>
  <c r="AJ573" i="7"/>
  <c r="AI573" i="7"/>
  <c r="AH573" i="7"/>
  <c r="AG573" i="7"/>
  <c r="AF573" i="7"/>
  <c r="AE573" i="7"/>
  <c r="AC573" i="7"/>
  <c r="AB573" i="7"/>
  <c r="Z573" i="7"/>
  <c r="W573" i="7"/>
  <c r="A573" i="7"/>
  <c r="AD572" i="7"/>
  <c r="X572" i="7"/>
  <c r="X566" i="7"/>
  <c r="U572" i="7"/>
  <c r="U566" i="7"/>
  <c r="A572" i="7"/>
  <c r="A571" i="7"/>
  <c r="A570" i="7"/>
  <c r="A569" i="7"/>
  <c r="A568" i="7"/>
  <c r="AD569" i="7"/>
  <c r="A567" i="7"/>
  <c r="AI566" i="7"/>
  <c r="AH566" i="7"/>
  <c r="AG566" i="7"/>
  <c r="A566" i="7"/>
  <c r="A565" i="7"/>
  <c r="A564" i="7"/>
  <c r="A563" i="7"/>
  <c r="A562" i="7"/>
  <c r="A561" i="7"/>
  <c r="A560" i="7"/>
  <c r="A559" i="7"/>
  <c r="AH558" i="7"/>
  <c r="X558" i="7"/>
  <c r="A558" i="7"/>
  <c r="AH557" i="7"/>
  <c r="AA557" i="7"/>
  <c r="A557" i="7"/>
  <c r="AH556" i="7"/>
  <c r="AA556" i="7"/>
  <c r="A556" i="7"/>
  <c r="AH555" i="7"/>
  <c r="AA555" i="7"/>
  <c r="A555" i="7"/>
  <c r="AH554" i="7"/>
  <c r="X554" i="7"/>
  <c r="A554" i="7"/>
  <c r="AH553" i="7"/>
  <c r="AA553" i="7"/>
  <c r="A553" i="7"/>
  <c r="AH552" i="7"/>
  <c r="AA552" i="7"/>
  <c r="A552" i="7"/>
  <c r="AH551" i="7"/>
  <c r="AA551" i="7"/>
  <c r="A551" i="7"/>
  <c r="AH550" i="7"/>
  <c r="AA550" i="7"/>
  <c r="A550" i="7"/>
  <c r="AH549" i="7"/>
  <c r="AA549" i="7"/>
  <c r="A549" i="7"/>
  <c r="AH548" i="7"/>
  <c r="AA548" i="7"/>
  <c r="A548" i="7"/>
  <c r="AH547" i="7"/>
  <c r="AA547" i="7"/>
  <c r="A547" i="7"/>
  <c r="AH546" i="7"/>
  <c r="AA546" i="7"/>
  <c r="A546" i="7"/>
  <c r="AH545" i="7"/>
  <c r="X545" i="7"/>
  <c r="A545" i="7"/>
  <c r="AD544" i="7"/>
  <c r="AA544" i="7"/>
  <c r="X544" i="7"/>
  <c r="U544" i="7"/>
  <c r="A544" i="7"/>
  <c r="AD543" i="7"/>
  <c r="AA543" i="7"/>
  <c r="X543" i="7"/>
  <c r="U543" i="7"/>
  <c r="A543" i="7"/>
  <c r="AD542" i="7"/>
  <c r="AA542" i="7"/>
  <c r="X542" i="7"/>
  <c r="U542" i="7"/>
  <c r="A542" i="7"/>
  <c r="AD541" i="7"/>
  <c r="AA541" i="7"/>
  <c r="X541" i="7"/>
  <c r="U541" i="7"/>
  <c r="A541" i="7"/>
  <c r="AD540" i="7"/>
  <c r="AA540" i="7"/>
  <c r="X540" i="7"/>
  <c r="U540" i="7"/>
  <c r="A540" i="7"/>
  <c r="AD539" i="7"/>
  <c r="AA539" i="7"/>
  <c r="X539" i="7"/>
  <c r="U539" i="7"/>
  <c r="A539" i="7"/>
  <c r="AD538" i="7"/>
  <c r="AA538" i="7"/>
  <c r="X538" i="7"/>
  <c r="U538" i="7"/>
  <c r="A538" i="7"/>
  <c r="AD537" i="7"/>
  <c r="AA537" i="7"/>
  <c r="X537" i="7"/>
  <c r="U537" i="7"/>
  <c r="A537" i="7"/>
  <c r="AD536" i="7"/>
  <c r="AA536" i="7"/>
  <c r="X536" i="7"/>
  <c r="U536" i="7"/>
  <c r="A536" i="7"/>
  <c r="AD535" i="7"/>
  <c r="AA535" i="7"/>
  <c r="X535" i="7"/>
  <c r="U535" i="7"/>
  <c r="A535" i="7"/>
  <c r="AD534" i="7"/>
  <c r="AA534" i="7"/>
  <c r="X534" i="7"/>
  <c r="U534" i="7"/>
  <c r="A534" i="7"/>
  <c r="AD533" i="7"/>
  <c r="AA533" i="7"/>
  <c r="X533" i="7"/>
  <c r="U533" i="7"/>
  <c r="A533" i="7"/>
  <c r="AD532" i="7"/>
  <c r="AA532" i="7"/>
  <c r="X532" i="7"/>
  <c r="U532" i="7"/>
  <c r="A532" i="7"/>
  <c r="AD531" i="7"/>
  <c r="AA531" i="7"/>
  <c r="X531" i="7"/>
  <c r="U531" i="7"/>
  <c r="A531" i="7"/>
  <c r="AD530" i="7"/>
  <c r="AA530" i="7"/>
  <c r="X530" i="7"/>
  <c r="U530" i="7"/>
  <c r="A530" i="7"/>
  <c r="AD529" i="7"/>
  <c r="AA529" i="7"/>
  <c r="X529" i="7"/>
  <c r="U529" i="7"/>
  <c r="A529" i="7"/>
  <c r="AD528" i="7"/>
  <c r="AA528" i="7"/>
  <c r="X528" i="7"/>
  <c r="U528" i="7"/>
  <c r="A528" i="7"/>
  <c r="AD527" i="7"/>
  <c r="AA527" i="7"/>
  <c r="X527" i="7"/>
  <c r="U527" i="7"/>
  <c r="A527" i="7"/>
  <c r="AD526" i="7"/>
  <c r="AA526" i="7"/>
  <c r="X526" i="7"/>
  <c r="U526" i="7"/>
  <c r="A526" i="7"/>
  <c r="AD525" i="7"/>
  <c r="AA525" i="7"/>
  <c r="X525" i="7"/>
  <c r="U525" i="7"/>
  <c r="A525" i="7"/>
  <c r="AD524" i="7"/>
  <c r="AA524" i="7"/>
  <c r="X524" i="7"/>
  <c r="U524" i="7"/>
  <c r="A524" i="7"/>
  <c r="AD523" i="7"/>
  <c r="AA523" i="7"/>
  <c r="X523" i="7"/>
  <c r="U523" i="7"/>
  <c r="A523" i="7"/>
  <c r="AD522" i="7"/>
  <c r="AA522" i="7"/>
  <c r="X522" i="7"/>
  <c r="U522" i="7"/>
  <c r="A522" i="7"/>
  <c r="AD521" i="7"/>
  <c r="AA521" i="7"/>
  <c r="X521" i="7"/>
  <c r="U521" i="7"/>
  <c r="A521" i="7"/>
  <c r="AD520" i="7"/>
  <c r="AA520" i="7"/>
  <c r="X520" i="7"/>
  <c r="U520" i="7"/>
  <c r="A520" i="7"/>
  <c r="AD519" i="7"/>
  <c r="AA519" i="7"/>
  <c r="X519" i="7"/>
  <c r="U519" i="7"/>
  <c r="A519" i="7"/>
  <c r="AD518" i="7"/>
  <c r="AA518" i="7"/>
  <c r="X518" i="7"/>
  <c r="U518" i="7"/>
  <c r="A518" i="7"/>
  <c r="AD517" i="7"/>
  <c r="AA517" i="7"/>
  <c r="X517" i="7"/>
  <c r="U517" i="7"/>
  <c r="A517" i="7"/>
  <c r="R516" i="7"/>
  <c r="A516" i="7"/>
  <c r="R515" i="7"/>
  <c r="A515" i="7"/>
  <c r="R514" i="7"/>
  <c r="A514" i="7"/>
  <c r="R513" i="7"/>
  <c r="A513" i="7"/>
  <c r="R512" i="7"/>
  <c r="A512" i="7"/>
  <c r="R511" i="7"/>
  <c r="A511" i="7"/>
  <c r="R510" i="7"/>
  <c r="A510" i="7"/>
  <c r="R509" i="7"/>
  <c r="A509" i="7"/>
  <c r="A508" i="7"/>
  <c r="A507" i="7"/>
  <c r="A506" i="7"/>
  <c r="A505" i="7"/>
  <c r="A504" i="7"/>
  <c r="A503" i="7"/>
  <c r="A502" i="7"/>
  <c r="A501" i="7"/>
  <c r="A500" i="7"/>
  <c r="A499" i="7"/>
  <c r="A498" i="7"/>
  <c r="A497" i="7"/>
  <c r="A496" i="7"/>
  <c r="A495" i="7"/>
  <c r="A494" i="7"/>
  <c r="A493" i="7"/>
  <c r="A492" i="7"/>
  <c r="A491" i="7"/>
  <c r="A490" i="7"/>
  <c r="A489" i="7"/>
  <c r="A488" i="7"/>
  <c r="AH487" i="7"/>
  <c r="X487" i="7"/>
  <c r="A487" i="7"/>
  <c r="AH486" i="7"/>
  <c r="X486" i="7"/>
  <c r="A486" i="7"/>
  <c r="AH485" i="7"/>
  <c r="X485" i="7"/>
  <c r="A485" i="7"/>
  <c r="AH484" i="7"/>
  <c r="X484" i="7"/>
  <c r="A484" i="7"/>
  <c r="AH483" i="7"/>
  <c r="U483" i="7"/>
  <c r="A483" i="7"/>
  <c r="AH482" i="7"/>
  <c r="X482" i="7"/>
  <c r="A482" i="7"/>
  <c r="AH481" i="7"/>
  <c r="X481" i="7"/>
  <c r="A481" i="7"/>
  <c r="AD480" i="7"/>
  <c r="AA480" i="7"/>
  <c r="X480" i="7"/>
  <c r="R480" i="7"/>
  <c r="A480" i="7"/>
  <c r="AD479" i="7"/>
  <c r="AA479" i="7"/>
  <c r="X479" i="7"/>
  <c r="R479" i="7"/>
  <c r="A479" i="7"/>
  <c r="AD478" i="7"/>
  <c r="AA478" i="7"/>
  <c r="X478" i="7"/>
  <c r="R478" i="7"/>
  <c r="A478" i="7"/>
  <c r="AD477" i="7"/>
  <c r="AA477" i="7"/>
  <c r="X477" i="7"/>
  <c r="R477" i="7"/>
  <c r="A477" i="7"/>
  <c r="AD476" i="7"/>
  <c r="AA476" i="7"/>
  <c r="X476" i="7"/>
  <c r="R476" i="7"/>
  <c r="A476" i="7"/>
  <c r="AD475" i="7"/>
  <c r="AA475" i="7"/>
  <c r="X475" i="7"/>
  <c r="R475" i="7"/>
  <c r="A475" i="7"/>
  <c r="AD474" i="7"/>
  <c r="AA474" i="7"/>
  <c r="X474" i="7"/>
  <c r="T474" i="7"/>
  <c r="A474" i="7"/>
  <c r="AA473" i="7"/>
  <c r="X473" i="7"/>
  <c r="R473" i="7"/>
  <c r="A473" i="7"/>
  <c r="AA472" i="7"/>
  <c r="X472" i="7"/>
  <c r="R472" i="7"/>
  <c r="A472" i="7"/>
  <c r="AA471" i="7"/>
  <c r="X471" i="7"/>
  <c r="R471" i="7"/>
  <c r="A471" i="7"/>
  <c r="AA470" i="7"/>
  <c r="X470" i="7"/>
  <c r="R470" i="7"/>
  <c r="A470" i="7"/>
  <c r="AA469" i="7"/>
  <c r="X469" i="7"/>
  <c r="R469" i="7"/>
  <c r="A469" i="7"/>
  <c r="AA468" i="7"/>
  <c r="X468" i="7"/>
  <c r="R468" i="7"/>
  <c r="A468" i="7"/>
  <c r="AA467" i="7"/>
  <c r="X467" i="7"/>
  <c r="R467" i="7"/>
  <c r="A467" i="7"/>
  <c r="A466" i="7"/>
  <c r="A465" i="7"/>
  <c r="A464" i="7"/>
  <c r="A463" i="7"/>
  <c r="A462" i="7"/>
  <c r="A461" i="7"/>
  <c r="A460" i="7"/>
  <c r="BD459" i="7"/>
  <c r="BD461" i="7"/>
  <c r="A459" i="7"/>
  <c r="A458" i="7"/>
  <c r="A457" i="7"/>
  <c r="A456" i="7"/>
  <c r="A455" i="7"/>
  <c r="A454" i="7"/>
  <c r="A453" i="7"/>
  <c r="A452" i="7"/>
  <c r="A451" i="7"/>
  <c r="AH450" i="7"/>
  <c r="AA450" i="7"/>
  <c r="A450" i="7"/>
  <c r="AH449" i="7"/>
  <c r="AA449" i="7"/>
  <c r="A449" i="7"/>
  <c r="AH448" i="7"/>
  <c r="AA448" i="7"/>
  <c r="A448" i="7"/>
  <c r="AH447" i="7"/>
  <c r="AA447" i="7"/>
  <c r="A447" i="7"/>
  <c r="AH446" i="7"/>
  <c r="AA446" i="7"/>
  <c r="A446" i="7"/>
  <c r="AH445" i="7"/>
  <c r="AA445" i="7"/>
  <c r="A445" i="7"/>
  <c r="AH444" i="7"/>
  <c r="X444"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Y408" i="7"/>
  <c r="AF408" i="7"/>
  <c r="AA408" i="7"/>
  <c r="X408" i="7"/>
  <c r="A408" i="7"/>
  <c r="AF407" i="7"/>
  <c r="AA407" i="7"/>
  <c r="X407" i="7"/>
  <c r="A407" i="7"/>
  <c r="AF406" i="7"/>
  <c r="AA406" i="7"/>
  <c r="X406" i="7"/>
  <c r="A406" i="7"/>
  <c r="AW405" i="7"/>
  <c r="AW406" i="7"/>
  <c r="AF405" i="7"/>
  <c r="AA405" i="7"/>
  <c r="X405" i="7"/>
  <c r="A405" i="7"/>
  <c r="AF404" i="7"/>
  <c r="AA404" i="7"/>
  <c r="X404" i="7"/>
  <c r="A404" i="7"/>
  <c r="AF403" i="7"/>
  <c r="AA403" i="7"/>
  <c r="X403" i="7"/>
  <c r="A403" i="7"/>
  <c r="AF402" i="7"/>
  <c r="AA402" i="7"/>
  <c r="X402" i="7"/>
  <c r="A402" i="7"/>
  <c r="A401" i="7"/>
  <c r="A400" i="7"/>
  <c r="A399" i="7"/>
  <c r="A398" i="7"/>
  <c r="A397" i="7"/>
  <c r="A396" i="7"/>
  <c r="A395" i="7"/>
  <c r="A394" i="7"/>
  <c r="A393" i="7"/>
  <c r="A392" i="7"/>
  <c r="A391" i="7"/>
  <c r="A390" i="7"/>
  <c r="A389" i="7"/>
  <c r="A388" i="7"/>
  <c r="AF387" i="7"/>
  <c r="AD387" i="7"/>
  <c r="W387" i="7"/>
  <c r="W310" i="7"/>
  <c r="A387" i="7"/>
  <c r="AF386" i="7"/>
  <c r="AD386" i="7"/>
  <c r="A386" i="7"/>
  <c r="Y385" i="7"/>
  <c r="AF385" i="7"/>
  <c r="AD385" i="7"/>
  <c r="A385" i="7"/>
  <c r="AF384" i="7"/>
  <c r="AD384" i="7"/>
  <c r="A384" i="7"/>
  <c r="AF383" i="7"/>
  <c r="U383" i="7"/>
  <c r="A383" i="7"/>
  <c r="Y382" i="7"/>
  <c r="AF382" i="7"/>
  <c r="AD382" i="7"/>
  <c r="A382" i="7"/>
  <c r="AF381" i="7"/>
  <c r="AF310" i="7"/>
  <c r="AD381" i="7"/>
  <c r="A381" i="7"/>
  <c r="A380" i="7"/>
  <c r="A379" i="7"/>
  <c r="A378" i="7"/>
  <c r="A377" i="7"/>
  <c r="A376" i="7"/>
  <c r="A375" i="7"/>
  <c r="A374" i="7"/>
  <c r="A373" i="7"/>
  <c r="A372" i="7"/>
  <c r="A371" i="7"/>
  <c r="A370" i="7"/>
  <c r="A369" i="7"/>
  <c r="A368" i="7"/>
  <c r="A367" i="7"/>
  <c r="AA366" i="7"/>
  <c r="X366" i="7"/>
  <c r="A366" i="7"/>
  <c r="AA365" i="7"/>
  <c r="X365" i="7"/>
  <c r="A365" i="7"/>
  <c r="AA364" i="7"/>
  <c r="X364" i="7"/>
  <c r="A364" i="7"/>
  <c r="AA363" i="7"/>
  <c r="X363" i="7"/>
  <c r="A363" i="7"/>
  <c r="X362" i="7"/>
  <c r="U362" i="7"/>
  <c r="A362" i="7"/>
  <c r="AA361" i="7"/>
  <c r="X361" i="7"/>
  <c r="A361" i="7"/>
  <c r="AA360" i="7"/>
  <c r="X360" i="7"/>
  <c r="A360" i="7"/>
  <c r="AH359" i="7"/>
  <c r="X359" i="7"/>
  <c r="A359" i="7"/>
  <c r="AH358" i="7"/>
  <c r="X358" i="7"/>
  <c r="A358" i="7"/>
  <c r="AH357" i="7"/>
  <c r="X357" i="7"/>
  <c r="A357" i="7"/>
  <c r="AH356" i="7"/>
  <c r="X356" i="7"/>
  <c r="A356" i="7"/>
  <c r="AH355" i="7"/>
  <c r="AA355" i="7"/>
  <c r="A355" i="7"/>
  <c r="AA354" i="7"/>
  <c r="X354" i="7"/>
  <c r="U354" i="7"/>
  <c r="A354" i="7"/>
  <c r="AH353" i="7"/>
  <c r="U353" i="7"/>
  <c r="A353" i="7"/>
  <c r="AH352" i="7"/>
  <c r="X352" i="7"/>
  <c r="A352" i="7"/>
  <c r="AH351" i="7"/>
  <c r="X351" i="7"/>
  <c r="A351" i="7"/>
  <c r="AH350" i="7"/>
  <c r="U350" i="7"/>
  <c r="A350" i="7"/>
  <c r="AH349" i="7"/>
  <c r="X349" i="7"/>
  <c r="A349" i="7"/>
  <c r="AH348" i="7"/>
  <c r="X348" i="7"/>
  <c r="A348" i="7"/>
  <c r="AH347" i="7"/>
  <c r="X347" i="7"/>
  <c r="A347" i="7"/>
  <c r="AH346" i="7"/>
  <c r="X346" i="7"/>
  <c r="A346" i="7"/>
  <c r="AA345" i="7"/>
  <c r="X345" i="7"/>
  <c r="U345" i="7"/>
  <c r="A345" i="7"/>
  <c r="AA344" i="7"/>
  <c r="X344" i="7"/>
  <c r="U344" i="7"/>
  <c r="A344" i="7"/>
  <c r="AA343" i="7"/>
  <c r="X343" i="7"/>
  <c r="U343" i="7"/>
  <c r="A343" i="7"/>
  <c r="AA342" i="7"/>
  <c r="X342" i="7"/>
  <c r="U342" i="7"/>
  <c r="A342" i="7"/>
  <c r="AA341" i="7"/>
  <c r="X341" i="7"/>
  <c r="U341" i="7"/>
  <c r="A341" i="7"/>
  <c r="AA340" i="7"/>
  <c r="X340" i="7"/>
  <c r="U340" i="7"/>
  <c r="A340" i="7"/>
  <c r="AA339" i="7"/>
  <c r="X339" i="7"/>
  <c r="U339"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M310" i="7"/>
  <c r="AL310" i="7"/>
  <c r="AK310" i="7"/>
  <c r="AI310" i="7"/>
  <c r="AG310" i="7"/>
  <c r="AE310" i="7"/>
  <c r="AC310" i="7"/>
  <c r="AB310" i="7"/>
  <c r="Z310" i="7"/>
  <c r="T310" i="7"/>
  <c r="A310" i="7"/>
  <c r="A309" i="7"/>
  <c r="AI308" i="7"/>
  <c r="AH308" i="7"/>
  <c r="AG308" i="7"/>
  <c r="AF308" i="7"/>
  <c r="AE308" i="7"/>
  <c r="AD308" i="7"/>
  <c r="AC308" i="7"/>
  <c r="AB308" i="7"/>
  <c r="AA308" i="7"/>
  <c r="Z308" i="7"/>
  <c r="X308" i="7"/>
  <c r="W308" i="7"/>
  <c r="U308" i="7"/>
  <c r="T308" i="7"/>
  <c r="S308" i="7"/>
  <c r="R308" i="7"/>
  <c r="A308" i="7"/>
  <c r="A307" i="7"/>
  <c r="A306" i="7"/>
  <c r="A305" i="7"/>
  <c r="A304" i="7"/>
  <c r="A303" i="7"/>
  <c r="A302" i="7"/>
  <c r="A301" i="7"/>
  <c r="A300" i="7"/>
  <c r="A299" i="7"/>
  <c r="A298" i="7"/>
  <c r="Y297" i="7"/>
  <c r="A297" i="7"/>
  <c r="A296" i="7"/>
  <c r="AH295" i="7"/>
  <c r="A295" i="7"/>
  <c r="X294" i="7"/>
  <c r="X284" i="7"/>
  <c r="U294" i="7"/>
  <c r="U284" i="7"/>
  <c r="A294" i="7"/>
  <c r="AH292" i="7"/>
  <c r="AD292" i="7"/>
  <c r="A292" i="7"/>
  <c r="AC291" i="7"/>
  <c r="Z291" i="7"/>
  <c r="W291" i="7"/>
  <c r="T291" i="7"/>
  <c r="A291" i="7"/>
  <c r="AC290" i="7"/>
  <c r="Z290" i="7"/>
  <c r="W290" i="7"/>
  <c r="T290" i="7"/>
  <c r="A290" i="7"/>
  <c r="AC289" i="7"/>
  <c r="Z289" i="7"/>
  <c r="W289" i="7"/>
  <c r="T289" i="7"/>
  <c r="A289" i="7"/>
  <c r="AA288" i="7"/>
  <c r="AA284" i="7"/>
  <c r="A288" i="7"/>
  <c r="AF287" i="7"/>
  <c r="AC287" i="7"/>
  <c r="Z287" i="7"/>
  <c r="W287" i="7"/>
  <c r="T287" i="7"/>
  <c r="A287" i="7"/>
  <c r="AF286" i="7"/>
  <c r="AC286" i="7"/>
  <c r="Z286" i="7"/>
  <c r="W286" i="7"/>
  <c r="T286" i="7"/>
  <c r="A286" i="7"/>
  <c r="AF285" i="7"/>
  <c r="AC285" i="7"/>
  <c r="Z285" i="7"/>
  <c r="W285" i="7"/>
  <c r="T285" i="7"/>
  <c r="A285" i="7"/>
  <c r="AI284" i="7"/>
  <c r="AG284" i="7"/>
  <c r="AE284" i="7"/>
  <c r="AB284" i="7"/>
  <c r="A284" i="7"/>
  <c r="A283" i="7"/>
  <c r="A282" i="7"/>
  <c r="A281" i="7"/>
  <c r="A280" i="7"/>
  <c r="A279" i="7"/>
  <c r="A278" i="7"/>
  <c r="A277" i="7"/>
  <c r="A276" i="7"/>
  <c r="A275" i="7"/>
  <c r="A274" i="7"/>
  <c r="A273" i="7"/>
  <c r="A272" i="7"/>
  <c r="A271" i="7"/>
  <c r="A270" i="7"/>
  <c r="A269" i="7"/>
  <c r="Y268" i="7"/>
  <c r="A268" i="7"/>
  <c r="A267" i="7"/>
  <c r="A266" i="7"/>
  <c r="A265" i="7"/>
  <c r="A264" i="7"/>
  <c r="X263" i="7"/>
  <c r="X255" i="7"/>
  <c r="U263" i="7"/>
  <c r="U255" i="7"/>
  <c r="A263" i="7"/>
  <c r="AH261" i="7"/>
  <c r="AH255" i="7"/>
  <c r="A261" i="7"/>
  <c r="AC260" i="7"/>
  <c r="Z260" i="7"/>
  <c r="W260" i="7"/>
  <c r="T260" i="7"/>
  <c r="A260" i="7"/>
  <c r="AC259" i="7"/>
  <c r="Z259" i="7"/>
  <c r="W259" i="7"/>
  <c r="T259" i="7"/>
  <c r="A259" i="7"/>
  <c r="Y258" i="7"/>
  <c r="AA258" i="7"/>
  <c r="AA255" i="7"/>
  <c r="A258" i="7"/>
  <c r="AF257" i="7"/>
  <c r="AC257" i="7"/>
  <c r="Z257" i="7"/>
  <c r="W257" i="7"/>
  <c r="T257" i="7"/>
  <c r="A257" i="7"/>
  <c r="BH256" i="7"/>
  <c r="BG256" i="7"/>
  <c r="AF256" i="7"/>
  <c r="AC256" i="7"/>
  <c r="Z256" i="7"/>
  <c r="W256" i="7"/>
  <c r="T256" i="7"/>
  <c r="A256" i="7"/>
  <c r="AI255" i="7"/>
  <c r="AG255" i="7"/>
  <c r="AE255" i="7"/>
  <c r="AB255" i="7"/>
  <c r="A255" i="7"/>
  <c r="A254" i="7"/>
  <c r="A253" i="7"/>
  <c r="A252" i="7"/>
  <c r="A251" i="7"/>
  <c r="A250" i="7"/>
  <c r="A249" i="7"/>
  <c r="A248" i="7"/>
  <c r="A247" i="7"/>
  <c r="A246" i="7"/>
  <c r="A245" i="7"/>
  <c r="A244" i="7"/>
  <c r="Y243" i="7"/>
  <c r="A243" i="7"/>
  <c r="A242" i="7"/>
  <c r="A241" i="7"/>
  <c r="A240" i="7"/>
  <c r="X239" i="7"/>
  <c r="X227" i="7"/>
  <c r="U239" i="7"/>
  <c r="U227" i="7"/>
  <c r="A239" i="7"/>
  <c r="AH237" i="7"/>
  <c r="AD237" i="7"/>
  <c r="A237" i="7"/>
  <c r="AC236" i="7"/>
  <c r="Z236" i="7"/>
  <c r="W236" i="7"/>
  <c r="T236" i="7"/>
  <c r="A236" i="7"/>
  <c r="AC235" i="7"/>
  <c r="Z235" i="7"/>
  <c r="W235" i="7"/>
  <c r="T235" i="7"/>
  <c r="A235" i="7"/>
  <c r="AC234" i="7"/>
  <c r="Z234" i="7"/>
  <c r="W234" i="7"/>
  <c r="T234" i="7"/>
  <c r="A234" i="7"/>
  <c r="AC233" i="7"/>
  <c r="Z233" i="7"/>
  <c r="W233" i="7"/>
  <c r="T233" i="7"/>
  <c r="A233" i="7"/>
  <c r="AA232" i="7"/>
  <c r="AA227" i="7"/>
  <c r="A232" i="7"/>
  <c r="AF231" i="7"/>
  <c r="AC231" i="7"/>
  <c r="Z231" i="7"/>
  <c r="W231" i="7"/>
  <c r="T231" i="7"/>
  <c r="A231" i="7"/>
  <c r="AF230" i="7"/>
  <c r="AC230" i="7"/>
  <c r="Z230" i="7"/>
  <c r="W230" i="7"/>
  <c r="T230" i="7"/>
  <c r="A230" i="7"/>
  <c r="AF229" i="7"/>
  <c r="AC229" i="7"/>
  <c r="Z229" i="7"/>
  <c r="W229" i="7"/>
  <c r="T229" i="7"/>
  <c r="A229" i="7"/>
  <c r="AF228" i="7"/>
  <c r="AC228" i="7"/>
  <c r="Z228" i="7"/>
  <c r="W228" i="7"/>
  <c r="T228" i="7"/>
  <c r="A228" i="7"/>
  <c r="AM227" i="7"/>
  <c r="AL227" i="7"/>
  <c r="AK227" i="7"/>
  <c r="AI227" i="7"/>
  <c r="AG227" i="7"/>
  <c r="AE227" i="7"/>
  <c r="AB227" i="7"/>
  <c r="R227" i="7"/>
  <c r="A227" i="7"/>
  <c r="A226" i="7"/>
  <c r="A225" i="7"/>
  <c r="A224" i="7"/>
  <c r="A223" i="7"/>
  <c r="A222" i="7"/>
  <c r="A221" i="7"/>
  <c r="A220" i="7"/>
  <c r="A219" i="7"/>
  <c r="A218" i="7"/>
  <c r="A217" i="7"/>
  <c r="Y216" i="7"/>
  <c r="A216" i="7"/>
  <c r="A215" i="7"/>
  <c r="A214" i="7"/>
  <c r="AA213" i="7"/>
  <c r="X213" i="7"/>
  <c r="X202" i="7"/>
  <c r="A213" i="7"/>
  <c r="A212" i="7"/>
  <c r="A211" i="7"/>
  <c r="AH210" i="7"/>
  <c r="AD210" i="7"/>
  <c r="A210" i="7"/>
  <c r="A209" i="7"/>
  <c r="AC208" i="7"/>
  <c r="Z208" i="7"/>
  <c r="W208" i="7"/>
  <c r="T208" i="7"/>
  <c r="A208" i="7"/>
  <c r="AC207" i="7"/>
  <c r="Z207" i="7"/>
  <c r="W207" i="7"/>
  <c r="T207" i="7"/>
  <c r="A207" i="7"/>
  <c r="Y206" i="7"/>
  <c r="AC206" i="7"/>
  <c r="AB206" i="7"/>
  <c r="AB202" i="7"/>
  <c r="AA206" i="7"/>
  <c r="AD206" i="7"/>
  <c r="Z206" i="7"/>
  <c r="A206" i="7"/>
  <c r="A205" i="7"/>
  <c r="AC204" i="7"/>
  <c r="Z204" i="7"/>
  <c r="W204" i="7"/>
  <c r="T204" i="7"/>
  <c r="A204" i="7"/>
  <c r="AC203" i="7"/>
  <c r="Z203" i="7"/>
  <c r="W203" i="7"/>
  <c r="T203" i="7"/>
  <c r="A203" i="7"/>
  <c r="AI202" i="7"/>
  <c r="AG202" i="7"/>
  <c r="AF202" i="7"/>
  <c r="AE202" i="7"/>
  <c r="U202" i="7"/>
  <c r="R202" i="7"/>
  <c r="A202" i="7"/>
  <c r="A201" i="7"/>
  <c r="A200" i="7"/>
  <c r="A199" i="7"/>
  <c r="A198" i="7"/>
  <c r="A197" i="7"/>
  <c r="A196" i="7"/>
  <c r="A195" i="7"/>
  <c r="A194" i="7"/>
  <c r="A193" i="7"/>
  <c r="Y192" i="7"/>
  <c r="A192" i="7"/>
  <c r="A191" i="7"/>
  <c r="A190" i="7"/>
  <c r="X189" i="7"/>
  <c r="X181" i="7"/>
  <c r="A189" i="7"/>
  <c r="AH187" i="7"/>
  <c r="AD187" i="7"/>
  <c r="A187" i="7"/>
  <c r="AC186" i="7"/>
  <c r="Z186" i="7"/>
  <c r="W186" i="7"/>
  <c r="T186" i="7"/>
  <c r="A186" i="7"/>
  <c r="AC185" i="7"/>
  <c r="Z185" i="7"/>
  <c r="W185" i="7"/>
  <c r="T185" i="7"/>
  <c r="A185" i="7"/>
  <c r="AA184" i="7"/>
  <c r="AD184" i="7"/>
  <c r="A184" i="7"/>
  <c r="AF183" i="7"/>
  <c r="AC183" i="7"/>
  <c r="Z183" i="7"/>
  <c r="W183" i="7"/>
  <c r="T183" i="7"/>
  <c r="A183" i="7"/>
  <c r="AF182" i="7"/>
  <c r="AC182" i="7"/>
  <c r="Z182" i="7"/>
  <c r="W182" i="7"/>
  <c r="T182" i="7"/>
  <c r="A182" i="7"/>
  <c r="AI181" i="7"/>
  <c r="AG181" i="7"/>
  <c r="AE181" i="7"/>
  <c r="AB181" i="7"/>
  <c r="U181" i="7"/>
  <c r="R181" i="7"/>
  <c r="A181" i="7"/>
  <c r="A180" i="7"/>
  <c r="A179" i="7"/>
  <c r="A178" i="7"/>
  <c r="A177" i="7"/>
  <c r="A176" i="7"/>
  <c r="A175" i="7"/>
  <c r="A174" i="7"/>
  <c r="U173" i="7"/>
  <c r="A173" i="7"/>
  <c r="A172" i="7"/>
  <c r="A171" i="7"/>
  <c r="Y170" i="7"/>
  <c r="A170" i="7"/>
  <c r="AD169" i="7"/>
  <c r="AA169" i="7"/>
  <c r="X169" i="7"/>
  <c r="X159" i="7"/>
  <c r="U169" i="7"/>
  <c r="A169" i="7"/>
  <c r="A168" i="7"/>
  <c r="U167" i="7"/>
  <c r="A167" i="7"/>
  <c r="AH165" i="7"/>
  <c r="AH159" i="7"/>
  <c r="A165" i="7"/>
  <c r="T164" i="7"/>
  <c r="A164" i="7"/>
  <c r="T163" i="7"/>
  <c r="A163" i="7"/>
  <c r="AA162" i="7"/>
  <c r="AD162" i="7"/>
  <c r="A162" i="7"/>
  <c r="AC161" i="7"/>
  <c r="Z161" i="7"/>
  <c r="W161" i="7"/>
  <c r="T161" i="7"/>
  <c r="A161" i="7"/>
  <c r="AC160" i="7"/>
  <c r="Z160" i="7"/>
  <c r="W160" i="7"/>
  <c r="T160" i="7"/>
  <c r="A160" i="7"/>
  <c r="AI159" i="7"/>
  <c r="AG159" i="7"/>
  <c r="AF159" i="7"/>
  <c r="AE159" i="7"/>
  <c r="AB159" i="7"/>
  <c r="R159" i="7"/>
  <c r="A159" i="7"/>
  <c r="A158" i="7"/>
  <c r="A157" i="7"/>
  <c r="A156" i="7"/>
  <c r="A155" i="7"/>
  <c r="A154" i="7"/>
  <c r="A153" i="7"/>
  <c r="A152" i="7"/>
  <c r="U151" i="7"/>
  <c r="A151" i="7"/>
  <c r="A150" i="7"/>
  <c r="U149" i="7"/>
  <c r="A149" i="7"/>
  <c r="Y148" i="7"/>
  <c r="A148" i="7"/>
  <c r="AJ147" i="7"/>
  <c r="A147" i="7"/>
  <c r="AB146" i="7"/>
  <c r="AH146" i="7"/>
  <c r="AC146" i="7"/>
  <c r="A146" i="7"/>
  <c r="U145" i="7"/>
  <c r="A145" i="7"/>
  <c r="AH143" i="7"/>
  <c r="AD143" i="7"/>
  <c r="A143" i="7"/>
  <c r="T142" i="7"/>
  <c r="A142" i="7"/>
  <c r="T141" i="7"/>
  <c r="A141" i="7"/>
  <c r="Y140" i="7"/>
  <c r="AA140" i="7"/>
  <c r="AD140" i="7"/>
  <c r="A140" i="7"/>
  <c r="AC139" i="7"/>
  <c r="Z139" i="7"/>
  <c r="Z137" i="7"/>
  <c r="W139" i="7"/>
  <c r="T139" i="7"/>
  <c r="A139" i="7"/>
  <c r="AC138" i="7"/>
  <c r="W138" i="7"/>
  <c r="T138" i="7"/>
  <c r="A138" i="7"/>
  <c r="AM137" i="7"/>
  <c r="AL137" i="7"/>
  <c r="AK137" i="7"/>
  <c r="AI137" i="7"/>
  <c r="AG137" i="7"/>
  <c r="AF137" i="7"/>
  <c r="AE137" i="7"/>
  <c r="X137" i="7"/>
  <c r="R137" i="7"/>
  <c r="A137" i="7"/>
  <c r="A136" i="7"/>
  <c r="AA135" i="7"/>
  <c r="A135" i="7"/>
  <c r="AA134" i="7"/>
  <c r="A134" i="7"/>
  <c r="AA133" i="7"/>
  <c r="A133" i="7"/>
  <c r="AA132" i="7"/>
  <c r="A132" i="7"/>
  <c r="AJ130" i="7"/>
  <c r="AI131" i="7"/>
  <c r="AI130" i="7"/>
  <c r="AH131" i="7"/>
  <c r="AH130" i="7"/>
  <c r="AG131" i="7"/>
  <c r="AG130" i="7"/>
  <c r="AF131" i="7"/>
  <c r="AF130" i="7"/>
  <c r="AE131" i="7"/>
  <c r="AE130" i="7"/>
  <c r="AD131" i="7"/>
  <c r="AD130" i="7"/>
  <c r="AC131" i="7"/>
  <c r="AC130" i="7"/>
  <c r="AB131" i="7"/>
  <c r="AB130" i="7"/>
  <c r="Z131" i="7"/>
  <c r="Z130" i="7"/>
  <c r="X131" i="7"/>
  <c r="X130" i="7"/>
  <c r="W131" i="7"/>
  <c r="W130" i="7"/>
  <c r="U131" i="7"/>
  <c r="U130" i="7"/>
  <c r="T131" i="7"/>
  <c r="T130" i="7"/>
  <c r="R131" i="7"/>
  <c r="A131" i="7"/>
  <c r="A130" i="7"/>
  <c r="A129" i="7"/>
  <c r="A128" i="7"/>
  <c r="A127" i="7"/>
  <c r="A126" i="7"/>
  <c r="A125" i="7"/>
  <c r="A124" i="7"/>
  <c r="A123" i="7"/>
  <c r="A122" i="7"/>
  <c r="A121" i="7"/>
  <c r="A120" i="7"/>
  <c r="A119" i="7"/>
  <c r="A118" i="7"/>
  <c r="A117" i="7"/>
  <c r="A116" i="7"/>
  <c r="A115" i="7"/>
  <c r="A114" i="7"/>
  <c r="A113" i="7"/>
  <c r="A112" i="7"/>
  <c r="A111" i="7"/>
  <c r="AI110" i="7"/>
  <c r="AH110" i="7"/>
  <c r="AG110" i="7"/>
  <c r="AC110" i="7"/>
  <c r="Z110" i="7"/>
  <c r="W110" i="7"/>
  <c r="T110" i="7"/>
  <c r="A110" i="7"/>
  <c r="AC109" i="7"/>
  <c r="T109" i="7"/>
  <c r="A109" i="7"/>
  <c r="A108" i="7"/>
  <c r="A107" i="7"/>
  <c r="A106" i="7"/>
  <c r="A105" i="7"/>
  <c r="A104" i="7"/>
  <c r="A103" i="7"/>
  <c r="A102" i="7"/>
  <c r="AA101" i="7"/>
  <c r="A101" i="7"/>
  <c r="X100" i="7"/>
  <c r="A100" i="7"/>
  <c r="X99" i="7"/>
  <c r="A99" i="7"/>
  <c r="A98" i="7"/>
  <c r="U97" i="7"/>
  <c r="A97" i="7"/>
  <c r="U96" i="7"/>
  <c r="A96" i="7"/>
  <c r="U95" i="7"/>
  <c r="A95" i="7"/>
  <c r="AA94" i="7"/>
  <c r="A94" i="7"/>
  <c r="X93" i="7"/>
  <c r="A93" i="7"/>
  <c r="X92" i="7"/>
  <c r="A92" i="7"/>
  <c r="X91" i="7"/>
  <c r="A91" i="7"/>
  <c r="U90" i="7"/>
  <c r="A90" i="7"/>
  <c r="U89" i="7"/>
  <c r="A89" i="7"/>
  <c r="U88" i="7"/>
  <c r="A88" i="7"/>
  <c r="AA87" i="7"/>
  <c r="A87" i="7"/>
  <c r="X86" i="7"/>
  <c r="A86" i="7"/>
  <c r="X85" i="7"/>
  <c r="A85" i="7"/>
  <c r="X84" i="7"/>
  <c r="A84" i="7"/>
  <c r="U83" i="7"/>
  <c r="A83" i="7"/>
  <c r="U82" i="7"/>
  <c r="A82" i="7"/>
  <c r="U81" i="7"/>
  <c r="A81" i="7"/>
  <c r="A80" i="7"/>
  <c r="A79" i="7"/>
  <c r="A78" i="7"/>
  <c r="A77" i="7"/>
  <c r="A76" i="7"/>
  <c r="A75" i="7"/>
  <c r="A74" i="7"/>
  <c r="A73" i="7"/>
  <c r="A72" i="7"/>
  <c r="A71" i="7"/>
  <c r="U70" i="7"/>
  <c r="A70" i="7"/>
  <c r="U69" i="7"/>
  <c r="A69" i="7"/>
  <c r="U68" i="7"/>
  <c r="A68" i="7"/>
  <c r="U67" i="7"/>
  <c r="A67" i="7"/>
  <c r="A66" i="7"/>
  <c r="A65" i="7"/>
  <c r="A64" i="7"/>
  <c r="A63" i="7"/>
  <c r="A62" i="7"/>
  <c r="A61" i="7"/>
  <c r="A60" i="7"/>
  <c r="A59" i="7"/>
  <c r="A58" i="7"/>
  <c r="A57" i="7"/>
  <c r="A56" i="7"/>
  <c r="A55" i="7"/>
  <c r="A54" i="7"/>
  <c r="A53" i="7"/>
  <c r="AI52" i="7"/>
  <c r="AH52" i="7"/>
  <c r="AG52" i="7"/>
  <c r="AD52" i="7"/>
  <c r="AC52" i="7"/>
  <c r="Z52" i="7"/>
  <c r="W52" i="7"/>
  <c r="T52" i="7"/>
  <c r="R52" i="7"/>
  <c r="A52" i="7"/>
  <c r="A51" i="7"/>
  <c r="A50" i="7"/>
  <c r="A49" i="7"/>
  <c r="A48" i="7"/>
  <c r="A47" i="7"/>
  <c r="A46" i="7"/>
  <c r="A45" i="7"/>
  <c r="A44" i="7"/>
  <c r="A43" i="7"/>
  <c r="A42" i="7"/>
  <c r="A41" i="7"/>
  <c r="A40" i="7"/>
  <c r="A39" i="7"/>
  <c r="A38" i="7"/>
  <c r="A37" i="7"/>
  <c r="A36" i="7"/>
  <c r="A35" i="7"/>
  <c r="A34" i="7"/>
  <c r="A33" i="7"/>
  <c r="A32" i="7"/>
  <c r="A31" i="7"/>
  <c r="A30" i="7"/>
  <c r="A29" i="7"/>
  <c r="A28" i="7"/>
  <c r="U27" i="7"/>
  <c r="A27" i="7"/>
  <c r="U26" i="7"/>
  <c r="A26" i="7"/>
  <c r="U25" i="7"/>
  <c r="A25" i="7"/>
  <c r="A24" i="7"/>
  <c r="A23" i="7"/>
  <c r="A22" i="7"/>
  <c r="A21" i="7"/>
  <c r="A20" i="7"/>
  <c r="A19" i="7"/>
  <c r="A18" i="7"/>
  <c r="AI17" i="7"/>
  <c r="AH17" i="7"/>
  <c r="AG17" i="7"/>
  <c r="AD17" i="7"/>
  <c r="AC17" i="7"/>
  <c r="AA17" i="7"/>
  <c r="Z17" i="7"/>
  <c r="X17" i="7"/>
  <c r="W17" i="7"/>
  <c r="T17" i="7"/>
  <c r="R17" i="7"/>
  <c r="A17" i="7"/>
  <c r="AF16" i="7"/>
  <c r="AE16" i="7"/>
  <c r="AB16" i="7"/>
  <c r="A16" i="7"/>
  <c r="A15" i="7"/>
  <c r="L13" i="7"/>
  <c r="AJ1058" i="1"/>
  <c r="AJ1056" i="1"/>
  <c r="AJ1179" i="1"/>
  <c r="AJ1224" i="1"/>
  <c r="AJ1215" i="1"/>
  <c r="AJ1206" i="1"/>
  <c r="AJ1188" i="1"/>
  <c r="AJ203" i="1"/>
  <c r="Y147" i="7"/>
  <c r="Y137" i="7"/>
  <c r="AJ137" i="7"/>
  <c r="AJ1161" i="7"/>
  <c r="AJ861" i="7"/>
  <c r="AJ136" i="7"/>
  <c r="AJ1434" i="7"/>
  <c r="AJ1433" i="7"/>
  <c r="Y737" i="7"/>
  <c r="AJ725" i="7"/>
  <c r="AJ1100" i="7"/>
  <c r="AJ1017" i="7"/>
  <c r="AA1378" i="7"/>
  <c r="X640" i="7"/>
  <c r="U757" i="7"/>
  <c r="AH202" i="7"/>
  <c r="U1430" i="7"/>
  <c r="U1427" i="7"/>
  <c r="AC589" i="7"/>
  <c r="AA1405" i="7"/>
  <c r="X450" i="7"/>
  <c r="AH137" i="7"/>
  <c r="X449" i="7"/>
  <c r="AG1400" i="7"/>
  <c r="U1390" i="7"/>
  <c r="U481" i="7"/>
  <c r="X1390" i="7"/>
  <c r="AD1390" i="7"/>
  <c r="AD1382" i="7"/>
  <c r="AA1395" i="7"/>
  <c r="X546" i="7"/>
  <c r="T588" i="7"/>
  <c r="U1426" i="7"/>
  <c r="U644" i="7"/>
  <c r="X553" i="7"/>
  <c r="AA644" i="7"/>
  <c r="AA554" i="7"/>
  <c r="U642" i="7"/>
  <c r="AH403" i="7"/>
  <c r="X642" i="7"/>
  <c r="AA356" i="7"/>
  <c r="AH402" i="7"/>
  <c r="AH405" i="7"/>
  <c r="X483" i="7"/>
  <c r="AA558" i="7"/>
  <c r="X751" i="7"/>
  <c r="X1430" i="7"/>
  <c r="X1427" i="7"/>
  <c r="AA358" i="7"/>
  <c r="AA359" i="7"/>
  <c r="AH404" i="7"/>
  <c r="X639" i="7"/>
  <c r="AH1373" i="7"/>
  <c r="U1381" i="7"/>
  <c r="X1381" i="7"/>
  <c r="AA1381" i="7"/>
  <c r="X557" i="7"/>
  <c r="AC592" i="7"/>
  <c r="AH284" i="7"/>
  <c r="AA545" i="7"/>
  <c r="U755" i="7"/>
  <c r="X759" i="7"/>
  <c r="AA1387" i="7"/>
  <c r="AA1382" i="7"/>
  <c r="AA1399" i="7"/>
  <c r="X552" i="7"/>
  <c r="X556" i="7"/>
  <c r="AD261" i="7"/>
  <c r="X761" i="7"/>
  <c r="Z1206" i="7"/>
  <c r="Z1204" i="7"/>
  <c r="R585" i="7"/>
  <c r="AD1408" i="7"/>
  <c r="AD1400" i="7"/>
  <c r="AG1418" i="7"/>
  <c r="AA444" i="7"/>
  <c r="Z1197" i="7"/>
  <c r="Z1195" i="7"/>
  <c r="AG1391" i="7"/>
  <c r="U355" i="7"/>
  <c r="U359" i="7"/>
  <c r="U749" i="7"/>
  <c r="AH1391" i="7"/>
  <c r="X355" i="7"/>
  <c r="U1399" i="7"/>
  <c r="X1417" i="7"/>
  <c r="U1422" i="7"/>
  <c r="AG1382" i="7"/>
  <c r="X1399" i="7"/>
  <c r="X1391" i="7"/>
  <c r="AA1422" i="7"/>
  <c r="Y232" i="7"/>
  <c r="Y227" i="7"/>
  <c r="U348" i="7"/>
  <c r="U356" i="7"/>
  <c r="X548" i="7"/>
  <c r="AD639" i="7"/>
  <c r="X641" i="7"/>
  <c r="X690" i="7"/>
  <c r="X689" i="7"/>
  <c r="AD1372" i="7"/>
  <c r="AD1364" i="7"/>
  <c r="X1386" i="7"/>
  <c r="AH1400" i="7"/>
  <c r="AA1417" i="7"/>
  <c r="AA1409" i="7"/>
  <c r="AH1418" i="7"/>
  <c r="X1426" i="7"/>
  <c r="X1418" i="7"/>
  <c r="AH406" i="7"/>
  <c r="U487" i="7"/>
  <c r="AD641" i="7"/>
  <c r="U753" i="7"/>
  <c r="AH862" i="7"/>
  <c r="AH861" i="7"/>
  <c r="AD1417" i="7"/>
  <c r="AD1409" i="7"/>
  <c r="AA1426" i="7"/>
  <c r="T590" i="7"/>
  <c r="T587" i="7"/>
  <c r="AH741" i="7"/>
  <c r="AH725" i="7"/>
  <c r="U878" i="7"/>
  <c r="Y1238" i="7"/>
  <c r="Y1231" i="7"/>
  <c r="AD165" i="7"/>
  <c r="AD159" i="7"/>
  <c r="U346" i="7"/>
  <c r="U357" i="7"/>
  <c r="AH407" i="7"/>
  <c r="X445" i="7"/>
  <c r="AC587" i="7"/>
  <c r="U640" i="7"/>
  <c r="Z1224" i="7"/>
  <c r="Z1222" i="7"/>
  <c r="Z1233" i="7"/>
  <c r="Z1231" i="7"/>
  <c r="X350" i="7"/>
  <c r="AA357" i="7"/>
  <c r="AH638" i="7"/>
  <c r="AH637" i="7"/>
  <c r="R733" i="7"/>
  <c r="AG1373" i="7"/>
  <c r="AC1186" i="7"/>
  <c r="U485" i="7"/>
  <c r="T591" i="7"/>
  <c r="AA640" i="7"/>
  <c r="AX642" i="7"/>
  <c r="AA741" i="7"/>
  <c r="AA725" i="7"/>
  <c r="X1404" i="7"/>
  <c r="U1414" i="7"/>
  <c r="Y638" i="7"/>
  <c r="Y288" i="7"/>
  <c r="Y284" i="7"/>
  <c r="X446" i="7"/>
  <c r="X551" i="7"/>
  <c r="U879" i="7"/>
  <c r="X887" i="7"/>
  <c r="X886" i="7"/>
  <c r="W1215" i="7"/>
  <c r="W1213" i="7"/>
  <c r="AA1404" i="7"/>
  <c r="Y184" i="7"/>
  <c r="Y181" i="7"/>
  <c r="U347" i="7"/>
  <c r="U358" i="7"/>
  <c r="AH408" i="7"/>
  <c r="X547" i="7"/>
  <c r="U760" i="7"/>
  <c r="U875" i="7"/>
  <c r="AA879" i="7"/>
  <c r="AA862" i="7"/>
  <c r="AA861" i="7"/>
  <c r="AH1382" i="7"/>
  <c r="AH1409" i="7"/>
  <c r="AG1409" i="7"/>
  <c r="AA1423" i="7"/>
  <c r="U639" i="7"/>
  <c r="AA643" i="7"/>
  <c r="AD879" i="7"/>
  <c r="AD862" i="7"/>
  <c r="AD861" i="7"/>
  <c r="AB1321" i="7"/>
  <c r="Y1443" i="7"/>
  <c r="Z1321" i="7"/>
  <c r="AC1321" i="7"/>
  <c r="AG1321" i="7"/>
  <c r="Y710" i="7"/>
  <c r="AA1321" i="7"/>
  <c r="Y719" i="7"/>
  <c r="Y701" i="7"/>
  <c r="Y683" i="7"/>
  <c r="AI1321" i="7"/>
  <c r="AF1321" i="7"/>
  <c r="AH1321" i="7"/>
  <c r="Y716" i="7"/>
  <c r="Y698" i="7"/>
  <c r="Y680" i="7"/>
  <c r="AE1321" i="7"/>
  <c r="Y131" i="7"/>
  <c r="Y130" i="7"/>
  <c r="Y1439" i="7"/>
  <c r="X1147" i="7"/>
  <c r="AG1486" i="7"/>
  <c r="AG1485" i="7"/>
  <c r="Y1120" i="7"/>
  <c r="U1321" i="7"/>
  <c r="W1321" i="7"/>
  <c r="X1195" i="7"/>
  <c r="Y692" i="7"/>
  <c r="Y774" i="7"/>
  <c r="Y713" i="7"/>
  <c r="Y695" i="7"/>
  <c r="Y677" i="7"/>
  <c r="AD16" i="7"/>
  <c r="W861" i="7"/>
  <c r="T159" i="7"/>
  <c r="Z902" i="7"/>
  <c r="Y1158" i="7"/>
  <c r="Y1435" i="7"/>
  <c r="Y1123" i="7"/>
  <c r="Y936" i="7"/>
  <c r="Y935" i="7"/>
  <c r="Y837" i="7"/>
  <c r="AD902" i="7"/>
  <c r="Y722" i="7"/>
  <c r="Y704" i="7"/>
  <c r="Y686" i="7"/>
  <c r="AH16" i="7"/>
  <c r="AA137" i="7"/>
  <c r="Y599" i="7"/>
  <c r="AC16" i="7"/>
  <c r="AD202" i="7"/>
  <c r="AD137" i="7"/>
  <c r="Y1418" i="7"/>
  <c r="Y1391" i="7"/>
  <c r="Y1364" i="7"/>
  <c r="Y1048" i="7"/>
  <c r="Z202" i="7"/>
  <c r="Y898" i="7"/>
  <c r="Y726" i="7"/>
  <c r="Y707" i="7"/>
  <c r="Y689" i="7"/>
  <c r="T137" i="7"/>
  <c r="W902" i="7"/>
  <c r="X1213" i="7"/>
  <c r="X1204" i="7"/>
  <c r="AB1363" i="7"/>
  <c r="V902" i="7"/>
  <c r="Y1427" i="7"/>
  <c r="Y1400" i="7"/>
  <c r="Y1373" i="7"/>
  <c r="AA159" i="7"/>
  <c r="AH902" i="7"/>
  <c r="Y1167" i="7"/>
  <c r="Y1147" i="7"/>
  <c r="Y1162" i="7"/>
  <c r="U137" i="7"/>
  <c r="AI1176" i="7"/>
  <c r="X1222" i="7"/>
  <c r="Y1322" i="7"/>
  <c r="Y1204" i="7"/>
  <c r="Y1177" i="7"/>
  <c r="Y1101" i="7"/>
  <c r="Y846" i="7"/>
  <c r="Y648" i="7"/>
  <c r="AC773" i="7"/>
  <c r="AA1222" i="7"/>
  <c r="AA1231" i="7"/>
  <c r="V1100" i="7"/>
  <c r="Y1345" i="7"/>
  <c r="Y1172" i="7"/>
  <c r="Y1154" i="7"/>
  <c r="Y1127" i="7"/>
  <c r="Y310" i="7"/>
  <c r="AC159" i="7"/>
  <c r="AA181" i="7"/>
  <c r="T181" i="7"/>
  <c r="AD1019" i="7"/>
  <c r="AC1204" i="7"/>
  <c r="AD1213" i="7"/>
  <c r="V1486" i="7"/>
  <c r="V1485" i="7"/>
  <c r="Y1487" i="7"/>
  <c r="Y1486" i="7"/>
  <c r="Y1485" i="7"/>
  <c r="Y1019" i="7"/>
  <c r="Y912" i="7"/>
  <c r="Y632" i="7"/>
  <c r="Y741" i="7"/>
  <c r="AD1204" i="7"/>
  <c r="AG1434" i="7"/>
  <c r="AG1433" i="7"/>
  <c r="Y1240" i="7"/>
  <c r="Y1213" i="7"/>
  <c r="Y1186" i="7"/>
  <c r="Y940" i="7"/>
  <c r="Y881" i="7"/>
  <c r="Y841" i="7"/>
  <c r="Y763" i="7"/>
  <c r="Y255" i="7"/>
  <c r="AA52" i="7"/>
  <c r="AA16" i="7"/>
  <c r="AC227" i="7"/>
  <c r="W1204" i="7"/>
  <c r="Y1409" i="7"/>
  <c r="Y1382" i="7"/>
  <c r="Y611" i="7"/>
  <c r="Y573" i="7"/>
  <c r="AA1177" i="7"/>
  <c r="Y777" i="7"/>
  <c r="Y585" i="7"/>
  <c r="Y202" i="7"/>
  <c r="AA1213" i="7"/>
  <c r="V939" i="7"/>
  <c r="Y1107" i="7"/>
  <c r="Y627" i="7"/>
  <c r="W159" i="7"/>
  <c r="AG773" i="7"/>
  <c r="Y1222" i="7"/>
  <c r="Y1195" i="7"/>
  <c r="Y1055" i="7"/>
  <c r="Y622" i="7"/>
  <c r="Y159" i="7"/>
  <c r="AA202" i="7"/>
  <c r="Z227" i="7"/>
  <c r="AF902" i="7"/>
  <c r="X1019" i="7"/>
  <c r="AG1176" i="7"/>
  <c r="Y1144" i="7"/>
  <c r="Y862" i="7"/>
  <c r="Y605" i="7"/>
  <c r="Y52" i="7"/>
  <c r="Z773" i="7"/>
  <c r="AA131" i="7"/>
  <c r="AA130" i="7"/>
  <c r="AA1161" i="7"/>
  <c r="W1186" i="7"/>
  <c r="V1176" i="7"/>
  <c r="Y1036" i="7"/>
  <c r="Y929" i="7"/>
  <c r="Y903" i="7"/>
  <c r="Y888" i="7"/>
  <c r="Y593" i="7"/>
  <c r="Y566" i="7"/>
  <c r="Y17" i="7"/>
  <c r="AG136" i="7"/>
  <c r="W284" i="7"/>
  <c r="AI902" i="7"/>
  <c r="U940" i="7"/>
  <c r="U939" i="7"/>
  <c r="AA1186" i="7"/>
  <c r="W1195" i="7"/>
  <c r="AD1321" i="7"/>
  <c r="AE1363" i="7"/>
  <c r="R1486" i="7"/>
  <c r="R1485" i="7"/>
  <c r="Y617" i="7"/>
  <c r="AE902" i="7"/>
  <c r="AD1127" i="7"/>
  <c r="AF1176" i="7"/>
  <c r="Z255" i="7"/>
  <c r="AD1147" i="7"/>
  <c r="AG1161" i="7"/>
  <c r="X1177" i="7"/>
  <c r="AC1195" i="7"/>
  <c r="X1231" i="7"/>
  <c r="AI1363" i="7"/>
  <c r="Y967" i="7"/>
  <c r="AC284" i="7"/>
  <c r="W181" i="7"/>
  <c r="AD258" i="7"/>
  <c r="AD725" i="7"/>
  <c r="AG902" i="7"/>
  <c r="AC1019" i="7"/>
  <c r="AC1018" i="7"/>
  <c r="U1434" i="7"/>
  <c r="U1433" i="7"/>
  <c r="U1486" i="7"/>
  <c r="U1485" i="7"/>
  <c r="AH1486" i="7"/>
  <c r="AH1485" i="7"/>
  <c r="AE1161" i="7"/>
  <c r="AD1177" i="7"/>
  <c r="AA1195" i="7"/>
  <c r="AI1486" i="7"/>
  <c r="AI1485" i="7"/>
  <c r="V773" i="7"/>
  <c r="Y990" i="7"/>
  <c r="Y989" i="7"/>
  <c r="U902" i="7"/>
  <c r="Z1019" i="7"/>
  <c r="Z1018" i="7"/>
  <c r="X1127" i="7"/>
  <c r="AH1161" i="7"/>
  <c r="Z1186" i="7"/>
  <c r="AC1222" i="7"/>
  <c r="AH1434" i="7"/>
  <c r="AH1433" i="7"/>
  <c r="V1434" i="7"/>
  <c r="V1433" i="7"/>
  <c r="AF181" i="7"/>
  <c r="AI637" i="7"/>
  <c r="AA1147" i="7"/>
  <c r="AD1222" i="7"/>
  <c r="AD1231" i="7"/>
  <c r="X1321" i="7"/>
  <c r="AI1434" i="7"/>
  <c r="AI1433" i="7"/>
  <c r="AF227" i="7"/>
  <c r="X902" i="7"/>
  <c r="W1363" i="7"/>
  <c r="AI16" i="7"/>
  <c r="T255" i="7"/>
  <c r="W16" i="7"/>
  <c r="U1127" i="7"/>
  <c r="U1195" i="7"/>
  <c r="W773" i="7"/>
  <c r="AB902" i="7"/>
  <c r="AH939" i="7"/>
  <c r="U1055" i="7"/>
  <c r="AE1100" i="7"/>
  <c r="V1018" i="7"/>
  <c r="V1363" i="7"/>
  <c r="V1161" i="7"/>
  <c r="V861" i="7"/>
  <c r="AE136" i="7"/>
  <c r="AE1018" i="7"/>
  <c r="AA1127" i="7"/>
  <c r="AC1231" i="7"/>
  <c r="AG16" i="7"/>
  <c r="AD354" i="7"/>
  <c r="AA773" i="7"/>
  <c r="AI861" i="7"/>
  <c r="AB1100" i="7"/>
  <c r="AI1100" i="7"/>
  <c r="AG1100" i="7"/>
  <c r="AH1176" i="7"/>
  <c r="AD1186" i="7"/>
  <c r="X1186" i="7"/>
  <c r="Z1363" i="7"/>
  <c r="AC1100" i="7"/>
  <c r="X1161" i="7"/>
  <c r="AC1161" i="7"/>
  <c r="Z1213" i="7"/>
  <c r="V1345" i="7"/>
  <c r="V1321" i="7"/>
  <c r="X52" i="7"/>
  <c r="X16" i="7"/>
  <c r="AI136" i="7"/>
  <c r="AD288" i="7"/>
  <c r="AD284" i="7"/>
  <c r="AF1018" i="7"/>
  <c r="AH1018" i="7"/>
  <c r="AD1161" i="7"/>
  <c r="AC1363" i="7"/>
  <c r="T284" i="7"/>
  <c r="AG1018" i="7"/>
  <c r="AB1018" i="7"/>
  <c r="W1100" i="7"/>
  <c r="AC1213" i="7"/>
  <c r="U1222" i="7"/>
  <c r="AG725" i="7"/>
  <c r="AG861" i="7"/>
  <c r="AA1055" i="7"/>
  <c r="AA1018" i="7"/>
  <c r="AF1100" i="7"/>
  <c r="AF1161" i="7"/>
  <c r="AC1177" i="7"/>
  <c r="U1231" i="7"/>
  <c r="AD1373" i="7"/>
  <c r="AD1391" i="7"/>
  <c r="AD1418" i="7"/>
  <c r="W202" i="7"/>
  <c r="AI725" i="7"/>
  <c r="AA902" i="7"/>
  <c r="AI1018" i="7"/>
  <c r="U1161" i="7"/>
  <c r="AC181" i="7"/>
  <c r="W137" i="7"/>
  <c r="U159" i="7"/>
  <c r="AD181" i="7"/>
  <c r="W227" i="7"/>
  <c r="T227" i="7"/>
  <c r="Z284" i="7"/>
  <c r="AH1100" i="7"/>
  <c r="Z1177" i="7"/>
  <c r="AA1364" i="7"/>
  <c r="U17" i="7"/>
  <c r="Z16" i="7"/>
  <c r="Z159" i="7"/>
  <c r="Z181" i="7"/>
  <c r="AC202" i="7"/>
  <c r="W255" i="7"/>
  <c r="AF255" i="7"/>
  <c r="AH773" i="7"/>
  <c r="AC902" i="7"/>
  <c r="AD1055" i="7"/>
  <c r="Z1161" i="7"/>
  <c r="W1161" i="7"/>
  <c r="AI1161" i="7"/>
  <c r="AB1176" i="7"/>
  <c r="AD1195" i="7"/>
  <c r="U1204" i="7"/>
  <c r="U52" i="7"/>
  <c r="V16" i="7"/>
  <c r="AF284" i="7"/>
  <c r="V637" i="7"/>
  <c r="X777" i="7"/>
  <c r="X773" i="7"/>
  <c r="AC861" i="7"/>
  <c r="X1055" i="7"/>
  <c r="Z1100" i="7"/>
  <c r="U1177" i="7"/>
  <c r="AA1204" i="7"/>
  <c r="W1222" i="7"/>
  <c r="AE1176" i="7"/>
  <c r="W1231" i="7"/>
  <c r="T202" i="7"/>
  <c r="AC255" i="7"/>
  <c r="AI773" i="7"/>
  <c r="AG939" i="7"/>
  <c r="W1018" i="7"/>
  <c r="U1147" i="7"/>
  <c r="AB1161" i="7"/>
  <c r="U1186" i="7"/>
  <c r="U1213" i="7"/>
  <c r="AF1363" i="7"/>
  <c r="AD773" i="7"/>
  <c r="U773" i="7"/>
  <c r="AG637" i="7"/>
  <c r="AH1364" i="7"/>
  <c r="V159" i="7"/>
  <c r="V136" i="7"/>
  <c r="U351" i="7"/>
  <c r="X353" i="7"/>
  <c r="U486" i="7"/>
  <c r="AD570" i="7"/>
  <c r="U643" i="7"/>
  <c r="AD644" i="7"/>
  <c r="U754" i="7"/>
  <c r="X756" i="7"/>
  <c r="U1368" i="7"/>
  <c r="AB140" i="7"/>
  <c r="AB137" i="7"/>
  <c r="AB136" i="7"/>
  <c r="AA353" i="7"/>
  <c r="X447" i="7"/>
  <c r="X549" i="7"/>
  <c r="T586" i="7"/>
  <c r="X1368" i="7"/>
  <c r="U1395" i="7"/>
  <c r="AC140" i="7"/>
  <c r="AC137" i="7"/>
  <c r="U349" i="7"/>
  <c r="U484" i="7"/>
  <c r="X643" i="7"/>
  <c r="U752" i="7"/>
  <c r="U887" i="7"/>
  <c r="U886" i="7"/>
  <c r="AD571" i="7"/>
  <c r="U482" i="7"/>
  <c r="U645" i="7"/>
  <c r="U750" i="7"/>
  <c r="U762" i="7"/>
  <c r="U1386" i="7"/>
  <c r="AD1430" i="7"/>
  <c r="AD1427" i="7"/>
  <c r="AH227" i="7"/>
  <c r="U352" i="7"/>
  <c r="W1179" i="7"/>
  <c r="W1177" i="7"/>
  <c r="AH181" i="7"/>
  <c r="AD232" i="7"/>
  <c r="AD227" i="7"/>
  <c r="X448" i="7"/>
  <c r="X550" i="7"/>
  <c r="AD568" i="7"/>
  <c r="AA642" i="7"/>
  <c r="X645" i="7"/>
  <c r="U689" i="7"/>
  <c r="U876" i="7"/>
  <c r="U1369" i="7"/>
  <c r="X555" i="7"/>
  <c r="AA566" i="7"/>
  <c r="U641" i="7"/>
  <c r="AA645" i="7"/>
  <c r="X876" i="7"/>
  <c r="X862" i="7"/>
  <c r="U1413" i="7"/>
  <c r="AD645" i="7"/>
  <c r="U758" i="7"/>
  <c r="U1372" i="7"/>
  <c r="U1377" i="7"/>
  <c r="U1396" i="7"/>
  <c r="U1408" i="7"/>
  <c r="U1400" i="7"/>
  <c r="X1413" i="7"/>
  <c r="X1372" i="7"/>
  <c r="X1377" i="7"/>
  <c r="X1408" i="7"/>
  <c r="AA1373" i="7"/>
  <c r="U1409" i="7"/>
  <c r="U1418" i="7"/>
  <c r="AA1391" i="7"/>
  <c r="AA1400" i="7"/>
  <c r="X1382" i="7"/>
  <c r="AD359" i="7"/>
  <c r="AC585" i="7"/>
  <c r="AC136" i="7"/>
  <c r="AC15" i="7"/>
  <c r="U1382" i="7"/>
  <c r="AG1363" i="7"/>
  <c r="AG1175" i="7"/>
  <c r="X1373" i="7"/>
  <c r="U1373" i="7"/>
  <c r="U862" i="7"/>
  <c r="U861" i="7"/>
  <c r="AD355" i="7"/>
  <c r="T585" i="7"/>
  <c r="X1100" i="7"/>
  <c r="AD357" i="7"/>
  <c r="AD356" i="7"/>
  <c r="X1409" i="7"/>
  <c r="AH310" i="7"/>
  <c r="AH136" i="7"/>
  <c r="AH15" i="7"/>
  <c r="AD358" i="7"/>
  <c r="X1400" i="7"/>
  <c r="AA310" i="7"/>
  <c r="AA136" i="7"/>
  <c r="AA1418" i="7"/>
  <c r="X741" i="7"/>
  <c r="X725" i="7"/>
  <c r="AD255" i="7"/>
  <c r="X861" i="7"/>
  <c r="AH1363" i="7"/>
  <c r="AH1175" i="7"/>
  <c r="AB1175" i="7"/>
  <c r="AB15" i="7"/>
  <c r="Y1434" i="7"/>
  <c r="Y1433" i="7"/>
  <c r="AD1018" i="7"/>
  <c r="AI1175" i="7"/>
  <c r="X1018" i="7"/>
  <c r="Y939" i="7"/>
  <c r="AH1017" i="7"/>
  <c r="Y988" i="7"/>
  <c r="AE1175" i="7"/>
  <c r="AE15" i="7"/>
  <c r="AD1100" i="7"/>
  <c r="U1100" i="7"/>
  <c r="Y1321" i="7"/>
  <c r="Y1363" i="7"/>
  <c r="Y861" i="7"/>
  <c r="Y902" i="7"/>
  <c r="Y1018" i="7"/>
  <c r="Y725" i="7"/>
  <c r="AJ15" i="7"/>
  <c r="AD1176" i="7"/>
  <c r="Y1161" i="7"/>
  <c r="Y16" i="7"/>
  <c r="Y1100" i="7"/>
  <c r="AA1100" i="7"/>
  <c r="AA1017" i="7"/>
  <c r="X1176" i="7"/>
  <c r="U16" i="7"/>
  <c r="Y136" i="7"/>
  <c r="Y637" i="7"/>
  <c r="Y773" i="7"/>
  <c r="Y1176" i="7"/>
  <c r="AD638" i="7"/>
  <c r="AD637" i="7"/>
  <c r="AA1176" i="7"/>
  <c r="AF1175" i="7"/>
  <c r="AI15" i="7"/>
  <c r="AE1017" i="7"/>
  <c r="W1017" i="7"/>
  <c r="AG1017" i="7"/>
  <c r="Z1017" i="7"/>
  <c r="AI1017" i="7"/>
  <c r="AC1176" i="7"/>
  <c r="AC1175" i="7"/>
  <c r="AG15" i="7"/>
  <c r="AB1017" i="7"/>
  <c r="AF136" i="7"/>
  <c r="AF15" i="7"/>
  <c r="U638" i="7"/>
  <c r="U637" i="7"/>
  <c r="AC1017" i="7"/>
  <c r="Z136" i="7"/>
  <c r="Z15" i="7"/>
  <c r="Z1176" i="7"/>
  <c r="Z1175" i="7"/>
  <c r="U310" i="7"/>
  <c r="U136" i="7"/>
  <c r="V1175" i="7"/>
  <c r="V1017" i="7"/>
  <c r="X310" i="7"/>
  <c r="X136" i="7"/>
  <c r="W1176" i="7"/>
  <c r="W1175" i="7"/>
  <c r="AF1017" i="7"/>
  <c r="U1176" i="7"/>
  <c r="W136" i="7"/>
  <c r="W15" i="7"/>
  <c r="AD1363" i="7"/>
  <c r="X638" i="7"/>
  <c r="X637" i="7"/>
  <c r="U1364" i="7"/>
  <c r="U741" i="7"/>
  <c r="U725" i="7"/>
  <c r="AA638" i="7"/>
  <c r="AA637" i="7"/>
  <c r="AD566" i="7"/>
  <c r="U1391" i="7"/>
  <c r="AD353" i="7"/>
  <c r="V15" i="7"/>
  <c r="X1364" i="7"/>
  <c r="AA15" i="7"/>
  <c r="AJ14" i="7"/>
  <c r="AG13" i="7"/>
  <c r="AG14" i="7"/>
  <c r="AA1363" i="7"/>
  <c r="AA1175" i="7"/>
  <c r="W13" i="7"/>
  <c r="AD310" i="7"/>
  <c r="AD136" i="7"/>
  <c r="AD15" i="7"/>
  <c r="X1017" i="7"/>
  <c r="X1363" i="7"/>
  <c r="X1175" i="7"/>
  <c r="Y15" i="7"/>
  <c r="Y13" i="7"/>
  <c r="AB14" i="7"/>
  <c r="AD1017" i="7"/>
  <c r="AD1175" i="7"/>
  <c r="AE14" i="7"/>
  <c r="AC14" i="7"/>
  <c r="Y1175" i="7"/>
  <c r="Y1017" i="7"/>
  <c r="X988" i="7"/>
  <c r="AI14" i="7"/>
  <c r="U1363" i="7"/>
  <c r="U1175" i="7"/>
  <c r="X15" i="7"/>
  <c r="AF14" i="7"/>
  <c r="AH14" i="7"/>
  <c r="AY1282" i="7"/>
  <c r="Z14" i="7"/>
  <c r="V14" i="7"/>
  <c r="K14" i="7"/>
  <c r="Z13" i="7"/>
  <c r="AA14" i="7"/>
  <c r="AD14" i="7"/>
  <c r="X14" i="7"/>
  <c r="Y14" i="7"/>
  <c r="X1179" i="1"/>
  <c r="AJ378" i="1"/>
  <c r="AJ377" i="1"/>
  <c r="AJ376" i="1"/>
  <c r="AJ379" i="1"/>
  <c r="AJ353" i="1"/>
  <c r="AJ352" i="1"/>
  <c r="AJ351" i="1"/>
  <c r="AJ350" i="1"/>
  <c r="AJ349" i="1"/>
  <c r="AJ348" i="1"/>
  <c r="AJ347" i="1"/>
  <c r="AJ816" i="1"/>
  <c r="AJ283" i="1"/>
  <c r="AJ229" i="1"/>
  <c r="AJ161" i="1"/>
  <c r="AJ140" i="1"/>
  <c r="F29" i="6"/>
  <c r="E29" i="6"/>
  <c r="F26" i="6"/>
  <c r="E26" i="6"/>
  <c r="F25" i="6"/>
  <c r="F24" i="6"/>
  <c r="F23" i="6"/>
  <c r="E22" i="6"/>
  <c r="F21" i="6"/>
  <c r="F20" i="6"/>
  <c r="E20" i="6"/>
  <c r="F19" i="6"/>
  <c r="F18" i="6" s="1"/>
  <c r="E19" i="6"/>
  <c r="E16" i="6"/>
  <c r="E15" i="6"/>
  <c r="E14" i="6"/>
  <c r="E13" i="6"/>
  <c r="E12" i="6"/>
  <c r="E11" i="6"/>
  <c r="F10" i="6"/>
  <c r="E10" i="6"/>
  <c r="F6" i="6"/>
  <c r="E6" i="6"/>
  <c r="E5" i="6"/>
  <c r="F4" i="6"/>
  <c r="F3" i="6" s="1"/>
  <c r="E4" i="6"/>
  <c r="C17" i="6"/>
  <c r="D17" i="6"/>
  <c r="F22" i="6"/>
  <c r="D30" i="6"/>
  <c r="C29" i="6"/>
  <c r="D27" i="6"/>
  <c r="D28" i="6"/>
  <c r="D29" i="6"/>
  <c r="C26" i="6"/>
  <c r="D26" i="6"/>
  <c r="AH349" i="1"/>
  <c r="AH350" i="1"/>
  <c r="AH351" i="1"/>
  <c r="AH352" i="1"/>
  <c r="AH353" i="1"/>
  <c r="AH347" i="1"/>
  <c r="AH341" i="1"/>
  <c r="AH342" i="1"/>
  <c r="AH343" i="1"/>
  <c r="AH344" i="1"/>
  <c r="AH345" i="1"/>
  <c r="AH346" i="1"/>
  <c r="AH340" i="1"/>
  <c r="AI1340" i="1"/>
  <c r="W1340" i="1"/>
  <c r="Y1340" i="1"/>
  <c r="Z1340" i="1"/>
  <c r="AA1340" i="1"/>
  <c r="AB1340" i="1"/>
  <c r="AC1340" i="1"/>
  <c r="AD1340" i="1"/>
  <c r="AE1340" i="1"/>
  <c r="AF1340" i="1"/>
  <c r="AG1340" i="1"/>
  <c r="AH1226" i="1"/>
  <c r="AH1217" i="1"/>
  <c r="AH1208" i="1"/>
  <c r="AH1199" i="1"/>
  <c r="AH1190" i="1"/>
  <c r="AH1181" i="1"/>
  <c r="AH1172" i="1"/>
  <c r="AH1142" i="1"/>
  <c r="W1050" i="1"/>
  <c r="Y1050" i="1"/>
  <c r="Z1050" i="1"/>
  <c r="AB1050" i="1"/>
  <c r="AC1050" i="1"/>
  <c r="AE1050" i="1"/>
  <c r="AF1050" i="1"/>
  <c r="AG1050" i="1"/>
  <c r="AI1050" i="1"/>
  <c r="AH1050" i="1"/>
  <c r="AH1043" i="1"/>
  <c r="AH1014" i="1"/>
  <c r="AH841" i="1"/>
  <c r="AH772" i="1"/>
  <c r="AH643" i="1"/>
  <c r="AH626" i="1"/>
  <c r="AH621" i="1"/>
  <c r="AH616" i="1"/>
  <c r="AH611" i="1"/>
  <c r="AH605" i="1"/>
  <c r="AH599" i="1"/>
  <c r="AH593" i="1"/>
  <c r="AH587" i="1"/>
  <c r="AH567" i="1"/>
  <c r="AH560" i="1"/>
  <c r="Y304" i="1"/>
  <c r="Z304" i="1"/>
  <c r="AB304" i="1"/>
  <c r="AC304" i="1"/>
  <c r="AE304" i="1"/>
  <c r="AG304" i="1"/>
  <c r="AI304" i="1"/>
  <c r="AK304" i="1"/>
  <c r="AL304" i="1"/>
  <c r="AM304" i="1"/>
  <c r="Y279" i="1"/>
  <c r="AB279" i="1"/>
  <c r="AE279" i="1"/>
  <c r="AG279" i="1"/>
  <c r="AI279" i="1"/>
  <c r="Y224" i="1"/>
  <c r="AB224" i="1"/>
  <c r="AE224" i="1"/>
  <c r="AG224" i="1"/>
  <c r="AI224" i="1"/>
  <c r="Y251" i="1"/>
  <c r="AB251" i="1"/>
  <c r="AE251" i="1"/>
  <c r="AG251" i="1"/>
  <c r="AI251" i="1"/>
  <c r="AK224" i="1"/>
  <c r="AL224" i="1"/>
  <c r="AM224" i="1"/>
  <c r="U199" i="1"/>
  <c r="AE199" i="1"/>
  <c r="AF199" i="1"/>
  <c r="AG199" i="1"/>
  <c r="AI199" i="1"/>
  <c r="U179" i="1"/>
  <c r="Y179" i="1"/>
  <c r="AB179" i="1"/>
  <c r="AE179" i="1"/>
  <c r="AG179" i="1"/>
  <c r="AI179" i="1"/>
  <c r="Y158" i="1"/>
  <c r="AB158" i="1"/>
  <c r="AE158" i="1"/>
  <c r="AF158" i="1"/>
  <c r="AG158" i="1"/>
  <c r="AI158" i="1"/>
  <c r="X137" i="1"/>
  <c r="Y137" i="1"/>
  <c r="AE137" i="1"/>
  <c r="AF137" i="1"/>
  <c r="AG137" i="1"/>
  <c r="AI137" i="1"/>
  <c r="AH131" i="1"/>
  <c r="AI131" i="1"/>
  <c r="AJ131" i="1"/>
  <c r="AJ52" i="1"/>
  <c r="AJ17" i="1"/>
  <c r="AJ1027" i="1"/>
  <c r="U626" i="1"/>
  <c r="U621" i="1"/>
  <c r="U616" i="1"/>
  <c r="U611" i="1"/>
  <c r="U605" i="1"/>
  <c r="U599" i="1"/>
  <c r="U593" i="1"/>
  <c r="U587" i="1"/>
  <c r="U579" i="1"/>
  <c r="V626" i="1"/>
  <c r="V621" i="1"/>
  <c r="V616" i="1"/>
  <c r="V611" i="1"/>
  <c r="V605" i="1"/>
  <c r="V599" i="1"/>
  <c r="V593" i="1"/>
  <c r="V587" i="1"/>
  <c r="V579" i="1"/>
  <c r="W579" i="1"/>
  <c r="X579" i="1"/>
  <c r="Y579" i="1"/>
  <c r="Z579" i="1"/>
  <c r="AA579" i="1"/>
  <c r="AB579" i="1"/>
  <c r="AD579" i="1"/>
  <c r="AE579" i="1"/>
  <c r="AF579" i="1"/>
  <c r="AG579" i="1"/>
  <c r="Y16" i="1"/>
  <c r="AB16" i="1"/>
  <c r="AE16" i="1"/>
  <c r="AF16" i="1"/>
  <c r="U1490" i="1"/>
  <c r="U1482" i="1"/>
  <c r="U1476" i="1"/>
  <c r="U1472" i="1"/>
  <c r="U1464" i="1"/>
  <c r="U1456" i="1"/>
  <c r="U1446" i="1"/>
  <c r="U1438" i="1"/>
  <c r="U1434" i="1"/>
  <c r="U1430" i="1"/>
  <c r="V1490" i="1"/>
  <c r="V1482" i="1"/>
  <c r="V1476" i="1"/>
  <c r="V1472" i="1"/>
  <c r="V1464" i="1"/>
  <c r="V1456" i="1"/>
  <c r="V1446" i="1"/>
  <c r="V1438" i="1"/>
  <c r="V1434" i="1"/>
  <c r="V1430" i="1"/>
  <c r="W1429" i="1"/>
  <c r="W1428" i="1"/>
  <c r="X1429" i="1"/>
  <c r="X1428" i="1"/>
  <c r="Y1429" i="1"/>
  <c r="Y1428" i="1"/>
  <c r="Z1429" i="1"/>
  <c r="Z1428" i="1"/>
  <c r="AA1429" i="1"/>
  <c r="AA1428" i="1"/>
  <c r="AB1429" i="1"/>
  <c r="AB1428" i="1"/>
  <c r="AC1429" i="1"/>
  <c r="AC1428" i="1"/>
  <c r="AD1429" i="1"/>
  <c r="AD1428" i="1"/>
  <c r="AE1429" i="1"/>
  <c r="AE1428" i="1"/>
  <c r="AF1429" i="1"/>
  <c r="AF1428" i="1"/>
  <c r="V1422" i="1"/>
  <c r="W1422" i="1"/>
  <c r="Y1422" i="1"/>
  <c r="Z1422" i="1"/>
  <c r="AB1422" i="1"/>
  <c r="AC1422" i="1"/>
  <c r="AE1422" i="1"/>
  <c r="AF1422" i="1"/>
  <c r="V1413" i="1"/>
  <c r="W1413" i="1"/>
  <c r="Y1413" i="1"/>
  <c r="Z1413" i="1"/>
  <c r="AB1413" i="1"/>
  <c r="AC1413" i="1"/>
  <c r="AE1413" i="1"/>
  <c r="AF1413" i="1"/>
  <c r="V1404" i="1"/>
  <c r="W1404" i="1"/>
  <c r="Y1404" i="1"/>
  <c r="Z1404" i="1"/>
  <c r="AB1404" i="1"/>
  <c r="AC1404" i="1"/>
  <c r="AE1404" i="1"/>
  <c r="AF1404" i="1"/>
  <c r="V1395" i="1"/>
  <c r="W1395" i="1"/>
  <c r="Y1395" i="1"/>
  <c r="Z1395" i="1"/>
  <c r="AB1395" i="1"/>
  <c r="AC1395" i="1"/>
  <c r="AE1395" i="1"/>
  <c r="AF1395" i="1"/>
  <c r="V1386" i="1"/>
  <c r="W1386" i="1"/>
  <c r="Y1386" i="1"/>
  <c r="Z1386" i="1"/>
  <c r="AB1386" i="1"/>
  <c r="AC1386" i="1"/>
  <c r="AE1386" i="1"/>
  <c r="AF1386" i="1"/>
  <c r="V1377" i="1"/>
  <c r="W1377" i="1"/>
  <c r="Y1377" i="1"/>
  <c r="Z1377" i="1"/>
  <c r="AB1377" i="1"/>
  <c r="AC1377" i="1"/>
  <c r="AE1377" i="1"/>
  <c r="AF1377" i="1"/>
  <c r="V1368" i="1"/>
  <c r="W1368" i="1"/>
  <c r="Y1368" i="1"/>
  <c r="Z1368" i="1"/>
  <c r="AB1368" i="1"/>
  <c r="AC1368" i="1"/>
  <c r="AE1368" i="1"/>
  <c r="AF1368" i="1"/>
  <c r="V1359" i="1"/>
  <c r="W1359" i="1"/>
  <c r="Y1359" i="1"/>
  <c r="Z1359" i="1"/>
  <c r="AB1359" i="1"/>
  <c r="AC1359" i="1"/>
  <c r="AE1359" i="1"/>
  <c r="AF1359" i="1"/>
  <c r="AG1359" i="1"/>
  <c r="U1317" i="1"/>
  <c r="W1317" i="1"/>
  <c r="X1317" i="1"/>
  <c r="Y1317" i="1"/>
  <c r="Y1316" i="1"/>
  <c r="Z1317" i="1"/>
  <c r="AA1317" i="1"/>
  <c r="AB1317" i="1"/>
  <c r="AB1316" i="1"/>
  <c r="AC1317" i="1"/>
  <c r="AD1317" i="1"/>
  <c r="AE1317" i="1"/>
  <c r="AE1316" i="1"/>
  <c r="AF1317" i="1"/>
  <c r="AF1316" i="1"/>
  <c r="AG1317" i="1"/>
  <c r="AG1316" i="1"/>
  <c r="U1311" i="1"/>
  <c r="U1306" i="1"/>
  <c r="U1301" i="1"/>
  <c r="U1296" i="1"/>
  <c r="U1290" i="1"/>
  <c r="U1285" i="1"/>
  <c r="U1235" i="1"/>
  <c r="V1311" i="1"/>
  <c r="V1306" i="1"/>
  <c r="V1301" i="1"/>
  <c r="V1296" i="1"/>
  <c r="V1290" i="1"/>
  <c r="V1285" i="1"/>
  <c r="V1235" i="1"/>
  <c r="W1235" i="1"/>
  <c r="X1235" i="1"/>
  <c r="Y1235" i="1"/>
  <c r="Z1235" i="1"/>
  <c r="AA1235" i="1"/>
  <c r="AB1235" i="1"/>
  <c r="AC1235" i="1"/>
  <c r="AD1235" i="1"/>
  <c r="AE1235" i="1"/>
  <c r="AF1235" i="1"/>
  <c r="AG1235" i="1"/>
  <c r="AH1235" i="1"/>
  <c r="AI1235" i="1"/>
  <c r="Y1226" i="1"/>
  <c r="AB1226" i="1"/>
  <c r="AE1226" i="1"/>
  <c r="AF1226" i="1"/>
  <c r="AG1226" i="1"/>
  <c r="AI1226" i="1"/>
  <c r="Y1217" i="1"/>
  <c r="AB1217" i="1"/>
  <c r="AE1217" i="1"/>
  <c r="AF1217" i="1"/>
  <c r="AG1217" i="1"/>
  <c r="AI1217" i="1"/>
  <c r="Y1208" i="1"/>
  <c r="AB1208" i="1"/>
  <c r="AE1208" i="1"/>
  <c r="AF1208" i="1"/>
  <c r="AG1208" i="1"/>
  <c r="AI1208" i="1"/>
  <c r="Y1199" i="1"/>
  <c r="AB1199" i="1"/>
  <c r="AE1199" i="1"/>
  <c r="AF1199" i="1"/>
  <c r="AG1199" i="1"/>
  <c r="AI1199" i="1"/>
  <c r="Y1190" i="1"/>
  <c r="AB1190" i="1"/>
  <c r="AE1190" i="1"/>
  <c r="AF1190" i="1"/>
  <c r="AG1190" i="1"/>
  <c r="Y1181" i="1"/>
  <c r="AB1181" i="1"/>
  <c r="AE1181" i="1"/>
  <c r="AF1181" i="1"/>
  <c r="AG1181" i="1"/>
  <c r="V1182" i="1"/>
  <c r="V1183" i="1"/>
  <c r="V1184" i="1"/>
  <c r="V1185" i="1"/>
  <c r="V1186" i="1"/>
  <c r="V1187" i="1"/>
  <c r="V1189" i="1"/>
  <c r="V1191" i="1"/>
  <c r="V1192" i="1"/>
  <c r="V1193" i="1"/>
  <c r="V1194" i="1"/>
  <c r="V1195" i="1"/>
  <c r="V1196" i="1"/>
  <c r="V1198" i="1"/>
  <c r="V1200" i="1"/>
  <c r="V1201" i="1"/>
  <c r="V1202" i="1"/>
  <c r="V1203" i="1"/>
  <c r="V1204" i="1"/>
  <c r="V1205" i="1"/>
  <c r="V1206" i="1"/>
  <c r="V1207" i="1"/>
  <c r="V1209" i="1"/>
  <c r="V1210" i="1"/>
  <c r="V1211" i="1"/>
  <c r="V1212" i="1"/>
  <c r="V1213" i="1"/>
  <c r="V1214" i="1"/>
  <c r="V1216" i="1"/>
  <c r="V1218" i="1"/>
  <c r="V1219" i="1"/>
  <c r="V1220" i="1"/>
  <c r="V1221" i="1"/>
  <c r="V1222" i="1"/>
  <c r="V1223" i="1"/>
  <c r="V1225" i="1"/>
  <c r="V1227" i="1"/>
  <c r="V1228" i="1"/>
  <c r="V1229" i="1"/>
  <c r="V1230" i="1"/>
  <c r="V1231" i="1"/>
  <c r="V1232" i="1"/>
  <c r="V1234" i="1"/>
  <c r="V1318" i="1"/>
  <c r="V1319" i="1"/>
  <c r="V1320" i="1"/>
  <c r="V1321" i="1"/>
  <c r="V1322" i="1"/>
  <c r="V1323" i="1"/>
  <c r="V1324" i="1"/>
  <c r="V1325" i="1"/>
  <c r="V1326" i="1"/>
  <c r="V1327" i="1"/>
  <c r="V1328" i="1"/>
  <c r="V1329" i="1"/>
  <c r="V1330" i="1"/>
  <c r="V1331" i="1"/>
  <c r="V1332" i="1"/>
  <c r="V1333" i="1"/>
  <c r="V1334" i="1"/>
  <c r="V1335" i="1"/>
  <c r="V1336" i="1"/>
  <c r="V1337" i="1"/>
  <c r="V1338" i="1"/>
  <c r="V1339" i="1"/>
  <c r="V1341" i="1"/>
  <c r="V1342" i="1"/>
  <c r="V1343" i="1"/>
  <c r="V1345" i="1"/>
  <c r="V1346" i="1"/>
  <c r="V1347" i="1"/>
  <c r="V1348" i="1"/>
  <c r="V1349" i="1"/>
  <c r="V1350" i="1"/>
  <c r="V1351" i="1"/>
  <c r="V1352" i="1"/>
  <c r="V1353" i="1"/>
  <c r="V1354" i="1"/>
  <c r="V1355" i="1"/>
  <c r="V1356" i="1"/>
  <c r="V1357" i="1"/>
  <c r="V1174" i="1"/>
  <c r="V1175" i="1"/>
  <c r="V1176" i="1"/>
  <c r="V1177" i="1"/>
  <c r="V1178" i="1"/>
  <c r="V1180" i="1"/>
  <c r="V1173" i="1"/>
  <c r="Y1172" i="1"/>
  <c r="AB1172" i="1"/>
  <c r="AE1172" i="1"/>
  <c r="AF1172" i="1"/>
  <c r="AG1172" i="1"/>
  <c r="V1102" i="1"/>
  <c r="W1102" i="1"/>
  <c r="X1102" i="1"/>
  <c r="Y1102" i="1"/>
  <c r="Z1102" i="1"/>
  <c r="AA1102" i="1"/>
  <c r="AB1102" i="1"/>
  <c r="AC1102" i="1"/>
  <c r="AD1102" i="1"/>
  <c r="AE1102" i="1"/>
  <c r="AF1102" i="1"/>
  <c r="AG1102" i="1"/>
  <c r="U1118" i="1"/>
  <c r="U1115" i="1"/>
  <c r="V1118" i="1"/>
  <c r="V1115" i="1"/>
  <c r="V1122" i="1"/>
  <c r="W1122" i="1"/>
  <c r="Y1122" i="1"/>
  <c r="Z1122" i="1"/>
  <c r="AB1122" i="1"/>
  <c r="AC1122" i="1"/>
  <c r="AE1122" i="1"/>
  <c r="AF1122" i="1"/>
  <c r="AG1122" i="1"/>
  <c r="U1139" i="1"/>
  <c r="V1139" i="1"/>
  <c r="W1139" i="1"/>
  <c r="X1139" i="1"/>
  <c r="Y1139" i="1"/>
  <c r="Z1139" i="1"/>
  <c r="AA1139" i="1"/>
  <c r="AB1139" i="1"/>
  <c r="AC1139" i="1"/>
  <c r="AD1139" i="1"/>
  <c r="AE1139" i="1"/>
  <c r="AF1139" i="1"/>
  <c r="AG1139" i="1"/>
  <c r="V1142" i="1"/>
  <c r="W1142" i="1"/>
  <c r="Y1142" i="1"/>
  <c r="Z1142" i="1"/>
  <c r="AB1142" i="1"/>
  <c r="AC1142" i="1"/>
  <c r="AE1142" i="1"/>
  <c r="AF1142" i="1"/>
  <c r="AG1142" i="1"/>
  <c r="U1153" i="1"/>
  <c r="U1149" i="1"/>
  <c r="V1149" i="1"/>
  <c r="W1149" i="1"/>
  <c r="X1149" i="1"/>
  <c r="Y1149" i="1"/>
  <c r="Z1149" i="1"/>
  <c r="AA1149" i="1"/>
  <c r="AB1149" i="1"/>
  <c r="AC1149" i="1"/>
  <c r="AD1149" i="1"/>
  <c r="AE1149" i="1"/>
  <c r="AF1149" i="1"/>
  <c r="AG1149" i="1"/>
  <c r="V1153" i="1"/>
  <c r="W1153" i="1"/>
  <c r="X1153" i="1"/>
  <c r="Y1153" i="1"/>
  <c r="Z1153" i="1"/>
  <c r="AA1153" i="1"/>
  <c r="AB1153" i="1"/>
  <c r="AC1153" i="1"/>
  <c r="AD1153" i="1"/>
  <c r="AE1153" i="1"/>
  <c r="AF1153" i="1"/>
  <c r="AG1153" i="1"/>
  <c r="U1157" i="1"/>
  <c r="V1157" i="1"/>
  <c r="W1157" i="1"/>
  <c r="X1157" i="1"/>
  <c r="Y1157" i="1"/>
  <c r="Z1157" i="1"/>
  <c r="AA1157" i="1"/>
  <c r="AB1157" i="1"/>
  <c r="AC1157" i="1"/>
  <c r="AD1157" i="1"/>
  <c r="AE1157" i="1"/>
  <c r="AF1157" i="1"/>
  <c r="AG1157" i="1"/>
  <c r="V1160" i="1"/>
  <c r="W1160" i="1"/>
  <c r="Y1160" i="1"/>
  <c r="Z1160" i="1"/>
  <c r="AB1160" i="1"/>
  <c r="AC1160" i="1"/>
  <c r="AE1160" i="1"/>
  <c r="AF1160" i="1"/>
  <c r="AG1160" i="1"/>
  <c r="V1162" i="1"/>
  <c r="W1162" i="1"/>
  <c r="X1162" i="1"/>
  <c r="Y1162" i="1"/>
  <c r="Z1162" i="1"/>
  <c r="AA1162" i="1"/>
  <c r="AB1162" i="1"/>
  <c r="AC1162" i="1"/>
  <c r="AD1162" i="1"/>
  <c r="AE1162" i="1"/>
  <c r="AF1162" i="1"/>
  <c r="AG1162" i="1"/>
  <c r="U1167" i="1"/>
  <c r="V1167" i="1"/>
  <c r="W1167" i="1"/>
  <c r="X1167" i="1"/>
  <c r="Y1167" i="1"/>
  <c r="Z1167" i="1"/>
  <c r="AA1167" i="1"/>
  <c r="AB1167" i="1"/>
  <c r="AC1167" i="1"/>
  <c r="AD1167" i="1"/>
  <c r="AE1167" i="1"/>
  <c r="AF1167" i="1"/>
  <c r="AG1167" i="1"/>
  <c r="U1096" i="1"/>
  <c r="V1096" i="1"/>
  <c r="W1096" i="1"/>
  <c r="X1096" i="1"/>
  <c r="Y1096" i="1"/>
  <c r="Z1096" i="1"/>
  <c r="AA1096" i="1"/>
  <c r="AB1096" i="1"/>
  <c r="AC1096" i="1"/>
  <c r="AD1096" i="1"/>
  <c r="AE1096" i="1"/>
  <c r="AF1096" i="1"/>
  <c r="AG1096" i="1"/>
  <c r="W1031" i="1"/>
  <c r="X1031" i="1"/>
  <c r="Y1031" i="1"/>
  <c r="Z1031" i="1"/>
  <c r="AA1031" i="1"/>
  <c r="AB1031" i="1"/>
  <c r="AC1031" i="1"/>
  <c r="AD1031" i="1"/>
  <c r="AE1031" i="1"/>
  <c r="AF1031" i="1"/>
  <c r="AG1031" i="1"/>
  <c r="W1043" i="1"/>
  <c r="X1043" i="1"/>
  <c r="Y1043" i="1"/>
  <c r="Z1043" i="1"/>
  <c r="AB1043" i="1"/>
  <c r="AC1043" i="1"/>
  <c r="AE1043" i="1"/>
  <c r="AF1043" i="1"/>
  <c r="AG1043" i="1"/>
  <c r="W1048" i="1"/>
  <c r="X1048" i="1"/>
  <c r="Y1048" i="1"/>
  <c r="Z1048" i="1"/>
  <c r="AA1048" i="1"/>
  <c r="AB1048" i="1"/>
  <c r="AC1048" i="1"/>
  <c r="AD1048" i="1"/>
  <c r="AE1048" i="1"/>
  <c r="AF1048" i="1"/>
  <c r="AG1048" i="1"/>
  <c r="W1046" i="1"/>
  <c r="X1046" i="1"/>
  <c r="Y1046" i="1"/>
  <c r="Z1046" i="1"/>
  <c r="AA1046" i="1"/>
  <c r="AB1046" i="1"/>
  <c r="AC1046" i="1"/>
  <c r="AD1046" i="1"/>
  <c r="AE1046" i="1"/>
  <c r="AF1046" i="1"/>
  <c r="AG1046" i="1"/>
  <c r="V1032" i="1"/>
  <c r="V1033" i="1"/>
  <c r="V1034" i="1"/>
  <c r="V1035" i="1"/>
  <c r="V1036" i="1"/>
  <c r="V1037" i="1"/>
  <c r="V1038" i="1"/>
  <c r="V1039" i="1"/>
  <c r="V1040" i="1"/>
  <c r="V1041" i="1"/>
  <c r="V1042" i="1"/>
  <c r="V1045" i="1"/>
  <c r="V1047" i="1"/>
  <c r="V1046" i="1"/>
  <c r="V1049" i="1"/>
  <c r="V1048" i="1"/>
  <c r="V1051" i="1"/>
  <c r="V1052" i="1"/>
  <c r="V1053" i="1"/>
  <c r="V1054" i="1"/>
  <c r="V1057" i="1"/>
  <c r="V1059" i="1"/>
  <c r="V1060" i="1"/>
  <c r="V1061" i="1"/>
  <c r="V1062" i="1"/>
  <c r="V1063" i="1"/>
  <c r="V1064" i="1"/>
  <c r="V1065" i="1"/>
  <c r="V1066" i="1"/>
  <c r="V1067" i="1"/>
  <c r="V1068" i="1"/>
  <c r="V1069" i="1"/>
  <c r="V1070" i="1"/>
  <c r="V1071" i="1"/>
  <c r="V1072" i="1"/>
  <c r="V1073" i="1"/>
  <c r="V1074" i="1"/>
  <c r="V1075" i="1"/>
  <c r="V1076" i="1"/>
  <c r="V1077" i="1"/>
  <c r="V1078" i="1"/>
  <c r="V1080" i="1"/>
  <c r="V1081" i="1"/>
  <c r="V1082" i="1"/>
  <c r="V1083" i="1"/>
  <c r="V1084" i="1"/>
  <c r="V1085" i="1"/>
  <c r="V1086" i="1"/>
  <c r="V1087" i="1"/>
  <c r="V1088" i="1"/>
  <c r="V1089" i="1"/>
  <c r="V1090" i="1"/>
  <c r="V1091" i="1"/>
  <c r="V1092" i="1"/>
  <c r="V1093" i="1"/>
  <c r="V1094" i="1"/>
  <c r="V1018" i="1"/>
  <c r="V1019" i="1"/>
  <c r="V1020" i="1"/>
  <c r="V1021" i="1"/>
  <c r="V1022" i="1"/>
  <c r="V1023" i="1"/>
  <c r="V1024" i="1"/>
  <c r="V1025" i="1"/>
  <c r="V1026" i="1"/>
  <c r="V1027" i="1"/>
  <c r="V1029" i="1"/>
  <c r="V1030" i="1"/>
  <c r="V1015" i="1"/>
  <c r="U1048" i="1"/>
  <c r="U1046" i="1"/>
  <c r="U1031" i="1"/>
  <c r="Y1014" i="1"/>
  <c r="AB1014" i="1"/>
  <c r="AE1014" i="1"/>
  <c r="AF1014" i="1"/>
  <c r="AG1014" i="1"/>
  <c r="U984" i="1"/>
  <c r="V984" i="1"/>
  <c r="W984" i="1"/>
  <c r="X984" i="1"/>
  <c r="Y984" i="1"/>
  <c r="Z984" i="1"/>
  <c r="AA984" i="1"/>
  <c r="AB984" i="1"/>
  <c r="AC984" i="1"/>
  <c r="AD984" i="1"/>
  <c r="AE984" i="1"/>
  <c r="AF984" i="1"/>
  <c r="V962" i="1"/>
  <c r="V951" i="1"/>
  <c r="U962" i="1"/>
  <c r="U951" i="1"/>
  <c r="V935" i="1"/>
  <c r="W935" i="1"/>
  <c r="W934" i="1"/>
  <c r="X935" i="1"/>
  <c r="X934" i="1"/>
  <c r="Y935" i="1"/>
  <c r="Y934" i="1"/>
  <c r="Z935" i="1"/>
  <c r="Z934" i="1"/>
  <c r="AA935" i="1"/>
  <c r="AA934" i="1"/>
  <c r="AB935" i="1"/>
  <c r="AB934" i="1"/>
  <c r="AC935" i="1"/>
  <c r="AC934" i="1"/>
  <c r="AD935" i="1"/>
  <c r="AD934" i="1"/>
  <c r="AE935" i="1"/>
  <c r="AE934" i="1"/>
  <c r="AF935" i="1"/>
  <c r="AF934" i="1"/>
  <c r="AG935" i="1"/>
  <c r="U907" i="1"/>
  <c r="V907" i="1"/>
  <c r="W907" i="1"/>
  <c r="X907" i="1"/>
  <c r="Y907" i="1"/>
  <c r="Z907" i="1"/>
  <c r="AA907" i="1"/>
  <c r="AB907" i="1"/>
  <c r="AC907" i="1"/>
  <c r="AD907" i="1"/>
  <c r="AE907" i="1"/>
  <c r="AF907" i="1"/>
  <c r="AG907" i="1"/>
  <c r="U924" i="1"/>
  <c r="V924" i="1"/>
  <c r="W924" i="1"/>
  <c r="X924" i="1"/>
  <c r="Y924" i="1"/>
  <c r="Z924" i="1"/>
  <c r="AA924" i="1"/>
  <c r="AB924" i="1"/>
  <c r="AC924" i="1"/>
  <c r="AD924" i="1"/>
  <c r="AE924" i="1"/>
  <c r="AF924" i="1"/>
  <c r="AG924" i="1"/>
  <c r="U931" i="1"/>
  <c r="U930" i="1"/>
  <c r="V931" i="1"/>
  <c r="V930" i="1"/>
  <c r="W931" i="1"/>
  <c r="W930" i="1"/>
  <c r="X931" i="1"/>
  <c r="X930" i="1"/>
  <c r="Y931" i="1"/>
  <c r="Y930" i="1"/>
  <c r="Z931" i="1"/>
  <c r="Z930" i="1"/>
  <c r="AA931" i="1"/>
  <c r="AA930" i="1"/>
  <c r="AB931" i="1"/>
  <c r="AB930" i="1"/>
  <c r="AC931" i="1"/>
  <c r="AC930" i="1"/>
  <c r="AD931" i="1"/>
  <c r="AD930" i="1"/>
  <c r="AE931" i="1"/>
  <c r="AE930" i="1"/>
  <c r="AF931" i="1"/>
  <c r="AF930" i="1"/>
  <c r="AG931" i="1"/>
  <c r="AG930" i="1"/>
  <c r="U898" i="1"/>
  <c r="V898" i="1"/>
  <c r="W898" i="1"/>
  <c r="X898" i="1"/>
  <c r="Y898" i="1"/>
  <c r="Z898" i="1"/>
  <c r="AA898" i="1"/>
  <c r="AB898" i="1"/>
  <c r="AC898" i="1"/>
  <c r="AD898" i="1"/>
  <c r="AE898" i="1"/>
  <c r="AF898" i="1"/>
  <c r="AG898" i="1"/>
  <c r="V876" i="1"/>
  <c r="W876" i="1"/>
  <c r="Y876" i="1"/>
  <c r="Z876" i="1"/>
  <c r="AA876" i="1"/>
  <c r="AB876" i="1"/>
  <c r="AC876" i="1"/>
  <c r="AD876" i="1"/>
  <c r="AE876" i="1"/>
  <c r="AF876" i="1"/>
  <c r="AG876" i="1"/>
  <c r="U893" i="1"/>
  <c r="V893" i="1"/>
  <c r="W893" i="1"/>
  <c r="X893" i="1"/>
  <c r="Y893" i="1"/>
  <c r="Z893" i="1"/>
  <c r="AA893" i="1"/>
  <c r="AB893" i="1"/>
  <c r="AC893" i="1"/>
  <c r="AD893" i="1"/>
  <c r="AE893" i="1"/>
  <c r="AF893" i="1"/>
  <c r="AG893" i="1"/>
  <c r="U883" i="1"/>
  <c r="V883" i="1"/>
  <c r="W883" i="1"/>
  <c r="X883" i="1"/>
  <c r="Y883" i="1"/>
  <c r="Z883" i="1"/>
  <c r="AA883" i="1"/>
  <c r="AB883" i="1"/>
  <c r="AC883" i="1"/>
  <c r="AD883" i="1"/>
  <c r="AE883" i="1"/>
  <c r="AF883" i="1"/>
  <c r="AG883" i="1"/>
  <c r="V881" i="1"/>
  <c r="W881" i="1"/>
  <c r="Y881" i="1"/>
  <c r="Z881" i="1"/>
  <c r="AA881" i="1"/>
  <c r="AB881" i="1"/>
  <c r="AC881" i="1"/>
  <c r="AD881" i="1"/>
  <c r="AE881" i="1"/>
  <c r="AF881" i="1"/>
  <c r="V857" i="1"/>
  <c r="W841" i="1"/>
  <c r="Y841" i="1"/>
  <c r="Z841" i="1"/>
  <c r="AA841" i="1"/>
  <c r="AB841" i="1"/>
  <c r="AC841" i="1"/>
  <c r="AD841" i="1"/>
  <c r="AE841" i="1"/>
  <c r="AF841" i="1"/>
  <c r="AG841" i="1"/>
  <c r="W836" i="1"/>
  <c r="Y836" i="1"/>
  <c r="Z836" i="1"/>
  <c r="AB836" i="1"/>
  <c r="AC836" i="1"/>
  <c r="AE836" i="1"/>
  <c r="AF836" i="1"/>
  <c r="AG836" i="1"/>
  <c r="U832" i="1"/>
  <c r="W832" i="1"/>
  <c r="X832" i="1"/>
  <c r="Y832" i="1"/>
  <c r="Z832" i="1"/>
  <c r="AA832" i="1"/>
  <c r="AB832" i="1"/>
  <c r="AC832" i="1"/>
  <c r="AD832" i="1"/>
  <c r="AE832" i="1"/>
  <c r="AF832" i="1"/>
  <c r="AG832" i="1"/>
  <c r="V771"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7" i="1"/>
  <c r="V818" i="1"/>
  <c r="V819" i="1"/>
  <c r="V820" i="1"/>
  <c r="V821" i="1"/>
  <c r="V822" i="1"/>
  <c r="V823" i="1"/>
  <c r="V824" i="1"/>
  <c r="V825" i="1"/>
  <c r="V826" i="1"/>
  <c r="V827" i="1"/>
  <c r="V828" i="1"/>
  <c r="V829" i="1"/>
  <c r="V830" i="1"/>
  <c r="V831" i="1"/>
  <c r="V833" i="1"/>
  <c r="V834" i="1"/>
  <c r="V835" i="1"/>
  <c r="V837" i="1"/>
  <c r="V838" i="1"/>
  <c r="V839" i="1"/>
  <c r="V840" i="1"/>
  <c r="V842" i="1"/>
  <c r="V843" i="1"/>
  <c r="V844" i="1"/>
  <c r="V845" i="1"/>
  <c r="V846" i="1"/>
  <c r="V847" i="1"/>
  <c r="V848" i="1"/>
  <c r="V770" i="1"/>
  <c r="U769" i="1"/>
  <c r="W769" i="1"/>
  <c r="X769" i="1"/>
  <c r="Y769" i="1"/>
  <c r="Z769" i="1"/>
  <c r="AA769" i="1"/>
  <c r="AB769" i="1"/>
  <c r="AC769" i="1"/>
  <c r="AD769" i="1"/>
  <c r="AE769" i="1"/>
  <c r="AF769" i="1"/>
  <c r="AG769" i="1"/>
  <c r="U766" i="1"/>
  <c r="V766" i="1"/>
  <c r="W766" i="1"/>
  <c r="X766" i="1"/>
  <c r="Y766" i="1"/>
  <c r="Z766" i="1"/>
  <c r="AA766" i="1"/>
  <c r="AB766" i="1"/>
  <c r="AC766" i="1"/>
  <c r="AD766" i="1"/>
  <c r="AE766" i="1"/>
  <c r="AF766" i="1"/>
  <c r="AG766" i="1"/>
  <c r="U758" i="1"/>
  <c r="W758" i="1"/>
  <c r="X758" i="1"/>
  <c r="Y758" i="1"/>
  <c r="Z758" i="1"/>
  <c r="AA758" i="1"/>
  <c r="AB758" i="1"/>
  <c r="AC758" i="1"/>
  <c r="AD758" i="1"/>
  <c r="AE758" i="1"/>
  <c r="AF758" i="1"/>
  <c r="AG758" i="1"/>
  <c r="W736" i="1"/>
  <c r="Y736" i="1"/>
  <c r="Z736" i="1"/>
  <c r="AB736" i="1"/>
  <c r="AC736" i="1"/>
  <c r="AD736" i="1"/>
  <c r="AE736" i="1"/>
  <c r="AF736" i="1"/>
  <c r="AG736" i="1"/>
  <c r="V733" i="1"/>
  <c r="V735" i="1"/>
  <c r="V737" i="1"/>
  <c r="V738" i="1"/>
  <c r="V739" i="1"/>
  <c r="V740" i="1"/>
  <c r="V741" i="1"/>
  <c r="V742" i="1"/>
  <c r="V743" i="1"/>
  <c r="V744" i="1"/>
  <c r="V745" i="1"/>
  <c r="V746" i="1"/>
  <c r="V747" i="1"/>
  <c r="V748" i="1"/>
  <c r="V749" i="1"/>
  <c r="V750" i="1"/>
  <c r="V751" i="1"/>
  <c r="V752" i="1"/>
  <c r="V753" i="1"/>
  <c r="V754" i="1"/>
  <c r="V755" i="1"/>
  <c r="V756" i="1"/>
  <c r="V757" i="1"/>
  <c r="V759" i="1"/>
  <c r="V760" i="1"/>
  <c r="V761" i="1"/>
  <c r="V762" i="1"/>
  <c r="V763" i="1"/>
  <c r="V764" i="1"/>
  <c r="V765" i="1"/>
  <c r="V723" i="1"/>
  <c r="V724" i="1"/>
  <c r="V725" i="1"/>
  <c r="V726" i="1"/>
  <c r="V727" i="1"/>
  <c r="V728" i="1"/>
  <c r="V729" i="1"/>
  <c r="V730" i="1"/>
  <c r="V731" i="1"/>
  <c r="V722" i="1"/>
  <c r="U717" i="1"/>
  <c r="W717" i="1"/>
  <c r="X717" i="1"/>
  <c r="Y717" i="1"/>
  <c r="Z717" i="1"/>
  <c r="AA717" i="1"/>
  <c r="AB717" i="1"/>
  <c r="AC717" i="1"/>
  <c r="AD717" i="1"/>
  <c r="AE717" i="1"/>
  <c r="AF717" i="1"/>
  <c r="AG717" i="1"/>
  <c r="U714" i="1"/>
  <c r="W714" i="1"/>
  <c r="X714" i="1"/>
  <c r="Y714" i="1"/>
  <c r="Z714" i="1"/>
  <c r="AA714" i="1"/>
  <c r="AB714" i="1"/>
  <c r="AC714" i="1"/>
  <c r="AD714" i="1"/>
  <c r="AE714" i="1"/>
  <c r="AF714" i="1"/>
  <c r="AG714" i="1"/>
  <c r="U711" i="1"/>
  <c r="W711" i="1"/>
  <c r="X711" i="1"/>
  <c r="Y711" i="1"/>
  <c r="Z711" i="1"/>
  <c r="AA711" i="1"/>
  <c r="AB711" i="1"/>
  <c r="AC711" i="1"/>
  <c r="AD711" i="1"/>
  <c r="AE711" i="1"/>
  <c r="AF711" i="1"/>
  <c r="AG711" i="1"/>
  <c r="U708" i="1"/>
  <c r="W708" i="1"/>
  <c r="X708" i="1"/>
  <c r="Y708" i="1"/>
  <c r="Z708" i="1"/>
  <c r="AA708" i="1"/>
  <c r="AB708" i="1"/>
  <c r="AC708" i="1"/>
  <c r="AD708" i="1"/>
  <c r="AE708" i="1"/>
  <c r="AF708" i="1"/>
  <c r="AG708" i="1"/>
  <c r="U705" i="1"/>
  <c r="W705" i="1"/>
  <c r="X705" i="1"/>
  <c r="Y705" i="1"/>
  <c r="Z705" i="1"/>
  <c r="AA705" i="1"/>
  <c r="AB705" i="1"/>
  <c r="AC705" i="1"/>
  <c r="AD705" i="1"/>
  <c r="AE705" i="1"/>
  <c r="AF705" i="1"/>
  <c r="AG705" i="1"/>
  <c r="U702" i="1"/>
  <c r="W702" i="1"/>
  <c r="X702" i="1"/>
  <c r="Y702" i="1"/>
  <c r="Z702" i="1"/>
  <c r="AA702" i="1"/>
  <c r="AB702" i="1"/>
  <c r="AC702" i="1"/>
  <c r="AD702" i="1"/>
  <c r="AE702" i="1"/>
  <c r="AF702" i="1"/>
  <c r="AG702" i="1"/>
  <c r="U693" i="1"/>
  <c r="W693" i="1"/>
  <c r="X693" i="1"/>
  <c r="Y693" i="1"/>
  <c r="Z693" i="1"/>
  <c r="AA693" i="1"/>
  <c r="AB693" i="1"/>
  <c r="AC693" i="1"/>
  <c r="AD693" i="1"/>
  <c r="AE693" i="1"/>
  <c r="AF693" i="1"/>
  <c r="AG693" i="1"/>
  <c r="U696" i="1"/>
  <c r="W696" i="1"/>
  <c r="X696" i="1"/>
  <c r="Y696" i="1"/>
  <c r="Z696" i="1"/>
  <c r="AA696" i="1"/>
  <c r="AB696" i="1"/>
  <c r="AC696" i="1"/>
  <c r="AD696" i="1"/>
  <c r="AE696" i="1"/>
  <c r="AF696" i="1"/>
  <c r="AG696" i="1"/>
  <c r="U699" i="1"/>
  <c r="W699" i="1"/>
  <c r="X699" i="1"/>
  <c r="Y699" i="1"/>
  <c r="Z699" i="1"/>
  <c r="AA699" i="1"/>
  <c r="AB699" i="1"/>
  <c r="AC699" i="1"/>
  <c r="AD699" i="1"/>
  <c r="AE699" i="1"/>
  <c r="AF699" i="1"/>
  <c r="AG699" i="1"/>
  <c r="V676" i="1"/>
  <c r="V677" i="1"/>
  <c r="V679" i="1"/>
  <c r="V680" i="1"/>
  <c r="V682" i="1"/>
  <c r="V683" i="1"/>
  <c r="V685" i="1"/>
  <c r="V686" i="1"/>
  <c r="V688" i="1"/>
  <c r="V689" i="1"/>
  <c r="V691" i="1"/>
  <c r="V692" i="1"/>
  <c r="V694" i="1"/>
  <c r="V695" i="1"/>
  <c r="V697" i="1"/>
  <c r="V698" i="1"/>
  <c r="V700" i="1"/>
  <c r="V701" i="1"/>
  <c r="V703" i="1"/>
  <c r="V704" i="1"/>
  <c r="V706" i="1"/>
  <c r="V707" i="1"/>
  <c r="V709" i="1"/>
  <c r="V710" i="1"/>
  <c r="V712" i="1"/>
  <c r="V713" i="1"/>
  <c r="V715" i="1"/>
  <c r="V716" i="1"/>
  <c r="V718" i="1"/>
  <c r="V719" i="1"/>
  <c r="V674" i="1"/>
  <c r="V673" i="1"/>
  <c r="U643" i="1"/>
  <c r="V643" i="1"/>
  <c r="W643" i="1"/>
  <c r="X643" i="1"/>
  <c r="Y643" i="1"/>
  <c r="Z643" i="1"/>
  <c r="AA643" i="1"/>
  <c r="AB643" i="1"/>
  <c r="AC643" i="1"/>
  <c r="AD643" i="1"/>
  <c r="AE643" i="1"/>
  <c r="AF643" i="1"/>
  <c r="AG643" i="1"/>
  <c r="V641" i="1"/>
  <c r="V633" i="1"/>
  <c r="W567" i="1"/>
  <c r="Y567" i="1"/>
  <c r="Z567" i="1"/>
  <c r="AB567" i="1"/>
  <c r="AC567" i="1"/>
  <c r="AE567" i="1"/>
  <c r="AF567" i="1"/>
  <c r="AG567" i="1"/>
  <c r="V562" i="1"/>
  <c r="V563" i="1"/>
  <c r="V564" i="1"/>
  <c r="V565" i="1"/>
  <c r="V566" i="1"/>
  <c r="V568" i="1"/>
  <c r="V569" i="1"/>
  <c r="V570" i="1"/>
  <c r="V571" i="1"/>
  <c r="V572" i="1"/>
  <c r="V573" i="1"/>
  <c r="V574" i="1"/>
  <c r="V575" i="1"/>
  <c r="V576" i="1"/>
  <c r="V577" i="1"/>
  <c r="V578" i="1"/>
  <c r="V561"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54" i="1"/>
  <c r="V355" i="1"/>
  <c r="V356" i="1"/>
  <c r="V357" i="1"/>
  <c r="V358" i="1"/>
  <c r="V359" i="1"/>
  <c r="V360" i="1"/>
  <c r="V361" i="1"/>
  <c r="V362" i="1"/>
  <c r="V363" i="1"/>
  <c r="V364" i="1"/>
  <c r="V365" i="1"/>
  <c r="V366" i="1"/>
  <c r="V367" i="1"/>
  <c r="V368" i="1"/>
  <c r="V369" i="1"/>
  <c r="V370" i="1"/>
  <c r="V371" i="1"/>
  <c r="V372" i="1"/>
  <c r="V373" i="1"/>
  <c r="V374" i="1"/>
  <c r="V375" i="1"/>
  <c r="V376" i="1"/>
  <c r="V377"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305" i="1"/>
  <c r="R302" i="1"/>
  <c r="S302" i="1"/>
  <c r="T302" i="1"/>
  <c r="U302" i="1"/>
  <c r="W302" i="1"/>
  <c r="X302" i="1"/>
  <c r="Y302" i="1"/>
  <c r="Z302" i="1"/>
  <c r="AA302" i="1"/>
  <c r="AB302" i="1"/>
  <c r="AC302" i="1"/>
  <c r="AD302" i="1"/>
  <c r="AE302" i="1"/>
  <c r="AF302" i="1"/>
  <c r="AG302" i="1"/>
  <c r="V303" i="1"/>
  <c r="V302" i="1"/>
  <c r="V281" i="1"/>
  <c r="V282" i="1"/>
  <c r="V284" i="1"/>
  <c r="V285" i="1"/>
  <c r="V286" i="1"/>
  <c r="V287" i="1"/>
  <c r="V288" i="1"/>
  <c r="V290" i="1"/>
  <c r="V292" i="1"/>
  <c r="V293" i="1"/>
  <c r="V294" i="1"/>
  <c r="V295" i="1"/>
  <c r="V296" i="1"/>
  <c r="V297" i="1"/>
  <c r="V298" i="1"/>
  <c r="V299" i="1"/>
  <c r="V300" i="1"/>
  <c r="V301" i="1"/>
  <c r="V280" i="1"/>
  <c r="V253" i="1"/>
  <c r="V255" i="1"/>
  <c r="V256" i="1"/>
  <c r="V257" i="1"/>
  <c r="V258" i="1"/>
  <c r="V259" i="1"/>
  <c r="V261" i="1"/>
  <c r="V262" i="1"/>
  <c r="V264" i="1"/>
  <c r="V265" i="1"/>
  <c r="V266" i="1"/>
  <c r="V267" i="1"/>
  <c r="V268" i="1"/>
  <c r="V269" i="1"/>
  <c r="V270" i="1"/>
  <c r="V271" i="1"/>
  <c r="V272" i="1"/>
  <c r="V273" i="1"/>
  <c r="V274" i="1"/>
  <c r="V275" i="1"/>
  <c r="V276" i="1"/>
  <c r="V277" i="1"/>
  <c r="V278" i="1"/>
  <c r="V252" i="1"/>
  <c r="V226" i="1"/>
  <c r="V227" i="1"/>
  <c r="V228" i="1"/>
  <c r="V230" i="1"/>
  <c r="V231" i="1"/>
  <c r="V232" i="1"/>
  <c r="V233" i="1"/>
  <c r="V234" i="1"/>
  <c r="V235" i="1"/>
  <c r="V237" i="1"/>
  <c r="V238" i="1"/>
  <c r="V240" i="1"/>
  <c r="V241" i="1"/>
  <c r="V242" i="1"/>
  <c r="V243" i="1"/>
  <c r="V244" i="1"/>
  <c r="V245" i="1"/>
  <c r="V246" i="1"/>
  <c r="V247" i="1"/>
  <c r="V248" i="1"/>
  <c r="V249" i="1"/>
  <c r="V250" i="1"/>
  <c r="V225" i="1"/>
  <c r="V201" i="1"/>
  <c r="V202" i="1"/>
  <c r="V204" i="1"/>
  <c r="V205" i="1"/>
  <c r="V206" i="1"/>
  <c r="V207" i="1"/>
  <c r="V208" i="1"/>
  <c r="V209" i="1"/>
  <c r="V210" i="1"/>
  <c r="V212" i="1"/>
  <c r="V214" i="1"/>
  <c r="V215" i="1"/>
  <c r="V216" i="1"/>
  <c r="V217" i="1"/>
  <c r="V218" i="1"/>
  <c r="V219" i="1"/>
  <c r="V220" i="1"/>
  <c r="V221" i="1"/>
  <c r="V222" i="1"/>
  <c r="V223" i="1"/>
  <c r="V200" i="1"/>
  <c r="V181" i="1"/>
  <c r="V183" i="1"/>
  <c r="V184" i="1"/>
  <c r="V185" i="1"/>
  <c r="V186" i="1"/>
  <c r="V188" i="1"/>
  <c r="V190" i="1"/>
  <c r="V191" i="1"/>
  <c r="V192" i="1"/>
  <c r="V193" i="1"/>
  <c r="V194" i="1"/>
  <c r="V195" i="1"/>
  <c r="V196" i="1"/>
  <c r="V197" i="1"/>
  <c r="V198" i="1"/>
  <c r="V180" i="1"/>
  <c r="V160" i="1"/>
  <c r="V161" i="1"/>
  <c r="V162" i="1"/>
  <c r="V163" i="1"/>
  <c r="V164" i="1"/>
  <c r="V165" i="1"/>
  <c r="V167" i="1"/>
  <c r="V169" i="1"/>
  <c r="V170" i="1"/>
  <c r="V171" i="1"/>
  <c r="V172" i="1"/>
  <c r="V173" i="1"/>
  <c r="V174" i="1"/>
  <c r="V175" i="1"/>
  <c r="V176" i="1"/>
  <c r="V177" i="1"/>
  <c r="V178" i="1"/>
  <c r="V159" i="1"/>
  <c r="V139" i="1"/>
  <c r="V141" i="1"/>
  <c r="V142" i="1"/>
  <c r="V143" i="1"/>
  <c r="V144" i="1"/>
  <c r="V148" i="1"/>
  <c r="V149" i="1"/>
  <c r="V150" i="1"/>
  <c r="V151" i="1"/>
  <c r="V152" i="1"/>
  <c r="V153" i="1"/>
  <c r="V154" i="1"/>
  <c r="V155" i="1"/>
  <c r="V156" i="1"/>
  <c r="V157" i="1"/>
  <c r="V138" i="1"/>
  <c r="V131" i="1"/>
  <c r="V130" i="1"/>
  <c r="W131" i="1"/>
  <c r="W130" i="1"/>
  <c r="X131" i="1"/>
  <c r="X130" i="1"/>
  <c r="Y131" i="1"/>
  <c r="Y130" i="1"/>
  <c r="Z131" i="1"/>
  <c r="Z130" i="1"/>
  <c r="AB131" i="1"/>
  <c r="AB130" i="1"/>
  <c r="AC131" i="1"/>
  <c r="AC130" i="1"/>
  <c r="AD131" i="1"/>
  <c r="AD130" i="1"/>
  <c r="AE131" i="1"/>
  <c r="AE130" i="1"/>
  <c r="AF131" i="1"/>
  <c r="AF130" i="1"/>
  <c r="AG131" i="1"/>
  <c r="AG130" i="1"/>
  <c r="AI130" i="1"/>
  <c r="AJ130" i="1"/>
  <c r="U131" i="1"/>
  <c r="V112" i="1"/>
  <c r="V113" i="1"/>
  <c r="V114" i="1"/>
  <c r="V115" i="1"/>
  <c r="V116" i="1"/>
  <c r="V117" i="1"/>
  <c r="V118" i="1"/>
  <c r="V119" i="1"/>
  <c r="V120" i="1"/>
  <c r="V121" i="1"/>
  <c r="V122" i="1"/>
  <c r="V123" i="1"/>
  <c r="V124" i="1"/>
  <c r="V125" i="1"/>
  <c r="V126" i="1"/>
  <c r="V127" i="1"/>
  <c r="V128" i="1"/>
  <c r="V129" i="1"/>
  <c r="V111" i="1"/>
  <c r="V714" i="1"/>
  <c r="V696" i="1"/>
  <c r="V678" i="1"/>
  <c r="Z897" i="1"/>
  <c r="V717" i="1"/>
  <c r="V699" i="1"/>
  <c r="V681" i="1"/>
  <c r="V693" i="1"/>
  <c r="V675" i="1"/>
  <c r="V1481" i="1"/>
  <c r="V1480" i="1"/>
  <c r="V934" i="1"/>
  <c r="V687" i="1"/>
  <c r="Y1156" i="1"/>
  <c r="V1199" i="1"/>
  <c r="U897" i="1"/>
  <c r="V708" i="1"/>
  <c r="V690" i="1"/>
  <c r="V832" i="1"/>
  <c r="V702" i="1"/>
  <c r="V684" i="1"/>
  <c r="X897" i="1"/>
  <c r="V1317" i="1"/>
  <c r="V841" i="1"/>
  <c r="V836" i="1"/>
  <c r="AC1358" i="1"/>
  <c r="V856" i="1"/>
  <c r="V711" i="1"/>
  <c r="V705" i="1"/>
  <c r="V736" i="1"/>
  <c r="V1031" i="1"/>
  <c r="V721" i="1"/>
  <c r="Z1358" i="1"/>
  <c r="V560" i="1"/>
  <c r="Y1358" i="1"/>
  <c r="V567" i="1"/>
  <c r="V1043" i="1"/>
  <c r="V758" i="1"/>
  <c r="V769" i="1"/>
  <c r="W897" i="1"/>
  <c r="AE136" i="1"/>
  <c r="V672" i="1"/>
  <c r="U1429" i="1"/>
  <c r="U1428" i="1"/>
  <c r="V1429" i="1"/>
  <c r="V1428" i="1"/>
  <c r="U1481" i="1"/>
  <c r="U1480" i="1"/>
  <c r="AB1358" i="1"/>
  <c r="V1358" i="1"/>
  <c r="W1358" i="1"/>
  <c r="AE1358" i="1"/>
  <c r="AF1358" i="1"/>
  <c r="AB1171" i="1"/>
  <c r="AE1171" i="1"/>
  <c r="Y1171" i="1"/>
  <c r="AF1171" i="1"/>
  <c r="V1095" i="1"/>
  <c r="Y1095" i="1"/>
  <c r="Z1156" i="1"/>
  <c r="V1156" i="1"/>
  <c r="AB1156" i="1"/>
  <c r="AG1156" i="1"/>
  <c r="AE1156" i="1"/>
  <c r="AC1156" i="1"/>
  <c r="W1156" i="1"/>
  <c r="AF1156" i="1"/>
  <c r="AC1095" i="1"/>
  <c r="AB1095" i="1"/>
  <c r="AE1095" i="1"/>
  <c r="Z1095" i="1"/>
  <c r="AF1095" i="1"/>
  <c r="W1095" i="1"/>
  <c r="AB1013" i="1"/>
  <c r="AG1013" i="1"/>
  <c r="AE1013" i="1"/>
  <c r="Y1013" i="1"/>
  <c r="AF1013" i="1"/>
  <c r="AF897" i="1"/>
  <c r="AC897" i="1"/>
  <c r="AD897" i="1"/>
  <c r="AB897" i="1"/>
  <c r="AA897" i="1"/>
  <c r="Y897" i="1"/>
  <c r="AE897" i="1"/>
  <c r="V897" i="1"/>
  <c r="Y1170" i="1"/>
  <c r="AE15" i="1"/>
  <c r="V720" i="1"/>
  <c r="AB1170" i="1"/>
  <c r="AE1170" i="1"/>
  <c r="AF1170" i="1"/>
  <c r="Y1012" i="1"/>
  <c r="AE1012" i="1"/>
  <c r="AB1012" i="1"/>
  <c r="AF1012" i="1"/>
  <c r="AE14" i="1"/>
  <c r="AH289" i="1"/>
  <c r="AH287" i="1"/>
  <c r="AH279" i="1"/>
  <c r="AH257" i="1"/>
  <c r="AH251" i="1"/>
  <c r="AH234" i="1"/>
  <c r="AH224" i="1"/>
  <c r="AH207" i="1"/>
  <c r="AH199" i="1"/>
  <c r="AH185" i="1"/>
  <c r="AH179" i="1"/>
  <c r="AH164" i="1"/>
  <c r="AH158" i="1"/>
  <c r="AH145" i="1"/>
  <c r="AH143" i="1"/>
  <c r="AH137" i="1"/>
  <c r="W52"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53" i="1"/>
  <c r="V52"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18" i="1"/>
  <c r="V378" i="1"/>
  <c r="V17" i="1"/>
  <c r="V16" i="1"/>
  <c r="AJ1016" i="1"/>
  <c r="V1016" i="1"/>
  <c r="AJ1233" i="1"/>
  <c r="V1233" i="1"/>
  <c r="V1226" i="1"/>
  <c r="V1224" i="1"/>
  <c r="V1217" i="1"/>
  <c r="AJ1197" i="1"/>
  <c r="AJ1017" i="1"/>
  <c r="V1017" i="1"/>
  <c r="AJ254" i="1"/>
  <c r="AJ182" i="1"/>
  <c r="AJ289" i="1"/>
  <c r="V289" i="1"/>
  <c r="AJ260" i="1"/>
  <c r="V260" i="1"/>
  <c r="AJ236" i="1"/>
  <c r="V236" i="1"/>
  <c r="AJ211" i="1"/>
  <c r="V211" i="1"/>
  <c r="AJ187" i="1"/>
  <c r="V187" i="1"/>
  <c r="AJ166" i="1"/>
  <c r="AJ145" i="1"/>
  <c r="V145" i="1"/>
  <c r="AJ640" i="1"/>
  <c r="V640" i="1"/>
  <c r="AJ639" i="1"/>
  <c r="V639" i="1"/>
  <c r="AJ638" i="1"/>
  <c r="V638" i="1"/>
  <c r="AJ637" i="1"/>
  <c r="V637" i="1"/>
  <c r="AJ636" i="1"/>
  <c r="V636" i="1"/>
  <c r="AJ634" i="1"/>
  <c r="V634" i="1"/>
  <c r="AJ635" i="1"/>
  <c r="V635" i="1"/>
  <c r="V283" i="1"/>
  <c r="AJ1172" i="1"/>
  <c r="V1179" i="1"/>
  <c r="V1172" i="1"/>
  <c r="AJ1190" i="1"/>
  <c r="V1197" i="1"/>
  <c r="V1190" i="1"/>
  <c r="AJ1181" i="1"/>
  <c r="V1188" i="1"/>
  <c r="V1181" i="1"/>
  <c r="V229" i="1"/>
  <c r="V166" i="1"/>
  <c r="V182" i="1"/>
  <c r="V254" i="1"/>
  <c r="V140" i="1"/>
  <c r="V203" i="1"/>
  <c r="AJ1344" i="1"/>
  <c r="AJ642" i="1"/>
  <c r="V642" i="1"/>
  <c r="V632" i="1"/>
  <c r="V631" i="1"/>
  <c r="AJ1028" i="1"/>
  <c r="V1028" i="1"/>
  <c r="V1014" i="1"/>
  <c r="V349" i="1"/>
  <c r="V350" i="1"/>
  <c r="AJ1340" i="1"/>
  <c r="V1344" i="1"/>
  <c r="V1340" i="1"/>
  <c r="V1316" i="1"/>
  <c r="V347" i="1"/>
  <c r="AJ1079" i="1"/>
  <c r="V1079" i="1"/>
  <c r="V353" i="1"/>
  <c r="V352" i="1"/>
  <c r="V351" i="1"/>
  <c r="V1215" i="1"/>
  <c r="V1208" i="1"/>
  <c r="V1171" i="1"/>
  <c r="V1170" i="1"/>
  <c r="V348" i="1"/>
  <c r="V304" i="1"/>
  <c r="AJ304" i="1"/>
  <c r="AA1056" i="1"/>
  <c r="X1056" i="1"/>
  <c r="U1056" i="1"/>
  <c r="AD642" i="1"/>
  <c r="AD578" i="1"/>
  <c r="AD567" i="1"/>
  <c r="AA578" i="1"/>
  <c r="AA567" i="1"/>
  <c r="X578" i="1"/>
  <c r="X567" i="1"/>
  <c r="U578" i="1"/>
  <c r="AD566" i="1"/>
  <c r="AA561" i="1"/>
  <c r="X566" i="1"/>
  <c r="U566" i="1"/>
  <c r="X781" i="1"/>
  <c r="X782" i="1"/>
  <c r="X783" i="1"/>
  <c r="X784" i="1"/>
  <c r="X785" i="1"/>
  <c r="X786" i="1"/>
  <c r="X780" i="1"/>
  <c r="AD1079" i="1"/>
  <c r="AA1079" i="1"/>
  <c r="X1079" i="1"/>
  <c r="AD1058" i="1"/>
  <c r="AA1058" i="1"/>
  <c r="X1058" i="1"/>
  <c r="AA816" i="1"/>
  <c r="AD816" i="1"/>
  <c r="AB816" i="1"/>
  <c r="AC816" i="1"/>
  <c r="X816" i="1"/>
  <c r="AB145" i="1"/>
  <c r="AC145" i="1"/>
  <c r="AA283" i="1"/>
  <c r="AA229" i="1"/>
  <c r="AA224" i="1"/>
  <c r="AA254" i="1"/>
  <c r="AA251" i="1"/>
  <c r="AA203" i="1"/>
  <c r="AA182" i="1"/>
  <c r="AA161" i="1"/>
  <c r="AA140" i="1"/>
  <c r="AB140" i="1"/>
  <c r="AB137" i="1"/>
  <c r="AC140" i="1"/>
  <c r="Y203" i="1"/>
  <c r="Y199" i="1"/>
  <c r="Y136" i="1"/>
  <c r="Y15" i="1"/>
  <c r="Y14" i="1"/>
  <c r="Z203" i="1"/>
  <c r="AB203" i="1"/>
  <c r="AB199" i="1"/>
  <c r="AC203" i="1"/>
  <c r="X1233" i="1"/>
  <c r="X1224" i="1"/>
  <c r="X1215" i="1"/>
  <c r="X1206" i="1"/>
  <c r="X1197" i="1"/>
  <c r="AB136" i="1"/>
  <c r="AB15" i="1"/>
  <c r="AB14" i="1"/>
  <c r="AD283" i="1"/>
  <c r="AA279" i="1"/>
  <c r="AD140" i="1"/>
  <c r="AA137" i="1"/>
  <c r="AD182" i="1"/>
  <c r="AA179" i="1"/>
  <c r="AD254" i="1"/>
  <c r="AD229" i="1"/>
  <c r="AD203" i="1"/>
  <c r="AD161" i="1"/>
  <c r="AJ1055" i="1"/>
  <c r="AJ291" i="1"/>
  <c r="AJ263" i="1"/>
  <c r="AJ239" i="1"/>
  <c r="AJ213" i="1"/>
  <c r="AJ189" i="1"/>
  <c r="AJ168" i="1"/>
  <c r="AJ147" i="1"/>
  <c r="V147" i="1"/>
  <c r="V1056" i="1"/>
  <c r="V816" i="1"/>
  <c r="V772" i="1"/>
  <c r="V768" i="1"/>
  <c r="V1058" i="1"/>
  <c r="AJ1050" i="1"/>
  <c r="V1055" i="1"/>
  <c r="V1050" i="1"/>
  <c r="V1013" i="1"/>
  <c r="V1012" i="1"/>
  <c r="V168" i="1"/>
  <c r="V158" i="1"/>
  <c r="AJ158" i="1"/>
  <c r="V213" i="1"/>
  <c r="V199" i="1"/>
  <c r="AJ199" i="1"/>
  <c r="V239" i="1"/>
  <c r="V224" i="1"/>
  <c r="AJ224" i="1"/>
  <c r="V263" i="1"/>
  <c r="V251" i="1"/>
  <c r="AJ251" i="1"/>
  <c r="V189" i="1"/>
  <c r="V179" i="1"/>
  <c r="AJ179" i="1"/>
  <c r="V291" i="1"/>
  <c r="V279" i="1"/>
  <c r="AJ279" i="1"/>
  <c r="A553" i="1"/>
  <c r="A554" i="1"/>
  <c r="A555" i="1"/>
  <c r="A556" i="1"/>
  <c r="A557" i="1"/>
  <c r="A558" i="1"/>
  <c r="A559" i="1"/>
  <c r="A634" i="1"/>
  <c r="AJ146" i="1"/>
  <c r="V146" i="1"/>
  <c r="V137" i="1"/>
  <c r="V136" i="1"/>
  <c r="V15" i="1"/>
  <c r="V14" i="1"/>
  <c r="K14" i="1"/>
  <c r="AJ137" i="1"/>
  <c r="AI985" i="1"/>
  <c r="AI984" i="1"/>
  <c r="AJ985" i="1"/>
  <c r="AJ984" i="1"/>
  <c r="AI1490" i="1"/>
  <c r="AJ1490" i="1"/>
  <c r="AG1490" i="1"/>
  <c r="AI1482" i="1"/>
  <c r="AJ1482" i="1"/>
  <c r="AG1482" i="1"/>
  <c r="AK1481" i="1"/>
  <c r="AL1481" i="1"/>
  <c r="AM1481" i="1"/>
  <c r="AI1472" i="1"/>
  <c r="AJ1472" i="1"/>
  <c r="AI1476" i="1"/>
  <c r="AJ1476" i="1"/>
  <c r="AK1476" i="1"/>
  <c r="AL1476" i="1"/>
  <c r="AM1476" i="1"/>
  <c r="AI1464" i="1"/>
  <c r="AJ1464" i="1"/>
  <c r="AI1456" i="1"/>
  <c r="AJ1456" i="1"/>
  <c r="AI1446" i="1"/>
  <c r="AJ1446" i="1"/>
  <c r="AI1438" i="1"/>
  <c r="AJ1438" i="1"/>
  <c r="AI1434" i="1"/>
  <c r="AJ1434" i="1"/>
  <c r="AI1430" i="1"/>
  <c r="AJ1430" i="1"/>
  <c r="AG1430" i="1"/>
  <c r="AG1434" i="1"/>
  <c r="AG1438" i="1"/>
  <c r="AG1446" i="1"/>
  <c r="AG1456" i="1"/>
  <c r="AG1464" i="1"/>
  <c r="AG1472" i="1"/>
  <c r="AG1476" i="1"/>
  <c r="AH1430" i="1"/>
  <c r="AH1434" i="1"/>
  <c r="AH1438" i="1"/>
  <c r="AH1446" i="1"/>
  <c r="AH1456" i="1"/>
  <c r="AH1464" i="1"/>
  <c r="AH1472" i="1"/>
  <c r="AH1476" i="1"/>
  <c r="AH1482" i="1"/>
  <c r="AI1368" i="1"/>
  <c r="AJ1368" i="1"/>
  <c r="AG1370" i="1"/>
  <c r="AG1372" i="1"/>
  <c r="AG1373" i="1"/>
  <c r="AG1376" i="1"/>
  <c r="AG1379" i="1"/>
  <c r="AG1381" i="1"/>
  <c r="AG1382" i="1"/>
  <c r="AG1385" i="1"/>
  <c r="AG1388" i="1"/>
  <c r="AG1386" i="1"/>
  <c r="AG1390" i="1"/>
  <c r="AG1391" i="1"/>
  <c r="AG1394" i="1"/>
  <c r="AG1397" i="1"/>
  <c r="AG1399" i="1"/>
  <c r="AG1400" i="1"/>
  <c r="AG1403" i="1"/>
  <c r="AG1406" i="1"/>
  <c r="AG1408" i="1"/>
  <c r="AG1409" i="1"/>
  <c r="AG1412" i="1"/>
  <c r="AG1415" i="1"/>
  <c r="AG1413" i="1"/>
  <c r="AG1417" i="1"/>
  <c r="AG1418" i="1"/>
  <c r="AG1421" i="1"/>
  <c r="AG1425" i="1"/>
  <c r="AG1422" i="1"/>
  <c r="AI1359" i="1"/>
  <c r="AJ1359" i="1"/>
  <c r="AK1358" i="1"/>
  <c r="AL1358" i="1"/>
  <c r="AM1358" i="1"/>
  <c r="AI1317" i="1"/>
  <c r="AI1316" i="1"/>
  <c r="AJ1317" i="1"/>
  <c r="AJ1316" i="1"/>
  <c r="AG1285" i="1"/>
  <c r="AG1290" i="1"/>
  <c r="AG1296" i="1"/>
  <c r="AG1301" i="1"/>
  <c r="AG1306" i="1"/>
  <c r="AG1311" i="1"/>
  <c r="AJ1235" i="1"/>
  <c r="AJ1226" i="1"/>
  <c r="AJ1217" i="1"/>
  <c r="AJ1208" i="1"/>
  <c r="AJ1199" i="1"/>
  <c r="AK1199" i="1"/>
  <c r="AL1199" i="1"/>
  <c r="AM1199" i="1"/>
  <c r="AI1190" i="1"/>
  <c r="AI1172" i="1"/>
  <c r="AI1167" i="1"/>
  <c r="AJ1167" i="1"/>
  <c r="AI1162" i="1"/>
  <c r="AJ1162" i="1"/>
  <c r="AK1162" i="1"/>
  <c r="AL1162" i="1"/>
  <c r="AM1162" i="1"/>
  <c r="AI1160" i="1"/>
  <c r="AJ1160" i="1"/>
  <c r="AI1157" i="1"/>
  <c r="AJ1157" i="1"/>
  <c r="AI1142" i="1"/>
  <c r="AJ1142" i="1"/>
  <c r="AI1139" i="1"/>
  <c r="AJ1139" i="1"/>
  <c r="AI1122" i="1"/>
  <c r="AJ1122" i="1"/>
  <c r="AG1118" i="1"/>
  <c r="AI1118" i="1"/>
  <c r="AJ1118" i="1"/>
  <c r="AI1115" i="1"/>
  <c r="AJ1115" i="1"/>
  <c r="AG1115" i="1"/>
  <c r="AI1096" i="1"/>
  <c r="AJ1096" i="1"/>
  <c r="AK1050" i="1"/>
  <c r="AL1050" i="1"/>
  <c r="AM1050" i="1"/>
  <c r="AI1048" i="1"/>
  <c r="AJ1048" i="1"/>
  <c r="AI1046" i="1"/>
  <c r="AJ1046" i="1"/>
  <c r="AI1043" i="1"/>
  <c r="AJ1043" i="1"/>
  <c r="AI1014" i="1"/>
  <c r="AJ1014" i="1"/>
  <c r="AG986" i="1"/>
  <c r="AG993" i="1"/>
  <c r="AG1001" i="1"/>
  <c r="AG1005" i="1"/>
  <c r="AG985" i="1"/>
  <c r="AG984" i="1"/>
  <c r="AG962" i="1"/>
  <c r="AG934" i="1"/>
  <c r="AI935" i="1"/>
  <c r="AI934" i="1"/>
  <c r="AJ935" i="1"/>
  <c r="AJ934" i="1"/>
  <c r="AI931" i="1"/>
  <c r="AI930" i="1"/>
  <c r="AJ931" i="1"/>
  <c r="AJ930" i="1"/>
  <c r="AK931" i="1"/>
  <c r="AL931" i="1"/>
  <c r="AM931" i="1"/>
  <c r="AI924" i="1"/>
  <c r="AJ924" i="1"/>
  <c r="AI907" i="1"/>
  <c r="AJ907" i="1"/>
  <c r="AI898" i="1"/>
  <c r="AJ898" i="1"/>
  <c r="AI893" i="1"/>
  <c r="AJ893" i="1"/>
  <c r="AG882" i="1"/>
  <c r="AG881" i="1"/>
  <c r="AI883" i="1"/>
  <c r="AJ883" i="1"/>
  <c r="AI881" i="1"/>
  <c r="AJ881" i="1"/>
  <c r="AI876" i="1"/>
  <c r="AJ876" i="1"/>
  <c r="AG857" i="1"/>
  <c r="AI857" i="1"/>
  <c r="AJ857" i="1"/>
  <c r="AK856" i="1"/>
  <c r="AL856" i="1"/>
  <c r="AM856" i="1"/>
  <c r="AI841" i="1"/>
  <c r="AJ841" i="1"/>
  <c r="AI836" i="1"/>
  <c r="AJ836" i="1"/>
  <c r="AI758" i="1"/>
  <c r="AJ758" i="1"/>
  <c r="AI772" i="1"/>
  <c r="AJ772" i="1"/>
  <c r="AI832" i="1"/>
  <c r="AJ832" i="1"/>
  <c r="AK832" i="1"/>
  <c r="AL832" i="1"/>
  <c r="AM832" i="1"/>
  <c r="AG772" i="1"/>
  <c r="AG1404" i="1"/>
  <c r="AG1377" i="1"/>
  <c r="AG1395" i="1"/>
  <c r="AG1368" i="1"/>
  <c r="AG1429" i="1"/>
  <c r="AG1428" i="1"/>
  <c r="AG1171" i="1"/>
  <c r="AG1095" i="1"/>
  <c r="AG1012" i="1"/>
  <c r="AG897" i="1"/>
  <c r="AI1481" i="1"/>
  <c r="AI1480" i="1"/>
  <c r="AJ768" i="1"/>
  <c r="AJ897" i="1"/>
  <c r="AI897" i="1"/>
  <c r="AH1429" i="1"/>
  <c r="AJ1481" i="1"/>
  <c r="AJ1480" i="1"/>
  <c r="AG1481" i="1"/>
  <c r="AG1480" i="1"/>
  <c r="AI1429" i="1"/>
  <c r="AI1428" i="1"/>
  <c r="AJ1429" i="1"/>
  <c r="AJ1428" i="1"/>
  <c r="AJ1358" i="1"/>
  <c r="AI1358" i="1"/>
  <c r="AI1171" i="1"/>
  <c r="AJ1171" i="1"/>
  <c r="AJ1156" i="1"/>
  <c r="AI1156" i="1"/>
  <c r="AJ1095" i="1"/>
  <c r="AI1095" i="1"/>
  <c r="AJ1013" i="1"/>
  <c r="AI1013" i="1"/>
  <c r="AJ856" i="1"/>
  <c r="AI856" i="1"/>
  <c r="AG856" i="1"/>
  <c r="AI768" i="1"/>
  <c r="AG768" i="1"/>
  <c r="AG1358" i="1"/>
  <c r="AG1170" i="1"/>
  <c r="AJ1170" i="1"/>
  <c r="AI1170" i="1"/>
  <c r="AJ1012" i="1"/>
  <c r="AI1012" i="1"/>
  <c r="AI732" i="1"/>
  <c r="AJ732" i="1"/>
  <c r="AI734" i="1"/>
  <c r="AJ734" i="1"/>
  <c r="AI736" i="1"/>
  <c r="AJ736" i="1"/>
  <c r="AG734" i="1"/>
  <c r="AG732" i="1"/>
  <c r="AG721" i="1"/>
  <c r="AI721" i="1"/>
  <c r="AJ721" i="1"/>
  <c r="AG673" i="1"/>
  <c r="AG672" i="1"/>
  <c r="AG675" i="1"/>
  <c r="AG679" i="1"/>
  <c r="AG678" i="1"/>
  <c r="AG682" i="1"/>
  <c r="AG681" i="1"/>
  <c r="AG685" i="1"/>
  <c r="AG684" i="1"/>
  <c r="AG688" i="1"/>
  <c r="AG687" i="1"/>
  <c r="AG691" i="1"/>
  <c r="AG690" i="1"/>
  <c r="AI643" i="1"/>
  <c r="AJ643" i="1"/>
  <c r="AI632" i="1"/>
  <c r="AJ632" i="1"/>
  <c r="AG632" i="1"/>
  <c r="AG616" i="1"/>
  <c r="AG621" i="1"/>
  <c r="AG626" i="1"/>
  <c r="AG611" i="1"/>
  <c r="AG605" i="1"/>
  <c r="AG599" i="1"/>
  <c r="AI599" i="1"/>
  <c r="AJ599" i="1"/>
  <c r="AI593" i="1"/>
  <c r="AJ593" i="1"/>
  <c r="AG593" i="1"/>
  <c r="AI587" i="1"/>
  <c r="AJ587" i="1"/>
  <c r="AG587" i="1"/>
  <c r="AI579" i="1"/>
  <c r="AJ579" i="1"/>
  <c r="AI560" i="1"/>
  <c r="AJ560" i="1"/>
  <c r="AG560" i="1"/>
  <c r="AI567" i="1"/>
  <c r="AJ567" i="1"/>
  <c r="AJ631" i="1"/>
  <c r="AI631" i="1"/>
  <c r="AI720" i="1"/>
  <c r="AJ720" i="1"/>
  <c r="AG720" i="1"/>
  <c r="AG631" i="1"/>
  <c r="AI302" i="1"/>
  <c r="AJ302" i="1"/>
  <c r="AK137" i="1"/>
  <c r="AL137" i="1"/>
  <c r="AM137" i="1"/>
  <c r="AI110" i="1"/>
  <c r="AJ110" i="1"/>
  <c r="AG110" i="1"/>
  <c r="AG52" i="1"/>
  <c r="AI52" i="1"/>
  <c r="AI17" i="1"/>
  <c r="AG17" i="1"/>
  <c r="AG16" i="1"/>
  <c r="AG136" i="1"/>
  <c r="AI136" i="1"/>
  <c r="AJ16" i="1"/>
  <c r="AI16" i="1"/>
  <c r="AJ136" i="1"/>
  <c r="AJ15" i="1"/>
  <c r="AJ14" i="1"/>
  <c r="AI15" i="1"/>
  <c r="AI14" i="1"/>
  <c r="AG15" i="1"/>
  <c r="AG14" i="1"/>
  <c r="AW1508" i="1"/>
  <c r="A1497" i="1"/>
  <c r="A1496" i="1"/>
  <c r="A1495" i="1"/>
  <c r="A1494" i="1"/>
  <c r="A1493" i="1"/>
  <c r="A1492" i="1"/>
  <c r="A1491" i="1"/>
  <c r="AH1490" i="1"/>
  <c r="AH1481" i="1"/>
  <c r="AH1480" i="1"/>
  <c r="R1490" i="1"/>
  <c r="A1490" i="1"/>
  <c r="A1489" i="1"/>
  <c r="A1488" i="1"/>
  <c r="A1487" i="1"/>
  <c r="A1486" i="1"/>
  <c r="A1485" i="1"/>
  <c r="A1484" i="1"/>
  <c r="A1483" i="1"/>
  <c r="AD1482" i="1"/>
  <c r="AD1481" i="1"/>
  <c r="AD1480" i="1"/>
  <c r="AC1482" i="1"/>
  <c r="AC1481" i="1"/>
  <c r="AA1482" i="1"/>
  <c r="AA1481" i="1"/>
  <c r="AA1480" i="1"/>
  <c r="Z1482" i="1"/>
  <c r="Z1481" i="1"/>
  <c r="Z1480" i="1"/>
  <c r="X1482" i="1"/>
  <c r="X1481" i="1"/>
  <c r="X1480" i="1"/>
  <c r="W1482" i="1"/>
  <c r="W1481" i="1"/>
  <c r="W1480" i="1"/>
  <c r="T1482" i="1"/>
  <c r="T1481" i="1"/>
  <c r="T1480" i="1"/>
  <c r="R1482" i="1"/>
  <c r="A1482" i="1"/>
  <c r="A1481" i="1"/>
  <c r="AC1480"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H1425" i="1"/>
  <c r="AD1425" i="1"/>
  <c r="AD1422" i="1"/>
  <c r="A1425" i="1"/>
  <c r="A1424" i="1"/>
  <c r="A1423" i="1"/>
  <c r="A1422" i="1"/>
  <c r="AH1421" i="1"/>
  <c r="AD1421" i="1"/>
  <c r="A1421" i="1"/>
  <c r="AD1420" i="1"/>
  <c r="AA1420" i="1"/>
  <c r="X1420" i="1"/>
  <c r="U1420" i="1"/>
  <c r="A1420" i="1"/>
  <c r="AD1419" i="1"/>
  <c r="AA1419" i="1"/>
  <c r="X1419" i="1"/>
  <c r="U1419" i="1"/>
  <c r="A1419" i="1"/>
  <c r="AH1418" i="1"/>
  <c r="U1418" i="1"/>
  <c r="R1418" i="1"/>
  <c r="A1418" i="1"/>
  <c r="AH1417" i="1"/>
  <c r="A1417" i="1"/>
  <c r="AD1416" i="1"/>
  <c r="AA1416" i="1"/>
  <c r="X1416" i="1"/>
  <c r="U1416" i="1"/>
  <c r="A1416" i="1"/>
  <c r="AH1415" i="1"/>
  <c r="A1415" i="1"/>
  <c r="AD1414" i="1"/>
  <c r="AA1414" i="1"/>
  <c r="X1414" i="1"/>
  <c r="U1414" i="1"/>
  <c r="A1414" i="1"/>
  <c r="A1413" i="1"/>
  <c r="AH1412" i="1"/>
  <c r="X1412" i="1"/>
  <c r="A1412" i="1"/>
  <c r="AD1411" i="1"/>
  <c r="AA1411" i="1"/>
  <c r="X1411" i="1"/>
  <c r="U1411" i="1"/>
  <c r="A1411" i="1"/>
  <c r="AD1410" i="1"/>
  <c r="AA1410" i="1"/>
  <c r="X1410" i="1"/>
  <c r="U1410" i="1"/>
  <c r="A1410" i="1"/>
  <c r="AH1409" i="1"/>
  <c r="AA1409" i="1"/>
  <c r="A1409" i="1"/>
  <c r="AH1408" i="1"/>
  <c r="X1408" i="1"/>
  <c r="A1408" i="1"/>
  <c r="AD1407" i="1"/>
  <c r="AA1407" i="1"/>
  <c r="X1407" i="1"/>
  <c r="U1407" i="1"/>
  <c r="A1407" i="1"/>
  <c r="AH1406" i="1"/>
  <c r="A1406" i="1"/>
  <c r="AD1405" i="1"/>
  <c r="AA1405" i="1"/>
  <c r="X1405" i="1"/>
  <c r="U1405" i="1"/>
  <c r="A1405" i="1"/>
  <c r="A1404" i="1"/>
  <c r="AH1403" i="1"/>
  <c r="AD1403" i="1"/>
  <c r="A1403" i="1"/>
  <c r="AD1402" i="1"/>
  <c r="AA1402" i="1"/>
  <c r="X1402" i="1"/>
  <c r="U1402" i="1"/>
  <c r="A1402" i="1"/>
  <c r="AD1401" i="1"/>
  <c r="AA1401" i="1"/>
  <c r="X1401" i="1"/>
  <c r="U1401" i="1"/>
  <c r="A1401" i="1"/>
  <c r="AH1400" i="1"/>
  <c r="U1400" i="1"/>
  <c r="R1400" i="1"/>
  <c r="A1400" i="1"/>
  <c r="AH1399" i="1"/>
  <c r="AA1399" i="1"/>
  <c r="A1399" i="1"/>
  <c r="AD1398" i="1"/>
  <c r="AA1398" i="1"/>
  <c r="X1398" i="1"/>
  <c r="U1398" i="1"/>
  <c r="A1398" i="1"/>
  <c r="AH1397" i="1"/>
  <c r="A1397" i="1"/>
  <c r="AD1396" i="1"/>
  <c r="AA1396" i="1"/>
  <c r="X1396" i="1"/>
  <c r="U1396" i="1"/>
  <c r="A1396" i="1"/>
  <c r="A1395" i="1"/>
  <c r="AH1394" i="1"/>
  <c r="AD1394" i="1"/>
  <c r="A1394" i="1"/>
  <c r="AD1393" i="1"/>
  <c r="AA1393" i="1"/>
  <c r="X1393" i="1"/>
  <c r="U1393" i="1"/>
  <c r="A1393" i="1"/>
  <c r="AD1392" i="1"/>
  <c r="AA1392" i="1"/>
  <c r="X1392" i="1"/>
  <c r="U1392" i="1"/>
  <c r="A1392" i="1"/>
  <c r="AH1391" i="1"/>
  <c r="AA1391" i="1"/>
  <c r="R1391" i="1"/>
  <c r="A1391" i="1"/>
  <c r="AH1390" i="1"/>
  <c r="X1390" i="1"/>
  <c r="A1390" i="1"/>
  <c r="AD1389" i="1"/>
  <c r="AA1389" i="1"/>
  <c r="X1389" i="1"/>
  <c r="U1389" i="1"/>
  <c r="A1389" i="1"/>
  <c r="AH1388" i="1"/>
  <c r="A1388" i="1"/>
  <c r="AD1387" i="1"/>
  <c r="AA1387" i="1"/>
  <c r="X1387" i="1"/>
  <c r="U1387" i="1"/>
  <c r="A1387" i="1"/>
  <c r="A1386" i="1"/>
  <c r="AH1385" i="1"/>
  <c r="AA1385" i="1"/>
  <c r="A1385" i="1"/>
  <c r="AD1384" i="1"/>
  <c r="AA1384" i="1"/>
  <c r="X1384" i="1"/>
  <c r="U1384" i="1"/>
  <c r="A1384" i="1"/>
  <c r="AD1383" i="1"/>
  <c r="AA1383" i="1"/>
  <c r="X1383" i="1"/>
  <c r="U1383" i="1"/>
  <c r="A1383" i="1"/>
  <c r="AH1382" i="1"/>
  <c r="U1382" i="1"/>
  <c r="R1382" i="1"/>
  <c r="A1382" i="1"/>
  <c r="AH1381" i="1"/>
  <c r="X1381" i="1"/>
  <c r="A1381" i="1"/>
  <c r="AD1380" i="1"/>
  <c r="AA1380" i="1"/>
  <c r="X1380" i="1"/>
  <c r="U1380" i="1"/>
  <c r="A1380" i="1"/>
  <c r="AH1379" i="1"/>
  <c r="A1379" i="1"/>
  <c r="AD1378" i="1"/>
  <c r="AA1378" i="1"/>
  <c r="X1378" i="1"/>
  <c r="U1378" i="1"/>
  <c r="A1378" i="1"/>
  <c r="A1377" i="1"/>
  <c r="AH1376" i="1"/>
  <c r="AD1376" i="1"/>
  <c r="A1376" i="1"/>
  <c r="AD1375" i="1"/>
  <c r="AA1375" i="1"/>
  <c r="X1375" i="1"/>
  <c r="U1375" i="1"/>
  <c r="A1375" i="1"/>
  <c r="AD1374" i="1"/>
  <c r="AA1374" i="1"/>
  <c r="X1374" i="1"/>
  <c r="U1374" i="1"/>
  <c r="A1374" i="1"/>
  <c r="AH1373" i="1"/>
  <c r="AA1373" i="1"/>
  <c r="A1373" i="1"/>
  <c r="AH1372" i="1"/>
  <c r="X1372" i="1"/>
  <c r="A1372" i="1"/>
  <c r="AD1371" i="1"/>
  <c r="AA1371" i="1"/>
  <c r="X1371" i="1"/>
  <c r="U1371" i="1"/>
  <c r="A1371" i="1"/>
  <c r="AH1370" i="1"/>
  <c r="A1370" i="1"/>
  <c r="AD1369" i="1"/>
  <c r="AA1369" i="1"/>
  <c r="X1369" i="1"/>
  <c r="U1369" i="1"/>
  <c r="A1369" i="1"/>
  <c r="A1368" i="1"/>
  <c r="AH1367" i="1"/>
  <c r="AD1367" i="1"/>
  <c r="A1367" i="1"/>
  <c r="AD1366" i="1"/>
  <c r="AA1366" i="1"/>
  <c r="X1366" i="1"/>
  <c r="U1366" i="1"/>
  <c r="A1366" i="1"/>
  <c r="AD1365" i="1"/>
  <c r="AA1365" i="1"/>
  <c r="X1365" i="1"/>
  <c r="U1365" i="1"/>
  <c r="A1365" i="1"/>
  <c r="AH1364" i="1"/>
  <c r="U1364" i="1"/>
  <c r="R1364" i="1"/>
  <c r="A1364" i="1"/>
  <c r="AH1363" i="1"/>
  <c r="X1363" i="1"/>
  <c r="A1363" i="1"/>
  <c r="AD1362" i="1"/>
  <c r="AA1362" i="1"/>
  <c r="X1362" i="1"/>
  <c r="U1362" i="1"/>
  <c r="A1362" i="1"/>
  <c r="AH1361" i="1"/>
  <c r="A1361" i="1"/>
  <c r="U1360" i="1"/>
  <c r="A1360" i="1"/>
  <c r="A1359" i="1"/>
  <c r="A1358" i="1"/>
  <c r="A1357" i="1"/>
  <c r="A1356" i="1"/>
  <c r="A1355" i="1"/>
  <c r="A1354" i="1"/>
  <c r="A1353" i="1"/>
  <c r="A1352" i="1"/>
  <c r="A1351" i="1"/>
  <c r="A1350" i="1"/>
  <c r="A1349" i="1"/>
  <c r="A1348" i="1"/>
  <c r="A1347" i="1"/>
  <c r="A1346" i="1"/>
  <c r="A1345" i="1"/>
  <c r="X1344" i="1"/>
  <c r="U1344" i="1"/>
  <c r="U1340" i="1"/>
  <c r="U1316" i="1"/>
  <c r="A1344" i="1"/>
  <c r="A1343" i="1"/>
  <c r="A1342" i="1"/>
  <c r="A1341" i="1"/>
  <c r="AH1340" i="1"/>
  <c r="AD1316" i="1"/>
  <c r="AC1316" i="1"/>
  <c r="AA1316" i="1"/>
  <c r="Z1316" i="1"/>
  <c r="W1316"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H1317" i="1"/>
  <c r="A1317" i="1"/>
  <c r="A1316" i="1"/>
  <c r="A1315" i="1"/>
  <c r="A1314" i="1"/>
  <c r="A1313" i="1"/>
  <c r="A1312" i="1"/>
  <c r="AH1311" i="1"/>
  <c r="A1311" i="1"/>
  <c r="A1310" i="1"/>
  <c r="A1309" i="1"/>
  <c r="A1308" i="1"/>
  <c r="A1307" i="1"/>
  <c r="AH1306" i="1"/>
  <c r="A1306" i="1"/>
  <c r="A1305" i="1"/>
  <c r="A1304" i="1"/>
  <c r="A1303" i="1"/>
  <c r="A1302" i="1"/>
  <c r="AH1301" i="1"/>
  <c r="A1301" i="1"/>
  <c r="A1300" i="1"/>
  <c r="A1299" i="1"/>
  <c r="A1298" i="1"/>
  <c r="A1297" i="1"/>
  <c r="AH1296" i="1"/>
  <c r="A1296" i="1"/>
  <c r="A1295" i="1"/>
  <c r="A1294" i="1"/>
  <c r="A1293" i="1"/>
  <c r="A1292" i="1"/>
  <c r="A1291" i="1"/>
  <c r="AH1290" i="1"/>
  <c r="A1290" i="1"/>
  <c r="A1289" i="1"/>
  <c r="A1288" i="1"/>
  <c r="A1287" i="1"/>
  <c r="A1286" i="1"/>
  <c r="AH1285"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Q1236" i="1"/>
  <c r="A1236" i="1"/>
  <c r="A1235" i="1"/>
  <c r="U1234" i="1"/>
  <c r="A1234" i="1"/>
  <c r="AC1233" i="1"/>
  <c r="Z1233" i="1"/>
  <c r="W1233" i="1"/>
  <c r="T1233" i="1"/>
  <c r="A1233" i="1"/>
  <c r="AC1232" i="1"/>
  <c r="A1232" i="1"/>
  <c r="AD1231" i="1"/>
  <c r="A1231" i="1"/>
  <c r="AA1230" i="1"/>
  <c r="Z1230" i="1"/>
  <c r="U1230" i="1"/>
  <c r="T1230" i="1"/>
  <c r="A1230" i="1"/>
  <c r="U1229" i="1"/>
  <c r="A1229" i="1"/>
  <c r="AA1228" i="1"/>
  <c r="X1228" i="1"/>
  <c r="R1228" i="1"/>
  <c r="Z1228" i="1"/>
  <c r="A1228" i="1"/>
  <c r="U1227" i="1"/>
  <c r="A1227" i="1"/>
  <c r="A1226" i="1"/>
  <c r="U1225" i="1"/>
  <c r="A1225" i="1"/>
  <c r="AC1224" i="1"/>
  <c r="Z1224" i="1"/>
  <c r="W1224" i="1"/>
  <c r="T1224" i="1"/>
  <c r="A1224" i="1"/>
  <c r="AD1223" i="1"/>
  <c r="AC1223" i="1"/>
  <c r="A1223" i="1"/>
  <c r="W1222" i="1"/>
  <c r="A1222" i="1"/>
  <c r="AA1221" i="1"/>
  <c r="Z1221" i="1"/>
  <c r="U1221" i="1"/>
  <c r="T1221" i="1"/>
  <c r="A1221" i="1"/>
  <c r="U1220" i="1"/>
  <c r="A1220" i="1"/>
  <c r="AA1219" i="1"/>
  <c r="X1219" i="1"/>
  <c r="R1219" i="1"/>
  <c r="Z1219" i="1"/>
  <c r="A1219" i="1"/>
  <c r="U1218" i="1"/>
  <c r="A1218" i="1"/>
  <c r="A1217" i="1"/>
  <c r="U1216" i="1"/>
  <c r="A1216" i="1"/>
  <c r="Z1215" i="1"/>
  <c r="T1215" i="1"/>
  <c r="A1215" i="1"/>
  <c r="AD1214" i="1"/>
  <c r="A1214" i="1"/>
  <c r="X1213" i="1"/>
  <c r="A1213" i="1"/>
  <c r="AA1212" i="1"/>
  <c r="Z1212" i="1"/>
  <c r="U1212" i="1"/>
  <c r="T1212" i="1"/>
  <c r="A1212" i="1"/>
  <c r="X1211" i="1"/>
  <c r="A1211" i="1"/>
  <c r="AA1210" i="1"/>
  <c r="X1210" i="1"/>
  <c r="R1210" i="1"/>
  <c r="Z1210" i="1"/>
  <c r="A1210" i="1"/>
  <c r="U1209" i="1"/>
  <c r="A1209" i="1"/>
  <c r="A1208" i="1"/>
  <c r="U1207" i="1"/>
  <c r="A1207" i="1"/>
  <c r="AC1206" i="1"/>
  <c r="Z1206" i="1"/>
  <c r="W1206" i="1"/>
  <c r="T1206" i="1"/>
  <c r="A1206" i="1"/>
  <c r="AC1205" i="1"/>
  <c r="A1205" i="1"/>
  <c r="AD1204" i="1"/>
  <c r="A1204" i="1"/>
  <c r="AA1203" i="1"/>
  <c r="Z1203" i="1"/>
  <c r="U1203" i="1"/>
  <c r="T1203" i="1"/>
  <c r="A1203" i="1"/>
  <c r="X1202" i="1"/>
  <c r="Z1202" i="1"/>
  <c r="W1202" i="1"/>
  <c r="T1202" i="1"/>
  <c r="A1202" i="1"/>
  <c r="AA1201" i="1"/>
  <c r="X1201" i="1"/>
  <c r="R1201" i="1"/>
  <c r="W1201" i="1"/>
  <c r="A1201" i="1"/>
  <c r="U1200" i="1"/>
  <c r="A1200" i="1"/>
  <c r="A1199" i="1"/>
  <c r="U1198" i="1"/>
  <c r="A1198" i="1"/>
  <c r="AC1197" i="1"/>
  <c r="Z1197" i="1"/>
  <c r="W1197" i="1"/>
  <c r="T1197" i="1"/>
  <c r="A1197" i="1"/>
  <c r="A1196" i="1"/>
  <c r="AC1195" i="1"/>
  <c r="A1195" i="1"/>
  <c r="AA1194" i="1"/>
  <c r="Z1194" i="1"/>
  <c r="U1194" i="1"/>
  <c r="T1194" i="1"/>
  <c r="A1194" i="1"/>
  <c r="U1193" i="1"/>
  <c r="A1193" i="1"/>
  <c r="AA1192" i="1"/>
  <c r="X1192" i="1"/>
  <c r="R1192" i="1"/>
  <c r="Z1192" i="1"/>
  <c r="A1192" i="1"/>
  <c r="U1191" i="1"/>
  <c r="A1191" i="1"/>
  <c r="A1190" i="1"/>
  <c r="A1189" i="1"/>
  <c r="AC1188" i="1"/>
  <c r="Z1188" i="1"/>
  <c r="W1188" i="1"/>
  <c r="T1188" i="1"/>
  <c r="A1188" i="1"/>
  <c r="AC1187" i="1"/>
  <c r="A1187" i="1"/>
  <c r="W1186" i="1"/>
  <c r="A1186" i="1"/>
  <c r="AA1185" i="1"/>
  <c r="Z1185" i="1"/>
  <c r="U1185" i="1"/>
  <c r="T1185" i="1"/>
  <c r="A1185" i="1"/>
  <c r="AA1184" i="1"/>
  <c r="AC1184" i="1"/>
  <c r="Z1184" i="1"/>
  <c r="W1184" i="1"/>
  <c r="T1184" i="1"/>
  <c r="A1184" i="1"/>
  <c r="Z1183" i="1"/>
  <c r="W1183" i="1"/>
  <c r="R1183" i="1"/>
  <c r="A1183" i="1"/>
  <c r="A1182" i="1"/>
  <c r="A1181" i="1"/>
  <c r="A1180" i="1"/>
  <c r="W1179" i="1"/>
  <c r="T1179" i="1"/>
  <c r="A1179" i="1"/>
  <c r="AD1178" i="1"/>
  <c r="A1178" i="1"/>
  <c r="Z1177" i="1"/>
  <c r="A1177" i="1"/>
  <c r="AA1176" i="1"/>
  <c r="Z1176" i="1"/>
  <c r="U1176" i="1"/>
  <c r="T1176" i="1"/>
  <c r="A1176" i="1"/>
  <c r="AD1175" i="1"/>
  <c r="AC1175" i="1"/>
  <c r="Z1175" i="1"/>
  <c r="W1175" i="1"/>
  <c r="T1175" i="1"/>
  <c r="A1175" i="1"/>
  <c r="R1174" i="1"/>
  <c r="Z1174" i="1"/>
  <c r="A1174" i="1"/>
  <c r="A1173" i="1"/>
  <c r="A1172" i="1"/>
  <c r="A1171" i="1"/>
  <c r="A1170" i="1"/>
  <c r="A1169" i="1"/>
  <c r="A1168" i="1"/>
  <c r="AH1167" i="1"/>
  <c r="A1167" i="1"/>
  <c r="A1166" i="1"/>
  <c r="A1165" i="1"/>
  <c r="A1164" i="1"/>
  <c r="A1163" i="1"/>
  <c r="AH1162" i="1"/>
  <c r="U1162" i="1"/>
  <c r="A1162" i="1"/>
  <c r="AD1161" i="1"/>
  <c r="AD1160" i="1"/>
  <c r="AD1156" i="1"/>
  <c r="AA1161" i="1"/>
  <c r="AA1160" i="1"/>
  <c r="AA1156" i="1"/>
  <c r="X1161" i="1"/>
  <c r="X1160" i="1"/>
  <c r="X1156" i="1"/>
  <c r="U1161" i="1"/>
  <c r="U1160" i="1"/>
  <c r="A1161" i="1"/>
  <c r="AH1160" i="1"/>
  <c r="A1160" i="1"/>
  <c r="A1159" i="1"/>
  <c r="A1158" i="1"/>
  <c r="AH1157" i="1"/>
  <c r="A1157" i="1"/>
  <c r="A1156" i="1"/>
  <c r="R1155" i="1"/>
  <c r="A1155" i="1"/>
  <c r="R1154" i="1"/>
  <c r="A1154" i="1"/>
  <c r="AH1153" i="1"/>
  <c r="A1153" i="1"/>
  <c r="R1152" i="1"/>
  <c r="A1152" i="1"/>
  <c r="R1151" i="1"/>
  <c r="A1151" i="1"/>
  <c r="R1150" i="1"/>
  <c r="A1150" i="1"/>
  <c r="AH1149" i="1"/>
  <c r="A1149" i="1"/>
  <c r="AD1148" i="1"/>
  <c r="AA1148" i="1"/>
  <c r="X1148" i="1"/>
  <c r="U1148" i="1"/>
  <c r="A1148" i="1"/>
  <c r="U1147" i="1"/>
  <c r="A1147" i="1"/>
  <c r="AD1146" i="1"/>
  <c r="AA1146" i="1"/>
  <c r="X1146" i="1"/>
  <c r="U1146" i="1"/>
  <c r="A1146" i="1"/>
  <c r="AD1145" i="1"/>
  <c r="AA1145" i="1"/>
  <c r="X1145" i="1"/>
  <c r="U1145" i="1"/>
  <c r="A1145" i="1"/>
  <c r="X1144" i="1"/>
  <c r="U1144" i="1"/>
  <c r="A1144" i="1"/>
  <c r="U1143" i="1"/>
  <c r="A1143" i="1"/>
  <c r="A1142" i="1"/>
  <c r="A1141" i="1"/>
  <c r="A1140" i="1"/>
  <c r="AH1139" i="1"/>
  <c r="R1139" i="1"/>
  <c r="A1139" i="1"/>
  <c r="AD1138" i="1"/>
  <c r="AA1138" i="1"/>
  <c r="X1138" i="1"/>
  <c r="U1138" i="1"/>
  <c r="A1138" i="1"/>
  <c r="AD1137" i="1"/>
  <c r="AA1137" i="1"/>
  <c r="X1137" i="1"/>
  <c r="U1137" i="1"/>
  <c r="A1137" i="1"/>
  <c r="AD1136" i="1"/>
  <c r="AA1136" i="1"/>
  <c r="X1136" i="1"/>
  <c r="U1136" i="1"/>
  <c r="A1136" i="1"/>
  <c r="AD1135" i="1"/>
  <c r="AA1135" i="1"/>
  <c r="X1135" i="1"/>
  <c r="U1135" i="1"/>
  <c r="A1135" i="1"/>
  <c r="A1134" i="1"/>
  <c r="A1133" i="1"/>
  <c r="A1132" i="1"/>
  <c r="A1131" i="1"/>
  <c r="A1130" i="1"/>
  <c r="A1129" i="1"/>
  <c r="A1128" i="1"/>
  <c r="A1127" i="1"/>
  <c r="A1126" i="1"/>
  <c r="A1125" i="1"/>
  <c r="A1124" i="1"/>
  <c r="A1123" i="1"/>
  <c r="AH1122" i="1"/>
  <c r="R1122" i="1"/>
  <c r="A1122" i="1"/>
  <c r="A1121" i="1"/>
  <c r="A1120" i="1"/>
  <c r="A1119" i="1"/>
  <c r="AH1118" i="1"/>
  <c r="A1118" i="1"/>
  <c r="A1117" i="1"/>
  <c r="A1116" i="1"/>
  <c r="AH1115" i="1"/>
  <c r="A1115" i="1"/>
  <c r="A1114" i="1"/>
  <c r="A1113" i="1"/>
  <c r="A1112" i="1"/>
  <c r="A1111" i="1"/>
  <c r="A1110" i="1"/>
  <c r="A1109" i="1"/>
  <c r="A1108" i="1"/>
  <c r="A1107" i="1"/>
  <c r="A1106" i="1"/>
  <c r="A1105" i="1"/>
  <c r="A1104" i="1"/>
  <c r="A1103" i="1"/>
  <c r="AH1102" i="1"/>
  <c r="U1102" i="1"/>
  <c r="A1102" i="1"/>
  <c r="A1101" i="1"/>
  <c r="A1100" i="1"/>
  <c r="A1099" i="1"/>
  <c r="A1098" i="1"/>
  <c r="A1097" i="1"/>
  <c r="AH1096" i="1"/>
  <c r="A1096" i="1"/>
  <c r="A1095" i="1"/>
  <c r="A1094" i="1"/>
  <c r="A1093" i="1"/>
  <c r="A1092" i="1"/>
  <c r="A1091" i="1"/>
  <c r="AD1090" i="1"/>
  <c r="AA1090" i="1"/>
  <c r="X1090" i="1"/>
  <c r="U1090" i="1"/>
  <c r="A1090" i="1"/>
  <c r="A1089" i="1"/>
  <c r="A1088" i="1"/>
  <c r="A1087" i="1"/>
  <c r="AD1086" i="1"/>
  <c r="AA1086" i="1"/>
  <c r="X1086" i="1"/>
  <c r="U1086"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D1057" i="1"/>
  <c r="AA1057" i="1"/>
  <c r="X1057" i="1"/>
  <c r="U1057" i="1"/>
  <c r="A1057" i="1"/>
  <c r="A1056" i="1"/>
  <c r="A1055" i="1"/>
  <c r="AD1054" i="1"/>
  <c r="AA1054" i="1"/>
  <c r="X1054" i="1"/>
  <c r="U1054" i="1"/>
  <c r="A1054" i="1"/>
  <c r="U1053" i="1"/>
  <c r="A1053" i="1"/>
  <c r="X1052" i="1"/>
  <c r="U1052" i="1"/>
  <c r="A1052" i="1"/>
  <c r="A1051" i="1"/>
  <c r="A1050" i="1"/>
  <c r="A1049" i="1"/>
  <c r="AH1048" i="1"/>
  <c r="A1048" i="1"/>
  <c r="A1047" i="1"/>
  <c r="AH1046" i="1"/>
  <c r="A1046" i="1"/>
  <c r="AA1045" i="1"/>
  <c r="AA1043" i="1"/>
  <c r="U1045" i="1"/>
  <c r="U1043" i="1"/>
  <c r="A1045" i="1"/>
  <c r="AD1044" i="1"/>
  <c r="AD1043" i="1"/>
  <c r="A1044" i="1"/>
  <c r="A1043" i="1"/>
  <c r="R1042" i="1"/>
  <c r="A1042" i="1"/>
  <c r="R1041" i="1"/>
  <c r="A1041" i="1"/>
  <c r="R1040" i="1"/>
  <c r="A1040" i="1"/>
  <c r="R1039" i="1"/>
  <c r="A1039" i="1"/>
  <c r="R1038" i="1"/>
  <c r="A1038" i="1"/>
  <c r="A1037" i="1"/>
  <c r="A1036" i="1"/>
  <c r="A1035" i="1"/>
  <c r="A1034" i="1"/>
  <c r="A1033" i="1"/>
  <c r="A1032" i="1"/>
  <c r="AH1031" i="1"/>
  <c r="A1031" i="1"/>
  <c r="A1030" i="1"/>
  <c r="AD1029" i="1"/>
  <c r="A1029" i="1"/>
  <c r="A1028" i="1"/>
  <c r="A1027" i="1"/>
  <c r="A1026" i="1"/>
  <c r="A1025" i="1"/>
  <c r="A1024" i="1"/>
  <c r="A1023" i="1"/>
  <c r="A1022" i="1"/>
  <c r="AD1021" i="1"/>
  <c r="A1021" i="1"/>
  <c r="AD1020" i="1"/>
  <c r="A1020" i="1"/>
  <c r="AD1019" i="1"/>
  <c r="A1019" i="1"/>
  <c r="A1018" i="1"/>
  <c r="Z1017" i="1"/>
  <c r="AC1017" i="1"/>
  <c r="W1017" i="1"/>
  <c r="W1014" i="1"/>
  <c r="W1013" i="1"/>
  <c r="U1017" i="1"/>
  <c r="A1017" i="1"/>
  <c r="Z1016" i="1"/>
  <c r="A1016" i="1"/>
  <c r="A1015" i="1"/>
  <c r="A1014" i="1"/>
  <c r="A1013" i="1"/>
  <c r="A1012" i="1"/>
  <c r="A1011" i="1"/>
  <c r="A1010" i="1"/>
  <c r="A1009" i="1"/>
  <c r="A1008" i="1"/>
  <c r="A1007" i="1"/>
  <c r="A1006" i="1"/>
  <c r="AH1005" i="1"/>
  <c r="AH985" i="1"/>
  <c r="AH984" i="1"/>
  <c r="A1005" i="1"/>
  <c r="A1004" i="1"/>
  <c r="A1003" i="1"/>
  <c r="A1002" i="1"/>
  <c r="AH1001" i="1"/>
  <c r="A1001" i="1"/>
  <c r="A1000" i="1"/>
  <c r="A999" i="1"/>
  <c r="A998" i="1"/>
  <c r="A997" i="1"/>
  <c r="A996" i="1"/>
  <c r="A995" i="1"/>
  <c r="A994" i="1"/>
  <c r="AH993" i="1"/>
  <c r="A993" i="1"/>
  <c r="A992" i="1"/>
  <c r="A991" i="1"/>
  <c r="A990" i="1"/>
  <c r="A989" i="1"/>
  <c r="A988" i="1"/>
  <c r="A987" i="1"/>
  <c r="AH986" i="1"/>
  <c r="A986" i="1"/>
  <c r="A985" i="1"/>
  <c r="A984" i="1"/>
  <c r="A983" i="1"/>
  <c r="A982" i="1"/>
  <c r="A981" i="1"/>
  <c r="A980" i="1"/>
  <c r="A979" i="1"/>
  <c r="A978" i="1"/>
  <c r="A977" i="1"/>
  <c r="A976" i="1"/>
  <c r="A975" i="1"/>
  <c r="A974" i="1"/>
  <c r="A973" i="1"/>
  <c r="A972" i="1"/>
  <c r="A971" i="1"/>
  <c r="A970" i="1"/>
  <c r="A969" i="1"/>
  <c r="A968" i="1"/>
  <c r="A967" i="1"/>
  <c r="A966" i="1"/>
  <c r="A965" i="1"/>
  <c r="A964" i="1"/>
  <c r="A963" i="1"/>
  <c r="AH962" i="1"/>
  <c r="A962" i="1"/>
  <c r="A961" i="1"/>
  <c r="A960" i="1"/>
  <c r="A959" i="1"/>
  <c r="A958" i="1"/>
  <c r="A957" i="1"/>
  <c r="A956" i="1"/>
  <c r="A955" i="1"/>
  <c r="A954" i="1"/>
  <c r="A953" i="1"/>
  <c r="A952" i="1"/>
  <c r="AH951" i="1"/>
  <c r="A951" i="1"/>
  <c r="A950" i="1"/>
  <c r="A949" i="1"/>
  <c r="A948" i="1"/>
  <c r="U947" i="1"/>
  <c r="A947" i="1"/>
  <c r="U946" i="1"/>
  <c r="A946" i="1"/>
  <c r="U945" i="1"/>
  <c r="A945" i="1"/>
  <c r="A944" i="1"/>
  <c r="A943" i="1"/>
  <c r="A942" i="1"/>
  <c r="A941" i="1"/>
  <c r="A940" i="1"/>
  <c r="A939" i="1"/>
  <c r="A938" i="1"/>
  <c r="A937" i="1"/>
  <c r="A936" i="1"/>
  <c r="AH935" i="1"/>
  <c r="A935" i="1"/>
  <c r="A934" i="1"/>
  <c r="A933" i="1"/>
  <c r="A932" i="1"/>
  <c r="AH931" i="1"/>
  <c r="AH930" i="1"/>
  <c r="C15" i="6"/>
  <c r="D15" i="6"/>
  <c r="A931" i="1"/>
  <c r="A930" i="1"/>
  <c r="A929" i="1"/>
  <c r="A928" i="1"/>
  <c r="A927" i="1"/>
  <c r="A926" i="1"/>
  <c r="A925" i="1"/>
  <c r="AH924" i="1"/>
  <c r="A924" i="1"/>
  <c r="A923" i="1"/>
  <c r="A922" i="1"/>
  <c r="A921" i="1"/>
  <c r="A920" i="1"/>
  <c r="A919" i="1"/>
  <c r="A918" i="1"/>
  <c r="A917" i="1"/>
  <c r="A916" i="1"/>
  <c r="A915" i="1"/>
  <c r="A914" i="1"/>
  <c r="A913" i="1"/>
  <c r="A912" i="1"/>
  <c r="A911" i="1"/>
  <c r="A910" i="1"/>
  <c r="A909" i="1"/>
  <c r="A908" i="1"/>
  <c r="AH907" i="1"/>
  <c r="A907" i="1"/>
  <c r="A906" i="1"/>
  <c r="A905" i="1"/>
  <c r="A904" i="1"/>
  <c r="A903" i="1"/>
  <c r="A902" i="1"/>
  <c r="A901" i="1"/>
  <c r="A900" i="1"/>
  <c r="A899" i="1"/>
  <c r="AH898" i="1"/>
  <c r="A898" i="1"/>
  <c r="A897" i="1"/>
  <c r="A896" i="1"/>
  <c r="A895" i="1"/>
  <c r="AH894" i="1"/>
  <c r="AH893" i="1"/>
  <c r="A894" i="1"/>
  <c r="A893" i="1"/>
  <c r="A892" i="1"/>
  <c r="A891" i="1"/>
  <c r="A890" i="1"/>
  <c r="A889" i="1"/>
  <c r="A888" i="1"/>
  <c r="A887" i="1"/>
  <c r="A886" i="1"/>
  <c r="A885" i="1"/>
  <c r="A884" i="1"/>
  <c r="AH883" i="1"/>
  <c r="A883" i="1"/>
  <c r="AH882" i="1"/>
  <c r="U882" i="1"/>
  <c r="U881" i="1"/>
  <c r="A882" i="1"/>
  <c r="A881" i="1"/>
  <c r="A880" i="1"/>
  <c r="A879" i="1"/>
  <c r="A878" i="1"/>
  <c r="X877" i="1"/>
  <c r="X876" i="1"/>
  <c r="U877" i="1"/>
  <c r="U876" i="1"/>
  <c r="A877" i="1"/>
  <c r="AH876" i="1"/>
  <c r="A876" i="1"/>
  <c r="A875" i="1"/>
  <c r="AH874" i="1"/>
  <c r="AA874" i="1"/>
  <c r="AA857" i="1"/>
  <c r="A874" i="1"/>
  <c r="AH873" i="1"/>
  <c r="X873" i="1"/>
  <c r="A873" i="1"/>
  <c r="A872" i="1"/>
  <c r="AH871" i="1"/>
  <c r="X871" i="1"/>
  <c r="A871" i="1"/>
  <c r="AH870" i="1"/>
  <c r="X870" i="1"/>
  <c r="A870" i="1"/>
  <c r="A869" i="1"/>
  <c r="A868" i="1"/>
  <c r="A867" i="1"/>
  <c r="A866" i="1"/>
  <c r="A865" i="1"/>
  <c r="A864" i="1"/>
  <c r="A863" i="1"/>
  <c r="A862" i="1"/>
  <c r="A861" i="1"/>
  <c r="A860" i="1"/>
  <c r="A859" i="1"/>
  <c r="A858" i="1"/>
  <c r="A857" i="1"/>
  <c r="A856" i="1"/>
  <c r="A855" i="1"/>
  <c r="A854" i="1"/>
  <c r="A853" i="1"/>
  <c r="A852" i="1"/>
  <c r="A851" i="1"/>
  <c r="A850" i="1"/>
  <c r="X849" i="1"/>
  <c r="X841" i="1"/>
  <c r="U849" i="1"/>
  <c r="U841" i="1"/>
  <c r="A849" i="1"/>
  <c r="A848" i="1"/>
  <c r="A847" i="1"/>
  <c r="A846" i="1"/>
  <c r="A845" i="1"/>
  <c r="A844" i="1"/>
  <c r="A843" i="1"/>
  <c r="A842" i="1"/>
  <c r="A841" i="1"/>
  <c r="A840" i="1"/>
  <c r="A839" i="1"/>
  <c r="AD838" i="1"/>
  <c r="AD836" i="1"/>
  <c r="AA838" i="1"/>
  <c r="AA836" i="1"/>
  <c r="X838" i="1"/>
  <c r="X836" i="1"/>
  <c r="U838" i="1"/>
  <c r="U836" i="1"/>
  <c r="A838" i="1"/>
  <c r="A837" i="1"/>
  <c r="AH836" i="1"/>
  <c r="AC768" i="1"/>
  <c r="Z768" i="1"/>
  <c r="W768" i="1"/>
  <c r="A836" i="1"/>
  <c r="A835" i="1"/>
  <c r="A834" i="1"/>
  <c r="A833" i="1"/>
  <c r="AH832" i="1"/>
  <c r="A832" i="1"/>
  <c r="A831" i="1"/>
  <c r="A830" i="1"/>
  <c r="A829" i="1"/>
  <c r="A828" i="1"/>
  <c r="A827" i="1"/>
  <c r="A826" i="1"/>
  <c r="A825" i="1"/>
  <c r="A824" i="1"/>
  <c r="A823" i="1"/>
  <c r="A822" i="1"/>
  <c r="A821" i="1"/>
  <c r="A820" i="1"/>
  <c r="A819" i="1"/>
  <c r="A818" i="1"/>
  <c r="A817" i="1"/>
  <c r="X772"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D772" i="1"/>
  <c r="AA772" i="1"/>
  <c r="U772" i="1"/>
  <c r="A772" i="1"/>
  <c r="A771" i="1"/>
  <c r="A770" i="1"/>
  <c r="AH769" i="1"/>
  <c r="A769" i="1"/>
  <c r="A768" i="1"/>
  <c r="R767" i="1"/>
  <c r="A767" i="1"/>
  <c r="AH766" i="1"/>
  <c r="A766" i="1"/>
  <c r="A765" i="1"/>
  <c r="A764" i="1"/>
  <c r="A763" i="1"/>
  <c r="A762" i="1"/>
  <c r="A761" i="1"/>
  <c r="A760" i="1"/>
  <c r="A759" i="1"/>
  <c r="AH758" i="1"/>
  <c r="A758" i="1"/>
  <c r="AH757" i="1"/>
  <c r="X757" i="1"/>
  <c r="A757" i="1"/>
  <c r="AH756" i="1"/>
  <c r="X756" i="1"/>
  <c r="A756" i="1"/>
  <c r="AH755" i="1"/>
  <c r="U755" i="1"/>
  <c r="A755" i="1"/>
  <c r="AH754" i="1"/>
  <c r="X754" i="1"/>
  <c r="A754" i="1"/>
  <c r="AH753" i="1"/>
  <c r="X753" i="1"/>
  <c r="A753" i="1"/>
  <c r="AH752" i="1"/>
  <c r="U752" i="1"/>
  <c r="A752" i="1"/>
  <c r="AH751" i="1"/>
  <c r="X751" i="1"/>
  <c r="A751" i="1"/>
  <c r="AH750" i="1"/>
  <c r="X750" i="1"/>
  <c r="A750" i="1"/>
  <c r="AH749" i="1"/>
  <c r="U749" i="1"/>
  <c r="A749" i="1"/>
  <c r="AH748" i="1"/>
  <c r="X748" i="1"/>
  <c r="A748" i="1"/>
  <c r="AH747" i="1"/>
  <c r="X747" i="1"/>
  <c r="A747" i="1"/>
  <c r="AH746" i="1"/>
  <c r="U746" i="1"/>
  <c r="A746" i="1"/>
  <c r="AH745" i="1"/>
  <c r="X745" i="1"/>
  <c r="A745" i="1"/>
  <c r="AH744" i="1"/>
  <c r="X744" i="1"/>
  <c r="A744" i="1"/>
  <c r="AH743" i="1"/>
  <c r="AA743" i="1"/>
  <c r="X743" i="1"/>
  <c r="A743" i="1"/>
  <c r="AH742" i="1"/>
  <c r="AA742" i="1"/>
  <c r="X742" i="1"/>
  <c r="A742" i="1"/>
  <c r="AH741" i="1"/>
  <c r="AA741" i="1"/>
  <c r="X741" i="1"/>
  <c r="A741" i="1"/>
  <c r="AH740" i="1"/>
  <c r="X740" i="1"/>
  <c r="U740" i="1"/>
  <c r="A740" i="1"/>
  <c r="AH739" i="1"/>
  <c r="AA739" i="1"/>
  <c r="X739" i="1"/>
  <c r="A739" i="1"/>
  <c r="U738" i="1"/>
  <c r="A738" i="1"/>
  <c r="A737" i="1"/>
  <c r="A736" i="1"/>
  <c r="A735" i="1"/>
  <c r="AH734" i="1"/>
  <c r="A734" i="1"/>
  <c r="A733" i="1"/>
  <c r="AH732" i="1"/>
  <c r="A732" i="1"/>
  <c r="R731" i="1"/>
  <c r="A731" i="1"/>
  <c r="R730" i="1"/>
  <c r="A730" i="1"/>
  <c r="R729" i="1"/>
  <c r="A729" i="1"/>
  <c r="Z728" i="1"/>
  <c r="W728" i="1"/>
  <c r="W721" i="1"/>
  <c r="T728" i="1"/>
  <c r="A728" i="1"/>
  <c r="R727" i="1"/>
  <c r="A727" i="1"/>
  <c r="R726" i="1"/>
  <c r="A726" i="1"/>
  <c r="A725" i="1"/>
  <c r="A724" i="1"/>
  <c r="AH723" i="1"/>
  <c r="AH721" i="1"/>
  <c r="A723" i="1"/>
  <c r="A722" i="1"/>
  <c r="AD721" i="1"/>
  <c r="AC721" i="1"/>
  <c r="AA721" i="1"/>
  <c r="X721" i="1"/>
  <c r="U721" i="1"/>
  <c r="A721" i="1"/>
  <c r="A720" i="1"/>
  <c r="A719" i="1"/>
  <c r="A718" i="1"/>
  <c r="AH717" i="1"/>
  <c r="A717" i="1"/>
  <c r="A716" i="1"/>
  <c r="A715" i="1"/>
  <c r="AH714" i="1"/>
  <c r="A714" i="1"/>
  <c r="A713" i="1"/>
  <c r="A712" i="1"/>
  <c r="AH711" i="1"/>
  <c r="A711" i="1"/>
  <c r="A710" i="1"/>
  <c r="A709" i="1"/>
  <c r="AH708" i="1"/>
  <c r="A708" i="1"/>
  <c r="A707" i="1"/>
  <c r="A706" i="1"/>
  <c r="AH705" i="1"/>
  <c r="A705" i="1"/>
  <c r="A704" i="1"/>
  <c r="A703" i="1"/>
  <c r="AH702" i="1"/>
  <c r="A702" i="1"/>
  <c r="A701" i="1"/>
  <c r="A700" i="1"/>
  <c r="AH699" i="1"/>
  <c r="A699" i="1"/>
  <c r="A698" i="1"/>
  <c r="A697" i="1"/>
  <c r="AH696" i="1"/>
  <c r="A696" i="1"/>
  <c r="A695" i="1"/>
  <c r="A694" i="1"/>
  <c r="AH693" i="1"/>
  <c r="A693" i="1"/>
  <c r="A692" i="1"/>
  <c r="AH691" i="1"/>
  <c r="AH690" i="1"/>
  <c r="X691" i="1"/>
  <c r="X690" i="1"/>
  <c r="U691" i="1"/>
  <c r="U690" i="1"/>
  <c r="A691" i="1"/>
  <c r="AD690" i="1"/>
  <c r="AC690" i="1"/>
  <c r="AA690" i="1"/>
  <c r="Z690" i="1"/>
  <c r="W690" i="1"/>
  <c r="A690" i="1"/>
  <c r="A689" i="1"/>
  <c r="AH688" i="1"/>
  <c r="AH687" i="1"/>
  <c r="X688" i="1"/>
  <c r="X687" i="1"/>
  <c r="U688" i="1"/>
  <c r="U687" i="1"/>
  <c r="A688" i="1"/>
  <c r="AC687" i="1"/>
  <c r="AA687" i="1"/>
  <c r="Z687" i="1"/>
  <c r="W687" i="1"/>
  <c r="A687" i="1"/>
  <c r="A686" i="1"/>
  <c r="AH685" i="1"/>
  <c r="AH684" i="1"/>
  <c r="U685" i="1"/>
  <c r="U684" i="1"/>
  <c r="A685" i="1"/>
  <c r="AD684" i="1"/>
  <c r="AC684" i="1"/>
  <c r="AA684" i="1"/>
  <c r="Z684" i="1"/>
  <c r="W684" i="1"/>
  <c r="A684" i="1"/>
  <c r="A683" i="1"/>
  <c r="AH682" i="1"/>
  <c r="AH681" i="1"/>
  <c r="X682" i="1"/>
  <c r="X681" i="1"/>
  <c r="U682" i="1"/>
  <c r="U681" i="1"/>
  <c r="A682" i="1"/>
  <c r="AD681" i="1"/>
  <c r="AC681" i="1"/>
  <c r="AA681" i="1"/>
  <c r="Z681" i="1"/>
  <c r="W681" i="1"/>
  <c r="A681" i="1"/>
  <c r="A680" i="1"/>
  <c r="AH679" i="1"/>
  <c r="AH678" i="1"/>
  <c r="X679" i="1"/>
  <c r="X678" i="1"/>
  <c r="U679" i="1"/>
  <c r="U678" i="1"/>
  <c r="A679" i="1"/>
  <c r="AD678" i="1"/>
  <c r="AC678" i="1"/>
  <c r="AA678" i="1"/>
  <c r="Z678" i="1"/>
  <c r="W678" i="1"/>
  <c r="A678" i="1"/>
  <c r="A677" i="1"/>
  <c r="X676" i="1"/>
  <c r="X675" i="1"/>
  <c r="U676" i="1"/>
  <c r="U675" i="1"/>
  <c r="A676" i="1"/>
  <c r="AH675" i="1"/>
  <c r="AD675" i="1"/>
  <c r="AC675" i="1"/>
  <c r="AA675" i="1"/>
  <c r="Z675" i="1"/>
  <c r="W675" i="1"/>
  <c r="A675" i="1"/>
  <c r="A674" i="1"/>
  <c r="AH673" i="1"/>
  <c r="AH672" i="1"/>
  <c r="X673" i="1"/>
  <c r="X672" i="1"/>
  <c r="U673" i="1"/>
  <c r="U672" i="1"/>
  <c r="A673" i="1"/>
  <c r="AD672" i="1"/>
  <c r="AC672" i="1"/>
  <c r="AA672" i="1"/>
  <c r="Z672" i="1"/>
  <c r="W672"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U641" i="1"/>
  <c r="A641" i="1"/>
  <c r="AH640" i="1"/>
  <c r="AD640" i="1"/>
  <c r="A640" i="1"/>
  <c r="AH639" i="1"/>
  <c r="AD639" i="1"/>
  <c r="A639" i="1"/>
  <c r="AH638" i="1"/>
  <c r="AD638" i="1"/>
  <c r="A638" i="1"/>
  <c r="AH637" i="1"/>
  <c r="AA637" i="1"/>
  <c r="A637" i="1"/>
  <c r="AH636" i="1"/>
  <c r="X636" i="1"/>
  <c r="A636" i="1"/>
  <c r="AH635" i="1"/>
  <c r="AA635" i="1"/>
  <c r="A635" i="1"/>
  <c r="AH633" i="1"/>
  <c r="A633" i="1"/>
  <c r="AC632" i="1"/>
  <c r="Z632" i="1"/>
  <c r="W632" i="1"/>
  <c r="A632" i="1"/>
  <c r="A631" i="1"/>
  <c r="A630" i="1"/>
  <c r="A629" i="1"/>
  <c r="A628" i="1"/>
  <c r="A627" i="1"/>
  <c r="AF626" i="1"/>
  <c r="AC626" i="1"/>
  <c r="Z626" i="1"/>
  <c r="W626" i="1"/>
  <c r="T626" i="1"/>
  <c r="R626" i="1"/>
  <c r="A626" i="1"/>
  <c r="A625" i="1"/>
  <c r="A624" i="1"/>
  <c r="AF623" i="1"/>
  <c r="A623" i="1"/>
  <c r="A622" i="1"/>
  <c r="A621" i="1"/>
  <c r="A620" i="1"/>
  <c r="A619" i="1"/>
  <c r="R618" i="1"/>
  <c r="R616" i="1"/>
  <c r="A618" i="1"/>
  <c r="A617" i="1"/>
  <c r="AF616" i="1"/>
  <c r="AC616" i="1"/>
  <c r="Z616" i="1"/>
  <c r="W616" i="1"/>
  <c r="T616" i="1"/>
  <c r="A616" i="1"/>
  <c r="A615" i="1"/>
  <c r="A614" i="1"/>
  <c r="A613" i="1"/>
  <c r="A612" i="1"/>
  <c r="AC611" i="1"/>
  <c r="Z611" i="1"/>
  <c r="W611" i="1"/>
  <c r="T611" i="1"/>
  <c r="A611" i="1"/>
  <c r="A610" i="1"/>
  <c r="A609" i="1"/>
  <c r="A608" i="1"/>
  <c r="A607" i="1"/>
  <c r="A606" i="1"/>
  <c r="AF605" i="1"/>
  <c r="AC605" i="1"/>
  <c r="Z605" i="1"/>
  <c r="W605" i="1"/>
  <c r="T605" i="1"/>
  <c r="R605" i="1"/>
  <c r="A605" i="1"/>
  <c r="A604" i="1"/>
  <c r="A603" i="1"/>
  <c r="A602" i="1"/>
  <c r="A601" i="1"/>
  <c r="A600" i="1"/>
  <c r="AF599" i="1"/>
  <c r="AC599" i="1"/>
  <c r="Z599" i="1"/>
  <c r="W599" i="1"/>
  <c r="T599" i="1"/>
  <c r="R599" i="1"/>
  <c r="A599" i="1"/>
  <c r="A598" i="1"/>
  <c r="A597" i="1"/>
  <c r="A596" i="1"/>
  <c r="A595" i="1"/>
  <c r="A594" i="1"/>
  <c r="A593" i="1"/>
  <c r="A592" i="1"/>
  <c r="A591" i="1"/>
  <c r="A590" i="1"/>
  <c r="A589" i="1"/>
  <c r="A588" i="1"/>
  <c r="AF587" i="1"/>
  <c r="AC587" i="1"/>
  <c r="Z587" i="1"/>
  <c r="W587" i="1"/>
  <c r="T587" i="1"/>
  <c r="R587" i="1"/>
  <c r="A587" i="1"/>
  <c r="R586" i="1"/>
  <c r="T586" i="1"/>
  <c r="A586" i="1"/>
  <c r="R585" i="1"/>
  <c r="AC585" i="1"/>
  <c r="A585" i="1"/>
  <c r="R584" i="1"/>
  <c r="T584" i="1"/>
  <c r="A584" i="1"/>
  <c r="R583" i="1"/>
  <c r="A583" i="1"/>
  <c r="R582" i="1"/>
  <c r="AC582" i="1"/>
  <c r="A582" i="1"/>
  <c r="R581" i="1"/>
  <c r="T581" i="1"/>
  <c r="A581" i="1"/>
  <c r="R580" i="1"/>
  <c r="T580" i="1"/>
  <c r="A580" i="1"/>
  <c r="AH579" i="1"/>
  <c r="A579" i="1"/>
  <c r="U567" i="1"/>
  <c r="A578" i="1"/>
  <c r="A577" i="1"/>
  <c r="A576" i="1"/>
  <c r="A575" i="1"/>
  <c r="A574" i="1"/>
  <c r="A573" i="1"/>
  <c r="A572" i="1"/>
  <c r="A571" i="1"/>
  <c r="A570" i="1"/>
  <c r="A569" i="1"/>
  <c r="A568" i="1"/>
  <c r="A567" i="1"/>
  <c r="A566" i="1"/>
  <c r="A565" i="1"/>
  <c r="A564" i="1"/>
  <c r="A563" i="1"/>
  <c r="A562" i="1"/>
  <c r="AD565" i="1"/>
  <c r="A561" i="1"/>
  <c r="A560" i="1"/>
  <c r="AH552" i="1"/>
  <c r="X552" i="1"/>
  <c r="A552" i="1"/>
  <c r="AH551" i="1"/>
  <c r="AA551" i="1"/>
  <c r="A551" i="1"/>
  <c r="AH550" i="1"/>
  <c r="AA550" i="1"/>
  <c r="A550" i="1"/>
  <c r="AH549" i="1"/>
  <c r="X549" i="1"/>
  <c r="A549" i="1"/>
  <c r="AH548" i="1"/>
  <c r="AA548" i="1"/>
  <c r="A548" i="1"/>
  <c r="AH547" i="1"/>
  <c r="AA547" i="1"/>
  <c r="A547" i="1"/>
  <c r="AH546" i="1"/>
  <c r="X546" i="1"/>
  <c r="A546" i="1"/>
  <c r="AH545" i="1"/>
  <c r="AA545" i="1"/>
  <c r="A545" i="1"/>
  <c r="AH544" i="1"/>
  <c r="AA544" i="1"/>
  <c r="A544" i="1"/>
  <c r="AH543" i="1"/>
  <c r="X543" i="1"/>
  <c r="A543" i="1"/>
  <c r="AH542" i="1"/>
  <c r="AA542" i="1"/>
  <c r="A542" i="1"/>
  <c r="AH541" i="1"/>
  <c r="AA541" i="1"/>
  <c r="A541" i="1"/>
  <c r="AH540" i="1"/>
  <c r="X540" i="1"/>
  <c r="A540" i="1"/>
  <c r="AH539" i="1"/>
  <c r="A539" i="1"/>
  <c r="AD538" i="1"/>
  <c r="AA538" i="1"/>
  <c r="X538" i="1"/>
  <c r="U538" i="1"/>
  <c r="A538" i="1"/>
  <c r="AD537" i="1"/>
  <c r="AA537" i="1"/>
  <c r="X537" i="1"/>
  <c r="U537" i="1"/>
  <c r="A537" i="1"/>
  <c r="AD536" i="1"/>
  <c r="AA536" i="1"/>
  <c r="X536" i="1"/>
  <c r="U536" i="1"/>
  <c r="A536" i="1"/>
  <c r="AD535" i="1"/>
  <c r="AA535" i="1"/>
  <c r="X535" i="1"/>
  <c r="U535" i="1"/>
  <c r="A535" i="1"/>
  <c r="AD534" i="1"/>
  <c r="AA534" i="1"/>
  <c r="X534" i="1"/>
  <c r="U534" i="1"/>
  <c r="A534" i="1"/>
  <c r="AD533" i="1"/>
  <c r="AA533" i="1"/>
  <c r="X533" i="1"/>
  <c r="U533" i="1"/>
  <c r="A533" i="1"/>
  <c r="AD532" i="1"/>
  <c r="AA532" i="1"/>
  <c r="X532" i="1"/>
  <c r="U532" i="1"/>
  <c r="A532" i="1"/>
  <c r="AD531" i="1"/>
  <c r="AA531" i="1"/>
  <c r="X531" i="1"/>
  <c r="U531" i="1"/>
  <c r="A531" i="1"/>
  <c r="AD530" i="1"/>
  <c r="AA530" i="1"/>
  <c r="X530" i="1"/>
  <c r="U530" i="1"/>
  <c r="A530" i="1"/>
  <c r="AD529" i="1"/>
  <c r="AA529" i="1"/>
  <c r="X529" i="1"/>
  <c r="U529" i="1"/>
  <c r="A529" i="1"/>
  <c r="AD528" i="1"/>
  <c r="AA528" i="1"/>
  <c r="X528" i="1"/>
  <c r="U528" i="1"/>
  <c r="A528" i="1"/>
  <c r="AD527" i="1"/>
  <c r="AA527" i="1"/>
  <c r="X527" i="1"/>
  <c r="U527" i="1"/>
  <c r="A527" i="1"/>
  <c r="AD526" i="1"/>
  <c r="AA526" i="1"/>
  <c r="X526" i="1"/>
  <c r="U526" i="1"/>
  <c r="A526" i="1"/>
  <c r="AD525" i="1"/>
  <c r="AA525" i="1"/>
  <c r="X525" i="1"/>
  <c r="U525" i="1"/>
  <c r="A525" i="1"/>
  <c r="AD524" i="1"/>
  <c r="AA524" i="1"/>
  <c r="X524" i="1"/>
  <c r="U524" i="1"/>
  <c r="A524" i="1"/>
  <c r="AD523" i="1"/>
  <c r="AA523" i="1"/>
  <c r="X523" i="1"/>
  <c r="U523" i="1"/>
  <c r="A523" i="1"/>
  <c r="AD522" i="1"/>
  <c r="AA522" i="1"/>
  <c r="X522" i="1"/>
  <c r="U522" i="1"/>
  <c r="A522" i="1"/>
  <c r="AD521" i="1"/>
  <c r="AA521" i="1"/>
  <c r="X521" i="1"/>
  <c r="U521" i="1"/>
  <c r="A521" i="1"/>
  <c r="AD520" i="1"/>
  <c r="AA520" i="1"/>
  <c r="X520" i="1"/>
  <c r="U520" i="1"/>
  <c r="A520" i="1"/>
  <c r="AD519" i="1"/>
  <c r="AA519" i="1"/>
  <c r="X519" i="1"/>
  <c r="U519" i="1"/>
  <c r="A519" i="1"/>
  <c r="AD518" i="1"/>
  <c r="AA518" i="1"/>
  <c r="X518" i="1"/>
  <c r="U518" i="1"/>
  <c r="A518" i="1"/>
  <c r="AD517" i="1"/>
  <c r="AA517" i="1"/>
  <c r="X517" i="1"/>
  <c r="U517" i="1"/>
  <c r="A517" i="1"/>
  <c r="AD516" i="1"/>
  <c r="AA516" i="1"/>
  <c r="X516" i="1"/>
  <c r="U516" i="1"/>
  <c r="A516" i="1"/>
  <c r="AD515" i="1"/>
  <c r="AA515" i="1"/>
  <c r="X515" i="1"/>
  <c r="U515" i="1"/>
  <c r="A515" i="1"/>
  <c r="AD514" i="1"/>
  <c r="AA514" i="1"/>
  <c r="X514" i="1"/>
  <c r="U514" i="1"/>
  <c r="A514" i="1"/>
  <c r="AD513" i="1"/>
  <c r="AA513" i="1"/>
  <c r="X513" i="1"/>
  <c r="U513" i="1"/>
  <c r="A513" i="1"/>
  <c r="AD512" i="1"/>
  <c r="AA512" i="1"/>
  <c r="X512" i="1"/>
  <c r="U512" i="1"/>
  <c r="A512" i="1"/>
  <c r="AD511" i="1"/>
  <c r="AA511" i="1"/>
  <c r="X511" i="1"/>
  <c r="U511" i="1"/>
  <c r="A511" i="1"/>
  <c r="R510" i="1"/>
  <c r="A510" i="1"/>
  <c r="R509" i="1"/>
  <c r="A509" i="1"/>
  <c r="R508" i="1"/>
  <c r="A508" i="1"/>
  <c r="R507" i="1"/>
  <c r="A507" i="1"/>
  <c r="R506" i="1"/>
  <c r="A506" i="1"/>
  <c r="R505" i="1"/>
  <c r="A505" i="1"/>
  <c r="R504" i="1"/>
  <c r="A504" i="1"/>
  <c r="R503" i="1"/>
  <c r="A503" i="1"/>
  <c r="A502" i="1"/>
  <c r="A501" i="1"/>
  <c r="A500" i="1"/>
  <c r="A499" i="1"/>
  <c r="A498" i="1"/>
  <c r="A497" i="1"/>
  <c r="A496" i="1"/>
  <c r="A495" i="1"/>
  <c r="A494" i="1"/>
  <c r="A493" i="1"/>
  <c r="A492" i="1"/>
  <c r="A491" i="1"/>
  <c r="A490" i="1"/>
  <c r="A489" i="1"/>
  <c r="A488" i="1"/>
  <c r="A487" i="1"/>
  <c r="A486" i="1"/>
  <c r="A485" i="1"/>
  <c r="A484" i="1"/>
  <c r="A483" i="1"/>
  <c r="A482" i="1"/>
  <c r="AH481" i="1"/>
  <c r="X481" i="1"/>
  <c r="A481" i="1"/>
  <c r="AH480" i="1"/>
  <c r="X480" i="1"/>
  <c r="A480" i="1"/>
  <c r="AH479" i="1"/>
  <c r="X479" i="1"/>
  <c r="A479" i="1"/>
  <c r="AH478" i="1"/>
  <c r="X478" i="1"/>
  <c r="A478" i="1"/>
  <c r="AH477" i="1"/>
  <c r="X477" i="1"/>
  <c r="A477" i="1"/>
  <c r="AH476" i="1"/>
  <c r="X476" i="1"/>
  <c r="A476" i="1"/>
  <c r="AH475" i="1"/>
  <c r="X475" i="1"/>
  <c r="A475" i="1"/>
  <c r="AD474" i="1"/>
  <c r="AA474" i="1"/>
  <c r="X474" i="1"/>
  <c r="R474" i="1"/>
  <c r="A474" i="1"/>
  <c r="AD473" i="1"/>
  <c r="AA473" i="1"/>
  <c r="X473" i="1"/>
  <c r="R473" i="1"/>
  <c r="A473" i="1"/>
  <c r="AD472" i="1"/>
  <c r="AA472" i="1"/>
  <c r="X472" i="1"/>
  <c r="R472" i="1"/>
  <c r="A472" i="1"/>
  <c r="AD471" i="1"/>
  <c r="AA471" i="1"/>
  <c r="X471" i="1"/>
  <c r="R471" i="1"/>
  <c r="A471" i="1"/>
  <c r="AD470" i="1"/>
  <c r="AA470" i="1"/>
  <c r="X470" i="1"/>
  <c r="R470" i="1"/>
  <c r="A470" i="1"/>
  <c r="AD469" i="1"/>
  <c r="AA469" i="1"/>
  <c r="X469" i="1"/>
  <c r="R469" i="1"/>
  <c r="A469" i="1"/>
  <c r="AD468" i="1"/>
  <c r="AA468" i="1"/>
  <c r="X468" i="1"/>
  <c r="T468" i="1"/>
  <c r="A468" i="1"/>
  <c r="AA467" i="1"/>
  <c r="X467" i="1"/>
  <c r="R467" i="1"/>
  <c r="A467" i="1"/>
  <c r="AA466" i="1"/>
  <c r="X466" i="1"/>
  <c r="R466" i="1"/>
  <c r="A466" i="1"/>
  <c r="AA465" i="1"/>
  <c r="X465" i="1"/>
  <c r="R465" i="1"/>
  <c r="A465" i="1"/>
  <c r="AA464" i="1"/>
  <c r="X464" i="1"/>
  <c r="R464" i="1"/>
  <c r="A464" i="1"/>
  <c r="AA463" i="1"/>
  <c r="X463" i="1"/>
  <c r="R463" i="1"/>
  <c r="A463" i="1"/>
  <c r="AA462" i="1"/>
  <c r="X462" i="1"/>
  <c r="R462" i="1"/>
  <c r="A462" i="1"/>
  <c r="AA461" i="1"/>
  <c r="X461" i="1"/>
  <c r="R461" i="1"/>
  <c r="A461" i="1"/>
  <c r="A460" i="1"/>
  <c r="A459" i="1"/>
  <c r="A458" i="1"/>
  <c r="A457" i="1"/>
  <c r="A456" i="1"/>
  <c r="A455" i="1"/>
  <c r="A454" i="1"/>
  <c r="BD453" i="1"/>
  <c r="BD455" i="1"/>
  <c r="A453" i="1"/>
  <c r="A452" i="1"/>
  <c r="A451" i="1"/>
  <c r="A450" i="1"/>
  <c r="A449" i="1"/>
  <c r="A448" i="1"/>
  <c r="A447" i="1"/>
  <c r="A446" i="1"/>
  <c r="A445" i="1"/>
  <c r="AH444" i="1"/>
  <c r="AA444" i="1"/>
  <c r="A444" i="1"/>
  <c r="AH443" i="1"/>
  <c r="X443" i="1"/>
  <c r="A443" i="1"/>
  <c r="AH442" i="1"/>
  <c r="X442" i="1"/>
  <c r="A442" i="1"/>
  <c r="AH441" i="1"/>
  <c r="AA441" i="1"/>
  <c r="A441" i="1"/>
  <c r="AH440" i="1"/>
  <c r="X440" i="1"/>
  <c r="A440" i="1"/>
  <c r="AH439" i="1"/>
  <c r="X439" i="1"/>
  <c r="A439" i="1"/>
  <c r="AH438" i="1"/>
  <c r="AA438"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Y402" i="1"/>
  <c r="AF402" i="1"/>
  <c r="AA402" i="1"/>
  <c r="X402" i="1"/>
  <c r="A402" i="1"/>
  <c r="AF401" i="1"/>
  <c r="AA401" i="1"/>
  <c r="X401" i="1"/>
  <c r="A401" i="1"/>
  <c r="AF400" i="1"/>
  <c r="AA400" i="1"/>
  <c r="X400" i="1"/>
  <c r="A400" i="1"/>
  <c r="AW399" i="1"/>
  <c r="AW400" i="1"/>
  <c r="AF399" i="1"/>
  <c r="AA399" i="1"/>
  <c r="X399" i="1"/>
  <c r="A399" i="1"/>
  <c r="AF398" i="1"/>
  <c r="AA398" i="1"/>
  <c r="X398" i="1"/>
  <c r="A398" i="1"/>
  <c r="AF397" i="1"/>
  <c r="AA397" i="1"/>
  <c r="X397" i="1"/>
  <c r="A397" i="1"/>
  <c r="AF396" i="1"/>
  <c r="AA396" i="1"/>
  <c r="X396" i="1"/>
  <c r="A396" i="1"/>
  <c r="A395" i="1"/>
  <c r="A394" i="1"/>
  <c r="A393" i="1"/>
  <c r="A392" i="1"/>
  <c r="A391" i="1"/>
  <c r="A390" i="1"/>
  <c r="A389" i="1"/>
  <c r="A388" i="1"/>
  <c r="A387" i="1"/>
  <c r="A386" i="1"/>
  <c r="A385" i="1"/>
  <c r="A384" i="1"/>
  <c r="A383" i="1"/>
  <c r="A382" i="1"/>
  <c r="AF381" i="1"/>
  <c r="AD381" i="1"/>
  <c r="W381" i="1"/>
  <c r="W304" i="1"/>
  <c r="A381" i="1"/>
  <c r="AF380" i="1"/>
  <c r="AD380" i="1"/>
  <c r="A380" i="1"/>
  <c r="AF379" i="1"/>
  <c r="AD379" i="1"/>
  <c r="A379" i="1"/>
  <c r="AF378" i="1"/>
  <c r="AD378" i="1"/>
  <c r="A378" i="1"/>
  <c r="AF377" i="1"/>
  <c r="U377" i="1"/>
  <c r="A377" i="1"/>
  <c r="AF376" i="1"/>
  <c r="AD376" i="1"/>
  <c r="A376" i="1"/>
  <c r="AF375" i="1"/>
  <c r="AF304" i="1"/>
  <c r="AD375" i="1"/>
  <c r="A375" i="1"/>
  <c r="A374" i="1"/>
  <c r="A373" i="1"/>
  <c r="A372" i="1"/>
  <c r="A371" i="1"/>
  <c r="A370" i="1"/>
  <c r="A369" i="1"/>
  <c r="A368" i="1"/>
  <c r="A367" i="1"/>
  <c r="A366" i="1"/>
  <c r="A365" i="1"/>
  <c r="A364" i="1"/>
  <c r="A363" i="1"/>
  <c r="A362" i="1"/>
  <c r="A361" i="1"/>
  <c r="AA360" i="1"/>
  <c r="A360" i="1"/>
  <c r="AA359" i="1"/>
  <c r="A359" i="1"/>
  <c r="AA358" i="1"/>
  <c r="A358" i="1"/>
  <c r="AA357" i="1"/>
  <c r="A357" i="1"/>
  <c r="X356" i="1"/>
  <c r="A356" i="1"/>
  <c r="AA355" i="1"/>
  <c r="A355" i="1"/>
  <c r="AA354" i="1"/>
  <c r="A354" i="1"/>
  <c r="X353" i="1"/>
  <c r="A353" i="1"/>
  <c r="AA352" i="1"/>
  <c r="A352" i="1"/>
  <c r="U351" i="1"/>
  <c r="A351" i="1"/>
  <c r="AA350" i="1"/>
  <c r="A350" i="1"/>
  <c r="X349" i="1"/>
  <c r="A349" i="1"/>
  <c r="AA348" i="1"/>
  <c r="A348" i="1"/>
  <c r="X347" i="1"/>
  <c r="A347" i="1"/>
  <c r="X346" i="1"/>
  <c r="A346" i="1"/>
  <c r="X345" i="1"/>
  <c r="A345" i="1"/>
  <c r="X344" i="1"/>
  <c r="A344" i="1"/>
  <c r="X343" i="1"/>
  <c r="A343" i="1"/>
  <c r="X342" i="1"/>
  <c r="A342" i="1"/>
  <c r="X341" i="1"/>
  <c r="A341" i="1"/>
  <c r="X340" i="1"/>
  <c r="A340" i="1"/>
  <c r="AA339" i="1"/>
  <c r="X339" i="1"/>
  <c r="U339" i="1"/>
  <c r="A339" i="1"/>
  <c r="AA338" i="1"/>
  <c r="X338" i="1"/>
  <c r="U338" i="1"/>
  <c r="A338" i="1"/>
  <c r="AA337" i="1"/>
  <c r="X337" i="1"/>
  <c r="U337" i="1"/>
  <c r="A337" i="1"/>
  <c r="AA336" i="1"/>
  <c r="X336" i="1"/>
  <c r="U336" i="1"/>
  <c r="A336" i="1"/>
  <c r="AA335" i="1"/>
  <c r="X335" i="1"/>
  <c r="U335" i="1"/>
  <c r="A335" i="1"/>
  <c r="AA334" i="1"/>
  <c r="X334" i="1"/>
  <c r="U334" i="1"/>
  <c r="A334" i="1"/>
  <c r="AA333" i="1"/>
  <c r="X333" i="1"/>
  <c r="U333"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T304" i="1"/>
  <c r="A304" i="1"/>
  <c r="A303" i="1"/>
  <c r="AH302" i="1"/>
  <c r="A302" i="1"/>
  <c r="A301" i="1"/>
  <c r="A300" i="1"/>
  <c r="A299" i="1"/>
  <c r="A298" i="1"/>
  <c r="A297" i="1"/>
  <c r="A296" i="1"/>
  <c r="A295" i="1"/>
  <c r="A294" i="1"/>
  <c r="A293" i="1"/>
  <c r="A292" i="1"/>
  <c r="A291" i="1"/>
  <c r="A290" i="1"/>
  <c r="A289" i="1"/>
  <c r="X288" i="1"/>
  <c r="X279" i="1"/>
  <c r="U288" i="1"/>
  <c r="U279" i="1"/>
  <c r="A288" i="1"/>
  <c r="AD287" i="1"/>
  <c r="AD279" i="1"/>
  <c r="A287" i="1"/>
  <c r="AC286" i="1"/>
  <c r="Z286" i="1"/>
  <c r="W286" i="1"/>
  <c r="T286" i="1"/>
  <c r="A286" i="1"/>
  <c r="AC285" i="1"/>
  <c r="Z285" i="1"/>
  <c r="W285" i="1"/>
  <c r="T285" i="1"/>
  <c r="A285" i="1"/>
  <c r="AC284" i="1"/>
  <c r="Z284" i="1"/>
  <c r="W284" i="1"/>
  <c r="T284" i="1"/>
  <c r="A284" i="1"/>
  <c r="A283" i="1"/>
  <c r="AF282" i="1"/>
  <c r="AC282" i="1"/>
  <c r="Z282" i="1"/>
  <c r="W282" i="1"/>
  <c r="T282" i="1"/>
  <c r="A282" i="1"/>
  <c r="AF281" i="1"/>
  <c r="AC281" i="1"/>
  <c r="Z281" i="1"/>
  <c r="W281" i="1"/>
  <c r="T281" i="1"/>
  <c r="A281" i="1"/>
  <c r="AF280" i="1"/>
  <c r="AC280" i="1"/>
  <c r="Z280" i="1"/>
  <c r="W280" i="1"/>
  <c r="T280" i="1"/>
  <c r="A280" i="1"/>
  <c r="A279" i="1"/>
  <c r="A278" i="1"/>
  <c r="A277" i="1"/>
  <c r="A276" i="1"/>
  <c r="A275" i="1"/>
  <c r="A274" i="1"/>
  <c r="A273" i="1"/>
  <c r="A272" i="1"/>
  <c r="A271" i="1"/>
  <c r="A270" i="1"/>
  <c r="A269" i="1"/>
  <c r="A268" i="1"/>
  <c r="A267" i="1"/>
  <c r="A266" i="1"/>
  <c r="A265" i="1"/>
  <c r="A264" i="1"/>
  <c r="A263" i="1"/>
  <c r="A262" i="1"/>
  <c r="A261" i="1"/>
  <c r="A260" i="1"/>
  <c r="A259" i="1"/>
  <c r="X258" i="1"/>
  <c r="X251" i="1"/>
  <c r="U258" i="1"/>
  <c r="U251" i="1"/>
  <c r="A258" i="1"/>
  <c r="AD257" i="1"/>
  <c r="AD251" i="1"/>
  <c r="A257" i="1"/>
  <c r="AC256" i="1"/>
  <c r="Z256" i="1"/>
  <c r="W256" i="1"/>
  <c r="T256" i="1"/>
  <c r="A256" i="1"/>
  <c r="AC255" i="1"/>
  <c r="Z255" i="1"/>
  <c r="W255" i="1"/>
  <c r="T255" i="1"/>
  <c r="A255" i="1"/>
  <c r="A254" i="1"/>
  <c r="AF253" i="1"/>
  <c r="AC253" i="1"/>
  <c r="Z253" i="1"/>
  <c r="W253" i="1"/>
  <c r="T253" i="1"/>
  <c r="A253" i="1"/>
  <c r="BH252" i="1"/>
  <c r="BG252" i="1"/>
  <c r="AF252" i="1"/>
  <c r="AC252" i="1"/>
  <c r="Z252" i="1"/>
  <c r="W252" i="1"/>
  <c r="T252" i="1"/>
  <c r="A252" i="1"/>
  <c r="A251" i="1"/>
  <c r="A250" i="1"/>
  <c r="A249" i="1"/>
  <c r="A248" i="1"/>
  <c r="A247" i="1"/>
  <c r="A246" i="1"/>
  <c r="A245" i="1"/>
  <c r="A244" i="1"/>
  <c r="A243" i="1"/>
  <c r="A242" i="1"/>
  <c r="A241" i="1"/>
  <c r="A240" i="1"/>
  <c r="A239" i="1"/>
  <c r="A238" i="1"/>
  <c r="A237" i="1"/>
  <c r="A236" i="1"/>
  <c r="X235" i="1"/>
  <c r="X224" i="1"/>
  <c r="U235" i="1"/>
  <c r="U224" i="1"/>
  <c r="A235" i="1"/>
  <c r="AD234" i="1"/>
  <c r="AD224" i="1"/>
  <c r="A234" i="1"/>
  <c r="AC233" i="1"/>
  <c r="Z233" i="1"/>
  <c r="W233" i="1"/>
  <c r="T233" i="1"/>
  <c r="A233" i="1"/>
  <c r="AC232" i="1"/>
  <c r="Z232" i="1"/>
  <c r="W232" i="1"/>
  <c r="T232" i="1"/>
  <c r="A232" i="1"/>
  <c r="AC231" i="1"/>
  <c r="Z231" i="1"/>
  <c r="W231" i="1"/>
  <c r="T231" i="1"/>
  <c r="A231" i="1"/>
  <c r="AC230" i="1"/>
  <c r="Z230" i="1"/>
  <c r="W230" i="1"/>
  <c r="T230" i="1"/>
  <c r="A230" i="1"/>
  <c r="A229" i="1"/>
  <c r="AF228" i="1"/>
  <c r="AC228" i="1"/>
  <c r="Z228" i="1"/>
  <c r="W228" i="1"/>
  <c r="T228" i="1"/>
  <c r="A228" i="1"/>
  <c r="AF227" i="1"/>
  <c r="AC227" i="1"/>
  <c r="Z227" i="1"/>
  <c r="W227" i="1"/>
  <c r="T227" i="1"/>
  <c r="A227" i="1"/>
  <c r="AF226" i="1"/>
  <c r="AC226" i="1"/>
  <c r="Z226" i="1"/>
  <c r="W226" i="1"/>
  <c r="T226" i="1"/>
  <c r="A226" i="1"/>
  <c r="AF225" i="1"/>
  <c r="AC225" i="1"/>
  <c r="Z225" i="1"/>
  <c r="W225" i="1"/>
  <c r="T225" i="1"/>
  <c r="A225" i="1"/>
  <c r="R224" i="1"/>
  <c r="A224" i="1"/>
  <c r="A223" i="1"/>
  <c r="A222" i="1"/>
  <c r="A221" i="1"/>
  <c r="A220" i="1"/>
  <c r="A219" i="1"/>
  <c r="A218" i="1"/>
  <c r="A217" i="1"/>
  <c r="A216" i="1"/>
  <c r="A215" i="1"/>
  <c r="A214" i="1"/>
  <c r="A213" i="1"/>
  <c r="A212" i="1"/>
  <c r="A211" i="1"/>
  <c r="AA210" i="1"/>
  <c r="AA199" i="1"/>
  <c r="X210" i="1"/>
  <c r="X199" i="1"/>
  <c r="A210" i="1"/>
  <c r="A209" i="1"/>
  <c r="A208" i="1"/>
  <c r="A207" i="1"/>
  <c r="A206" i="1"/>
  <c r="AC205" i="1"/>
  <c r="Z205" i="1"/>
  <c r="W205" i="1"/>
  <c r="T205" i="1"/>
  <c r="A205" i="1"/>
  <c r="AC204" i="1"/>
  <c r="Z204" i="1"/>
  <c r="W204" i="1"/>
  <c r="T204" i="1"/>
  <c r="A204" i="1"/>
  <c r="A203" i="1"/>
  <c r="A202" i="1"/>
  <c r="AC201" i="1"/>
  <c r="Z201" i="1"/>
  <c r="W201" i="1"/>
  <c r="T201" i="1"/>
  <c r="A201" i="1"/>
  <c r="AC200" i="1"/>
  <c r="Z200" i="1"/>
  <c r="W200" i="1"/>
  <c r="T200" i="1"/>
  <c r="A200" i="1"/>
  <c r="R199" i="1"/>
  <c r="A199" i="1"/>
  <c r="A198" i="1"/>
  <c r="A197" i="1"/>
  <c r="A196" i="1"/>
  <c r="A195" i="1"/>
  <c r="A194" i="1"/>
  <c r="A193" i="1"/>
  <c r="A192" i="1"/>
  <c r="A191" i="1"/>
  <c r="A190" i="1"/>
  <c r="A189" i="1"/>
  <c r="A188" i="1"/>
  <c r="A187" i="1"/>
  <c r="X186" i="1"/>
  <c r="X179" i="1"/>
  <c r="A186" i="1"/>
  <c r="AD185" i="1"/>
  <c r="AD179" i="1"/>
  <c r="A185" i="1"/>
  <c r="AC184" i="1"/>
  <c r="Z184" i="1"/>
  <c r="W184" i="1"/>
  <c r="T184" i="1"/>
  <c r="A184" i="1"/>
  <c r="AC183" i="1"/>
  <c r="Z183" i="1"/>
  <c r="W183" i="1"/>
  <c r="T183" i="1"/>
  <c r="A183" i="1"/>
  <c r="A182" i="1"/>
  <c r="AF181" i="1"/>
  <c r="AC181" i="1"/>
  <c r="Z181" i="1"/>
  <c r="W181" i="1"/>
  <c r="T181" i="1"/>
  <c r="A181" i="1"/>
  <c r="AF180" i="1"/>
  <c r="AC180" i="1"/>
  <c r="Z180" i="1"/>
  <c r="W180" i="1"/>
  <c r="T180" i="1"/>
  <c r="A180" i="1"/>
  <c r="R179" i="1"/>
  <c r="A179" i="1"/>
  <c r="A178" i="1"/>
  <c r="A177" i="1"/>
  <c r="A176" i="1"/>
  <c r="A175" i="1"/>
  <c r="A174" i="1"/>
  <c r="A173" i="1"/>
  <c r="A172" i="1"/>
  <c r="U171" i="1"/>
  <c r="A171" i="1"/>
  <c r="A170" i="1"/>
  <c r="A169" i="1"/>
  <c r="A168" i="1"/>
  <c r="AD167" i="1"/>
  <c r="AA167" i="1"/>
  <c r="AA158" i="1"/>
  <c r="X167" i="1"/>
  <c r="X158" i="1"/>
  <c r="U167" i="1"/>
  <c r="A167" i="1"/>
  <c r="A166" i="1"/>
  <c r="U165" i="1"/>
  <c r="A165" i="1"/>
  <c r="AD164" i="1"/>
  <c r="A164" i="1"/>
  <c r="T163" i="1"/>
  <c r="A163" i="1"/>
  <c r="T162" i="1"/>
  <c r="A162" i="1"/>
  <c r="A161" i="1"/>
  <c r="AC160" i="1"/>
  <c r="Z160" i="1"/>
  <c r="W160" i="1"/>
  <c r="T160" i="1"/>
  <c r="A160" i="1"/>
  <c r="AC159" i="1"/>
  <c r="Z159" i="1"/>
  <c r="W159" i="1"/>
  <c r="T159" i="1"/>
  <c r="A159" i="1"/>
  <c r="R158" i="1"/>
  <c r="A158" i="1"/>
  <c r="A157" i="1"/>
  <c r="A156" i="1"/>
  <c r="A155" i="1"/>
  <c r="A154" i="1"/>
  <c r="A153" i="1"/>
  <c r="A152" i="1"/>
  <c r="A151" i="1"/>
  <c r="U150" i="1"/>
  <c r="A150" i="1"/>
  <c r="A149" i="1"/>
  <c r="U148" i="1"/>
  <c r="A148" i="1"/>
  <c r="A147" i="1"/>
  <c r="A146" i="1"/>
  <c r="A145" i="1"/>
  <c r="U144" i="1"/>
  <c r="A144" i="1"/>
  <c r="AD143" i="1"/>
  <c r="AD137" i="1"/>
  <c r="A143" i="1"/>
  <c r="T142" i="1"/>
  <c r="A142" i="1"/>
  <c r="T141" i="1"/>
  <c r="A141" i="1"/>
  <c r="A140" i="1"/>
  <c r="AC139" i="1"/>
  <c r="Z139" i="1"/>
  <c r="Z137" i="1"/>
  <c r="W139" i="1"/>
  <c r="T139" i="1"/>
  <c r="A139" i="1"/>
  <c r="AC138" i="1"/>
  <c r="W138" i="1"/>
  <c r="T138" i="1"/>
  <c r="A138" i="1"/>
  <c r="R137" i="1"/>
  <c r="A137" i="1"/>
  <c r="A136" i="1"/>
  <c r="AA135" i="1"/>
  <c r="A135" i="1"/>
  <c r="AA134" i="1"/>
  <c r="A134" i="1"/>
  <c r="AA133" i="1"/>
  <c r="A133" i="1"/>
  <c r="AA132" i="1"/>
  <c r="A132" i="1"/>
  <c r="AH130" i="1"/>
  <c r="C5" i="6"/>
  <c r="D5" i="6"/>
  <c r="T131" i="1"/>
  <c r="T130" i="1"/>
  <c r="R131" i="1"/>
  <c r="A131" i="1"/>
  <c r="U130" i="1"/>
  <c r="A130" i="1"/>
  <c r="A129" i="1"/>
  <c r="A128" i="1"/>
  <c r="A127" i="1"/>
  <c r="A126" i="1"/>
  <c r="A125" i="1"/>
  <c r="A124" i="1"/>
  <c r="A123" i="1"/>
  <c r="A122" i="1"/>
  <c r="A121" i="1"/>
  <c r="A120" i="1"/>
  <c r="A119" i="1"/>
  <c r="A118" i="1"/>
  <c r="A117" i="1"/>
  <c r="A116" i="1"/>
  <c r="A115" i="1"/>
  <c r="A114" i="1"/>
  <c r="A113" i="1"/>
  <c r="A112" i="1"/>
  <c r="A111" i="1"/>
  <c r="AH110" i="1"/>
  <c r="AC110" i="1"/>
  <c r="Z110" i="1"/>
  <c r="W110" i="1"/>
  <c r="T110" i="1"/>
  <c r="A110" i="1"/>
  <c r="AC109" i="1"/>
  <c r="Z109" i="1"/>
  <c r="T109" i="1"/>
  <c r="A109" i="1"/>
  <c r="A108" i="1"/>
  <c r="A107" i="1"/>
  <c r="A106" i="1"/>
  <c r="A105" i="1"/>
  <c r="A104" i="1"/>
  <c r="A103" i="1"/>
  <c r="A102" i="1"/>
  <c r="AA101" i="1"/>
  <c r="A101" i="1"/>
  <c r="X100" i="1"/>
  <c r="A100" i="1"/>
  <c r="X99" i="1"/>
  <c r="A99" i="1"/>
  <c r="A98" i="1"/>
  <c r="U97" i="1"/>
  <c r="A97" i="1"/>
  <c r="U96" i="1"/>
  <c r="A96" i="1"/>
  <c r="U95" i="1"/>
  <c r="A95" i="1"/>
  <c r="AA94" i="1"/>
  <c r="A94" i="1"/>
  <c r="X93" i="1"/>
  <c r="A93" i="1"/>
  <c r="X92" i="1"/>
  <c r="A92" i="1"/>
  <c r="X91" i="1"/>
  <c r="A91" i="1"/>
  <c r="U90" i="1"/>
  <c r="A90" i="1"/>
  <c r="U89" i="1"/>
  <c r="A89" i="1"/>
  <c r="U88" i="1"/>
  <c r="A88" i="1"/>
  <c r="AA87" i="1"/>
  <c r="A87" i="1"/>
  <c r="X86" i="1"/>
  <c r="A86" i="1"/>
  <c r="X85" i="1"/>
  <c r="A85" i="1"/>
  <c r="X84" i="1"/>
  <c r="A84" i="1"/>
  <c r="U83" i="1"/>
  <c r="A83" i="1"/>
  <c r="U82" i="1"/>
  <c r="A82" i="1"/>
  <c r="U81" i="1"/>
  <c r="A81" i="1"/>
  <c r="A80" i="1"/>
  <c r="A79" i="1"/>
  <c r="A78" i="1"/>
  <c r="A77" i="1"/>
  <c r="A76" i="1"/>
  <c r="A75" i="1"/>
  <c r="A74" i="1"/>
  <c r="A73" i="1"/>
  <c r="A72" i="1"/>
  <c r="A71" i="1"/>
  <c r="U70" i="1"/>
  <c r="A70" i="1"/>
  <c r="U69" i="1"/>
  <c r="A69" i="1"/>
  <c r="U68" i="1"/>
  <c r="A68" i="1"/>
  <c r="U67" i="1"/>
  <c r="A67" i="1"/>
  <c r="A66" i="1"/>
  <c r="A65" i="1"/>
  <c r="A64" i="1"/>
  <c r="A63" i="1"/>
  <c r="A62" i="1"/>
  <c r="A61" i="1"/>
  <c r="A60" i="1"/>
  <c r="A59" i="1"/>
  <c r="A58" i="1"/>
  <c r="A57" i="1"/>
  <c r="A56" i="1"/>
  <c r="A55" i="1"/>
  <c r="A54" i="1"/>
  <c r="A53" i="1"/>
  <c r="AH52" i="1"/>
  <c r="AD52" i="1"/>
  <c r="AC52" i="1"/>
  <c r="Z52" i="1"/>
  <c r="T52" i="1"/>
  <c r="R52" i="1"/>
  <c r="A52" i="1"/>
  <c r="A51" i="1"/>
  <c r="A50" i="1"/>
  <c r="A49" i="1"/>
  <c r="A48" i="1"/>
  <c r="A47" i="1"/>
  <c r="A46" i="1"/>
  <c r="A45" i="1"/>
  <c r="A44" i="1"/>
  <c r="A43" i="1"/>
  <c r="A42" i="1"/>
  <c r="A41" i="1"/>
  <c r="A40" i="1"/>
  <c r="A39" i="1"/>
  <c r="A38" i="1"/>
  <c r="A37" i="1"/>
  <c r="A36" i="1"/>
  <c r="A35" i="1"/>
  <c r="A34" i="1"/>
  <c r="A33" i="1"/>
  <c r="A32" i="1"/>
  <c r="A31" i="1"/>
  <c r="A30" i="1"/>
  <c r="A29" i="1"/>
  <c r="A28" i="1"/>
  <c r="U27" i="1"/>
  <c r="A27" i="1"/>
  <c r="U26" i="1"/>
  <c r="A26" i="1"/>
  <c r="U25" i="1"/>
  <c r="A25" i="1"/>
  <c r="A24" i="1"/>
  <c r="A23" i="1"/>
  <c r="A22" i="1"/>
  <c r="A21" i="1"/>
  <c r="A20" i="1"/>
  <c r="A19" i="1"/>
  <c r="A18" i="1"/>
  <c r="AH17" i="1"/>
  <c r="AD17" i="1"/>
  <c r="AC17" i="1"/>
  <c r="AA17" i="1"/>
  <c r="Z17" i="1"/>
  <c r="X17" i="1"/>
  <c r="W17" i="1"/>
  <c r="T17" i="1"/>
  <c r="R17" i="1"/>
  <c r="A17" i="1"/>
  <c r="A16" i="1"/>
  <c r="A15" i="1"/>
  <c r="L13" i="1"/>
  <c r="W16" i="1"/>
  <c r="AC137" i="1"/>
  <c r="AA736" i="1"/>
  <c r="AA720" i="1"/>
  <c r="AH736" i="1"/>
  <c r="AH720" i="1"/>
  <c r="C11" i="6"/>
  <c r="D11" i="6"/>
  <c r="X633" i="1"/>
  <c r="AH632" i="1"/>
  <c r="AH631" i="1"/>
  <c r="C10" i="6"/>
  <c r="D10" i="6"/>
  <c r="AA539" i="1"/>
  <c r="C9" i="6"/>
  <c r="AC158" i="1"/>
  <c r="AC199" i="1"/>
  <c r="W158" i="1"/>
  <c r="AF179" i="1"/>
  <c r="AF224" i="1"/>
  <c r="W199" i="1"/>
  <c r="Z199" i="1"/>
  <c r="W251" i="1"/>
  <c r="AA1050" i="1"/>
  <c r="AC251" i="1"/>
  <c r="W137" i="1"/>
  <c r="Z158" i="1"/>
  <c r="AF251" i="1"/>
  <c r="W279" i="1"/>
  <c r="AD1050" i="1"/>
  <c r="X1340" i="1"/>
  <c r="X1316" i="1"/>
  <c r="U137" i="1"/>
  <c r="AD158" i="1"/>
  <c r="W179" i="1"/>
  <c r="AC279" i="1"/>
  <c r="U158" i="1"/>
  <c r="Z179" i="1"/>
  <c r="W224" i="1"/>
  <c r="AF279" i="1"/>
  <c r="AC179" i="1"/>
  <c r="Z224" i="1"/>
  <c r="U1050" i="1"/>
  <c r="Z279" i="1"/>
  <c r="AC224" i="1"/>
  <c r="X1050" i="1"/>
  <c r="Z251" i="1"/>
  <c r="AD1368" i="1"/>
  <c r="AD16" i="1"/>
  <c r="AD1386" i="1"/>
  <c r="AA1142" i="1"/>
  <c r="U1156" i="1"/>
  <c r="X1142" i="1"/>
  <c r="W1181" i="1"/>
  <c r="AD1359" i="1"/>
  <c r="AD1142" i="1"/>
  <c r="AD1413" i="1"/>
  <c r="AD1395" i="1"/>
  <c r="Z16" i="1"/>
  <c r="AA1122" i="1"/>
  <c r="AD1122" i="1"/>
  <c r="X1404" i="1"/>
  <c r="X1208" i="1"/>
  <c r="Z1172" i="1"/>
  <c r="X1122" i="1"/>
  <c r="AC1016" i="1"/>
  <c r="AC1014" i="1"/>
  <c r="AC1013" i="1"/>
  <c r="Z1014" i="1"/>
  <c r="Z1013" i="1"/>
  <c r="AA131" i="1"/>
  <c r="AA130" i="1"/>
  <c r="R1481" i="1"/>
  <c r="R1480" i="1"/>
  <c r="AH1368" i="1"/>
  <c r="W856" i="1"/>
  <c r="AA1400" i="1"/>
  <c r="AD720" i="1"/>
  <c r="AA1177" i="1"/>
  <c r="X351" i="1"/>
  <c r="AA1412" i="1"/>
  <c r="AA552" i="1"/>
  <c r="AH398" i="1"/>
  <c r="X548" i="1"/>
  <c r="U757" i="1"/>
  <c r="AC580" i="1"/>
  <c r="U1385" i="1"/>
  <c r="AH400" i="1"/>
  <c r="U633" i="1"/>
  <c r="X1184" i="1"/>
  <c r="U935" i="1"/>
  <c r="U934" i="1"/>
  <c r="T224" i="1"/>
  <c r="U340" i="1"/>
  <c r="AH399" i="1"/>
  <c r="AA549" i="1"/>
  <c r="U347" i="1"/>
  <c r="AA1364" i="1"/>
  <c r="AD1385" i="1"/>
  <c r="AD1377" i="1"/>
  <c r="U1231" i="1"/>
  <c r="U1226" i="1"/>
  <c r="U1372" i="1"/>
  <c r="AH401" i="1"/>
  <c r="AC1231" i="1"/>
  <c r="T251" i="1"/>
  <c r="AC1186" i="1"/>
  <c r="AC1181" i="1"/>
  <c r="AH402" i="1"/>
  <c r="X640" i="1"/>
  <c r="T1213" i="1"/>
  <c r="AD562" i="1"/>
  <c r="X635" i="1"/>
  <c r="Z1213" i="1"/>
  <c r="AH1404" i="1"/>
  <c r="AA1425" i="1"/>
  <c r="AA1422" i="1"/>
  <c r="U343" i="1"/>
  <c r="AC1213" i="1"/>
  <c r="U748" i="1"/>
  <c r="U768" i="1"/>
  <c r="AD1213" i="1"/>
  <c r="AD1208" i="1"/>
  <c r="AH1377" i="1"/>
  <c r="U353" i="1"/>
  <c r="W1012" i="1"/>
  <c r="AH1316" i="1"/>
  <c r="C24" i="6"/>
  <c r="D24" i="6"/>
  <c r="U1373" i="1"/>
  <c r="X749" i="1"/>
  <c r="AH934" i="1"/>
  <c r="C16" i="6"/>
  <c r="D16" i="6"/>
  <c r="U341" i="1"/>
  <c r="AD1205" i="1"/>
  <c r="AD1199" i="1"/>
  <c r="AA856" i="1"/>
  <c r="X882" i="1"/>
  <c r="X881" i="1"/>
  <c r="AC1220" i="1"/>
  <c r="X768" i="1"/>
  <c r="T199" i="1"/>
  <c r="T279" i="1"/>
  <c r="W1228" i="1"/>
  <c r="X637" i="1"/>
  <c r="U1213" i="1"/>
  <c r="U1421" i="1"/>
  <c r="U344" i="1"/>
  <c r="AH397" i="1"/>
  <c r="AC581" i="1"/>
  <c r="T1177" i="1"/>
  <c r="W1213" i="1"/>
  <c r="W1219" i="1"/>
  <c r="AA1372" i="1"/>
  <c r="X1421" i="1"/>
  <c r="X545" i="1"/>
  <c r="X746" i="1"/>
  <c r="U1177" i="1"/>
  <c r="U1184" i="1"/>
  <c r="U1186" i="1"/>
  <c r="X1385" i="1"/>
  <c r="X1377" i="1"/>
  <c r="U1399" i="1"/>
  <c r="AA540" i="1"/>
  <c r="X638" i="1"/>
  <c r="U751" i="1"/>
  <c r="U871" i="1"/>
  <c r="X1177" i="1"/>
  <c r="X1186" i="1"/>
  <c r="Z1211" i="1"/>
  <c r="AA1213" i="1"/>
  <c r="AA1208" i="1"/>
  <c r="X1399" i="1"/>
  <c r="U1409" i="1"/>
  <c r="R579" i="1"/>
  <c r="AC856" i="1"/>
  <c r="T1220" i="1"/>
  <c r="AD1412" i="1"/>
  <c r="AD1404" i="1"/>
  <c r="AH1428" i="1"/>
  <c r="U346" i="1"/>
  <c r="U639" i="1"/>
  <c r="U1202" i="1"/>
  <c r="W1220" i="1"/>
  <c r="AH768" i="1"/>
  <c r="C12" i="6"/>
  <c r="D12" i="6"/>
  <c r="AH881" i="1"/>
  <c r="Z1195" i="1"/>
  <c r="Z1190" i="1"/>
  <c r="X1220" i="1"/>
  <c r="U17" i="1"/>
  <c r="AD1195" i="1"/>
  <c r="Z1220" i="1"/>
  <c r="AD768" i="1"/>
  <c r="AD207" i="1"/>
  <c r="AD199" i="1"/>
  <c r="AH396" i="1"/>
  <c r="AD563" i="1"/>
  <c r="AC586" i="1"/>
  <c r="U745" i="1"/>
  <c r="U754" i="1"/>
  <c r="AH1013" i="1"/>
  <c r="C19" i="6"/>
  <c r="AH1156" i="1"/>
  <c r="C21" i="6"/>
  <c r="D21" i="6"/>
  <c r="W1195" i="1"/>
  <c r="U1211" i="1"/>
  <c r="AA1231" i="1"/>
  <c r="AA1226" i="1"/>
  <c r="AA1363" i="1"/>
  <c r="AH1386" i="1"/>
  <c r="X1394" i="1"/>
  <c r="X1386" i="1"/>
  <c r="AH1413" i="1"/>
  <c r="U349" i="1"/>
  <c r="AA439" i="1"/>
  <c r="AA443" i="1"/>
  <c r="T583" i="1"/>
  <c r="U636" i="1"/>
  <c r="X639" i="1"/>
  <c r="AH897" i="1"/>
  <c r="C14" i="6"/>
  <c r="D14" i="6"/>
  <c r="AH1422" i="1"/>
  <c r="AC583" i="1"/>
  <c r="AA636" i="1"/>
  <c r="AA639" i="1"/>
  <c r="X755" i="1"/>
  <c r="AA1408" i="1"/>
  <c r="AA1418" i="1"/>
  <c r="AH16" i="1"/>
  <c r="C4" i="6"/>
  <c r="D4" i="6"/>
  <c r="U480" i="1"/>
  <c r="X542" i="1"/>
  <c r="AA560" i="1"/>
  <c r="AD636" i="1"/>
  <c r="R728" i="1"/>
  <c r="AD1232" i="1"/>
  <c r="AD1226" i="1"/>
  <c r="X52" i="1"/>
  <c r="X16" i="1"/>
  <c r="AA440" i="1"/>
  <c r="X444" i="1"/>
  <c r="AA546" i="1"/>
  <c r="X1017" i="1"/>
  <c r="U1367" i="1"/>
  <c r="AC584" i="1"/>
  <c r="AC1214" i="1"/>
  <c r="U1222" i="1"/>
  <c r="U1217" i="1"/>
  <c r="AA1421" i="1"/>
  <c r="U1425" i="1"/>
  <c r="U1422" i="1"/>
  <c r="X539" i="1"/>
  <c r="X551" i="1"/>
  <c r="AA633" i="1"/>
  <c r="X752" i="1"/>
  <c r="U874" i="1"/>
  <c r="X1222" i="1"/>
  <c r="T1231" i="1"/>
  <c r="AA1381" i="1"/>
  <c r="AA1390" i="1"/>
  <c r="X1425" i="1"/>
  <c r="X1422" i="1"/>
  <c r="T137" i="1"/>
  <c r="X441" i="1"/>
  <c r="U477" i="1"/>
  <c r="AA543" i="1"/>
  <c r="AD633" i="1"/>
  <c r="X874" i="1"/>
  <c r="X857" i="1"/>
  <c r="AD874" i="1"/>
  <c r="AD857" i="1"/>
  <c r="AD856" i="1"/>
  <c r="W1231" i="1"/>
  <c r="U1142" i="1"/>
  <c r="T1229" i="1"/>
  <c r="X1231" i="1"/>
  <c r="U1363" i="1"/>
  <c r="X438" i="1"/>
  <c r="AA442" i="1"/>
  <c r="AH1095" i="1"/>
  <c r="C20" i="6"/>
  <c r="D20" i="6"/>
  <c r="U1122" i="1"/>
  <c r="W1192" i="1"/>
  <c r="T1195" i="1"/>
  <c r="AC1204" i="1"/>
  <c r="AC1199" i="1"/>
  <c r="W1229" i="1"/>
  <c r="Z1231" i="1"/>
  <c r="AH1359" i="1"/>
  <c r="AA1382" i="1"/>
  <c r="U1394" i="1"/>
  <c r="T179" i="1"/>
  <c r="T158" i="1"/>
  <c r="U52" i="1"/>
  <c r="AA52" i="1"/>
  <c r="AA16" i="1"/>
  <c r="AA768" i="1"/>
  <c r="X355" i="1"/>
  <c r="X358" i="1"/>
  <c r="AD635" i="1"/>
  <c r="AD637" i="1"/>
  <c r="X685" i="1"/>
  <c r="X684" i="1"/>
  <c r="X1367" i="1"/>
  <c r="X1359" i="1"/>
  <c r="AA1394" i="1"/>
  <c r="X541" i="1"/>
  <c r="X544" i="1"/>
  <c r="X547" i="1"/>
  <c r="X550" i="1"/>
  <c r="U1030" i="1"/>
  <c r="U1014" i="1"/>
  <c r="W1174" i="1"/>
  <c r="AC1177" i="1"/>
  <c r="AD1184" i="1"/>
  <c r="Z1186" i="1"/>
  <c r="Z1181" i="1"/>
  <c r="AC1196" i="1"/>
  <c r="AC1190" i="1"/>
  <c r="Z1201" i="1"/>
  <c r="W1210" i="1"/>
  <c r="Z1222" i="1"/>
  <c r="X1229" i="1"/>
  <c r="AA1367" i="1"/>
  <c r="U1412" i="1"/>
  <c r="U1417" i="1"/>
  <c r="AD564" i="1"/>
  <c r="AX637" i="1"/>
  <c r="X1030" i="1"/>
  <c r="AD1177" i="1"/>
  <c r="AD1172" i="1"/>
  <c r="AA1186" i="1"/>
  <c r="AA1181" i="1"/>
  <c r="AD1196" i="1"/>
  <c r="AA1222" i="1"/>
  <c r="AA1217" i="1"/>
  <c r="Z1229" i="1"/>
  <c r="U1390" i="1"/>
  <c r="X1417" i="1"/>
  <c r="U873" i="1"/>
  <c r="AA1030" i="1"/>
  <c r="AA1014" i="1"/>
  <c r="AC1222" i="1"/>
  <c r="AC1229" i="1"/>
  <c r="AA1417" i="1"/>
  <c r="AA347" i="1"/>
  <c r="AA349" i="1"/>
  <c r="AA351" i="1"/>
  <c r="AA353" i="1"/>
  <c r="U356" i="1"/>
  <c r="X359" i="1"/>
  <c r="U475" i="1"/>
  <c r="U478" i="1"/>
  <c r="U481" i="1"/>
  <c r="U638" i="1"/>
  <c r="U640" i="1"/>
  <c r="Z721" i="1"/>
  <c r="AH857" i="1"/>
  <c r="AD1030" i="1"/>
  <c r="AD1014" i="1"/>
  <c r="AD1186" i="1"/>
  <c r="U1195" i="1"/>
  <c r="U1190" i="1"/>
  <c r="T1204" i="1"/>
  <c r="AD1222" i="1"/>
  <c r="AD1217" i="1"/>
  <c r="U1175" i="1"/>
  <c r="AC1178" i="1"/>
  <c r="U1204" i="1"/>
  <c r="U342" i="1"/>
  <c r="U345" i="1"/>
  <c r="T582" i="1"/>
  <c r="T585" i="1"/>
  <c r="AA638" i="1"/>
  <c r="AA640" i="1"/>
  <c r="U870" i="1"/>
  <c r="X1195" i="1"/>
  <c r="X1190" i="1"/>
  <c r="W1204" i="1"/>
  <c r="W1199" i="1"/>
  <c r="T1211" i="1"/>
  <c r="U1376" i="1"/>
  <c r="U1381" i="1"/>
  <c r="U1403" i="1"/>
  <c r="U1408" i="1"/>
  <c r="X1175" i="1"/>
  <c r="X1204" i="1"/>
  <c r="X1199" i="1"/>
  <c r="X1376" i="1"/>
  <c r="X1368" i="1"/>
  <c r="X1403" i="1"/>
  <c r="U348" i="1"/>
  <c r="U350" i="1"/>
  <c r="U352" i="1"/>
  <c r="X354" i="1"/>
  <c r="X357" i="1"/>
  <c r="X360" i="1"/>
  <c r="U476" i="1"/>
  <c r="U479" i="1"/>
  <c r="U744" i="1"/>
  <c r="U747" i="1"/>
  <c r="U750" i="1"/>
  <c r="U753" i="1"/>
  <c r="U756" i="1"/>
  <c r="AA1195" i="1"/>
  <c r="AA1190" i="1"/>
  <c r="Z1204" i="1"/>
  <c r="W1211" i="1"/>
  <c r="AA1376" i="1"/>
  <c r="U1391" i="1"/>
  <c r="AH1395" i="1"/>
  <c r="AA1403" i="1"/>
  <c r="X348" i="1"/>
  <c r="X350" i="1"/>
  <c r="X352" i="1"/>
  <c r="U635" i="1"/>
  <c r="U637" i="1"/>
  <c r="AA1175" i="1"/>
  <c r="W1177" i="1"/>
  <c r="T1186" i="1"/>
  <c r="AA1204" i="1"/>
  <c r="AA1199" i="1"/>
  <c r="T1222" i="1"/>
  <c r="C8" i="6"/>
  <c r="C18" i="6"/>
  <c r="D18" i="6"/>
  <c r="D19" i="6"/>
  <c r="AA304" i="1"/>
  <c r="U304" i="1"/>
  <c r="X304" i="1"/>
  <c r="AH304" i="1"/>
  <c r="AA1404" i="1"/>
  <c r="W1190" i="1"/>
  <c r="AC1226" i="1"/>
  <c r="AF136" i="1"/>
  <c r="AF15" i="1"/>
  <c r="AF14" i="1"/>
  <c r="X1095" i="1"/>
  <c r="AA1013" i="1"/>
  <c r="AA1377" i="1"/>
  <c r="X1395" i="1"/>
  <c r="AA1095" i="1"/>
  <c r="AA1386" i="1"/>
  <c r="X1226" i="1"/>
  <c r="Z1226" i="1"/>
  <c r="AA1359" i="1"/>
  <c r="AD1013" i="1"/>
  <c r="AA1395" i="1"/>
  <c r="AD1095" i="1"/>
  <c r="U1199" i="1"/>
  <c r="AA1368" i="1"/>
  <c r="AA1413" i="1"/>
  <c r="X1217" i="1"/>
  <c r="W1172" i="1"/>
  <c r="X1413" i="1"/>
  <c r="Z1208" i="1"/>
  <c r="AD1358" i="1"/>
  <c r="AA1172" i="1"/>
  <c r="AA1171" i="1"/>
  <c r="Z1199" i="1"/>
  <c r="U1208" i="1"/>
  <c r="Z1217" i="1"/>
  <c r="W1226" i="1"/>
  <c r="W1217" i="1"/>
  <c r="X736" i="1"/>
  <c r="X720" i="1"/>
  <c r="W136" i="1"/>
  <c r="W15" i="1"/>
  <c r="AD1181" i="1"/>
  <c r="X1014" i="1"/>
  <c r="X1013" i="1"/>
  <c r="AC1208" i="1"/>
  <c r="X1181" i="1"/>
  <c r="AC579" i="1"/>
  <c r="AC136" i="1"/>
  <c r="AC15" i="1"/>
  <c r="AC1217" i="1"/>
  <c r="W1208" i="1"/>
  <c r="AD1190" i="1"/>
  <c r="X1172" i="1"/>
  <c r="AC1172" i="1"/>
  <c r="Z1012" i="1"/>
  <c r="AC1012" i="1"/>
  <c r="Z136" i="1"/>
  <c r="Z15" i="1"/>
  <c r="U1395" i="1"/>
  <c r="U1172" i="1"/>
  <c r="AD351" i="1"/>
  <c r="X632" i="1"/>
  <c r="X631" i="1"/>
  <c r="U1377" i="1"/>
  <c r="AD353" i="1"/>
  <c r="U1013" i="1"/>
  <c r="U1095" i="1"/>
  <c r="U16" i="1"/>
  <c r="T579" i="1"/>
  <c r="AH856" i="1"/>
  <c r="C13" i="6"/>
  <c r="D13" i="6"/>
  <c r="U1181" i="1"/>
  <c r="AH1358" i="1"/>
  <c r="C25" i="6"/>
  <c r="D25" i="6"/>
  <c r="X856" i="1"/>
  <c r="U1368" i="1"/>
  <c r="U1413" i="1"/>
  <c r="AD352" i="1"/>
  <c r="AD560" i="1"/>
  <c r="AD349" i="1"/>
  <c r="U1359" i="1"/>
  <c r="U736" i="1"/>
  <c r="U720" i="1"/>
  <c r="U1386" i="1"/>
  <c r="AH1012" i="1"/>
  <c r="U632" i="1"/>
  <c r="U631" i="1"/>
  <c r="AD350" i="1"/>
  <c r="AA632" i="1"/>
  <c r="AA631" i="1"/>
  <c r="U1404" i="1"/>
  <c r="AH1171" i="1"/>
  <c r="C23" i="6"/>
  <c r="U857" i="1"/>
  <c r="U856" i="1"/>
  <c r="AD347" i="1"/>
  <c r="AD348" i="1"/>
  <c r="AD632" i="1"/>
  <c r="AD631" i="1"/>
  <c r="C22" i="6"/>
  <c r="D22" i="6"/>
  <c r="D23" i="6"/>
  <c r="AD304" i="1"/>
  <c r="AA1012" i="1"/>
  <c r="X1012" i="1"/>
  <c r="AD1012" i="1"/>
  <c r="X1358" i="1"/>
  <c r="Z1171" i="1"/>
  <c r="Z1170" i="1"/>
  <c r="Z14" i="1"/>
  <c r="AA1358" i="1"/>
  <c r="AA1170" i="1"/>
  <c r="AC1171" i="1"/>
  <c r="AC1170" i="1"/>
  <c r="AC14" i="1"/>
  <c r="W1171" i="1"/>
  <c r="W1170" i="1"/>
  <c r="AD1171" i="1"/>
  <c r="AD1170" i="1"/>
  <c r="X1171" i="1"/>
  <c r="U1171" i="1"/>
  <c r="U1012" i="1"/>
  <c r="AH1170" i="1"/>
  <c r="U1358" i="1"/>
  <c r="X1170" i="1"/>
  <c r="U1170" i="1"/>
  <c r="AA136" i="1"/>
  <c r="AA15" i="1"/>
  <c r="AA14" i="1"/>
  <c r="AD136" i="1"/>
  <c r="AD15" i="1"/>
  <c r="AD14" i="1"/>
  <c r="X560" i="1"/>
  <c r="U560" i="1"/>
  <c r="U136" i="1"/>
  <c r="U15" i="1"/>
  <c r="X136" i="1"/>
  <c r="X15" i="1"/>
  <c r="X14" i="1"/>
  <c r="AH136" i="1"/>
  <c r="C6" i="6"/>
  <c r="AH15" i="1"/>
  <c r="C3" i="6"/>
  <c r="D6" i="6"/>
  <c r="C32" i="6"/>
  <c r="AH14" i="1"/>
  <c r="D3" i="6"/>
  <c r="AY1277" i="1"/>
  <c r="U1019" i="7"/>
  <c r="U1018" i="7"/>
  <c r="U1017" i="7"/>
  <c r="X987" i="7"/>
  <c r="C13" i="12"/>
  <c r="C6" i="12"/>
  <c r="C28" i="12"/>
  <c r="C27" i="12"/>
  <c r="C14" i="12"/>
  <c r="C12" i="12"/>
  <c r="C22" i="12"/>
  <c r="C17" i="12"/>
  <c r="C23" i="12"/>
  <c r="C25" i="12"/>
  <c r="C9" i="12"/>
  <c r="C21" i="12"/>
  <c r="C19" i="12"/>
  <c r="C5" i="12"/>
  <c r="C8" i="12"/>
  <c r="C10" i="12"/>
  <c r="C18" i="12"/>
  <c r="C7" i="12"/>
  <c r="C11" i="12"/>
  <c r="C20" i="12"/>
  <c r="C4" i="12"/>
  <c r="C16" i="12"/>
  <c r="C29" i="12"/>
  <c r="U1582" i="13"/>
  <c r="U212" i="13"/>
  <c r="AB294" i="13"/>
  <c r="U320" i="13"/>
  <c r="AH1157" i="13"/>
  <c r="U1581" i="13"/>
  <c r="AH106" i="13"/>
  <c r="R601" i="13"/>
  <c r="Y320" i="13"/>
  <c r="AH1076" i="13" l="1"/>
  <c r="AH1081" i="13"/>
  <c r="AH1044" i="13"/>
  <c r="AH1085" i="13"/>
  <c r="AH1061" i="13"/>
  <c r="AH1138" i="13"/>
  <c r="AH1137" i="13" s="1"/>
  <c r="AE1044" i="13"/>
  <c r="AE1043" i="13" s="1"/>
  <c r="AH212" i="13"/>
  <c r="AH191" i="13"/>
  <c r="AH169" i="13"/>
  <c r="AH147" i="13"/>
  <c r="AH1243" i="13"/>
  <c r="AH1252" i="13"/>
  <c r="AH1261" i="13"/>
  <c r="AH1270" i="13"/>
  <c r="AH1288" i="13"/>
  <c r="AH917" i="13"/>
  <c r="AH880" i="13" s="1"/>
  <c r="E3" i="6"/>
  <c r="E18" i="6"/>
  <c r="AH1170" i="13"/>
  <c r="AH921" i="13"/>
  <c r="Y880" i="13"/>
  <c r="AE880" i="13"/>
  <c r="AH796" i="13"/>
  <c r="AH792" i="13" s="1"/>
  <c r="AB880" i="13"/>
  <c r="U880" i="13"/>
  <c r="V880" i="13" s="1"/>
  <c r="AH1279" i="13"/>
  <c r="AH1297" i="13"/>
  <c r="X1552" i="13"/>
  <c r="X1551" i="13" s="1"/>
  <c r="T265" i="13"/>
  <c r="Z1552" i="13"/>
  <c r="Z1551" i="13" s="1"/>
  <c r="AI1552" i="13"/>
  <c r="AI1551" i="13" s="1"/>
  <c r="AE14" i="13"/>
  <c r="AG1552" i="13"/>
  <c r="AG1551" i="13" s="1"/>
  <c r="U1552" i="13"/>
  <c r="U1551" i="13" s="1"/>
  <c r="Y1210" i="13"/>
  <c r="AE921" i="13"/>
  <c r="AJ725" i="13"/>
  <c r="AD1387" i="13"/>
  <c r="AA921" i="13"/>
  <c r="AH793" i="13"/>
  <c r="AJ1156" i="13"/>
  <c r="Z964" i="13"/>
  <c r="AA1387" i="13"/>
  <c r="X1500" i="13"/>
  <c r="X1499" i="13" s="1"/>
  <c r="W1500" i="13"/>
  <c r="W1499" i="13" s="1"/>
  <c r="AC1552" i="13"/>
  <c r="AC1551" i="13" s="1"/>
  <c r="AJ728" i="13"/>
  <c r="AJ1060" i="13"/>
  <c r="AJ1044" i="13" s="1"/>
  <c r="AI1500" i="13"/>
  <c r="AI1499" i="13" s="1"/>
  <c r="AF1043" i="13"/>
  <c r="AJ980" i="13"/>
  <c r="AJ965" i="13" s="1"/>
  <c r="AC964" i="13"/>
  <c r="AH711" i="13"/>
  <c r="AI653" i="13"/>
  <c r="AJ713" i="13"/>
  <c r="AJ737" i="13"/>
  <c r="Y964" i="13"/>
  <c r="AD1210" i="13"/>
  <c r="AI1210" i="13"/>
  <c r="AI1387" i="13"/>
  <c r="AH1501" i="13"/>
  <c r="AH961" i="13"/>
  <c r="AH960" i="13" s="1"/>
  <c r="AJ855" i="13"/>
  <c r="AJ796" i="13" s="1"/>
  <c r="AJ1186" i="13"/>
  <c r="W1210" i="13"/>
  <c r="AJ1492" i="13"/>
  <c r="AJ1484" i="13" s="1"/>
  <c r="Z792" i="13"/>
  <c r="AJ1239" i="13"/>
  <c r="AJ1516" i="13"/>
  <c r="AJ1509" i="13" s="1"/>
  <c r="AE792" i="13"/>
  <c r="AH717" i="13"/>
  <c r="AH729" i="13"/>
  <c r="AD14" i="13"/>
  <c r="AD1552" i="13"/>
  <c r="AD1551" i="13" s="1"/>
  <c r="AJ1234" i="13"/>
  <c r="AH789" i="13"/>
  <c r="Z921" i="13"/>
  <c r="X1387" i="13"/>
  <c r="AA964" i="13"/>
  <c r="AJ716" i="13"/>
  <c r="AH723" i="13"/>
  <c r="AH735" i="13"/>
  <c r="AJ756" i="13"/>
  <c r="AJ755" i="13" s="1"/>
  <c r="AJ778" i="13"/>
  <c r="AJ757" i="13" s="1"/>
  <c r="AF880" i="13"/>
  <c r="AJ906" i="13"/>
  <c r="AJ905" i="13" s="1"/>
  <c r="X964" i="13"/>
  <c r="AC1043" i="13"/>
  <c r="AJ1355" i="13"/>
  <c r="AV1387" i="13"/>
  <c r="AH1505" i="13"/>
  <c r="AJ1508" i="13"/>
  <c r="AJ1505" i="13" s="1"/>
  <c r="AD1500" i="13"/>
  <c r="AD1499" i="13" s="1"/>
  <c r="AG1500" i="13"/>
  <c r="AG1499" i="13" s="1"/>
  <c r="AB1552" i="13"/>
  <c r="AB1551" i="13" s="1"/>
  <c r="Y1552" i="13"/>
  <c r="Y1551" i="13" s="1"/>
  <c r="Z1387" i="13"/>
  <c r="AJ600" i="13"/>
  <c r="AJ637" i="13"/>
  <c r="AI1429" i="13"/>
  <c r="U14" i="13"/>
  <c r="V14" i="13" s="1"/>
  <c r="AH708" i="13"/>
  <c r="AA880" i="13"/>
  <c r="AA1210" i="13"/>
  <c r="AJ1260" i="13"/>
  <c r="AJ1252" i="13" s="1"/>
  <c r="AA1552" i="13"/>
  <c r="AA1551" i="13" s="1"/>
  <c r="AF14" i="13"/>
  <c r="AH1163" i="13"/>
  <c r="AH664" i="13"/>
  <c r="AJ704" i="13"/>
  <c r="AJ722" i="13"/>
  <c r="AJ734" i="13"/>
  <c r="AH738" i="13"/>
  <c r="AJ795" i="13"/>
  <c r="AA792" i="13"/>
  <c r="AH856" i="13"/>
  <c r="AJ930" i="13"/>
  <c r="AJ922" i="13" s="1"/>
  <c r="X921" i="13"/>
  <c r="AJ1030" i="13"/>
  <c r="AJ1023" i="13" s="1"/>
  <c r="AG1137" i="13"/>
  <c r="AC1137" i="13"/>
  <c r="AJ1192" i="13"/>
  <c r="AJ1190" i="13" s="1"/>
  <c r="AC1242" i="13"/>
  <c r="AH1377" i="13"/>
  <c r="AA1429" i="13"/>
  <c r="AG1439" i="13"/>
  <c r="AJ1465" i="13"/>
  <c r="AJ1457" i="13" s="1"/>
  <c r="AH1535" i="13"/>
  <c r="AJ1542" i="13"/>
  <c r="AJ1535" i="13" s="1"/>
  <c r="AH1553" i="13"/>
  <c r="AE1387" i="13"/>
  <c r="AE1210" i="13"/>
  <c r="AC1429" i="13"/>
  <c r="AF964" i="13"/>
  <c r="AB964" i="13"/>
  <c r="AJ626" i="13"/>
  <c r="AJ621" i="13" s="1"/>
  <c r="AJ642" i="13"/>
  <c r="AF653" i="13"/>
  <c r="Z653" i="13"/>
  <c r="AJ698" i="13"/>
  <c r="AJ701" i="13"/>
  <c r="AH714" i="13"/>
  <c r="AJ719" i="13"/>
  <c r="AH726" i="13"/>
  <c r="AJ731" i="13"/>
  <c r="AA741" i="13"/>
  <c r="AJ752" i="13"/>
  <c r="AJ742" i="13" s="1"/>
  <c r="AJ864" i="13"/>
  <c r="AJ860" i="13" s="1"/>
  <c r="AJ899" i="13"/>
  <c r="AJ881" i="13" s="1"/>
  <c r="AH954" i="13"/>
  <c r="AJ1548" i="13"/>
  <c r="AJ1547" i="13" s="1"/>
  <c r="AE1552" i="13"/>
  <c r="AE1551" i="13" s="1"/>
  <c r="U792" i="13"/>
  <c r="V792" i="13" s="1"/>
  <c r="AH1015" i="13"/>
  <c r="AH1014" i="13" s="1"/>
  <c r="AJ1082" i="13"/>
  <c r="AJ1081" i="13" s="1"/>
  <c r="AB1137" i="13"/>
  <c r="X1210" i="13"/>
  <c r="Y1387" i="13"/>
  <c r="AJ692" i="13"/>
  <c r="AJ664" i="13" s="1"/>
  <c r="AH696" i="13"/>
  <c r="AF921" i="13"/>
  <c r="AJ585" i="13"/>
  <c r="AH609" i="13"/>
  <c r="AH615" i="13"/>
  <c r="AH633" i="13"/>
  <c r="AV1242" i="13"/>
  <c r="AH643" i="13"/>
  <c r="U921" i="13"/>
  <c r="V921" i="13" s="1"/>
  <c r="W14" i="13"/>
  <c r="AJ575" i="13"/>
  <c r="AJ620" i="13"/>
  <c r="AJ615" i="13" s="1"/>
  <c r="AJ1199" i="13"/>
  <c r="AJ1193" i="13" s="1"/>
  <c r="W792" i="13"/>
  <c r="AG964" i="13"/>
  <c r="AJ1035" i="13"/>
  <c r="AJ647" i="13"/>
  <c r="R1552" i="13"/>
  <c r="R1551" i="13" s="1"/>
  <c r="AJ1561" i="13"/>
  <c r="AH627" i="13"/>
  <c r="AI880" i="13"/>
  <c r="AI921" i="13"/>
  <c r="AV1137" i="13"/>
  <c r="AV1042" i="13" s="1"/>
  <c r="AB1210" i="13"/>
  <c r="W1242" i="13"/>
  <c r="AH1306" i="13"/>
  <c r="AA1500" i="13"/>
  <c r="AA1499" i="13" s="1"/>
  <c r="AH1543" i="13"/>
  <c r="T212" i="13"/>
  <c r="T237" i="13"/>
  <c r="AH586" i="13"/>
  <c r="AJ614" i="13"/>
  <c r="AJ609" i="13" s="1"/>
  <c r="AH702" i="13"/>
  <c r="W741" i="13"/>
  <c r="V741" i="13"/>
  <c r="AF741" i="13"/>
  <c r="AF792" i="13"/>
  <c r="AC921" i="13"/>
  <c r="W964" i="13"/>
  <c r="AJ1132" i="13"/>
  <c r="X1429" i="13"/>
  <c r="AJ1560" i="13"/>
  <c r="AJ1553" i="13" s="1"/>
  <c r="AH1166" i="13"/>
  <c r="AE1429" i="13"/>
  <c r="AJ120" i="13"/>
  <c r="AJ168" i="13"/>
  <c r="AJ147" i="13" s="1"/>
  <c r="T191" i="13"/>
  <c r="X880" i="13"/>
  <c r="AJ1189" i="13"/>
  <c r="AJ1306" i="13"/>
  <c r="AJ1410" i="13"/>
  <c r="AJ1388" i="13" s="1"/>
  <c r="AH1411" i="13"/>
  <c r="AJ1438" i="13"/>
  <c r="AJ1430" i="13" s="1"/>
  <c r="AF1429" i="13"/>
  <c r="AE1500" i="13"/>
  <c r="AE1499" i="13" s="1"/>
  <c r="AH1517" i="13"/>
  <c r="AB1500" i="13"/>
  <c r="AB1499" i="13" s="1"/>
  <c r="AJ1534" i="13"/>
  <c r="AJ1527" i="13" s="1"/>
  <c r="AJ1546" i="13"/>
  <c r="AJ1543" i="13" s="1"/>
  <c r="AJ632" i="13"/>
  <c r="AJ1143" i="13"/>
  <c r="AJ1138" i="13" s="1"/>
  <c r="T147" i="13"/>
  <c r="U1043" i="13"/>
  <c r="AG1043" i="13"/>
  <c r="W880" i="13"/>
  <c r="AH881" i="13"/>
  <c r="AE653" i="13"/>
  <c r="AE146" i="13"/>
  <c r="AH705" i="13"/>
  <c r="AF1552" i="13"/>
  <c r="AF1551" i="13" s="1"/>
  <c r="AH1561" i="13"/>
  <c r="AE1242" i="13"/>
  <c r="AE1137" i="13"/>
  <c r="AE964" i="13"/>
  <c r="AB1387" i="13"/>
  <c r="W1429" i="13"/>
  <c r="AG1430" i="13"/>
  <c r="AD1429" i="13"/>
  <c r="Y1429" i="13"/>
  <c r="AH1466" i="13"/>
  <c r="AJ1474" i="13"/>
  <c r="AJ1466" i="13" s="1"/>
  <c r="U1429" i="13"/>
  <c r="AV1429" i="13"/>
  <c r="AH1484" i="13"/>
  <c r="Y1500" i="13"/>
  <c r="Y1499" i="13" s="1"/>
  <c r="AJ1504" i="13"/>
  <c r="AJ1501" i="13" s="1"/>
  <c r="AH1509" i="13"/>
  <c r="AJ1526" i="13"/>
  <c r="AJ1517" i="13" s="1"/>
  <c r="AH1527" i="13"/>
  <c r="U1500" i="13"/>
  <c r="U1499" i="13" s="1"/>
  <c r="AI14" i="13"/>
  <c r="U964" i="13"/>
  <c r="V964" i="13" s="1"/>
  <c r="AJ1013" i="13"/>
  <c r="AJ992" i="13" s="1"/>
  <c r="AJ1034" i="13"/>
  <c r="AJ1031" i="13" s="1"/>
  <c r="Z1043" i="13"/>
  <c r="AB1043" i="13"/>
  <c r="AA1043" i="13"/>
  <c r="AI1043" i="13"/>
  <c r="AD1043" i="13"/>
  <c r="Y1043" i="13"/>
  <c r="AA1137" i="13"/>
  <c r="U1137" i="13"/>
  <c r="X1137" i="13"/>
  <c r="Z1137" i="13"/>
  <c r="W1137" i="13"/>
  <c r="AG1210" i="13"/>
  <c r="U1210" i="13"/>
  <c r="AF1210" i="13"/>
  <c r="AB1242" i="13"/>
  <c r="AJ1269" i="13"/>
  <c r="AJ1261" i="13" s="1"/>
  <c r="AJ1287" i="13"/>
  <c r="AJ1279" i="13" s="1"/>
  <c r="Z1242" i="13"/>
  <c r="AJ1305" i="13"/>
  <c r="AJ1297" i="13" s="1"/>
  <c r="AH1356" i="13"/>
  <c r="AH1372" i="13"/>
  <c r="AJ1376" i="13"/>
  <c r="AH1388" i="13"/>
  <c r="AG1387" i="13"/>
  <c r="AB1429" i="13"/>
  <c r="AH1439" i="13"/>
  <c r="AJ1447" i="13"/>
  <c r="AJ1439" i="13" s="1"/>
  <c r="AJ1448" i="13"/>
  <c r="AH1457" i="13"/>
  <c r="Z1429" i="13"/>
  <c r="AH1475" i="13"/>
  <c r="AJ1483" i="13"/>
  <c r="AJ1475" i="13" s="1"/>
  <c r="AJ1278" i="13"/>
  <c r="AJ1270" i="13" s="1"/>
  <c r="AB14" i="13"/>
  <c r="AJ710" i="13"/>
  <c r="AA15" i="13"/>
  <c r="AA14" i="13" s="1"/>
  <c r="AJ15" i="13"/>
  <c r="Z14" i="13"/>
  <c r="Y14" i="13"/>
  <c r="X14" i="13"/>
  <c r="AG14" i="13"/>
  <c r="AG880" i="13"/>
  <c r="AC880" i="13"/>
  <c r="AJ904" i="13"/>
  <c r="AJ900" i="13" s="1"/>
  <c r="AH907" i="13"/>
  <c r="AJ916" i="13"/>
  <c r="AJ907" i="13" s="1"/>
  <c r="AD921" i="13"/>
  <c r="Y921" i="13"/>
  <c r="AB921" i="13"/>
  <c r="AJ1381" i="13"/>
  <c r="T169" i="13"/>
  <c r="Z146" i="13"/>
  <c r="AJ293" i="13"/>
  <c r="AJ265" i="13" s="1"/>
  <c r="T294" i="13"/>
  <c r="AJ608" i="13"/>
  <c r="AJ601" i="13" s="1"/>
  <c r="AH638" i="13"/>
  <c r="AB653" i="13"/>
  <c r="AJ707" i="13"/>
  <c r="AI741" i="13"/>
  <c r="AG741" i="13"/>
  <c r="AJ754" i="13"/>
  <c r="AJ753" i="13" s="1"/>
  <c r="AD741" i="13"/>
  <c r="AB792" i="13"/>
  <c r="AG792" i="13"/>
  <c r="AD792" i="13"/>
  <c r="AJ1251" i="13"/>
  <c r="AJ1243" i="13" s="1"/>
  <c r="AD1242" i="13"/>
  <c r="AJ1366" i="13"/>
  <c r="AC1500" i="13"/>
  <c r="AC1499" i="13" s="1"/>
  <c r="AJ1296" i="13"/>
  <c r="AJ1288" i="13" s="1"/>
  <c r="X146" i="13"/>
  <c r="Y146" i="13"/>
  <c r="AF146" i="13"/>
  <c r="AD146" i="13"/>
  <c r="AI146" i="13"/>
  <c r="AF1387" i="13"/>
  <c r="AV146" i="13"/>
  <c r="AG146" i="13"/>
  <c r="AH648" i="13"/>
  <c r="AA653" i="13"/>
  <c r="U1387" i="13"/>
  <c r="AH1430" i="13"/>
  <c r="AH1448" i="13"/>
  <c r="AH1493" i="13"/>
  <c r="AJ320" i="13"/>
  <c r="Z880" i="13"/>
  <c r="U146" i="13"/>
  <c r="V146" i="13" s="1"/>
  <c r="AB146" i="13"/>
  <c r="AA146" i="13"/>
  <c r="AJ211" i="13"/>
  <c r="AJ191" i="13" s="1"/>
  <c r="AJ264" i="13"/>
  <c r="AJ237" i="13" s="1"/>
  <c r="AJ41" i="13"/>
  <c r="AH922" i="13"/>
  <c r="AV921" i="13"/>
  <c r="W921" i="13"/>
  <c r="AG921" i="13"/>
  <c r="AH1367" i="13"/>
  <c r="AJ1371" i="13"/>
  <c r="AH1382" i="13"/>
  <c r="AD880" i="13"/>
  <c r="AC1210" i="13"/>
  <c r="Y1242" i="13"/>
  <c r="AA1242" i="13"/>
  <c r="X1242" i="13"/>
  <c r="AG1242" i="13"/>
  <c r="U1242" i="13"/>
  <c r="AF1242" i="13"/>
  <c r="AH1361" i="13"/>
  <c r="AH781" i="13"/>
  <c r="AJ788" i="13"/>
  <c r="AJ781" i="13" s="1"/>
  <c r="X792" i="13"/>
  <c r="AI792" i="13"/>
  <c r="AC792" i="13"/>
  <c r="Y792" i="13"/>
  <c r="AH865" i="13"/>
  <c r="X1043" i="13"/>
  <c r="AJ1085" i="13"/>
  <c r="Y1137" i="13"/>
  <c r="AJ1165" i="13"/>
  <c r="AJ1163" i="13" s="1"/>
  <c r="AI1137" i="13"/>
  <c r="AF1170" i="13"/>
  <c r="AF1137" i="13" s="1"/>
  <c r="AD1137" i="13"/>
  <c r="AJ1206" i="13"/>
  <c r="AJ1203" i="13" s="1"/>
  <c r="Z1210" i="13"/>
  <c r="AJ190" i="13"/>
  <c r="AJ169" i="13" s="1"/>
  <c r="AJ1229" i="13"/>
  <c r="X741" i="13"/>
  <c r="AJ1075" i="13"/>
  <c r="W1552" i="13"/>
  <c r="W1551" i="13" s="1"/>
  <c r="AC14" i="13"/>
  <c r="AC741" i="13"/>
  <c r="W1043" i="13"/>
  <c r="AJ576" i="13"/>
  <c r="AJ586" i="13"/>
  <c r="T601" i="13"/>
  <c r="AH621" i="13"/>
  <c r="AD653" i="13"/>
  <c r="W653" i="13"/>
  <c r="X653" i="13"/>
  <c r="AH693" i="13"/>
  <c r="AC653" i="13"/>
  <c r="Y653" i="13"/>
  <c r="AH699" i="13"/>
  <c r="AG653" i="13"/>
  <c r="AJ319" i="13"/>
  <c r="AC319" i="13" s="1"/>
  <c r="AC318" i="13" s="1"/>
  <c r="AD964" i="13"/>
  <c r="AH981" i="13"/>
  <c r="AJ991" i="13"/>
  <c r="AJ981" i="13" s="1"/>
  <c r="AI964" i="13"/>
  <c r="AJ1022" i="13"/>
  <c r="AJ1016" i="13" s="1"/>
  <c r="W1387" i="13"/>
  <c r="AJ953" i="13"/>
  <c r="AJ959" i="13"/>
  <c r="AJ954" i="13" s="1"/>
  <c r="AJ1159" i="13"/>
  <c r="AJ236" i="13"/>
  <c r="AJ212" i="13" s="1"/>
  <c r="AJ695" i="13"/>
  <c r="AJ663" i="13"/>
  <c r="AJ654" i="13" s="1"/>
  <c r="W146" i="13"/>
  <c r="AJ947" i="13"/>
  <c r="AJ931" i="13" s="1"/>
  <c r="AJ859" i="13"/>
  <c r="AJ856" i="13" s="1"/>
  <c r="AF1500" i="13"/>
  <c r="AF1499" i="13" s="1"/>
  <c r="Z741" i="13"/>
  <c r="AJ1072" i="13"/>
  <c r="AJ1213" i="13"/>
  <c r="AJ1211" i="13" s="1"/>
  <c r="V140" i="13"/>
  <c r="Z1500" i="13"/>
  <c r="Z1499" i="13" s="1"/>
  <c r="AJ1360" i="13"/>
  <c r="AH1043" i="13" l="1"/>
  <c r="AH146" i="13"/>
  <c r="AH13" i="13" s="1"/>
  <c r="AH1242" i="13"/>
  <c r="AJ1144" i="13"/>
  <c r="AH1552" i="13"/>
  <c r="AH1551" i="13" s="1"/>
  <c r="AD1042" i="13"/>
  <c r="AB1042" i="13"/>
  <c r="X1241" i="13"/>
  <c r="Z1042" i="13"/>
  <c r="AE1042" i="13"/>
  <c r="AD1241" i="13"/>
  <c r="AJ1170" i="13"/>
  <c r="AJ1166" i="13" s="1"/>
  <c r="AJ1386" i="13"/>
  <c r="AE1241" i="13"/>
  <c r="AC1241" i="13"/>
  <c r="AC1042" i="13"/>
  <c r="AG1429" i="13"/>
  <c r="AG1241" i="13" s="1"/>
  <c r="AJ920" i="13"/>
  <c r="AJ917" i="13" s="1"/>
  <c r="AJ880" i="13" s="1"/>
  <c r="AV1241" i="13"/>
  <c r="AJ963" i="13"/>
  <c r="AJ961" i="13" s="1"/>
  <c r="AJ960" i="13" s="1"/>
  <c r="AA1241" i="13"/>
  <c r="Z1241" i="13"/>
  <c r="AG1042" i="13"/>
  <c r="AI1042" i="13"/>
  <c r="AJ1238" i="13"/>
  <c r="AJ653" i="13"/>
  <c r="W1042" i="13"/>
  <c r="AJ1552" i="13"/>
  <c r="AJ1551" i="13" s="1"/>
  <c r="AB1241" i="13"/>
  <c r="Y1241" i="13"/>
  <c r="AH1387" i="13"/>
  <c r="AJ1242" i="13"/>
  <c r="AJ1209" i="13"/>
  <c r="AJ1550" i="13"/>
  <c r="W1241" i="13"/>
  <c r="X13" i="13"/>
  <c r="AJ1043" i="13"/>
  <c r="AE13" i="13"/>
  <c r="AJ652" i="13"/>
  <c r="X1042" i="13"/>
  <c r="Y13" i="13"/>
  <c r="AJ1015" i="13"/>
  <c r="AJ1014" i="13" s="1"/>
  <c r="AJ741" i="13"/>
  <c r="AA13" i="13"/>
  <c r="AJ740" i="13"/>
  <c r="AB13" i="13"/>
  <c r="U1042" i="13"/>
  <c r="AG1579" i="13"/>
  <c r="AF13" i="13"/>
  <c r="AJ318" i="13"/>
  <c r="AJ791" i="13"/>
  <c r="AJ14" i="13"/>
  <c r="AA1042" i="13"/>
  <c r="AJ1500" i="13"/>
  <c r="AJ1499" i="13" s="1"/>
  <c r="AH1210" i="13"/>
  <c r="Y1042" i="13"/>
  <c r="U1241" i="13"/>
  <c r="AJ879" i="13"/>
  <c r="AJ865" i="13" s="1"/>
  <c r="AJ792" i="13" s="1"/>
  <c r="AH964" i="13"/>
  <c r="AJ921" i="13"/>
  <c r="AD13" i="13"/>
  <c r="AJ964" i="13"/>
  <c r="AG13" i="13"/>
  <c r="AJ1428" i="13"/>
  <c r="AJ1411" i="13" s="1"/>
  <c r="AJ1387" i="13" s="1"/>
  <c r="AF1042" i="13"/>
  <c r="AF1241" i="13"/>
  <c r="AH1429" i="13"/>
  <c r="AI13" i="13"/>
  <c r="AJ1131" i="13"/>
  <c r="AJ1233" i="13"/>
  <c r="U13" i="13"/>
  <c r="AC146" i="13"/>
  <c r="AC13" i="13" s="1"/>
  <c r="AJ317" i="13"/>
  <c r="AJ294" i="13" s="1"/>
  <c r="AJ1498" i="13"/>
  <c r="AJ1493" i="13" s="1"/>
  <c r="AJ1429" i="13" s="1"/>
  <c r="W13" i="13"/>
  <c r="Z13" i="13"/>
  <c r="AH1241" i="13" l="1"/>
  <c r="AJ1137" i="13"/>
  <c r="AH1042" i="13"/>
  <c r="U1576" i="13"/>
  <c r="AE1576" i="13"/>
  <c r="AJ146" i="13"/>
  <c r="AJ1237" i="13"/>
  <c r="AG1580" i="13"/>
  <c r="AG1581" i="13"/>
  <c r="AJ1241" i="13"/>
  <c r="AJ1232" i="13"/>
  <c r="AJ1225" i="13" s="1"/>
  <c r="AJ145" i="13"/>
  <c r="AJ141" i="13" s="1"/>
  <c r="AJ140" i="13" s="1"/>
  <c r="AI1243" i="13" l="1"/>
  <c r="AI1242" i="13" s="1"/>
  <c r="AI1241" i="13" s="1"/>
  <c r="AH12" i="13"/>
  <c r="AJ1235" i="13"/>
  <c r="AJ1210" i="13" s="1"/>
  <c r="AJ1042" i="13" s="1"/>
  <c r="AJ13" i="13"/>
  <c r="AH1577"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Frank Vargas</author>
    <author/>
    <author>tc={1C415A6B-7012-476F-ACC9-7865BDEE8FDF}</author>
    <author>tc={28C9434A-1957-4556-A34E-FA3AF22F6465}</author>
    <author>tc={F75854B5-8F38-49CC-A1DC-D6113CDBE9B5}</author>
    <author>tc={FD2ED71E-D517-4047-AB92-FF39918019B9}</author>
    <author>tc={861AA457-A1A7-4909-9936-1AB8F7388A09}</author>
    <author>tc={ED15D6D0-D8C8-4E90-BC7C-49222B9F8BF5}</author>
    <author>tc={CF5F3A58-9156-4952-80BE-5B5AC4785812}</author>
    <author>tc={BEDF9032-86B1-41AC-81C2-84D1BE66CF0A}</author>
  </authors>
  <commentList>
    <comment ref="K171" authorId="0" shapeId="0" xr:uid="{BADEB5D5-D629-4822-A9E8-A6589654CF3E}">
      <text>
        <r>
          <rPr>
            <b/>
            <sz val="9"/>
            <color indexed="81"/>
            <rFont val="Tahoma"/>
            <family val="2"/>
          </rPr>
          <t>Frank Vargas:</t>
        </r>
        <r>
          <rPr>
            <sz val="9"/>
            <color indexed="81"/>
            <rFont val="Tahoma"/>
            <family val="2"/>
          </rPr>
          <t xml:space="preserve">
Actividad modificada, segun cumplimiento de meta 10738 Ta.</t>
        </r>
      </text>
    </comment>
    <comment ref="R171" authorId="1" shapeId="0" xr:uid="{595C99A3-9D62-40B0-B207-B85A0D5CDA02}">
      <text>
        <r>
          <rPr>
            <sz val="10"/>
            <color rgb="FF000000"/>
            <rFont val="Arial"/>
            <family val="2"/>
          </rPr>
          <t>======
ID#AAAAK_k_5Z4
Auditor    (2020-12-22 13:07:59)
la meta son 20,000 se han esablecido 9,217.23 resta 10,783</t>
        </r>
      </text>
    </comment>
    <comment ref="K172" authorId="2" shapeId="0" xr:uid="{1C415A6B-7012-476F-ACC9-7865BDEE8FDF}">
      <text>
        <t>[Comentario encadenado]
Su versión de Excel le permite leer este comentario encadenado; sin embargo, las ediciones que se apliquen se quitarán si el archivo se abre en una versión más reciente de Excel. Más información: https://go.microsoft.com/fwlink/?linkid=870924
Comentario:
    Redistribuir la carga economica conforme la temporada de lluvia, esto para todos los PDA.</t>
      </text>
    </comment>
    <comment ref="R174" authorId="1" shapeId="0" xr:uid="{DE66F30F-F6F3-417C-B230-5FA137AA4478}">
      <text>
        <r>
          <rPr>
            <sz val="10"/>
            <color rgb="FF000000"/>
            <rFont val="Arial"/>
            <family val="2"/>
          </rPr>
          <t>======
ID#AAAAK_k_5Z4
Auditor    (2020-12-22 13:07:59)
la meta son 20,000 se han esablecido 9,217.23 resta 10,783</t>
        </r>
      </text>
    </comment>
    <comment ref="AV192" authorId="1" shapeId="0" xr:uid="{C45601F8-6722-48BF-8F7F-8AF3D3A37CD2}">
      <text>
        <r>
          <rPr>
            <sz val="10"/>
            <color rgb="FF000000"/>
            <rFont val="Arial"/>
            <family val="2"/>
          </rPr>
          <t>======
ID#AAAAK_k_5c0
Eugenia De la cruz    (2020-12-22 13:07:59)
Esta cantidad está ajustada con el 15% de mortalidad. De estas 11,286 solo se va a comprar 6,000 plantas ya que las 5,286 faltantes seran producida en los viveros de los PDA.</t>
        </r>
      </text>
    </comment>
    <comment ref="R193" authorId="1" shapeId="0" xr:uid="{3E66048C-37C9-430F-9C0E-2D92E6948221}">
      <text>
        <r>
          <rPr>
            <sz val="10"/>
            <color rgb="FF000000"/>
            <rFont val="Arial"/>
            <family val="2"/>
          </rPr>
          <t>======
ID#AAAAK_k_5bQ
Auditor    (2020-12-22 13:07:59)
La meta es 30,000 se estbalecio 26,299 resta 3,701</t>
        </r>
      </text>
    </comment>
    <comment ref="AV193" authorId="1" shapeId="0" xr:uid="{C18097E5-CE9E-4AB2-A59F-77A0608267EC}">
      <text>
        <r>
          <rPr>
            <sz val="10"/>
            <color rgb="FF000000"/>
            <rFont val="Arial"/>
            <family val="2"/>
          </rPr>
          <t>======
ID#AAAAK_k_5ZI
Eugenia De la cruz    (2020-12-22 13:07:59)ajustada a la meta de segun carmen 3701 x 16
Esta cantidad de plantas incluye el 10% de mortalidad.</t>
        </r>
      </text>
    </comment>
    <comment ref="AV194" authorId="1" shapeId="0" xr:uid="{4AFD145F-4E23-413E-A3B7-DFB5282B7F5F}">
      <text>
        <r>
          <rPr>
            <sz val="10"/>
            <color rgb="FF000000"/>
            <rFont val="Arial"/>
            <family val="2"/>
          </rPr>
          <t>======
ID#AAAAK_k_5dM
Eugenia De la cruz    (2020-12-22 13:07:59)
6 capataz a 500 pesos y 65 obreros a 450 por 22 dias de trabajo por 12 meses.</t>
        </r>
      </text>
    </comment>
    <comment ref="AV195" authorId="1" shapeId="0" xr:uid="{5E2F9C1E-7070-4919-A1A0-1AE5BAE569B3}">
      <text>
        <r>
          <rPr>
            <sz val="10"/>
            <color rgb="FF000000"/>
            <rFont val="Arial"/>
            <family val="2"/>
          </rPr>
          <t>======
ID#AAAAK_k_5e0
Eugenia De la cruz    (2020-12-22 13:07:59)
los cocteles son, abono foliar, insectisida, fungicida, abono organico.</t>
        </r>
      </text>
    </comment>
    <comment ref="R196" authorId="1" shapeId="0" xr:uid="{ACB1D23F-E5A9-4DED-9F98-99D86A3D432E}">
      <text>
        <r>
          <rPr>
            <sz val="10"/>
            <color rgb="FF000000"/>
            <rFont val="Arial"/>
            <family val="2"/>
          </rPr>
          <t>======
ID#AAAAK_k_5bQ
Auditor    (2020-12-22 13:07:59)
La meta es 30,000 se estbalecio 26,299 resta 3,701</t>
        </r>
      </text>
    </comment>
    <comment ref="AV196" authorId="1" shapeId="0" xr:uid="{61548FA3-026E-4671-B816-814CE72AFF20}">
      <text>
        <r>
          <rPr>
            <sz val="10"/>
            <color rgb="FF000000"/>
            <rFont val="Arial"/>
            <family val="2"/>
          </rPr>
          <t>======
ID#AAAAK_k_5ag
Eugenia De la cruz    (2020-12-22 13:07:59)
os cocteles son, abono foliar, insectisida, fungicida, abono organico.</t>
        </r>
      </text>
    </comment>
    <comment ref="BH266" authorId="1" shapeId="0" xr:uid="{539E2371-8DC4-436F-AEBA-786A5509FEDF}">
      <text>
        <r>
          <rPr>
            <sz val="10"/>
            <color rgb="FF000000"/>
            <rFont val="Arial"/>
            <family val="2"/>
          </rPr>
          <t>======
ID#AAAAK_k_5Y0
Eugenia De la cruz    (2020-12-22 13:07:59)
Esta cantidad está ajustada con el 15% de mortalidad. Estas plantas seran producida en los viveros de los PDA.</t>
        </r>
      </text>
    </comment>
    <comment ref="BI266" authorId="1" shapeId="0" xr:uid="{4A3ED3B3-E8C3-4DE8-8150-8C0806C431D7}">
      <text>
        <r>
          <rPr>
            <sz val="10"/>
            <color rgb="FF000000"/>
            <rFont val="Arial"/>
            <family val="2"/>
          </rPr>
          <t xml:space="preserve">======
ID#AAAAK_k_5dk
Eugenia De la cruz    (2020-12-22 13:07:59)
las plantas contratadas tienen un precio de 85 pesos e incluyen transporte y las que se van a producir en viveros de los PDA tienen un costo de 35 pesos.
</t>
        </r>
      </text>
    </comment>
    <comment ref="K335" authorId="1" shapeId="0" xr:uid="{E4058CE5-FFFF-4ABF-B5E7-F6A0F6D45A4C}">
      <text>
        <r>
          <rPr>
            <sz val="10"/>
            <color rgb="FF000000"/>
            <rFont val="Arial"/>
            <family val="2"/>
          </rPr>
          <t>======
ID#AAAAK_k_5bk
Eugenia De la cruz    (2020-12-22 13:07:59)
no seran adquirida</t>
        </r>
      </text>
    </comment>
    <comment ref="K336" authorId="1" shapeId="0" xr:uid="{64FD3046-3953-4CD0-8470-56EEF4806BD1}">
      <text>
        <r>
          <rPr>
            <sz val="10"/>
            <color rgb="FF000000"/>
            <rFont val="Arial"/>
            <family val="2"/>
          </rPr>
          <t>======
ID#AAAAK_k_5bk
Eugenia De la cruz    (2020-12-22 13:07:59)
no seran adquirida</t>
        </r>
      </text>
    </comment>
    <comment ref="K337" authorId="1" shapeId="0" xr:uid="{8C000C2B-8B4F-4FED-B7C3-D88F486BB478}">
      <text>
        <r>
          <rPr>
            <sz val="10"/>
            <color rgb="FF000000"/>
            <rFont val="Arial"/>
            <family val="2"/>
          </rPr>
          <t>======
ID#AAAAK_k_5bk
Eugenia De la cruz    (2020-12-22 13:07:59)
no seran adquirida</t>
        </r>
      </text>
    </comment>
    <comment ref="K338" authorId="1" shapeId="0" xr:uid="{B4E93512-CC0A-4512-8B74-95CA57FD3A88}">
      <text>
        <r>
          <rPr>
            <sz val="10"/>
            <color rgb="FF000000"/>
            <rFont val="Arial"/>
            <family val="2"/>
          </rPr>
          <t>======
ID#AAAAK_k_5bk
Eugenia De la cruz    (2020-12-22 13:07:59)
no seran adquirida</t>
        </r>
      </text>
    </comment>
    <comment ref="K339" authorId="1" shapeId="0" xr:uid="{2CB3858B-17CD-4D4B-8035-AA16D17680A6}">
      <text>
        <r>
          <rPr>
            <sz val="10"/>
            <color rgb="FF000000"/>
            <rFont val="Arial"/>
            <family val="2"/>
          </rPr>
          <t>======
ID#AAAAK_k_5bk
Eugenia De la cruz    (2020-12-22 13:07:59)
no seran adquirida</t>
        </r>
      </text>
    </comment>
    <comment ref="K340" authorId="1" shapeId="0" xr:uid="{9ADA13AD-B7E4-4BB7-A878-853A21D60CED}">
      <text>
        <r>
          <rPr>
            <sz val="10"/>
            <color rgb="FF000000"/>
            <rFont val="Arial"/>
            <family val="2"/>
          </rPr>
          <t>======
ID#AAAAK_k_5bk
Eugenia De la cruz    (2020-12-22 13:07:59)
no seran adquirida</t>
        </r>
      </text>
    </comment>
    <comment ref="K341" authorId="1" shapeId="0" xr:uid="{058517F9-3862-41DA-AB97-8B8A1C49C801}">
      <text>
        <r>
          <rPr>
            <sz val="10"/>
            <color rgb="FF000000"/>
            <rFont val="Arial"/>
            <family val="2"/>
          </rPr>
          <t>======
ID#AAAAK_k_5bk
Eugenia De la cruz    (2020-12-22 13:07:59)
no seran adquirida</t>
        </r>
      </text>
    </comment>
    <comment ref="K349" authorId="3" shapeId="0" xr:uid="{28C9434A-1957-4556-A34E-FA3AF22F6465}">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Catano especifcamente una estimacion de los pagos.</t>
      </text>
    </comment>
    <comment ref="K356" authorId="4" shapeId="0" xr:uid="{F75854B5-8F38-49CC-A1DC-D6113CDBE9B5}">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se refiere a Kit de herramientas y/o Plan de Cultivo</t>
      </text>
    </comment>
    <comment ref="K391" authorId="5" shapeId="0" xr:uid="{FD2ED71E-D517-4047-AB92-FF39918019B9}">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Debemos programar solo barahona para pagos de plantas, luego entre el 2do y 3er trimestre los pagos a materializar de la meta planificada en la proxima temporada de lluvia</t>
      </text>
    </comment>
    <comment ref="U477" authorId="6" shapeId="0" xr:uid="{861AA457-A1A7-4909-9936-1AB8F7388A09}">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 afinar la programacion con Paulino, para proramar el pago.</t>
      </text>
    </comment>
    <comment ref="K498" authorId="7" shapeId="0" xr:uid="{ED15D6D0-D8C8-4E90-BC7C-49222B9F8BF5}">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el contratista la entrega, es decir, estar seguros de que se materializara asi.</t>
      </text>
    </comment>
    <comment ref="AW695" authorId="8" shapeId="0" xr:uid="{CF5F3A58-9156-4952-80BE-5B5AC4785812}">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los meses anero-abril y juni/2021</t>
      </text>
    </comment>
    <comment ref="Y1245" authorId="9" shapeId="0" xr:uid="{BEDF9032-86B1-41AC-81C2-84D1BE66CF0A}">
      <text>
        <t>[Comentario encadenado]
Su versión de Excel le permite leer este comentario encadenado; sin embargo, las ediciones que se apliquen se quitarán si el archivo se abre en una versión más reciente de Excel. Más información: https://go.microsoft.com/fwlink/?linkid=870924
Comentario:
    Reubicar este recurso a  Aguacate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Frank Vargas</author>
    <author/>
    <author>tc={400CAAF1-8FAE-4DAB-BB6C-9A560E5C2DCE}</author>
    <author>tc={2A455C5C-DF43-4D63-8ECB-421E7428CD29}</author>
    <author>tc={30BDE01D-AAD0-4F93-BAF7-E4E4D52296EE}</author>
    <author>tc={52289ECF-062B-4E6C-8AA0-15A09D6A03C2}</author>
    <author>tc={552CDB69-E100-44DF-B3D5-DEC426082E12}</author>
    <author>tc={542A3137-1102-4C96-9529-AB0AD2097429}</author>
    <author>tc={9FCC26BE-821B-4D51-A90D-CEF9B327D0B3}</author>
    <author>tc={DDDCC332-524E-4B80-B81E-B84C9833BC22}</author>
    <author>tc={D972B720-D9DA-4F4F-8502-176CEE689D8B}</author>
    <author>tc={B2F5B886-9DB5-42E8-8261-A457BD7EE857}</author>
    <author>tc={561D1055-1AFB-4526-80DB-18A3659DDCD4}</author>
  </authors>
  <commentList>
    <comment ref="K160" authorId="0" shapeId="0" xr:uid="{2F41100C-B57C-47F1-85B3-CFDACAE75EEA}">
      <text>
        <r>
          <rPr>
            <b/>
            <sz val="9"/>
            <color indexed="81"/>
            <rFont val="Tahoma"/>
            <family val="2"/>
          </rPr>
          <t>Frank Vargas:</t>
        </r>
        <r>
          <rPr>
            <sz val="9"/>
            <color indexed="81"/>
            <rFont val="Tahoma"/>
            <family val="2"/>
          </rPr>
          <t xml:space="preserve">
Actividad modificada, segun cumplimiento de meta 10738 Ta.</t>
        </r>
      </text>
    </comment>
    <comment ref="R160" authorId="1" shapeId="0" xr:uid="{C454C36C-4E02-4ACC-BC1A-CAA70C9A60A0}">
      <text>
        <r>
          <rPr>
            <sz val="10"/>
            <color rgb="FF000000"/>
            <rFont val="Arial"/>
            <family val="2"/>
          </rPr>
          <t>======
ID#AAAAK_k_5Z4
Auditor    (2020-12-22 13:07:59)
la meta son 20,000 se han esablecido 9,217.23 resta 10,783</t>
        </r>
      </text>
    </comment>
    <comment ref="K161" authorId="2" shapeId="0" xr:uid="{400CAAF1-8FAE-4DAB-BB6C-9A560E5C2DCE}">
      <text>
        <t>[Comentario encadenado]
Su versión de Excel le permite leer este comentario encadenado; sin embargo, las ediciones que se apliquen se quitarán si el archivo se abre en una versión más reciente de Excel. Más información: https://go.microsoft.com/fwlink/?linkid=870924
Comentario:
    Redistribuir la carga economica conforme la temporada de lluvia, esto para todos los PDA.</t>
      </text>
    </comment>
    <comment ref="R163" authorId="1" shapeId="0" xr:uid="{ED7A0AA1-C085-4A02-A9E6-E364A6AE4D48}">
      <text>
        <r>
          <rPr>
            <sz val="10"/>
            <color rgb="FF000000"/>
            <rFont val="Arial"/>
            <family val="2"/>
          </rPr>
          <t>======
ID#AAAAK_k_5Z4
Auditor    (2020-12-22 13:07:59)
la meta son 20,000 se han esablecido 9,217.23 resta 10,783</t>
        </r>
      </text>
    </comment>
    <comment ref="K165" authorId="3" shapeId="0" xr:uid="{2A455C5C-DF43-4D63-8ECB-421E7428CD29}">
      <text>
        <t>[Comentario encadenado]
Su versión de Excel le permite leer este comentario encadenado; sin embargo, las ediciones que se apliquen se quitarán si el archivo se abre en una versión más reciente de Excel. Más información: https://go.microsoft.com/fwlink/?linkid=870924
Comentario:
    Necesitamos estar seguros de la materializacion de estas actividades, por lo tanto debemos validar con Ramon P.</t>
      </text>
    </comment>
    <comment ref="K176" authorId="4" shapeId="0" xr:uid="{30BDE01D-AAD0-4F93-BAF7-E4E4D52296EE}">
      <text>
        <t>[Comentario encadenado]
Su versión de Excel le permite leer este comentario encadenado; sin embargo, las ediciones que se apliquen se quitarán si el archivo se abre en una versión más reciente de Excel. Más información: https://go.microsoft.com/fwlink/?linkid=870924
Comentario:
    Mantener el proceso y en caso de tener una solucion con Inespre, entonces se define en el transcurso.</t>
      </text>
    </comment>
    <comment ref="AF180" authorId="1" shapeId="0" xr:uid="{A25116D5-22CC-4977-BAB9-ECC06BB9B760}">
      <text>
        <r>
          <rPr>
            <sz val="10"/>
            <color rgb="FF000000"/>
            <rFont val="Arial"/>
            <family val="2"/>
          </rPr>
          <t>======
ID#AAAAK_k_5c0
Eugenia De la cruz    (2020-12-22 13:07:59)
Esta cantidad está ajustada con el 15% de mortalidad. De estas 11,286 solo se va a comprar 6,000 plantas ya que las 5,286 faltantes seran producida en los viveros de los PDA.</t>
        </r>
      </text>
    </comment>
    <comment ref="R181" authorId="1" shapeId="0" xr:uid="{D966B10F-B600-457F-921C-5A8783D7BA98}">
      <text>
        <r>
          <rPr>
            <sz val="10"/>
            <color rgb="FF000000"/>
            <rFont val="Arial"/>
            <family val="2"/>
          </rPr>
          <t>======
ID#AAAAK_k_5bQ
Auditor    (2020-12-22 13:07:59)
La meta es 30,000 se estbalecio 26,299 resta 3,701</t>
        </r>
      </text>
    </comment>
    <comment ref="AF181" authorId="1" shapeId="0" xr:uid="{14E0C8AA-73C9-423A-A395-5B606BB9C865}">
      <text>
        <r>
          <rPr>
            <sz val="10"/>
            <color rgb="FF000000"/>
            <rFont val="Arial"/>
            <family val="2"/>
          </rPr>
          <t>======
ID#AAAAK_k_5ZI
Eugenia De la cruz    (2020-12-22 13:07:59)ajustada a la meta de segun carmen 3701 x 16
Esta cantidad de plantas incluye el 10% de mortalidad.</t>
        </r>
      </text>
    </comment>
    <comment ref="AF182" authorId="1" shapeId="0" xr:uid="{06C9E7DA-01D4-4DAA-8532-6B7057C5A818}">
      <text>
        <r>
          <rPr>
            <sz val="10"/>
            <color rgb="FF000000"/>
            <rFont val="Arial"/>
            <family val="2"/>
          </rPr>
          <t>======
ID#AAAAK_k_5dM
Eugenia De la cruz    (2020-12-22 13:07:59)
6 capataz a 500 pesos y 65 obreros a 450 por 22 dias de trabajo por 12 meses.</t>
        </r>
      </text>
    </comment>
    <comment ref="AF183" authorId="1" shapeId="0" xr:uid="{BC4960B9-46FE-453E-8247-3A52C1F5E888}">
      <text>
        <r>
          <rPr>
            <sz val="10"/>
            <color rgb="FF000000"/>
            <rFont val="Arial"/>
            <family val="2"/>
          </rPr>
          <t>======
ID#AAAAK_k_5e0
Eugenia De la cruz    (2020-12-22 13:07:59)
los cocteles son, abono foliar, insectisida, fungicida, abono organico.</t>
        </r>
      </text>
    </comment>
    <comment ref="R184" authorId="1" shapeId="0" xr:uid="{CBC2EDDA-C1CB-47E2-822B-543D076B59FB}">
      <text>
        <r>
          <rPr>
            <sz val="10"/>
            <color rgb="FF000000"/>
            <rFont val="Arial"/>
            <family val="2"/>
          </rPr>
          <t>======
ID#AAAAK_k_5bQ
Auditor    (2020-12-22 13:07:59)
La meta es 30,000 se estbalecio 26,299 resta 3,701</t>
        </r>
      </text>
    </comment>
    <comment ref="AF184" authorId="1" shapeId="0" xr:uid="{DD400909-6DB2-4228-A468-383078C7E0BC}">
      <text>
        <r>
          <rPr>
            <sz val="10"/>
            <color rgb="FF000000"/>
            <rFont val="Arial"/>
            <family val="2"/>
          </rPr>
          <t>======
ID#AAAAK_k_5ag
Eugenia De la cruz    (2020-12-22 13:07:59)
os cocteles son, abono foliar, insectisida, fungicida, abono organico.</t>
        </r>
      </text>
    </comment>
    <comment ref="BG252" authorId="1" shapeId="0" xr:uid="{4F89B570-CF4A-43B6-8178-39646389D3CE}">
      <text>
        <r>
          <rPr>
            <sz val="10"/>
            <color rgb="FF000000"/>
            <rFont val="Arial"/>
            <family val="2"/>
          </rPr>
          <t>======
ID#AAAAK_k_5Y0
Eugenia De la cruz    (2020-12-22 13:07:59)
Esta cantidad está ajustada con el 15% de mortalidad. Estas plantas seran producida en los viveros de los PDA.</t>
        </r>
      </text>
    </comment>
    <comment ref="BH252" authorId="1" shapeId="0" xr:uid="{9BB3BF98-4248-46B5-81B5-380C55E50E92}">
      <text>
        <r>
          <rPr>
            <sz val="10"/>
            <color rgb="FF000000"/>
            <rFont val="Arial"/>
            <family val="2"/>
          </rPr>
          <t xml:space="preserve">======
ID#AAAAK_k_5dk
Eugenia De la cruz    (2020-12-22 13:07:59)
las plantas contratadas tienen un precio de 85 pesos e incluyen transporte y las que se van a producir en viveros de los PDA tienen un costo de 35 pesos.
</t>
        </r>
      </text>
    </comment>
    <comment ref="K319" authorId="1" shapeId="0" xr:uid="{3C756DBD-8908-4801-A74F-5E39C7717CC7}">
      <text>
        <r>
          <rPr>
            <sz val="10"/>
            <color rgb="FF000000"/>
            <rFont val="Arial"/>
            <family val="2"/>
          </rPr>
          <t>======
ID#AAAAK_k_5bk
Eugenia De la cruz    (2020-12-22 13:07:59)
no seran adquirida</t>
        </r>
      </text>
    </comment>
    <comment ref="K320" authorId="1" shapeId="0" xr:uid="{E25F47FD-BC7F-499E-82FA-B859E58CCC78}">
      <text>
        <r>
          <rPr>
            <sz val="10"/>
            <color rgb="FF000000"/>
            <rFont val="Arial"/>
            <family val="2"/>
          </rPr>
          <t>======
ID#AAAAK_k_5bk
Eugenia De la cruz    (2020-12-22 13:07:59)
no seran adquirida</t>
        </r>
      </text>
    </comment>
    <comment ref="K321" authorId="1" shapeId="0" xr:uid="{80A5C0C2-838C-4FB5-9CCD-608FC40DF551}">
      <text>
        <r>
          <rPr>
            <sz val="10"/>
            <color rgb="FF000000"/>
            <rFont val="Arial"/>
            <family val="2"/>
          </rPr>
          <t>======
ID#AAAAK_k_5bk
Eugenia De la cruz    (2020-12-22 13:07:59)
no seran adquirida</t>
        </r>
      </text>
    </comment>
    <comment ref="K322" authorId="1" shapeId="0" xr:uid="{DD08CD74-A6E4-4CEB-8764-DFE746949B7B}">
      <text>
        <r>
          <rPr>
            <sz val="10"/>
            <color rgb="FF000000"/>
            <rFont val="Arial"/>
            <family val="2"/>
          </rPr>
          <t>======
ID#AAAAK_k_5bk
Eugenia De la cruz    (2020-12-22 13:07:59)
no seran adquirida</t>
        </r>
      </text>
    </comment>
    <comment ref="K323" authorId="1" shapeId="0" xr:uid="{19889A75-A564-482E-9EE7-16DA610455B9}">
      <text>
        <r>
          <rPr>
            <sz val="10"/>
            <color rgb="FF000000"/>
            <rFont val="Arial"/>
            <family val="2"/>
          </rPr>
          <t>======
ID#AAAAK_k_5bk
Eugenia De la cruz    (2020-12-22 13:07:59)
no seran adquirida</t>
        </r>
      </text>
    </comment>
    <comment ref="K324" authorId="1" shapeId="0" xr:uid="{1BA663B0-11D1-4690-A32C-36168775EA57}">
      <text>
        <r>
          <rPr>
            <sz val="10"/>
            <color rgb="FF000000"/>
            <rFont val="Arial"/>
            <family val="2"/>
          </rPr>
          <t>======
ID#AAAAK_k_5bk
Eugenia De la cruz    (2020-12-22 13:07:59)
no seran adquirida</t>
        </r>
      </text>
    </comment>
    <comment ref="K325" authorId="1" shapeId="0" xr:uid="{E8637797-1753-4FC4-BD3B-4B9635F05EFE}">
      <text>
        <r>
          <rPr>
            <sz val="10"/>
            <color rgb="FF000000"/>
            <rFont val="Arial"/>
            <family val="2"/>
          </rPr>
          <t>======
ID#AAAAK_k_5bk
Eugenia De la cruz    (2020-12-22 13:07:59)
no seran adquirida</t>
        </r>
      </text>
    </comment>
    <comment ref="K333" authorId="5" shapeId="0" xr:uid="{52289ECF-062B-4E6C-8AA0-15A09D6A03C2}">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Catano especifcamente una estimacion de los pagos.</t>
      </text>
    </comment>
    <comment ref="K340" authorId="6" shapeId="0" xr:uid="{552CDB69-E100-44DF-B3D5-DEC426082E12}">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se refiere a Kit de herramientas y/o Plan de Cultivo</t>
      </text>
    </comment>
    <comment ref="K375" authorId="7" shapeId="0" xr:uid="{542A3137-1102-4C96-9529-AB0AD2097429}">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Debemos programar solo barahona para pagos de plantas, luego entre el 2do y 3er trimestre los pagos a materializar de la meta planificada en la proxima temporada de lluvia</t>
      </text>
    </comment>
    <comment ref="U461" authorId="8" shapeId="0" xr:uid="{9FCC26BE-821B-4D51-A90D-CEF9B327D0B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 afinar la programacion con Paulino, para proramar el pago.</t>
      </text>
    </comment>
    <comment ref="K482" authorId="9" shapeId="0" xr:uid="{DDDCC332-524E-4B80-B81E-B84C9833BC22}">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el contratista la entrega, es decir, estar seguros de que se materializara asi.</t>
      </text>
    </comment>
    <comment ref="K633" authorId="10" shapeId="0" xr:uid="{D972B720-D9DA-4F4F-8502-176CEE689D8B}">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la diferencia entre estos viaticos vs lo indicados en las fila mas abajo</t>
      </text>
    </comment>
    <comment ref="AV674" authorId="11" shapeId="0" xr:uid="{B2F5B886-9DB5-42E8-8261-A457BD7EE857}">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los meses anero-abril y juni/2021</t>
      </text>
    </comment>
    <comment ref="X1174" authorId="12" shapeId="0" xr:uid="{561D1055-1AFB-4526-80DB-18A3659DDCD4}">
      <text>
        <t>[Comentario encadenado]
Su versión de Excel le permite leer este comentario encadenado; sin embargo, las ediciones que se apliquen se quitarán si el archivo se abre en una versión más reciente de Excel. Más información: https://go.microsoft.com/fwlink/?linkid=870924
Comentario:
    Reubicar este recurso a  Aguacate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Frank Vargas</author>
    <author/>
    <author>tc={B680ED80-C83D-4B1A-A6C1-6FC876072834}</author>
    <author>tc={E000E006-AD0D-4C13-BF3D-E41E7DB9D516}</author>
    <author>tc={5EB5C0D6-99D6-4213-AB41-DB58AFD9DB3F}</author>
    <author>tc={9B5774C7-E1EC-41E8-A6DE-103B74B32DB8}</author>
    <author>tc={013908A5-DE30-4655-B5B6-2D9655C9F026}</author>
    <author>tc={415366CE-E8CB-4D0F-91D5-9A5AB652ED41}</author>
    <author>tc={82CB0B69-BE6F-4ED0-88E1-A417DB569170}</author>
    <author>tc={42AEB585-0F7C-4020-A9BD-DCA07A8D72BD}</author>
    <author>tc={DB101E22-261C-4F7D-A9B6-9C44EB98637C}</author>
    <author>tc={DE7B1443-CB7F-4B6F-9E57-A5D13FBFC1DA}</author>
  </authors>
  <commentList>
    <comment ref="K161" authorId="0" shapeId="0" xr:uid="{144DA17F-CAA1-4808-908E-AE46F7B50F9D}">
      <text>
        <r>
          <rPr>
            <b/>
            <sz val="9"/>
            <color indexed="81"/>
            <rFont val="Tahoma"/>
            <family val="2"/>
          </rPr>
          <t>Frank Vargas:</t>
        </r>
        <r>
          <rPr>
            <sz val="9"/>
            <color indexed="81"/>
            <rFont val="Tahoma"/>
            <family val="2"/>
          </rPr>
          <t xml:space="preserve">
Actividad modificada, segun cumplimiento de meta 10738 Ta.</t>
        </r>
      </text>
    </comment>
    <comment ref="R161" authorId="1" shapeId="0" xr:uid="{C7FC5F75-1A79-4F9F-BDE7-209A4D66158F}">
      <text>
        <r>
          <rPr>
            <sz val="10"/>
            <color rgb="FF000000"/>
            <rFont val="Arial"/>
            <family val="2"/>
          </rPr>
          <t>======
ID#AAAAK_k_5Z4
Auditor    (2020-12-22 13:07:59)
la meta son 20,000 se han esablecido 9,217.23 resta 10,783</t>
        </r>
      </text>
    </comment>
    <comment ref="K162" authorId="2" shapeId="0" xr:uid="{B680ED80-C83D-4B1A-A6C1-6FC876072834}">
      <text>
        <t>[Comentario encadenado]
Su versión de Excel le permite leer este comentario encadenado; sin embargo, las ediciones que se apliquen se quitarán si el archivo se abre en una versión más reciente de Excel. Más información: https://go.microsoft.com/fwlink/?linkid=870924
Comentario:
    Redistribuir la carga economica conforme la temporada de lluvia, esto para todos los PDA.</t>
      </text>
    </comment>
    <comment ref="R164" authorId="1" shapeId="0" xr:uid="{21457F01-FD7C-40C2-95D5-760FCD04B5EE}">
      <text>
        <r>
          <rPr>
            <sz val="10"/>
            <color rgb="FF000000"/>
            <rFont val="Arial"/>
            <family val="2"/>
          </rPr>
          <t>======
ID#AAAAK_k_5Z4
Auditor    (2020-12-22 13:07:59)
la meta son 20,000 se han esablecido 9,217.23 resta 10,783</t>
        </r>
      </text>
    </comment>
    <comment ref="K167" authorId="3" shapeId="0" xr:uid="{E000E006-AD0D-4C13-BF3D-E41E7DB9D516}">
      <text>
        <t>[Comentario encadenado]
Su versión de Excel le permite leer este comentario encadenado; sin embargo, las ediciones que se apliquen se quitarán si el archivo se abre en una versión más reciente de Excel. Más información: https://go.microsoft.com/fwlink/?linkid=870924
Comentario:
    Necesitamos estar seguros de la materializacion de estas actividades, por lo tanto debemos validar con Ramon P.</t>
      </text>
    </comment>
    <comment ref="K178" authorId="4" shapeId="0" xr:uid="{5EB5C0D6-99D6-4213-AB41-DB58AFD9DB3F}">
      <text>
        <t>[Comentario encadenado]
Su versión de Excel le permite leer este comentario encadenado; sin embargo, las ediciones que se apliquen se quitarán si el archivo se abre en una versión más reciente de Excel. Más información: https://go.microsoft.com/fwlink/?linkid=870924
Comentario:
    Mantener el proceso y en caso de tener una solucion con Inespre, entonces se define en el transcurso.</t>
      </text>
    </comment>
    <comment ref="AF182" authorId="1" shapeId="0" xr:uid="{89A71D7B-6486-4D2A-BEDF-D3064C80102F}">
      <text>
        <r>
          <rPr>
            <sz val="10"/>
            <color rgb="FF000000"/>
            <rFont val="Arial"/>
            <family val="2"/>
          </rPr>
          <t>======
ID#AAAAK_k_5c0
Eugenia De la cruz    (2020-12-22 13:07:59)
Esta cantidad está ajustada con el 15% de mortalidad. De estas 11,286 solo se va a comprar 6,000 plantas ya que las 5,286 faltantes seran producida en los viveros de los PDA.</t>
        </r>
      </text>
    </comment>
    <comment ref="R183" authorId="1" shapeId="0" xr:uid="{882E9D70-CEEC-4C60-932E-08272F34C0C7}">
      <text>
        <r>
          <rPr>
            <sz val="10"/>
            <color rgb="FF000000"/>
            <rFont val="Arial"/>
            <family val="2"/>
          </rPr>
          <t>======
ID#AAAAK_k_5bQ
Auditor    (2020-12-22 13:07:59)
La meta es 30,000 se estbalecio 26,299 resta 3,701</t>
        </r>
      </text>
    </comment>
    <comment ref="AF183" authorId="1" shapeId="0" xr:uid="{01D3AFA2-3651-4E89-8598-2F6C4D1B0346}">
      <text>
        <r>
          <rPr>
            <sz val="10"/>
            <color rgb="FF000000"/>
            <rFont val="Arial"/>
            <family val="2"/>
          </rPr>
          <t>======
ID#AAAAK_k_5ZI
Eugenia De la cruz    (2020-12-22 13:07:59)ajustada a la meta de segun carmen 3701 x 16
Esta cantidad de plantas incluye el 10% de mortalidad.</t>
        </r>
      </text>
    </comment>
    <comment ref="AF184" authorId="1" shapeId="0" xr:uid="{375ADE21-385B-4E75-BA61-8C723C9DB586}">
      <text>
        <r>
          <rPr>
            <sz val="10"/>
            <color rgb="FF000000"/>
            <rFont val="Arial"/>
            <family val="2"/>
          </rPr>
          <t>======
ID#AAAAK_k_5dM
Eugenia De la cruz    (2020-12-22 13:07:59)
6 capataz a 500 pesos y 65 obreros a 450 por 22 dias de trabajo por 12 meses.</t>
        </r>
      </text>
    </comment>
    <comment ref="AF185" authorId="1" shapeId="0" xr:uid="{62C6BE72-7EB9-4F3B-A33D-DCAB7CED17AE}">
      <text>
        <r>
          <rPr>
            <sz val="10"/>
            <color rgb="FF000000"/>
            <rFont val="Arial"/>
            <family val="2"/>
          </rPr>
          <t>======
ID#AAAAK_k_5e0
Eugenia De la cruz    (2020-12-22 13:07:59)
los cocteles son, abono foliar, insectisida, fungicida, abono organico.</t>
        </r>
      </text>
    </comment>
    <comment ref="R186" authorId="1" shapeId="0" xr:uid="{410A2F5C-12A1-4245-903B-B8F0D506D89D}">
      <text>
        <r>
          <rPr>
            <sz val="10"/>
            <color rgb="FF000000"/>
            <rFont val="Arial"/>
            <family val="2"/>
          </rPr>
          <t>======
ID#AAAAK_k_5bQ
Auditor    (2020-12-22 13:07:59)
La meta es 30,000 se estbalecio 26,299 resta 3,701</t>
        </r>
      </text>
    </comment>
    <comment ref="AF186" authorId="1" shapeId="0" xr:uid="{F3B8ABC6-C252-4B66-B0E5-028B66DD2B9C}">
      <text>
        <r>
          <rPr>
            <sz val="10"/>
            <color rgb="FF000000"/>
            <rFont val="Arial"/>
            <family val="2"/>
          </rPr>
          <t>======
ID#AAAAK_k_5ag
Eugenia De la cruz    (2020-12-22 13:07:59)
os cocteles son, abono foliar, insectisida, fungicida, abono organico.</t>
        </r>
      </text>
    </comment>
    <comment ref="BG256" authorId="1" shapeId="0" xr:uid="{341B22BE-F610-48F3-8E9A-273B4BB55EFC}">
      <text>
        <r>
          <rPr>
            <sz val="10"/>
            <color rgb="FF000000"/>
            <rFont val="Arial"/>
            <family val="2"/>
          </rPr>
          <t>======
ID#AAAAK_k_5Y0
Eugenia De la cruz    (2020-12-22 13:07:59)
Esta cantidad está ajustada con el 15% de mortalidad. Estas plantas seran producida en los viveros de los PDA.</t>
        </r>
      </text>
    </comment>
    <comment ref="BH256" authorId="1" shapeId="0" xr:uid="{7D48CC95-AD1C-4838-96C1-2FED712F8876}">
      <text>
        <r>
          <rPr>
            <sz val="10"/>
            <color rgb="FF000000"/>
            <rFont val="Arial"/>
            <family val="2"/>
          </rPr>
          <t xml:space="preserve">======
ID#AAAAK_k_5dk
Eugenia De la cruz    (2020-12-22 13:07:59)
las plantas contratadas tienen un precio de 85 pesos e incluyen transporte y las que se van a producir en viveros de los PDA tienen un costo de 35 pesos.
</t>
        </r>
      </text>
    </comment>
    <comment ref="K325" authorId="1" shapeId="0" xr:uid="{9081DE3F-7417-46B9-9591-76E667ED0CE3}">
      <text>
        <r>
          <rPr>
            <sz val="10"/>
            <color rgb="FF000000"/>
            <rFont val="Arial"/>
            <family val="2"/>
          </rPr>
          <t>======
ID#AAAAK_k_5bk
Eugenia De la cruz    (2020-12-22 13:07:59)
no seran adquirida</t>
        </r>
      </text>
    </comment>
    <comment ref="K326" authorId="1" shapeId="0" xr:uid="{1FA033F0-1557-4DF6-ADED-0320EFBA278E}">
      <text>
        <r>
          <rPr>
            <sz val="10"/>
            <color rgb="FF000000"/>
            <rFont val="Arial"/>
            <family val="2"/>
          </rPr>
          <t>======
ID#AAAAK_k_5bk
Eugenia De la cruz    (2020-12-22 13:07:59)
no seran adquirida</t>
        </r>
      </text>
    </comment>
    <comment ref="K327" authorId="1" shapeId="0" xr:uid="{E7F29B75-6A6A-43B4-AF1D-D57850FACFB8}">
      <text>
        <r>
          <rPr>
            <sz val="10"/>
            <color rgb="FF000000"/>
            <rFont val="Arial"/>
            <family val="2"/>
          </rPr>
          <t>======
ID#AAAAK_k_5bk
Eugenia De la cruz    (2020-12-22 13:07:59)
no seran adquirida</t>
        </r>
      </text>
    </comment>
    <comment ref="K328" authorId="1" shapeId="0" xr:uid="{986288A6-8C69-46EF-8A05-D68C91AA3063}">
      <text>
        <r>
          <rPr>
            <sz val="10"/>
            <color rgb="FF000000"/>
            <rFont val="Arial"/>
            <family val="2"/>
          </rPr>
          <t>======
ID#AAAAK_k_5bk
Eugenia De la cruz    (2020-12-22 13:07:59)
no seran adquirida</t>
        </r>
      </text>
    </comment>
    <comment ref="K329" authorId="1" shapeId="0" xr:uid="{32C7E17E-81F8-44EC-BDA5-77F7119B7567}">
      <text>
        <r>
          <rPr>
            <sz val="10"/>
            <color rgb="FF000000"/>
            <rFont val="Arial"/>
            <family val="2"/>
          </rPr>
          <t>======
ID#AAAAK_k_5bk
Eugenia De la cruz    (2020-12-22 13:07:59)
no seran adquirida</t>
        </r>
      </text>
    </comment>
    <comment ref="K330" authorId="1" shapeId="0" xr:uid="{72D56832-2D94-4A0F-95B4-2184B0E746C9}">
      <text>
        <r>
          <rPr>
            <sz val="10"/>
            <color rgb="FF000000"/>
            <rFont val="Arial"/>
            <family val="2"/>
          </rPr>
          <t>======
ID#AAAAK_k_5bk
Eugenia De la cruz    (2020-12-22 13:07:59)
no seran adquirida</t>
        </r>
      </text>
    </comment>
    <comment ref="K331" authorId="1" shapeId="0" xr:uid="{72B824A6-32B9-44D4-8374-B004E8DA639F}">
      <text>
        <r>
          <rPr>
            <sz val="10"/>
            <color rgb="FF000000"/>
            <rFont val="Arial"/>
            <family val="2"/>
          </rPr>
          <t>======
ID#AAAAK_k_5bk
Eugenia De la cruz    (2020-12-22 13:07:59)
no seran adquirida</t>
        </r>
      </text>
    </comment>
    <comment ref="K339" authorId="5" shapeId="0" xr:uid="{9B5774C7-E1EC-41E8-A6DE-103B74B32DB8}">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Catano especifcamente una estimacion de los pagos.</t>
      </text>
    </comment>
    <comment ref="K346" authorId="6" shapeId="0" xr:uid="{013908A5-DE30-4655-B5B6-2D9655C9F026}">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se refiere a Kit de herramientas y/o Plan de Cultivo</t>
      </text>
    </comment>
    <comment ref="K381" authorId="7" shapeId="0" xr:uid="{415366CE-E8CB-4D0F-91D5-9A5AB652ED41}">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Debemos programar solo barahona para pagos de plantas, luego entre el 2do y 3er trimestre los pagos a materializar de la meta planificada en la proxima temporada de lluvia</t>
      </text>
    </comment>
    <comment ref="U467" authorId="8" shapeId="0" xr:uid="{82CB0B69-BE6F-4ED0-88E1-A417DB56917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 afinar la programacion con Paulino, para proramar el pago.</t>
      </text>
    </comment>
    <comment ref="K488" authorId="9" shapeId="0" xr:uid="{42AEB585-0F7C-4020-A9BD-DCA07A8D72BD}">
      <text>
        <t>[Comentario encadenado]
Su versión de Excel le permite leer este comentario encadenado; sin embargo, las ediciones que se apliquen se quitarán si el archivo se abre en una versión más reciente de Excel. Más información: https://go.microsoft.com/fwlink/?linkid=870924
Comentario:
    Afinar con el contratista la entrega, es decir, estar seguros de que se materializara asi.</t>
      </text>
    </comment>
    <comment ref="AV679" authorId="10" shapeId="0" xr:uid="{DB101E22-261C-4F7D-A9B6-9C44EB98637C}">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los meses anero-abril y juni/2021</t>
      </text>
    </comment>
    <comment ref="X1179" authorId="11" shapeId="0" xr:uid="{DE7B1443-CB7F-4B6F-9E57-A5D13FBFC1DA}">
      <text>
        <t>[Comentario encadenado]
Su versión de Excel le permite leer este comentario encadenado; sin embargo, las ediciones que se apliquen se quitarán si el archivo se abre en una versión más reciente de Excel. Más información: https://go.microsoft.com/fwlink/?linkid=870924
Comentario:
    Reubicar este recurso a  Aguacate</t>
      </text>
    </comment>
  </commentList>
</comments>
</file>

<file path=xl/sharedStrings.xml><?xml version="1.0" encoding="utf-8"?>
<sst xmlns="http://schemas.openxmlformats.org/spreadsheetml/2006/main" count="31996" uniqueCount="2873">
  <si>
    <t>Programa de Desarrollo Forestal Sostenible 
Plan Operativo Anual 2021
(POA)</t>
  </si>
  <si>
    <t>`</t>
  </si>
  <si>
    <t xml:space="preserve">Gestión del Alcance </t>
  </si>
  <si>
    <t>Primer Trimestre</t>
  </si>
  <si>
    <t>Segundo Trimestre</t>
  </si>
  <si>
    <t>Tercer Trimestre</t>
  </si>
  <si>
    <t>Cuarto Trimestre</t>
  </si>
  <si>
    <t>Cód. Combinado</t>
  </si>
  <si>
    <t xml:space="preserve">Cód. Componente </t>
  </si>
  <si>
    <t>Cód. Producto</t>
  </si>
  <si>
    <t>Cód. Resultado</t>
  </si>
  <si>
    <t>Cód. Subproducto</t>
  </si>
  <si>
    <t>Cód. Actividad</t>
  </si>
  <si>
    <t>Cód. Proyecto</t>
  </si>
  <si>
    <t>Componente</t>
  </si>
  <si>
    <t>Producto</t>
  </si>
  <si>
    <t>Subproducto</t>
  </si>
  <si>
    <t xml:space="preserve">Área Responsable </t>
  </si>
  <si>
    <t>Entregable/ Medio de Verificación</t>
  </si>
  <si>
    <t>Persona Responsable</t>
  </si>
  <si>
    <t xml:space="preserve">Involucrados </t>
  </si>
  <si>
    <t>Inicio planificado</t>
  </si>
  <si>
    <t>Fin planificado</t>
  </si>
  <si>
    <t>Meta Global (Anual)</t>
  </si>
  <si>
    <t>Unidad de medición</t>
  </si>
  <si>
    <t>Meta</t>
  </si>
  <si>
    <t>Presupuesto
1 Trimestre</t>
  </si>
  <si>
    <t>Presupuesto
2 Trimestre</t>
  </si>
  <si>
    <t>Presupuesto
3 Trimestre</t>
  </si>
  <si>
    <t>Presupuesto
4 Trimestre</t>
  </si>
  <si>
    <t>Insumos</t>
  </si>
  <si>
    <t>Fuente de Financiamiento</t>
  </si>
  <si>
    <t xml:space="preserve">OBSERVACIONES </t>
  </si>
  <si>
    <t>Dolares</t>
  </si>
  <si>
    <t>Pesos</t>
  </si>
  <si>
    <t>tasa dolar</t>
  </si>
  <si>
    <t>Adopción de Tecnologías Agroforestales</t>
  </si>
  <si>
    <t>UTEPDA-MA-CPTTE</t>
  </si>
  <si>
    <t>Todas las áreas</t>
  </si>
  <si>
    <t>BID</t>
  </si>
  <si>
    <t>Capacitaciones a los beneficiarios y técnicos realizadas</t>
  </si>
  <si>
    <t>MA-DC</t>
  </si>
  <si>
    <t>Informes de capacitaciones</t>
  </si>
  <si>
    <t>Francisco Segura/Liliana Matos/Joan Moya</t>
  </si>
  <si>
    <t>GAF, GO</t>
  </si>
  <si>
    <t>Capacitaciones a los técnicos y multiplicadores realizadas</t>
  </si>
  <si>
    <t>Informe de capacitaciones</t>
  </si>
  <si>
    <t>Francisco Segura</t>
  </si>
  <si>
    <t>Tecnicos y multiplicadores capacitados</t>
  </si>
  <si>
    <t xml:space="preserve">El presupuesto de capacitaciones se redujo en un 88% para cumplir con el tope presupuestario, y un 12% solo está previsto para material gastable, combustible, viáticos y servicios profesionales, tomando en consideración el Centro de Capacitacion de Palomino para sus instalaciones y comidas. </t>
  </si>
  <si>
    <t>58-63-64</t>
  </si>
  <si>
    <t>Taller de Inducción sobre los PDA y de manejo de cultivos del Café, Aguacate y Cacao a los técnicos de Hondo Valle y Juan Santiago, Las Cañitas e Independencia</t>
  </si>
  <si>
    <t>Listados de participantes y fotos</t>
  </si>
  <si>
    <t>Franciso Segura</t>
  </si>
  <si>
    <t>GAF, GO, MA</t>
  </si>
  <si>
    <t>Taller - Certificado</t>
  </si>
  <si>
    <t>Del 03 al 18 de mayo, según cronograma del Departamento de Capacitación, se impartirán 11 talleres que beneficiará a 25 técnicos y multiplicadores en cada uno de ellos, con un total de 275 capacitados (Cultivos de Café).</t>
  </si>
  <si>
    <t>59-61-62-60</t>
  </si>
  <si>
    <t>Taller de Inducción sobre los PDA y de manejo de cultivos del Café, Aguacate y Cacao a los técnicos de Sabaneta, Bahoruco, Los Fríos y Barahona</t>
  </si>
  <si>
    <t>Del 03 al 18 de mayo, según cronograma del Departamento de Capacitación, se impartirán 8 talleres que beneficiará a 25 técnicos y multiplicadores en cada uno de ellos, con un total de 200 capacitados (Cultivos de Café).</t>
  </si>
  <si>
    <t>Taller de Inducción sobre los PDA y de manejo de cultivos del Café, Aguacate y Cacao a los multiplicadores de Hondo Valle y Juan Santiago, Las Cañitas, Sabaneta y Los Fríos</t>
  </si>
  <si>
    <t>Del 20 al 23 de abril, según cronograma del Departamento de Capacitación, se impartirán 24 talleres que beneficiará a 40 multiplicadores en cada uno de ellos, con un total de 960 capacitados.</t>
  </si>
  <si>
    <t>Taller de Inducción sobre los PDA y de manejo de cultivos del Café, Aguacate y Cacao a los multiplicadores de Bahoruco, Independencia y Barahona</t>
  </si>
  <si>
    <t>Del 27 al 30 de abril, según cronograma del Departamento de Capacitación, se impartirán 32 talleres que beneficiará a 40 multiplicadores en cada uno de ellos, con un total de 1,280 capacitados.</t>
  </si>
  <si>
    <t>58-64</t>
  </si>
  <si>
    <t>Taller de Inducción sobre los PDA y de manejo de cultivos del Café, Aguacate y Cacao a los técnicos de INDOCAFE</t>
  </si>
  <si>
    <t>Del 04 al 07 de mayo, según cronograma del Departamento de Capacitación, se impartirán 40 talleres que beneficiará a 40 técnicos de INDOCAFE en cada uno de ellos, con un total de 1,600 capacitados.</t>
  </si>
  <si>
    <t>Talleres a técnicos y multiplicadores de Hondo Valle y Juan Santiago, Las Cañitas e Independencia en diferentes conocimientos (prácticas de conservación de suelos, fertilización química y orgánica, manejo de conflictos, técnicas de injertía, técnicas de cosecha)</t>
  </si>
  <si>
    <t>Del 11 al 14 de mayo, según cronograma del Departamento de Capacitación, se impartirán 48 talleres que beneficiará a 40 técnicos y multiplicadores en cada uno de ellos, con un total de 1,920 capacitados.
Del 18 al 30 de abril, según cronograma del Departamento de Capacitación, se impartirán 11 talleres que beneficiará a 25 técnicos y multiplicadores en cada uno de ellos, con un total de 275 capacitados (Técnicas de Injertía).
Del 03 al 11 de marzo, según cronograma del Departamento de Capacitación, se impartirán 13 talleres que beneficiará a 25 técnicos y multiplicadores en cada uno de ellos, con un total de 325 capacitados (Taller sobre Conservación y Repoblación de Recursos Naturales).
Del 24 al 31 de octubre, según cronograma del Departamento de Capacitación, se impartirán 3 talleres que beneficiará a 25 asociaciones y comités locales en cada uno de ellos, con un total de 75capacitados (Manejo de Conflictos).</t>
  </si>
  <si>
    <t>Talleres a técnicos y multiplicadores de Sabaneta, Bahoruco, Los Fríos y Barahona en diferentes conocimientos (prácticas de conservación de suelos, fertilización química y orgánica, manejo de conflictos, técnicas de injertía, técnicas de cosecha)</t>
  </si>
  <si>
    <t>Del 22 al 31 de mayo, según cronograma del Departamento de Capacitación, se impartirán 14 talleres que beneficiará a 25 técnicos y multiplicadores en cada uno de ellos, con un total de 350 capacitados.
Del 18 al 30 de abril, según cronograma del Departamento de Capacitación, se impartirán 8 talleres que beneficiará a 25 técnicos y multiplicadores en cada uno de ellos, con un total de 200 capacitados (Técnicas de Injertía).
Del 03 al 11 de marzo, según cronograma del Departamento de Capacitación, se impartirán 16 talleres que beneficiará a 25 técnicos y multiplicadores en cada uno de ellos, con un total de 400 capacitados (Taller sobre Conservación y Repoblación de Recursos Naturales).
Del 24 al 31 de octubre, según cronograma del Departamento de Capacitación, se impartirán 3 talleres que beneficiará a 25 asociaciones y comités locales en cada uno de ellos, con un total de 75capacitados (Manejo de Conflictos).
Del 19 al 22 de julio, según cronograma del Departamento de Capacitación, se impartirá 1 taller que beneficiará a 25 coordinadores y encargados en cada uno de ellos, con un total de 25 capacitados (Liderazgo afectivo).</t>
  </si>
  <si>
    <t xml:space="preserve">Materiales gastables para la capacitación de técnicos y multiplicadores en Hondo Valle y Juan Santiago </t>
  </si>
  <si>
    <t>GAF</t>
  </si>
  <si>
    <t>Contrato registrado</t>
  </si>
  <si>
    <t xml:space="preserve">Luis Vásquez </t>
  </si>
  <si>
    <t>DC</t>
  </si>
  <si>
    <t>Contrato</t>
  </si>
  <si>
    <t>Material gastable Libretas, lapices, etc.</t>
  </si>
  <si>
    <t xml:space="preserve">Proceso de compra a iniciar en enero 2022
Se trata material gastable que será utilizado para las capacitaciones. 
Estos materiales ya fueron solicitados al Departamento de Compras por el Deprtamento de Capacitación.
Observación dar seguimiento al proceso de compras y verificar con francis el inicio de estas capacitaciones,  con Almacen la recepción de los materiales y con Bernardo Sanchez la materialización del pago  </t>
  </si>
  <si>
    <t xml:space="preserve">Materiales gastables para la capacitación de técnicos y multiplicadores en Sabaneta </t>
  </si>
  <si>
    <t xml:space="preserve">Materiales gastables para la capacitación de técnicos y multiplicadores en Barahona </t>
  </si>
  <si>
    <t xml:space="preserve">Materiales gastables para la capacitación de técnicos y multiplicadores en Bahoruco </t>
  </si>
  <si>
    <t>Materiales gastables para la capacitación de técnicos y multiplicadores en Las Cañitas</t>
  </si>
  <si>
    <t xml:space="preserve">Materiales gastables para la capacitación de técnicos y multiplicadores en Independencia </t>
  </si>
  <si>
    <t>Almuerzo para la capacitación de técnicos y multiplicadores</t>
  </si>
  <si>
    <t xml:space="preserve">Desayuno, almuerzo y jugo </t>
  </si>
  <si>
    <t xml:space="preserve">
Proceso solicitado a Compras y Contrataciones, pero los fondos para pagarlos será por la cuenta 0001, por el POA se le dará seguimeinto a esta actividad para el cumplimiento de las metas de las capacitaciones</t>
  </si>
  <si>
    <t>Del Segunda sesmana de marzo, según cronograma del Departamento de Capacitación, se impartirán 17 talleres que beneficiará a 35 técnicos y multiplicadores en cada uno de ellos, con un total de 595 capacitados (para Sabaneta, Hondo Valle y Barahona).</t>
  </si>
  <si>
    <t>Esta actividad solo se medira en metas</t>
  </si>
  <si>
    <t>Niños Capacitados</t>
  </si>
  <si>
    <t>Del 01 al 15 de junio, según cronograma del Departamento de Capacitación, se impartirán 15 talleres que beneficiará a 25 facilitadores en cada uno de ellos, con un total de 375 capacitados (Taller sobre Manejo Financiero).</t>
  </si>
  <si>
    <t>Del 20 al 30 de Septiembre, según cronograma del Departamento de Capacitación, se impartirán 7 talleres que beneficiará a 25 facilitadores en cada uno de ellos, con un total de 175 capacitados (Taller sobre Manejo Financiero).</t>
  </si>
  <si>
    <t>Capacitaciones a los beneficiarios realizadas</t>
  </si>
  <si>
    <t>Beneficiarios capacitados</t>
  </si>
  <si>
    <t xml:space="preserve">El presupuesto de capacitaciones se redujo un 85% para cumplir con el tope presupuestario, y en el 15% solo esta previsto material gastable y almuerzo, tomando en consideración el Centro de Capacitacion de Palomino para sus instalaciones y comidas. </t>
  </si>
  <si>
    <t>Taller de Inducción sobre los PDA y de manejo de cultivos del Café, Aguacate y Cacao a los beneficiarios de Hondo Valle y Juan Santiago</t>
  </si>
  <si>
    <t>Raciones de alimentos,material gastable, combustible y viáticos</t>
  </si>
  <si>
    <t>Del 5 al 15 de abril, según cronograma del Departamento de Capacitación, se impartirán 3 talleres que beneficiará a 25 beneficiarios en cada uno de ellos, con un total de 75 capacitados (Taller sobre Cultivo de Aguacate).</t>
  </si>
  <si>
    <t>Taller de Inducción sobre los PDA y de manejo de cultivos del Café, Aguacate y Cacao a los beneficiarios de Sabaneta</t>
  </si>
  <si>
    <t>Del 5 al 15 de abril, según cronograma del Departamento de Capacitación, se impartirán 2 talleres que beneficiará a 25 beneficiarios en cada uno de ellos, con un total de 50 capacitados (Taller sobre Cultivo de Aguacate).</t>
  </si>
  <si>
    <t>Taller de Inducción sobre los PDA y de manejo de cultivos del Café, Aguacate y Cacao a los beneficiarios de Las Cañitas</t>
  </si>
  <si>
    <t>Del 02 al 12 de agosto, según cronograma del Departamento de Capacitación, se impartirá 1 taller que beneficiará a 25 beneficiarios en cada uno de ellos, con un total de 25 capacitados.
Del 5 al 15 de abril, según cronograma del Departamento de Capacitación, se impartirán 3 talleres que beneficiará a 25 beneficiarios en cada uno de ellos, con un total de 75 capacitados (Taller sobre Cultivo de Aguacate).</t>
  </si>
  <si>
    <t>Taller de Inducción sobre los PDA y de manejo de cultivos del Café, Aguacate y Cacao a los beneficiarios de Independencia</t>
  </si>
  <si>
    <t>Del 02 al 12 de agosto, según cronograma del Departamento de Capacitación, se impartirá 1 taller que beneficiará a 25 beneficiarios en cada uno de ellos, con un total de 25 capacitados.
Del 5 al 15 de abril, según cronograma del Departamento de Capacitación, se impartirán 2 talleres que beneficiará a 25 beneficiarios en cada uno de ellos, con un total de 50 capacitados (Taller sobre Cultivo de Aguacate).</t>
  </si>
  <si>
    <t>Taller de Inducción sobre los PDA y de manejo de cultivos del Café, Aguacate y Cacao a los beneficiarios de Bahoruco</t>
  </si>
  <si>
    <t>Taller de Inducción sobre los PDA y de manejo de cultivos del Café, Aguacate y Cacao a los beneficiarios de Los Fríos</t>
  </si>
  <si>
    <t>Taller de Inducción sobre los PDA y de manejo de cultivos del Café, Aguacate y Cacao a los beneficiarios de Barahona</t>
  </si>
  <si>
    <t>Del 02 al 12 de agosto, según cronograma del Departamento de Capacitación, se impartirá 1 taller que beneficiará a 25 beneficiarios en cada uno de ellos, con un total de 25 capacitados.
Del 5 al 15 de abril, según cronograma del Departamento de Capacitación, se impartirán 3 talleres que beneficiará a 25 beneficiarios en cada uno de ellos, con un total de 75 capacitados (Taller sobre Cultivo de Aguacate).
Del 04 al 16 de octubre, según cronograma del Departamento de Capacitación, se impartirán 2 talleres que beneficiará a 25 beneficiarios en cada uno de ellos, con un total de 50 capacitados.</t>
  </si>
  <si>
    <t>Talleres a los beneficiarios de Hondo Valle y Juan Santiago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</si>
  <si>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(Taller sobre Restauración de Ecosistemas).
Del 18 al 31 de mayo, según cronograma del Departamento de Capacitación, se impartirán 2 talleres que beneficiará a 25 beneficiarios en cada uno de ellos, con un total de 50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</si>
  <si>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Sabaneta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</si>
  <si>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(Taller sobre Restauración de Ecosistemas).
Del 18 al 31 de mayo según cronograma del Departamento de Capacitación, se impartirán 2 talleres que beneficiará a 25 beneficiarios en cada uno de ellos, con un total de 50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</si>
  <si>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Las Cañitas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</si>
  <si>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Técnicas de Cosecha).
Del 04 al 16 de octubre, según cronograma del Departamento de Capacitación, se impartirán 2 talleres que beneficiará a 25 beneficiarios en cada uno de ellos, con un total de 50 capacitados (Taller sobre Restauración de Ecosistemas).
Del 18 al 31 de mayo según cronograma del Departamento de Capacitación, se impartirán 3 talleres que beneficiará a 25 beneficiarios en cada uno de ellos, con un total de 75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</si>
  <si>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Independencia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</si>
  <si>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(Taller sobre Restauración de Ecosistemas).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</si>
  <si>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Bahoruco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</si>
  <si>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(Taller sobre Restauración de Ecosistemas).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06 al 16 de septiembre, según cronograma del Departamento de Capacitación, se impartirán 4 talleres que beneficiará a 25 beneficiarios en cada uno de ellos, con un total de 100 capacitados (Taller sobre Cambio Climático, Conservación y Repoblación de los Recursos Naturales a estudiantes).
Del 10 al 19 de noviembre, según cronograma del Departamento de Capacitación, se impartirán 4 talleres que beneficiará a 25 beneficiarios en cada uno de ellos, con un total de 100 capacitados (Taller sobre Liderazgo afectivo a Coordinadores, Encargados Agrícolas y Forestales).
Del 15 al 25 de febrero, según cronograma del Departamento de Capacitación, se impartirá 2 taller que beneficiará a 25 beneficiarios y brigadistas en cada uno de ellos, con un total de 50 capacitados (Taller sobre Incendio y Bomberos Forestales).</t>
  </si>
  <si>
    <t>Talleres a los beneficiarios de Los Fríos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</si>
  <si>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Técnicas de Cosecha).
Del 04 al 16 de octubre, según cronograma del Departamento de Capacitación, se impartirán 2 talleres que beneficiará a 25 beneficiarios en cada uno de ellos, con un total de 50 capacitados.
Del 21 al 30 de junio,  según cronograma del Departamento de Capacitación, se impartirán 2 talleres que beneficiará a 25 beneficiarios en cada uno de ellos, con un total de 50 capacitados (Taller sobre Cambio Climático).
Del 18 al 31 de mayo según cronograma del Departamento de Capacitación, se impartirán 3 talleres que beneficiará a 25 beneficiarios en cada uno de ellos, con un total de 75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</si>
  <si>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Talleres a los beneficiarios de Barahona en diferentes conocimientos (prácticas de conservación de suelos, fertilización química y orgánica, manejo de conflictos, técnicas de injertía, técnicas de cosecha)</t>
  </si>
  <si>
    <t>Del 21 al 30 de junio,  según cronograma del Departamento de Capacitación, se impartirán 2 talleres que beneficiará a 25 beneficiarios en cada uno de ellos, con un total de 50 capacitados (Taller sobre Cambio Climático).
Del 04 al 16 de octubre, según cronograma del Departamento de Capacitación, se impartirán 2 talleres que beneficiará a 25 beneficiarios en cada uno de ellos, con un total de 50 capacitados.
Del 18 al 31 de mayo según cronograma del Departamento de Capacitación, se impartirán 3 talleres que beneficiará a 25 beneficiarios en cada uno de ellos, con un total de 75 capacitados (Taller sobre Fertilización Química).
Del 16 al 20 de agosto, según cronograma del Departamento de Capacitación, se impartirá 1 taller que beneficiará a 25 beneficiarios en cada uno de ellos, con un total de 25 capacitados (Taller sobre Cambio Climático, Conservación y Repoblación de los Recursos Naturales a estudiantes).
Del 10 al 19 de noviembre, según cronograma del Departamento de Capacitación, se impartirá 1 taller que beneficiará a 25 beneficiarios en cada uno de ellos, con un total de 25 capacitados (Taller sobre Liderazgo afectivo a Coordinadores, Encargados Agrícolas y Forestales).
Del 15 al 25 de febrero, según cronograma del Departamento de Capacitación, se impartirá 1 taller que beneficiará a 25 beneficiarios y brigadistas en cada uno de ellos, con un total de 25 capacitados (Taller sobre Incendio y Bomberos Forestales).</t>
  </si>
  <si>
    <t>Materiales gastables para las capacitaciones de los beneficiarios</t>
  </si>
  <si>
    <t xml:space="preserve">Francisco  Segura/Luis Vásquez </t>
  </si>
  <si>
    <t>Proceso de compra a iniciar en enero 2022
Se trata de la adquisición de material gastable que será utilizado para las capacitaciones. 
Estos materiales ya fueron solicitados al Departamento de Compras por el Deprtamento de Capacitación.
Observación dar seguimiento al proceso de compras y verificar con francis el inicio de estas capacitaciones,  con Almacen la recepción de los materiales y con Bernardo Sanchez la materialización del pago por la cuenta 0001</t>
  </si>
  <si>
    <t xml:space="preserve">Almuerzo para las capacitaciones de los beneficiarios en Hondo Valle </t>
  </si>
  <si>
    <t>Licitacion de alimentos crudos</t>
  </si>
  <si>
    <t>Sin partida por corte presupuestario</t>
  </si>
  <si>
    <t>Almuerzo para las capacitaciones de los beneficiarios en Sabaneta</t>
  </si>
  <si>
    <t xml:space="preserve">Alimentos crudos </t>
  </si>
  <si>
    <t>Almuerzo para las capacitaciones de los beneficiarios en Barahora</t>
  </si>
  <si>
    <t xml:space="preserve">Almuerzo para las capacitaciones de los beneficiarios en bahoruco </t>
  </si>
  <si>
    <t>Almuerzo para las capacitaciones de los beneficiarios en Las Cañitas</t>
  </si>
  <si>
    <t xml:space="preserve">Almuerzo para las capacitaciones de los beneficiarios en Independencia </t>
  </si>
  <si>
    <t xml:space="preserve">Contratación de servicios profesionales para Hondo Valle y Juan Santiago </t>
  </si>
  <si>
    <t>Personal contratado</t>
  </si>
  <si>
    <t xml:space="preserve">Seguimiento a Francisco para ver si ha contratado los servicios de los facilitadores para los talleres de capacitación </t>
  </si>
  <si>
    <t xml:space="preserve">Contratación de servicios profesionales para Sabaneta </t>
  </si>
  <si>
    <t xml:space="preserve">Contratación de servicios profesionales para Barahona  </t>
  </si>
  <si>
    <t xml:space="preserve">Contratación de servicios profesionales para Bahoruco  </t>
  </si>
  <si>
    <t>Contratación de servicios profesionales para Las Cañitas</t>
  </si>
  <si>
    <t>Contratación de servicios profesionales para Los Fríos</t>
  </si>
  <si>
    <t xml:space="preserve">Contratación de servicios profesionales para Independencia </t>
  </si>
  <si>
    <t xml:space="preserve">Frascisco Segura/Rafael Gómez </t>
  </si>
  <si>
    <t>Nómina erogada</t>
  </si>
  <si>
    <t>Disponibilidad de viatico para (Encargado de departamanto, chofer y asistente)</t>
  </si>
  <si>
    <t>Esta actividad tiene un monto total de RD$149,583.49 para todo el año para ser usados en las capacitaciones programadas por Francisco. 
(estos fondos corresponden a la partida agrupada de RD$32,400,000.00)</t>
  </si>
  <si>
    <t>Viáticos personal capacitacion en Sabaneta</t>
  </si>
  <si>
    <t xml:space="preserve">Viáticos personal capacitacion en Barahona </t>
  </si>
  <si>
    <t xml:space="preserve">Viáticos personal capacitacion en Bahoruco </t>
  </si>
  <si>
    <t xml:space="preserve">Viáticos personal capacitacion en Las Cañitas </t>
  </si>
  <si>
    <t xml:space="preserve">Viáticos personal capacitacion en Los Fríos </t>
  </si>
  <si>
    <t xml:space="preserve">Viáticos personal capacitacion en Independencia </t>
  </si>
  <si>
    <t xml:space="preserve">Combustible para  capacitación en Hondo Valle y Juan Santiago </t>
  </si>
  <si>
    <t>Francisco Segura/Ramón Paulino</t>
  </si>
  <si>
    <t>GAF,DN</t>
  </si>
  <si>
    <t>Disponibilidad de 2 Camionetas. Cada viaje es RD$4,000.00</t>
  </si>
  <si>
    <t>Proceso de compras para iniciar en enero 2022.  Este combustible será utilizados en diferentes capacitaciones.
Este combustible ya fue solicitado por el Departamento de Capacitaciones al Departamento de Compras.por un monto total de RD$266,000.00
Dar seguimiento al proceso de compras 
Para el primer trimestre estará garantizado a través del abastecimiento que tenemos hasta finales de marzo/2022.</t>
  </si>
  <si>
    <t xml:space="preserve">Combustible para  capacitación en Sabaneta </t>
  </si>
  <si>
    <t>Disponibilidad de 2 Camionetas</t>
  </si>
  <si>
    <t xml:space="preserve">Combustible para  capacitación en Barahona </t>
  </si>
  <si>
    <t xml:space="preserve">Combustible para  capacitación en Bahoruco </t>
  </si>
  <si>
    <t xml:space="preserve">Combustible para  capacitación en Las Cañitas </t>
  </si>
  <si>
    <t xml:space="preserve">Combustible para  capacitación en Los Fríos </t>
  </si>
  <si>
    <t>Combustible para  capacitación en Independencia</t>
  </si>
  <si>
    <t>Adquisiciones de gorras y polo shirt en Hondo Valle y Juan Santiago</t>
  </si>
  <si>
    <t xml:space="preserve">Orden de Compra </t>
  </si>
  <si>
    <t>Francisco Segura/Luis Vasquez</t>
  </si>
  <si>
    <t>GAF/DC</t>
  </si>
  <si>
    <t>Aqdquisición de 35 unidades de Polosher  y 35 gorras</t>
  </si>
  <si>
    <t xml:space="preserve">Adquisiciones de gorras y polo shirt en Sabaneta </t>
  </si>
  <si>
    <t xml:space="preserve">Adquisiciones de gorras y polo shirt en Barahona </t>
  </si>
  <si>
    <t xml:space="preserve">Adquisiciones de gorras y polo shirt en Bahoruco </t>
  </si>
  <si>
    <t xml:space="preserve">Adquisiciones de gorras y polo shirt en Las Cañitas </t>
  </si>
  <si>
    <t xml:space="preserve">Adquisiciones de gorras y polo shirt en Los Fríos </t>
  </si>
  <si>
    <t>Adquisiciones de gorras y polo shirt en Independencia</t>
  </si>
  <si>
    <t>Capacitaciones para la gestión ambiental y social realizadas</t>
  </si>
  <si>
    <t>Contratos registrados</t>
  </si>
  <si>
    <t>Capacitaciones UTEPDA</t>
  </si>
  <si>
    <t>DRRHH</t>
  </si>
  <si>
    <t>Liliana Matos</t>
  </si>
  <si>
    <t>IP</t>
  </si>
  <si>
    <t>El presupuesto de capacitaciones se redujeron un 100% para cumplir con el tope presupuestario.</t>
  </si>
  <si>
    <t>Capacitación</t>
  </si>
  <si>
    <t xml:space="preserve">Lista de participantes </t>
  </si>
  <si>
    <t>Maria Mejía</t>
  </si>
  <si>
    <t>Impresión de material didáctico</t>
  </si>
  <si>
    <r>
      <t xml:space="preserve">Canalización de recursos por el Objetal 2.2.9.2 Cuenta 0001, el cual dispone RD$2,250,000 en almuerzo del personal
</t>
    </r>
    <r>
      <rPr>
        <b/>
        <sz val="11"/>
        <color rgb="FF000000"/>
        <rFont val="Calibri"/>
        <family val="2"/>
      </rPr>
      <t>Conversar con Carmen, Paulino y María para tomar estos recursos para capacitación de la UTEPDA o considerar pagos de facturas de compromisos del año anterior</t>
    </r>
    <r>
      <rPr>
        <sz val="11"/>
        <color rgb="FF000000"/>
        <rFont val="Calibri"/>
        <family val="2"/>
      </rPr>
      <t xml:space="preserve"> </t>
    </r>
  </si>
  <si>
    <t>Taller de planificación institucional</t>
  </si>
  <si>
    <t>DPD-DC-DRHH</t>
  </si>
  <si>
    <t>Lista de participantes, Panfleto de la PPT</t>
  </si>
  <si>
    <t>Aexandra Almanzar/Solanny Sosa</t>
  </si>
  <si>
    <t>DPD</t>
  </si>
  <si>
    <t>Material didáctico</t>
  </si>
  <si>
    <t>Taller sobre construcción de metas, indicadores de gestión y tablero de control</t>
  </si>
  <si>
    <t>DME-DC-DRRHH</t>
  </si>
  <si>
    <t>Taller de redacción de informes técnicos</t>
  </si>
  <si>
    <t>Lista de participantes, Material didáctivo</t>
  </si>
  <si>
    <t>Joan Moya</t>
  </si>
  <si>
    <t>Curso de Monitoreo de Proyectos usando los Enfoques de Gestión por Resultados (EGR) y de Marco Lógico (EML)</t>
  </si>
  <si>
    <t>Diploma de curso</t>
  </si>
  <si>
    <t>Contratación externa</t>
  </si>
  <si>
    <t>RRHH</t>
  </si>
  <si>
    <t>Diploma</t>
  </si>
  <si>
    <t>Contratación de servicios</t>
  </si>
  <si>
    <t>Seminario en gestión de riesgos</t>
  </si>
  <si>
    <t>Diploma de seminario</t>
  </si>
  <si>
    <t>Taller sobre recolección, validación y colocación de la data, dentro del SDIGEM.</t>
  </si>
  <si>
    <t>DME</t>
  </si>
  <si>
    <t>CPTTE</t>
  </si>
  <si>
    <t>Programa de Induccion, diseño e Implementacion</t>
  </si>
  <si>
    <t xml:space="preserve">Certificados de participación </t>
  </si>
  <si>
    <t>Material didáctico y diplomas</t>
  </si>
  <si>
    <t>Impresión de material didáctico, refrigerio y servicios profesionales</t>
  </si>
  <si>
    <t xml:space="preserve">Seguridad y Salud Ocupacional </t>
  </si>
  <si>
    <t xml:space="preserve">Manejo de Conflictos </t>
  </si>
  <si>
    <t xml:space="preserve">Manejo de Estrés </t>
  </si>
  <si>
    <t xml:space="preserve">Conjugando Trabajo en Equipo y Sinergia </t>
  </si>
  <si>
    <t xml:space="preserve">Comunicación Efectiva </t>
  </si>
  <si>
    <t xml:space="preserve">Desarrollo de Competencias Gerenciales </t>
  </si>
  <si>
    <t xml:space="preserve">Lista de Participantes </t>
  </si>
  <si>
    <t xml:space="preserve">Francisco Segura </t>
  </si>
  <si>
    <t>Listado de participación</t>
  </si>
  <si>
    <t>Análisis físico-químicos del suelo realizados</t>
  </si>
  <si>
    <t>MA-GO</t>
  </si>
  <si>
    <t>Análisis</t>
  </si>
  <si>
    <t>Carmen Cordero</t>
  </si>
  <si>
    <t>-</t>
  </si>
  <si>
    <t>Análisis foliares de cultivos realizados</t>
  </si>
  <si>
    <t>Muestras</t>
  </si>
  <si>
    <t>Elaboración y pago de análisis foliares de los cultivos años 1 y 2</t>
  </si>
  <si>
    <t xml:space="preserve">Analisis foliares </t>
  </si>
  <si>
    <t>CTCA-GO-GAF</t>
  </si>
  <si>
    <t xml:space="preserve">750 muestra que serán analizadas por la Junta Agroempresarial Dominicana (JAD)/ otros
EL 50% será en café, 30% en aguacate, 15% cacao y un 5% en mango.
</t>
  </si>
  <si>
    <t xml:space="preserve">Proceso de contratación de servicios solicitado por la Gerencia de Operaciones para el mes de febrero/2022, la ejecución del contrato se estaria realizando en el segundo trimestre. 
Seguimiento Catano y Mayreni
</t>
  </si>
  <si>
    <t>Sistemas Agroforestales sembrados</t>
  </si>
  <si>
    <t>GO-MA</t>
  </si>
  <si>
    <t>Tareas sembradas y mantenidas</t>
  </si>
  <si>
    <t>MA, GAF</t>
  </si>
  <si>
    <t>Proyecto Hondo Valle y Juan Santiago</t>
  </si>
  <si>
    <t>Tareas sembradas</t>
  </si>
  <si>
    <t>GO, GAF</t>
  </si>
  <si>
    <t>Ta/Jornales</t>
  </si>
  <si>
    <t>BID/IP</t>
  </si>
  <si>
    <t>Se redujeron las nóminas un 67% jornales y 50% administrativo, las raciones alimenticias un 44 % y las plantas un 100%. De conformidad con la estrategia de ejecución estaremos sembando 14,000,000 de plantas de café y 288,000 plantas de aguacates.  Las plantas de café ya fueron licitadas en el año 2021 y en el 2022 solo estaríamos recepcionando y sembrado, con relación a las plantas de aguacates, el proceso de compras ya fue iniciado y está en fase de recepción de ofertas, las mismas serán sembradas este año para cumplimiento de metas de la Matriz de Desembolso.</t>
  </si>
  <si>
    <t>Cultivo de Aguacate</t>
  </si>
  <si>
    <t>MA</t>
  </si>
  <si>
    <t>Duverge Catano</t>
  </si>
  <si>
    <t>Ta</t>
  </si>
  <si>
    <t xml:space="preserve">Plantas de aguacate </t>
  </si>
  <si>
    <t>Esta actividad solo se mediran las metas 
Mediante este proceso se están adquiriendo 288,000 plantas de aguacates injertas de las siguientes variedades:
Hass 130,000
Semil 34 80,000
Carla 40,000
Ya el proceso de compras UTEPDA-CCC-LPN-2022-0001 está en fase de recepción de oferta.</t>
  </si>
  <si>
    <t>Cultivo de Café</t>
  </si>
  <si>
    <t>Héctor Jiménez</t>
  </si>
  <si>
    <t xml:space="preserve">Plantas de café </t>
  </si>
  <si>
    <t>Esta actividad solo se mediran las metas 
De conformidad con la estrategia de ejecución se requiere 14,000,000 plantas de Café,  las cuales fueron licitadas mediante el proceso UTEPDA-CCC-LPN-0002 en el año 2021</t>
  </si>
  <si>
    <t>Jornal</t>
  </si>
  <si>
    <t>Listados asistencia</t>
  </si>
  <si>
    <t>Domingo Moreta</t>
  </si>
  <si>
    <t xml:space="preserve">Jornales </t>
  </si>
  <si>
    <t>Mantenimiento Aguacate</t>
  </si>
  <si>
    <t xml:space="preserve">Aplicacion de cocteles, fertilizacion quimico y organico </t>
  </si>
  <si>
    <t xml:space="preserve">Este mantenimiento será proporcionados con los agroinsumos que tenemos en existencia. </t>
  </si>
  <si>
    <t>Mantenimiento de Café</t>
  </si>
  <si>
    <t>Pago gratificación navideña</t>
  </si>
  <si>
    <t>Nómina</t>
  </si>
  <si>
    <t xml:space="preserve">Rafael Gómez </t>
  </si>
  <si>
    <t>GAF/GO</t>
  </si>
  <si>
    <t>Nóminas erogadas</t>
  </si>
  <si>
    <t xml:space="preserve">Corresponde a las brigadas agrícolas </t>
  </si>
  <si>
    <t>Adquisición de neumáticos para vehículos asignados al Proyecto Hondo Valle y Juan Santiago</t>
  </si>
  <si>
    <t xml:space="preserve">Encargado de Almacen/Coordinador Técnico </t>
  </si>
  <si>
    <t>Orden de Compra</t>
  </si>
  <si>
    <t xml:space="preserve">Contrato registrado </t>
  </si>
  <si>
    <t>Estos recursos son para pago de neúmaticos, mediante Licitación UTEPDA-CCC-LPN-2021-0006, a la empresa adjudicada Gilda Invesment, por un monto comprometido de RD$10,109,198.00</t>
  </si>
  <si>
    <t>Pago de nómina administrativa Proyecto Hondo Valle y Juan Santiago</t>
  </si>
  <si>
    <t>Nómina/GAF</t>
  </si>
  <si>
    <t>Adquisición materiales diversos para mantenimiento para vehiculos pesados</t>
  </si>
  <si>
    <t>Compra/gaf</t>
  </si>
  <si>
    <t xml:space="preserve">Orden de compra </t>
  </si>
  <si>
    <t xml:space="preserve">Orden de Servicio </t>
  </si>
  <si>
    <t xml:space="preserve">Adquisición de insumos no gastable Centro de Palomino </t>
  </si>
  <si>
    <t>Compra/GAF</t>
  </si>
  <si>
    <t xml:space="preserve">BID </t>
  </si>
  <si>
    <t xml:space="preserve">Adquisición de insumos y equipos menores de seguridad </t>
  </si>
  <si>
    <t xml:space="preserve">Adquisición de materiales de limpieza y gastable </t>
  </si>
  <si>
    <t xml:space="preserve">Reproducción de material </t>
  </si>
  <si>
    <t xml:space="preserve">Adquisición de Combustible </t>
  </si>
  <si>
    <t xml:space="preserve">Seguros de Vehículos </t>
  </si>
  <si>
    <t xml:space="preserve">Ramón Paulino </t>
  </si>
  <si>
    <t>Seguros de vehículos</t>
  </si>
  <si>
    <t>Mantenimiento vehículos inlcuye repuestos a motores</t>
  </si>
  <si>
    <t>Mayrol Vargas</t>
  </si>
  <si>
    <t>Respuestos, aceesorios menores, aceites, grasas y lubricantes</t>
  </si>
  <si>
    <t>Raciones alimenticias (Alimentos crudos, almuerzo y festividades)</t>
  </si>
  <si>
    <t>Raciones</t>
  </si>
  <si>
    <t>Esta actividad, conlleva un monto de RD$1,425,000 para 5,500 a razón de RD$250.00 correspondiente a servicios de alimentos para diferentes reuniones en los proyectos No. de Comunicación GO-009/22. Este monto será asumido por la Cuenta Presupuestaria 0001, acordado con Bernardo Sanchez 09/02/2022</t>
  </si>
  <si>
    <t>Adquisición de materiales diversos para mantenimiento</t>
  </si>
  <si>
    <t>Contratro registrado</t>
  </si>
  <si>
    <t>Consultoría Especialista Agroforestal</t>
  </si>
  <si>
    <t>Informes</t>
  </si>
  <si>
    <t>Proyecto Sabaneta</t>
  </si>
  <si>
    <t>Planas de aguacate</t>
  </si>
  <si>
    <t>Plantas de Café</t>
  </si>
  <si>
    <t>1 brigadas agrícola 1/2 brigada de viverista</t>
  </si>
  <si>
    <t>Mantenimiento de Aguacate</t>
  </si>
  <si>
    <t>Mantenimiento Café</t>
  </si>
  <si>
    <t>Adquisición de neumáticos para vehículos asignados al Proyecto Sabaneta</t>
  </si>
  <si>
    <t xml:space="preserve">Rosanna Martínez </t>
  </si>
  <si>
    <t>Pago de nómina administrativa Proyecto Sabaneta</t>
  </si>
  <si>
    <t>Nóminas erogadas 2022</t>
  </si>
  <si>
    <t>Adquisición de insumos y equipos menores de seguridad UTEPDA</t>
  </si>
  <si>
    <t xml:space="preserve">Mantenimiento vehículos inlcuye repuestos a motores </t>
  </si>
  <si>
    <t>Proyecto Las Cañitas</t>
  </si>
  <si>
    <t>18 brigadas agrícolas</t>
  </si>
  <si>
    <t>Adquisición de neumáticos para vehículos asignados al Proyecto Las Cañitas</t>
  </si>
  <si>
    <t>Pago de nómina administrativa Proyecto Las Cañitas</t>
  </si>
  <si>
    <t>Proyecto Independencia</t>
  </si>
  <si>
    <t>Cultivo de Mango</t>
  </si>
  <si>
    <t>1 brigada agrícola y 1/2 brigada de viveros</t>
  </si>
  <si>
    <t>Mantenimiento Mango</t>
  </si>
  <si>
    <t>Adquisición de insumos y materiales para cultivo de aguacate en Independencia</t>
  </si>
  <si>
    <t>Adquisición de insumos y materiales para cultivo de café en Independencia</t>
  </si>
  <si>
    <t>Adquisición de neumáticos para vehículos asignados al Proyecto Independencia</t>
  </si>
  <si>
    <t>Orden de Compras</t>
  </si>
  <si>
    <t xml:space="preserve">Pago de nómina administrativa Proyecto Independencia </t>
  </si>
  <si>
    <t xml:space="preserve">Adquisición de mobiliarios </t>
  </si>
  <si>
    <t>Raciones alimenticia (Alimentos crudos, almuerzo y festividades)</t>
  </si>
  <si>
    <t>Proyecto Bahoruco</t>
  </si>
  <si>
    <t>Cultivo de Cacao</t>
  </si>
  <si>
    <t>Enelvis</t>
  </si>
  <si>
    <t xml:space="preserve"> </t>
  </si>
  <si>
    <t xml:space="preserve">2 brigadas </t>
  </si>
  <si>
    <t>Mantenimiento Cacao</t>
  </si>
  <si>
    <t>Mantenimiento de Mango</t>
  </si>
  <si>
    <t>Adquisición de neumáticos para vehículos asignados al Proyecto Bahoruco</t>
  </si>
  <si>
    <t xml:space="preserve">Pago de nómina administrativa Proyecto Bahoruco </t>
  </si>
  <si>
    <t xml:space="preserve">Adquisición Maquinarias pesadas </t>
  </si>
  <si>
    <t>Ivonne Martinez</t>
  </si>
  <si>
    <t>Adquisición de insumos y equipos menores de seguridad para oficina principal de UTEPDA</t>
  </si>
  <si>
    <t xml:space="preserve">Adquisición de camionetas </t>
  </si>
  <si>
    <t>Proyecto Los Fríos</t>
  </si>
  <si>
    <t>GO/GAF</t>
  </si>
  <si>
    <t>10 brigadas agrícola y 1/2 brigada de viveros</t>
  </si>
  <si>
    <t xml:space="preserve">   </t>
  </si>
  <si>
    <t xml:space="preserve">Adquisición de mobiliarios y equipos de oficjnas (Descontinuado) </t>
  </si>
  <si>
    <t>Requerimiento y ficha técnica</t>
  </si>
  <si>
    <t>Adquisición Maquinarias pesadas (Descontinuado)</t>
  </si>
  <si>
    <t xml:space="preserve">Adquisición de electromesticos (Descontinuado) </t>
  </si>
  <si>
    <t>Pagos cubicaciones por trabajos realizados en la estancia y centro de capacitación (Descontinuado)</t>
  </si>
  <si>
    <t>Adquisición de mobiliarios y utensilios de cocina no eléctricos (Descontinuado)</t>
  </si>
  <si>
    <t xml:space="preserve">Adquisición de camionetas (Descontinuado) </t>
  </si>
  <si>
    <t>Reproducción de material (Descontinuado)</t>
  </si>
  <si>
    <t>Adquisición de mobiliarios (Descontinuado)</t>
  </si>
  <si>
    <t>Proyecto Barahona</t>
  </si>
  <si>
    <t xml:space="preserve">Domigo </t>
  </si>
  <si>
    <t>Adquisición de neumáticos para vehículos asignados al Proyecto Barahona</t>
  </si>
  <si>
    <t xml:space="preserve">Pago de nómina administrativa Proyecto Barahona </t>
  </si>
  <si>
    <t>Adquisición materiales diversos para mantenimiento de vehiculos pesados</t>
  </si>
  <si>
    <t>Recurso reducido por tope presupuetario</t>
  </si>
  <si>
    <t>GO</t>
  </si>
  <si>
    <t xml:space="preserve">Carmen Cordero </t>
  </si>
  <si>
    <t>GO,MMA</t>
  </si>
  <si>
    <t xml:space="preserve">Repuestos diversos </t>
  </si>
  <si>
    <t>Proyecto Constanza (FEDA)</t>
  </si>
  <si>
    <t>Donacion plantas de café</t>
  </si>
  <si>
    <t>Plantas donadas</t>
  </si>
  <si>
    <t>Adquisición de Insumos y materiales</t>
  </si>
  <si>
    <t>GO, MA</t>
  </si>
  <si>
    <t>Se redujeron a un 50% los Agroquimicos, Injertia de Aguacate, Kit de Herramientas, combustible, repuestos. La disminucion de adquision de plantas de Mango y Cacao es de 100%, de Café un 70%, de Especies un 89%</t>
  </si>
  <si>
    <t>Adquisición de insumos para producir plantas a raíz dirigida (café)</t>
  </si>
  <si>
    <t xml:space="preserve">  </t>
  </si>
  <si>
    <t>Adquisición de semillas de café</t>
  </si>
  <si>
    <t>QQ</t>
  </si>
  <si>
    <t xml:space="preserve">Adquisición de semillas de Higuereta Descontinuado </t>
  </si>
  <si>
    <t>Adquisición de transporte para plantas Hondo Valle y Juna Santiago</t>
  </si>
  <si>
    <t>Adquisición de transporte para plantas Sabaneta</t>
  </si>
  <si>
    <t>Adquisición de transporte para plantas Barahona</t>
  </si>
  <si>
    <t xml:space="preserve">Adquisición de transporte para plantas Bahoruco </t>
  </si>
  <si>
    <t>Adquisición de transporte para plantas Las Cañitas</t>
  </si>
  <si>
    <t>Adquisición de transporte para plantas a Independencia</t>
  </si>
  <si>
    <t>Pago injertía de aguacate Hondo Valle y Juan Santiago</t>
  </si>
  <si>
    <t>Nómina pagada</t>
  </si>
  <si>
    <t>Bernardo Sanchez</t>
  </si>
  <si>
    <t xml:space="preserve">plantas </t>
  </si>
  <si>
    <t>325,000 patrones de aguacate</t>
  </si>
  <si>
    <t xml:space="preserve">De conformidad con la parte técnica (Catano) en reunión sostenida en fecha 28/1/2022 se ajusto el pago de injertía se planificó RD$2,835,000.00 y lo requerido es de RD$7,000,000.00).
Los pagos fueron distribuidos un 40% para el primer y tercer trimestre; y 20% para el segundo trimestre.
</t>
  </si>
  <si>
    <t>subir 7,000000</t>
  </si>
  <si>
    <t>Pago injertía de aguacate Sabaneta</t>
  </si>
  <si>
    <t>insumos para injertias 400,000 solicitar especificaciones</t>
  </si>
  <si>
    <t>Pago injertía de aguacate Barahona</t>
  </si>
  <si>
    <t>Pago injertía de aguacate Bahoruco</t>
  </si>
  <si>
    <t>Pago injertía de aguacate Las Cañitas</t>
  </si>
  <si>
    <t xml:space="preserve">Pago injertía de aguacate Independencia </t>
  </si>
  <si>
    <t>Maquinarias, Equipos, Insumos y materiales para aplicación de agroquímicos Hondo Valle y Juan Santiago</t>
  </si>
  <si>
    <t>Motobomba</t>
  </si>
  <si>
    <r>
      <t xml:space="preserve">Corresponde al pago de la adquisicion de bomba mochilas atomizadoras y fumigadoras, motosierra, serrucho, tijeras, botellas, podadoras para la aplicación de agroquimicos. Proceso de adquisicion ya realizado UTEPDA-CCC-LPN-2021-0009 y se tiene compromiso de pagos con la  empresa Gilda Invesment, SRL. por un monto total de RD$21,000,000.00
Este monto deberá ser pagado en el primer y segundo trimestre/2022 
</t>
    </r>
    <r>
      <rPr>
        <sz val="11"/>
        <color rgb="FFFF0000"/>
        <rFont val="Calibri"/>
        <family val="2"/>
      </rPr>
      <t>Nota: aumentar los recursos para poder recepcionar estos equipos, los cuales he considerado aumentar del monto de fertilizantes.</t>
    </r>
  </si>
  <si>
    <t>Maquinarias, Equipos, Insumos y materiales para aplicación de agroquímicos Sabaneta</t>
  </si>
  <si>
    <t xml:space="preserve">Maquinarias, Equipos, Insumos y materiales para aplicación de agroquímicos Barahona </t>
  </si>
  <si>
    <t xml:space="preserve">Maquinarias, Equipos, Insumos y materiales para aplicación de agroquímicos Bahoruco </t>
  </si>
  <si>
    <t>Maquinarias, Equipos, Insumos y materiales para aplicación de agroquímicos Las Cañitas</t>
  </si>
  <si>
    <t xml:space="preserve">Maquinarias, Equipos, Insumos y materiales para aplicación de agroquímicos Independencia </t>
  </si>
  <si>
    <t xml:space="preserve">Adquisición de Agroquímicos Hondo Valle y Juan Santiago </t>
  </si>
  <si>
    <t>Litros</t>
  </si>
  <si>
    <t>Fungicida para la roya del café</t>
  </si>
  <si>
    <t>Adquisición de Agroquímicos Sabaneta</t>
  </si>
  <si>
    <t>Adquisición de Agroquímicos Barahona</t>
  </si>
  <si>
    <t xml:space="preserve">Adquisición de Agroquímicos Bahoruco </t>
  </si>
  <si>
    <t>Adquisición de Agroquímicos Las Cañitas</t>
  </si>
  <si>
    <t xml:space="preserve">Adquisición de Agroquímicos Independencia </t>
  </si>
  <si>
    <t>Kit de herramientas Hondo Valle y Juan Santiago</t>
  </si>
  <si>
    <t>Revisar con Maireni</t>
  </si>
  <si>
    <t xml:space="preserve">Kit de herramientas para Sabaneta </t>
  </si>
  <si>
    <t xml:space="preserve">Kit de herramientas para Barahona </t>
  </si>
  <si>
    <t xml:space="preserve">Kit de herramientas para Bahoruco </t>
  </si>
  <si>
    <t>Kit de herramientas Las Cañitas</t>
  </si>
  <si>
    <t xml:space="preserve">Kit de herramientas para independencia </t>
  </si>
  <si>
    <t>Adquisición de motocicletas para Hondo Valle y Juan Santiago</t>
  </si>
  <si>
    <t>Adquisición de motocicletas para Sabaneta</t>
  </si>
  <si>
    <t xml:space="preserve">Adquisición de motocicletas para Barahona </t>
  </si>
  <si>
    <t xml:space="preserve">Adquisición de motocicletas para Bahoruco </t>
  </si>
  <si>
    <t>Adquisición de motocicletas para Las Cañitas</t>
  </si>
  <si>
    <t xml:space="preserve">Adquisición de motocicletas para Independencia </t>
  </si>
  <si>
    <t>Libramiento</t>
  </si>
  <si>
    <t>Bernardo Sánchez</t>
  </si>
  <si>
    <t xml:space="preserve">Libramiento </t>
  </si>
  <si>
    <t xml:space="preserve">GO, MA </t>
  </si>
  <si>
    <t>Plantas de Guama</t>
  </si>
  <si>
    <t>Adquisición de plantas de café (a raiz dirigida, a Raiz desnuda y Funda) para Hondo Valle y Juan Santiago</t>
  </si>
  <si>
    <t>j</t>
  </si>
  <si>
    <t xml:space="preserve">hablar con koan </t>
  </si>
  <si>
    <t>Adquisición de  plantas de café (a raiz dirigida, a Raiz desnuda y Funda) para Sabaneta</t>
  </si>
  <si>
    <t>REVISAR COMPROMISOS E INDICAR QUE SON PARA PAGOS</t>
  </si>
  <si>
    <t xml:space="preserve">Adquisición de plantas de café (a raiz dirigida, a Raiz desnuda y Funda) para Barahona </t>
  </si>
  <si>
    <t>Adquisicion de 14,000,000 de plantas que hace un monto de 232 millones</t>
  </si>
  <si>
    <t xml:space="preserve">Adquisición de  plantas de café (a raiz dirigida, a Raiz desnuda y Funda) para Bahoruco </t>
  </si>
  <si>
    <t>aumentar presupuesto</t>
  </si>
  <si>
    <t>Adquisición de plantas de café (a raiz dirigida, a Raiz desnuda y Funda) para Las Cañitas</t>
  </si>
  <si>
    <t>Libramiento-contrato</t>
  </si>
  <si>
    <t>Adquisición de plantas de café (a raiz dirigida, a Raiz desnuda y Funda) para independencia</t>
  </si>
  <si>
    <t xml:space="preserve">Adquisición de Almuerzos para las reuniones y jornadas de acompañamiento técnicop para Hondo Valle y Juan Santiago </t>
  </si>
  <si>
    <t xml:space="preserve">Raciones alimenticia: arroz, habichuelas, avena, pollo, azucar, Chocolate, cebolla, ajo, arenque, huevos, chuleta, jamon, mantequilla,etc. </t>
  </si>
  <si>
    <t>Adquisición de Almuerzos para las reuniones y jornadas de acompañamiento técnico para Sabaneta</t>
  </si>
  <si>
    <t xml:space="preserve">Adquisición de Almuerzos para las reuniones y jornadas de acompañamiento técnico para Barahona </t>
  </si>
  <si>
    <t xml:space="preserve">Adquisición de Almuerzos para las reuniones y jornadas de acompañamiento técnico para Bahoruco </t>
  </si>
  <si>
    <t>GAF,GO</t>
  </si>
  <si>
    <t>Desayuno, almuerzo y jugo</t>
  </si>
  <si>
    <t>Adquisición de Almuerzos para las reuniones y jornadas de acompañamiento técnico Las Cañitas</t>
  </si>
  <si>
    <t xml:space="preserve">Adquisición de Almuerzos para las reuniones y jornadas de acompañamiento técnico para Independencia </t>
  </si>
  <si>
    <t>Adquisición de alevines para Hondo Valle y Juan Santiago</t>
  </si>
  <si>
    <t>Adquisición de alevines para Sabaneta</t>
  </si>
  <si>
    <t>Adquisición de alevines para Barahona</t>
  </si>
  <si>
    <t>Adquisición de alevines para Bahoruco</t>
  </si>
  <si>
    <t>Adquisición de alevines para Las Cañitas</t>
  </si>
  <si>
    <t>Adquisición de alevines para Independencia</t>
  </si>
  <si>
    <t xml:space="preserve">Adquisición de plantas de Aguacate para Hondo Valle y Juan Santiago </t>
  </si>
  <si>
    <r>
      <t xml:space="preserve">AUMENTAR MONTO DE ACUERDO A LA LICITACION QUE ES POR UN MONTO DE 64,000,000.00
PENDIENTE PAGO PARA REALIZAR EN EL PRIMER TRIMESTRE SUJETO A LA INFORMACIóN SUMINISTRADA POR EL EQUIPO TECNICO. 
RD$103,863,013.14 se tenia ese monto
Monto propuesto por la parte técnica RD$27,825,000.00 de conformidad con la licitación UTEPDA-CCC-LPN-2022-0001, correspondiente a la adquisición de plantas de aguacates injertas de las variedades Hass, Carla, Beneke, Semil-34.
Pago en el primer trimestre de compromiso de arrastre de la Licitación UTEPDA-CCC-LPN-2021-0001, a las empresas: </t>
    </r>
    <r>
      <rPr>
        <b/>
        <sz val="11"/>
        <color rgb="FF000000"/>
        <rFont val="Calibri"/>
        <family val="2"/>
      </rPr>
      <t>Agrofumigadora del Sur RD$603,500.00; Jolteca, SRL, RD$1,988,560.00 y Sendero Alto, SRL RD$806,484.00
Revisar compromisos de pagos y entregas pendientes de plantas (catano)</t>
    </r>
    <r>
      <rPr>
        <sz val="11"/>
        <color rgb="FF000000"/>
        <rFont val="Calibri"/>
        <family val="2"/>
      </rPr>
      <t>, deficit de esta partida por un monto total de RD$3,398,544.00</t>
    </r>
  </si>
  <si>
    <t xml:space="preserve">REVISAR COMPROMISOS DE PAGOS </t>
  </si>
  <si>
    <t>Adquisición de plantas de Aguacate para Sabaneta</t>
  </si>
  <si>
    <t xml:space="preserve">Y ENTREGA PENDIENTES </t>
  </si>
  <si>
    <t xml:space="preserve">Adquisición de plantas de Aguacate para Barahona </t>
  </si>
  <si>
    <t xml:space="preserve">Adquisición de plantas de Aguacate para Bahoruco </t>
  </si>
  <si>
    <t>Adquisición de plantas de Aguacate para Las Cañitas</t>
  </si>
  <si>
    <t>Adquisición de plantas de Aguacate para Independencia</t>
  </si>
  <si>
    <t>Adquisición de Insumos y Materiales de Construcción de Viveros en Hondo Valle y Juan Santiago</t>
  </si>
  <si>
    <t>Rosanna Martinez</t>
  </si>
  <si>
    <t>Adquisición de Insumos y Materiales de Construcción de Viveros en Sabaneta</t>
  </si>
  <si>
    <t>Adquisición de Insumos y Materiales de Construcción de Viveros en Barahona</t>
  </si>
  <si>
    <t>Adquisición de Insumos y Materiales de Construcción de Viveros en Bahoruco</t>
  </si>
  <si>
    <t>Adquisición de Insumos y Materiales de Construcción de Viveros en Las Cañitas</t>
  </si>
  <si>
    <t>Adquisición de Insumos y Materiales de Construcción de Viveros en Independencia</t>
  </si>
  <si>
    <t>Adquisición de equipos y maquinarias pesadas para plantaciones agrícolas para Hondo Valle y Juan Santiago (Descontinuada)</t>
  </si>
  <si>
    <t>Adquisición de equipos y maquinarias pesadas para plantaciones agrícolas para Sabaneta</t>
  </si>
  <si>
    <t>Adquisición de equipos y maquinarias pesadas para plantaciones agrícolas para Barahona</t>
  </si>
  <si>
    <t>Adquisición de equipos y maquinarias pesadas para plantaciones agrícolas para Bahoruco</t>
  </si>
  <si>
    <t>Adquisición de equipos y maquinarias pesadas para plantaciones agrícolas para Las Cañitas</t>
  </si>
  <si>
    <t>Adquisición de equipos y maquinarias pesadas para plantaciones agrícolas para Independencia</t>
  </si>
  <si>
    <t>Adquisición de Camiones para Hondo Valle y Juan Santiago</t>
  </si>
  <si>
    <t>Adquisición de Camiones para Sabaneta</t>
  </si>
  <si>
    <t>Adquisición de Camiones para Barahona</t>
  </si>
  <si>
    <t>Adquisición de Camiones para Bahoruco</t>
  </si>
  <si>
    <t>Adquisición de Camiones para Las Cañitas</t>
  </si>
  <si>
    <t>Adquisición de Camiones para Independencia</t>
  </si>
  <si>
    <t>Adquisición de GPS para Hondo Valle y Juan Santiago</t>
  </si>
  <si>
    <t>Adquisición de GPS para Sabaneta</t>
  </si>
  <si>
    <t>Adquisición de GPS para Barahona</t>
  </si>
  <si>
    <t>Adquisición de GPS para Bahoruco</t>
  </si>
  <si>
    <t>Adquisición de GPS Las Cañitas</t>
  </si>
  <si>
    <t>Adquisición de GPS para Independencia</t>
  </si>
  <si>
    <t>Adquisición de líneas y sogas para Hondo Valle y Juan Santiago</t>
  </si>
  <si>
    <t>Libra</t>
  </si>
  <si>
    <t>Recursos trasnferidos a brigadas</t>
  </si>
  <si>
    <t>Adquisición de líneas y sogas para Sabaneta</t>
  </si>
  <si>
    <t xml:space="preserve">Adquisición de líneas y sogas para Barahona </t>
  </si>
  <si>
    <t>Adquisición de líneas y sogas para Bahoruco</t>
  </si>
  <si>
    <t>Adquisición de líneas y sogas para Las Cañitas</t>
  </si>
  <si>
    <t xml:space="preserve">Adquisición de líneas y sogas para Independdencia </t>
  </si>
  <si>
    <t>Adquisición frutas/semillas de aguacate para Hondo Valle y Juan Santiago</t>
  </si>
  <si>
    <t>Fundas y semillas</t>
  </si>
  <si>
    <t>Para este proceso de adquisición de 650,000 unidades de semillas de aguacates criollas, ya fue iniciado el proceso de compras UTEPDA-CCC-LPN-2022-0001, por un monto de RD$6,175,000.00.</t>
  </si>
  <si>
    <t xml:space="preserve">Adquisición frutas/semillas de aguacate para Sabaneta </t>
  </si>
  <si>
    <t>Adquisición frutas/semillas de aguacate para Barahona</t>
  </si>
  <si>
    <t>Adquisición frutas/semillas de aguacatepara Bahoruco</t>
  </si>
  <si>
    <t>Adquisición frutas/semillas de aguacate para Las Cañitas</t>
  </si>
  <si>
    <t>Adquisición frutas/semillas de aguacate para Independencia</t>
  </si>
  <si>
    <t>Pago operadores equipos pesados para cultivos (tractores) para Hondo Valle y Juan Santiago</t>
  </si>
  <si>
    <t>Pago operadores equipos pesados para cultivos (tractores) para Sabaneta</t>
  </si>
  <si>
    <t xml:space="preserve">Pago operadores equipos pesados para cultivos (tractores) para Barahona </t>
  </si>
  <si>
    <t xml:space="preserve">Pago operadores equipos pesados para cultivos (tractores) para Bahoruco </t>
  </si>
  <si>
    <t>Pago operadores equipos pesados para cultivos (tractores) para Las Cañitas</t>
  </si>
  <si>
    <t xml:space="preserve">Pago operadores equipos pesados para cultivos (tractores) para Independencia </t>
  </si>
  <si>
    <t xml:space="preserve">Pago choferes para transporte de plantas de viveros a  para Hondo Valle y Juan Santiago </t>
  </si>
  <si>
    <t xml:space="preserve">Pago choferes para transporte de plantas de viveros a PDAs para Sabaneta </t>
  </si>
  <si>
    <t xml:space="preserve">Pago choferes para transporte de plantas de viveros a PDAs para Barahona </t>
  </si>
  <si>
    <t xml:space="preserve">Pago choferes para transporte de plantas de viveros a PDAs para Bahoruco </t>
  </si>
  <si>
    <t>Pago choferes para transporte de plantas de viveros a PDAs para Las Cañitas</t>
  </si>
  <si>
    <t xml:space="preserve">Pago choferes para transporte de plantas de viveros a PDAs para Independencia </t>
  </si>
  <si>
    <t xml:space="preserve">Luis Vasquez </t>
  </si>
  <si>
    <t xml:space="preserve">Combustibles para Hondo Valle y Juan Santiago </t>
  </si>
  <si>
    <t>GLS</t>
  </si>
  <si>
    <t>Verificar combustible con Carmen</t>
  </si>
  <si>
    <t xml:space="preserve">Combustibles para Sabaneta </t>
  </si>
  <si>
    <t xml:space="preserve">Combustibles para Barahona </t>
  </si>
  <si>
    <t xml:space="preserve">Combustibles para Bahoruco </t>
  </si>
  <si>
    <t>Combustibles Las Cañitas</t>
  </si>
  <si>
    <t xml:space="preserve">Combustibles para Independencia </t>
  </si>
  <si>
    <t>Llantas y neumáticos para Hondo Valle y Juan Santiago</t>
  </si>
  <si>
    <t>Llantas y neumáticos para Sabaneta</t>
  </si>
  <si>
    <t xml:space="preserve">Llantas y neumáticos para Barahona </t>
  </si>
  <si>
    <t>Llantas y neumáticos para Bahoruco</t>
  </si>
  <si>
    <t>Llantas y neumáticos para Las Cañitas</t>
  </si>
  <si>
    <t xml:space="preserve">Llantas y neumáticos para Independencia </t>
  </si>
  <si>
    <t>Adquisición de diversas piezas para motocicletas</t>
  </si>
  <si>
    <t>Solo el 50% de los recursos requeridos y necesarios</t>
  </si>
  <si>
    <t>Adquisición plantas de especias para Hondo Valle y Juan Santiago</t>
  </si>
  <si>
    <t>P</t>
  </si>
  <si>
    <t>Plantas</t>
  </si>
  <si>
    <t>Adquisición plantas de especias para Sabaneta</t>
  </si>
  <si>
    <t>Adquisición plantas de especias  para Barahona</t>
  </si>
  <si>
    <t xml:space="preserve">Adquisición plantas de especias  para Bahoruco </t>
  </si>
  <si>
    <t>Adquisición plantas de especias  Las Cañitas</t>
  </si>
  <si>
    <t xml:space="preserve">Adquisición plantas de especias  para Independencia </t>
  </si>
  <si>
    <t xml:space="preserve">Adquisición de insumos y equipos menores de seguridad para Hondo Valle y Juan Santiago </t>
  </si>
  <si>
    <t>GO,MA</t>
  </si>
  <si>
    <t>Adquisición de insumos y equipos menores de seguridad para Sabaneta</t>
  </si>
  <si>
    <t>Adquisición de insumos y equipos menores de seguridad para Barahona</t>
  </si>
  <si>
    <t xml:space="preserve">Adquisición de insumos y equipos menores de seguridad para Bahoruco </t>
  </si>
  <si>
    <t>Adquisición de insumos y equipos menores de seguridad para Las Cañitas</t>
  </si>
  <si>
    <t xml:space="preserve">Adquisición de insumos y equipos menores de seguridad para Independencia </t>
  </si>
  <si>
    <t xml:space="preserve">Adquisición de semillas de Cacao para Hondo Valle y Juan Santiago (Descontinuado) </t>
  </si>
  <si>
    <t>Este monto esta contemplado en las metas de los proyectos Bahoruco y BARAHONA</t>
  </si>
  <si>
    <t>Adquisición de semillas de Cacao para Sabaneta</t>
  </si>
  <si>
    <t xml:space="preserve">Adquisición de semillas de Cacao para Barahona </t>
  </si>
  <si>
    <t xml:space="preserve">Adquisición de semillas de Cacao para Bahoruco </t>
  </si>
  <si>
    <t xml:space="preserve">Adquisición de semillas de Cacao para Las Cañitas </t>
  </si>
  <si>
    <t xml:space="preserve">Adquisición de semillas de Cacao para Independencia </t>
  </si>
  <si>
    <t xml:space="preserve">Adquisición de plantas de mango para Hondo Valle y Juan Santiago </t>
  </si>
  <si>
    <t>Adquisición de plantas de mango para Sabaneta</t>
  </si>
  <si>
    <t xml:space="preserve">Adquisición de plantas de mango para Barahona </t>
  </si>
  <si>
    <t xml:space="preserve">Adquisición de plantas de mango para Bahoruco </t>
  </si>
  <si>
    <t>Adquisición de plantas de mango para Las Cañitas</t>
  </si>
  <si>
    <t xml:space="preserve">Adquisición de plantas de mango para Independencia </t>
  </si>
  <si>
    <t>Plan Piloto de Investigación para introducción de nuevas variedades para los Sistemas Agroforestales</t>
  </si>
  <si>
    <t>Plan</t>
  </si>
  <si>
    <t>Parcela demostrativas para introducción de vaiedades de plantas de café y aguacate</t>
  </si>
  <si>
    <t xml:space="preserve">Adquisición de materiales diversos para reparacion de camionetas y vehiculos pesados (cambios de piezas, piezas, baterias, etc) para Hondo Valle y Juan Santiago </t>
  </si>
  <si>
    <t>Adquisición de materiales diversos para reparacion de camionetas y vehiculos pesados (cambios de piezas, piezas, baterias, etc) para Sabaneta</t>
  </si>
  <si>
    <t xml:space="preserve">Adquisición de materiales diversos para reparacion de camionetas y vehiculos pesados (cambios de piezas, piezas, baterias, etc) para Barahona </t>
  </si>
  <si>
    <t xml:space="preserve">Adquisición de materiales diversos para reparacion de camionetas y vehiculos pesados (cambios de piezas, piezas, baterias, etc) para Bahoruco </t>
  </si>
  <si>
    <t xml:space="preserve">Adquisición de materiales diversos para reparacion de camionetas y vehiculos pesados (cambios de piezas, piezas, baterias, etc) para Las Cañitas </t>
  </si>
  <si>
    <t xml:space="preserve">Adquisición de materiales diversos para reparacion de camionetas y vehiculos pesados (cambios de piezas, piezas, baterias, etc) para Independencia </t>
  </si>
  <si>
    <t xml:space="preserve">Servicios de mantenimientos de vehículos livianos y pesados para Hondo Valle y Juan Santiago  </t>
  </si>
  <si>
    <t xml:space="preserve">Orden de Servicios </t>
  </si>
  <si>
    <t xml:space="preserve">Mantenimientos diversos </t>
  </si>
  <si>
    <t>Servicios de mantenimientos de vehículos livianos y pesados para Sabaneta</t>
  </si>
  <si>
    <t xml:space="preserve">Servicios de mantenimientos de vehículos livianos y pesados para Barahona </t>
  </si>
  <si>
    <t xml:space="preserve">Servicios de mantenimientos de vehículos livianos y pesados para Bahoruco </t>
  </si>
  <si>
    <t>Servicios de mantenimientos de vehículos livianos y pesados para Las Cañitas</t>
  </si>
  <si>
    <t xml:space="preserve">Servicios de mantenimientos de vehículos livianos y pesados para Independencia </t>
  </si>
  <si>
    <t>Adquisición de materiales ferreteros para Hondo Valle y Juan Santiago</t>
  </si>
  <si>
    <t>Adquisición de materiales ferreteros para Sabaneta</t>
  </si>
  <si>
    <t xml:space="preserve">Adquisición de materiales ferreteros para Barahona </t>
  </si>
  <si>
    <t xml:space="preserve">Adquisición productos electricos, herramientas y utiles varios </t>
  </si>
  <si>
    <t xml:space="preserve">Adquisición de materiales ferreteros para Bahoruco </t>
  </si>
  <si>
    <t xml:space="preserve">Adquisición de materiales ferreteros para Las Cañitas </t>
  </si>
  <si>
    <t xml:space="preserve">Materiales ferreteros </t>
  </si>
  <si>
    <t>Adquisición de materiales ferreteros para Independencia</t>
  </si>
  <si>
    <t xml:space="preserve">Pago servicios de conectividad para Hondo Velle y Juan Santiago </t>
  </si>
  <si>
    <t>Facturas</t>
  </si>
  <si>
    <t>Pagos de facturas</t>
  </si>
  <si>
    <t>Recurso reducido por corte presupuestario</t>
  </si>
  <si>
    <t>Pago servicios de conectividad para Sabaneta</t>
  </si>
  <si>
    <t>Pago servicios de conectividad para Barahona</t>
  </si>
  <si>
    <t>Pago servicios de conectividad para Bahoruco</t>
  </si>
  <si>
    <t>Pago servicios de conectividad para Las Cañitas</t>
  </si>
  <si>
    <t>Pago servicios de conectividad para Independencia</t>
  </si>
  <si>
    <t xml:space="preserve">Adquisición de Polimero para Hondo Valle y Juan Santiago </t>
  </si>
  <si>
    <t xml:space="preserve">Facturas </t>
  </si>
  <si>
    <t>Adquisición de 300 kilos de Pólimero, licitados mediante proceso UTEPDA-CCC-LPN-2022-0002.</t>
  </si>
  <si>
    <t>Adquisición de Polimero para Sabaneta</t>
  </si>
  <si>
    <t>Adquisición de Polimero para Barahona</t>
  </si>
  <si>
    <t>Adquisición de Polimero para Bahoruco</t>
  </si>
  <si>
    <t>Adquisición de Polimero para Las Cañitas</t>
  </si>
  <si>
    <t>Adquisición de Polimero para Independencia</t>
  </si>
  <si>
    <t>Adquisición de enraizador a base de algas marinas para Hondo Valle y Juan Santiago</t>
  </si>
  <si>
    <t>Factura</t>
  </si>
  <si>
    <t>Adquisición de 30,000 unidades de enraizador a base de algas marinas, licitadas mediante proceso UTEPDA-CCC-LPN-2022-0002. Se espera la adjudicación para marzo/2022 y se estarían recepcionando para el segundo y tercer trimestre/2022.</t>
  </si>
  <si>
    <t>Adquisición de enraizador a base de algas marinas para Sabaneta</t>
  </si>
  <si>
    <t>Adquisición de enraizador a base de algas marinas para Barahona</t>
  </si>
  <si>
    <t>Adquisición de enraizador a base de algas marinas para Bahoruco</t>
  </si>
  <si>
    <t>Adquisición de enraizador a base de algas marinas para Las Cañitas</t>
  </si>
  <si>
    <t>Adquisición de enraizador a base de algas marinas para Independencia</t>
  </si>
  <si>
    <t>Mejorada la Gestión Ambiental de los PDAs</t>
  </si>
  <si>
    <t>GO-MMA</t>
  </si>
  <si>
    <t>Ana Esther De León</t>
  </si>
  <si>
    <t>Elaboración e implementación del Plan de Remoción de Especies Invasoras</t>
  </si>
  <si>
    <t>Plan de remoción de especies</t>
  </si>
  <si>
    <t>Visitas de verificación a los 7 PDA</t>
  </si>
  <si>
    <t>Elaboración e implementación del Plan de Gestión de Agroquímicos</t>
  </si>
  <si>
    <t>Plan de gestión de agroquímicos</t>
  </si>
  <si>
    <t>Plan elaborado e implementado</t>
  </si>
  <si>
    <t>Según el contrato para el año 2022 se estima unos pagos por los products entregado por la Universidad ISA de RD$2,024,883.2. El cual no esta presupuestado en el POA 2022 por la reduccion presupuestaria</t>
  </si>
  <si>
    <t>Seguimiento al Sistema de Control de Plagas y enfermedades implementado por el MA</t>
  </si>
  <si>
    <t>Informes de seguimiento</t>
  </si>
  <si>
    <t>Responsable del Componente Agrícola</t>
  </si>
  <si>
    <t>Implementación del monitoreo de la sanidad de los sistemas agroforestales (Medicion y seguimiento de sostenibilidad de plantaciones)</t>
  </si>
  <si>
    <t>Informes de monitoreo</t>
  </si>
  <si>
    <t>Diseño e implementación del Plan de Educación Ambiental</t>
  </si>
  <si>
    <t xml:space="preserve">Para insumos estimamos unos RD$90,000.00 en alimentación. RD$15,000.00 de impresión.
Esto incluye solo insumos alimenticios y gastos de impresión para estas actividades. Para el caso de las impresiones, se estiman 500 hojas por imprimir brochure. </t>
  </si>
  <si>
    <t>Viáticos</t>
  </si>
  <si>
    <t>Mejorada la Gestión Social de los PDAs</t>
  </si>
  <si>
    <t>UTEPDA</t>
  </si>
  <si>
    <t>Maidry Medina</t>
  </si>
  <si>
    <t>Diseño de la Plataforma de Divulgación de Información y desarrollo del Sistema de Uso Transparente de Fondos (plataforma)</t>
  </si>
  <si>
    <t>Plataforma en operación y sistema en uso</t>
  </si>
  <si>
    <t>DTI,GO,GAF</t>
  </si>
  <si>
    <t xml:space="preserve">Permanente </t>
  </si>
  <si>
    <t xml:space="preserve">Plataforma en funciones y cantidad de accesos a la plataforma de transparencia. cantidad de solicitudes de información. cantidad de respuestas a solicitudes de información. </t>
  </si>
  <si>
    <t>Elaboración del Plan de Participación ciudadana y del Sistema de Gestión de quejas y reclamos</t>
  </si>
  <si>
    <t>Implementación del Plan de Participación Ciudadana y del Sistema de Gestión de quejas y reclamos</t>
  </si>
  <si>
    <t>Informes de ejecución e implementación</t>
  </si>
  <si>
    <t>Desarrollo del Sistema de Uso Transparente de Fondos (plataforma)</t>
  </si>
  <si>
    <t>Sistema en uso</t>
  </si>
  <si>
    <t>Plan de Incentivo para la transformación operando</t>
  </si>
  <si>
    <t>DRCB-GAF</t>
  </si>
  <si>
    <t>Nómina Erogada</t>
  </si>
  <si>
    <t>DRGB-DN</t>
  </si>
  <si>
    <t xml:space="preserve">Beneficiarios </t>
  </si>
  <si>
    <t>El presupuesto de incentivo se redujo al 50%</t>
  </si>
  <si>
    <t>Pago de incentivo en Hondo Valle y Juan Santiago</t>
  </si>
  <si>
    <t>N/A</t>
  </si>
  <si>
    <t>Beneficiarios reducidos, debido a la evaluación y depuración en campo por parte del departamento de beneficiarios y la exclusión de beneficios que excede los 3 años según los requerimientos establecidos por el BID y el Gobierno Local</t>
  </si>
  <si>
    <t>Pago de incentivo en Sabaneta</t>
  </si>
  <si>
    <t>Pago de incentivo en Las Cañitas</t>
  </si>
  <si>
    <t>Pago de incentivo en Independencia</t>
  </si>
  <si>
    <t>Pago de incentivo en Bahoruco</t>
  </si>
  <si>
    <t>Pago de incentivo en Los Fríos</t>
  </si>
  <si>
    <t>Pago de incentivos en Barahona</t>
  </si>
  <si>
    <t>Proyecto Hermanas Mirabal / Cibao Nordeste</t>
  </si>
  <si>
    <t>No habra presupuesto para la realizacion de este Proyecto</t>
  </si>
  <si>
    <t>Adquisición de plantas de café (a raiz dirigida, a Raiz desnuda y Funda)</t>
  </si>
  <si>
    <t>Proyecto Monseñor Nouel (Bonao) / Cibao Sur</t>
  </si>
  <si>
    <t>Proyecto Santiago Rodriguez / Cibao Noroeste</t>
  </si>
  <si>
    <t>GA,GO</t>
  </si>
  <si>
    <t>Proyecto SAJOMA (Las Placetas) / Cibao Norte</t>
  </si>
  <si>
    <t>Pagos 12 meses (Enero -Diciembre). Recurdo reducido por tope presupuestaria</t>
  </si>
  <si>
    <t xml:space="preserve">Rafale Gómez </t>
  </si>
  <si>
    <t>Proyecto El Rosalito</t>
  </si>
  <si>
    <t>tareas sembradas</t>
  </si>
  <si>
    <t>GAF-GO</t>
  </si>
  <si>
    <t>Proyecto NACAS (San Cristóbal)</t>
  </si>
  <si>
    <t>Proyecto Villa Trina</t>
  </si>
  <si>
    <t xml:space="preserve">Domingo Moreta </t>
  </si>
  <si>
    <t>Jornales</t>
  </si>
  <si>
    <t>Proyecto Cooperativa Macasias (Macasias / Carrera de Yegua)</t>
  </si>
  <si>
    <t>Tareas Sembrada</t>
  </si>
  <si>
    <t>Nelson Vargas</t>
  </si>
  <si>
    <t>Productores que reciben asistencia técnica para la adopción y mantenimiento de sistemas agroforestales</t>
  </si>
  <si>
    <t>GO-GAF-MA</t>
  </si>
  <si>
    <t>Se redujeron en un 50% las nóminas y viáticos</t>
  </si>
  <si>
    <t>Asistencias técnicas realizadas</t>
  </si>
  <si>
    <t>Bitácora</t>
  </si>
  <si>
    <t>Contratacion de tecnicos</t>
  </si>
  <si>
    <t>RR HH</t>
  </si>
  <si>
    <t>GAF, MA,GAF</t>
  </si>
  <si>
    <t>9 tecnicos a 35,000 x 12 +9,900</t>
  </si>
  <si>
    <t>Viáticos Indocafé</t>
  </si>
  <si>
    <t>GAF,MA,GO</t>
  </si>
  <si>
    <t>Adquisición de insumos, materiales y equipos</t>
  </si>
  <si>
    <t>Procesos de adquisiciones</t>
  </si>
  <si>
    <t xml:space="preserve">Luís Vásquez </t>
  </si>
  <si>
    <t xml:space="preserve">Adquisición de Motocicletas Hondo Valle y Juan Santiago </t>
  </si>
  <si>
    <t xml:space="preserve">40 motocicletas para ser utilziadas por los técnicos de los proyectos </t>
  </si>
  <si>
    <t>Adquisición de Motocicletas Sabaneta</t>
  </si>
  <si>
    <t xml:space="preserve">Adquisición de Motocicletas Barahona </t>
  </si>
  <si>
    <t xml:space="preserve">Adquisición de Motocicletas Bahoruco </t>
  </si>
  <si>
    <t xml:space="preserve">Adquisición de Motocicletas Las Cañitas </t>
  </si>
  <si>
    <t>Adquisición de Motocicletas Independencia</t>
  </si>
  <si>
    <t>Adquisición de equipos informáticos</t>
  </si>
  <si>
    <t xml:space="preserve">Solicitud materiales de señalización </t>
  </si>
  <si>
    <t xml:space="preserve">Joan Moya </t>
  </si>
  <si>
    <t xml:space="preserve">GO-COMPRAS </t>
  </si>
  <si>
    <t>Adquisición de material gastable</t>
  </si>
  <si>
    <t>Reducción de nóminas de técnicos en un 50%</t>
  </si>
  <si>
    <t>Pagos a personal (tecnicos asistencia)</t>
  </si>
  <si>
    <t>Pago de viáticos</t>
  </si>
  <si>
    <t>Asistencia técnica en Las Cañitas</t>
  </si>
  <si>
    <t>Asistencia técnica en Independencia</t>
  </si>
  <si>
    <t>Asistencia técnica en Bahoruco</t>
  </si>
  <si>
    <t>Asistencia técnica en Hermanas Mirabal / Cibao Nordeste</t>
  </si>
  <si>
    <t>Asistencia técnica en Monseñor Nouel (Bonao) / Cibao Sur</t>
  </si>
  <si>
    <t>01</t>
  </si>
  <si>
    <t>Asistencia técnica en Santiago Rodriguez / Cibao Noroeste</t>
  </si>
  <si>
    <t>06</t>
  </si>
  <si>
    <t>Asistencia técnica en SAJOMA (Las Placetas)  / Cibao Norte</t>
  </si>
  <si>
    <t>03</t>
  </si>
  <si>
    <t>Pago de virticos</t>
  </si>
  <si>
    <t>Asistencia técnica en El Rosalito</t>
  </si>
  <si>
    <t>08</t>
  </si>
  <si>
    <t>Asistencia técnica en Valdesia (NACAS)</t>
  </si>
  <si>
    <t>09</t>
  </si>
  <si>
    <t>Asistencia técnica en Villa Trina</t>
  </si>
  <si>
    <t>05</t>
  </si>
  <si>
    <t>Asistencia técnica en Constanza</t>
  </si>
  <si>
    <t>07</t>
  </si>
  <si>
    <t>Asistencia técnica en Cooperativa Macasias (Macasias / Carrera de Yegua)</t>
  </si>
  <si>
    <t>04</t>
  </si>
  <si>
    <t>Sistema de monitoreo y supervisión de áreas bajo sistemas agroforestales implementado</t>
  </si>
  <si>
    <t>Sistema operando</t>
  </si>
  <si>
    <t>Esp. A, DTI</t>
  </si>
  <si>
    <t>El presupuesto para los vuelos fotogrametricos se redujo en un 57%, faltarían 20MM para saldar dicho contrato</t>
  </si>
  <si>
    <t>Sistema de monitoreo implementado</t>
  </si>
  <si>
    <t>DM</t>
  </si>
  <si>
    <t>Reducción de un 43%</t>
  </si>
  <si>
    <t>Desarrollo e implementación del Sistema de Monitoreo</t>
  </si>
  <si>
    <t>Realización de vuelos de Fotogrametría</t>
  </si>
  <si>
    <t>Diagnóstico de la zona de intervención/archivo digital</t>
  </si>
  <si>
    <t>Joan Moya/Oscar Garcia</t>
  </si>
  <si>
    <t>GO-CT</t>
  </si>
  <si>
    <t>Implementación de estaciones meteorológicas en los PDA zona sur</t>
  </si>
  <si>
    <t>Estaciones instaladas y operando</t>
  </si>
  <si>
    <t xml:space="preserve">Joan Moya / Rufo Acosta </t>
  </si>
  <si>
    <t>DTI, GO</t>
  </si>
  <si>
    <t xml:space="preserve">No. de equipos </t>
  </si>
  <si>
    <t>Adquisición de estaciones meteorológicas</t>
  </si>
  <si>
    <t>Auditoría técnica realizada en los PDA</t>
  </si>
  <si>
    <t>DME-GO</t>
  </si>
  <si>
    <t>Informes de auditores técnicos</t>
  </si>
  <si>
    <t>Auditores</t>
  </si>
  <si>
    <t>GO-DME</t>
  </si>
  <si>
    <t>No. Informes</t>
  </si>
  <si>
    <t>Documentar los procesos y procedimientos para el control de los datos.</t>
  </si>
  <si>
    <t>DME-DPD</t>
  </si>
  <si>
    <t>Expediente de procesos registrados y documentados</t>
  </si>
  <si>
    <t>No. de procesos documentados</t>
  </si>
  <si>
    <t>Estandarizar las herramientas de control y gestión de calidad de datos</t>
  </si>
  <si>
    <t>Herramientas estandarizadas</t>
  </si>
  <si>
    <t>No. de herramientas estandarizadas</t>
  </si>
  <si>
    <t>Supervisión de la producción de datos en los PDA</t>
  </si>
  <si>
    <t>Informes de supervisión</t>
  </si>
  <si>
    <t>Joan Moya-Glennys Genao- David Arthur</t>
  </si>
  <si>
    <t>No. de reportes</t>
  </si>
  <si>
    <t>Víaticos y combustible</t>
  </si>
  <si>
    <t>Revisión en gabinete de los datos levantados en campo por los PDA</t>
  </si>
  <si>
    <t>Reporte quincenal</t>
  </si>
  <si>
    <t>David Arthur</t>
  </si>
  <si>
    <t>Material gastable</t>
  </si>
  <si>
    <t>Operativo muestreo de datos validados en gabinete</t>
  </si>
  <si>
    <t>Informe</t>
  </si>
  <si>
    <t>AUD</t>
  </si>
  <si>
    <t>Operativo confirmación de datos con equipo técnico en campo</t>
  </si>
  <si>
    <t>Listado de participación-Reporte actividad</t>
  </si>
  <si>
    <t>Joan Moya P.</t>
  </si>
  <si>
    <t>Revisar y validar el formulario a implementar por la CPTTE</t>
  </si>
  <si>
    <t>Elaborar el Plan de Monitoreo Participativo con los Comités Locales</t>
  </si>
  <si>
    <t>Implementar el Plan de Monitoreo Participativo</t>
  </si>
  <si>
    <t>Implementacion Plan</t>
  </si>
  <si>
    <t>Coordinación de Georreferenciación</t>
  </si>
  <si>
    <t>Se redujeron en un 50% las nóminas, viáticos y combustible del personal de georreferenciación de todos los PDA</t>
  </si>
  <si>
    <t>Pagos de nóminas al personal de  georreferenciación en Hondo Valle y Juan Santiago</t>
  </si>
  <si>
    <t>semanas</t>
  </si>
  <si>
    <t>Recurso reducido al 50% por tope presupuetario</t>
  </si>
  <si>
    <t>Pagos de nóminas al personal de  georreferenciación en Sabaneta</t>
  </si>
  <si>
    <t xml:space="preserve">Pagos de nóminas al personal de  georreferenciación en Barahona </t>
  </si>
  <si>
    <t xml:space="preserve">Pagos de nóminas al personal de  georreferenciación en Bahoruco </t>
  </si>
  <si>
    <t xml:space="preserve">Pagos de nóminas al personal de  georreferenciación en Las Cañitas </t>
  </si>
  <si>
    <t xml:space="preserve">Pagos de nóminas al personal de  georreferenciación en Los Fios </t>
  </si>
  <si>
    <t xml:space="preserve">Pagos de nóminas al personal de  georreferenciación en Independencia </t>
  </si>
  <si>
    <t>Pagos de viáticos al personal de  georreferenciación en Hondo Valle y Juan Santiago</t>
  </si>
  <si>
    <t>Este monto se distribuye de la siguiente forma: RD$2,800.00 X 3 personas X 26 días X 12 meses = RD$2,620,800.00</t>
  </si>
  <si>
    <t>Pagos de viáticos al personal de  georreferenciación en Sabaneta</t>
  </si>
  <si>
    <t xml:space="preserve">Pagos de viáticos al personal de  georreferenciación en Barahona </t>
  </si>
  <si>
    <t xml:space="preserve">Pagos de viáticos al personal de  georreferenciación en Bahoruco </t>
  </si>
  <si>
    <t xml:space="preserve">Pagos de viáticos al personal de  georreferenciación en Las Cañitas </t>
  </si>
  <si>
    <t xml:space="preserve">Pagos de viáticos al personal de  georreferenciación en Los Fios </t>
  </si>
  <si>
    <t xml:space="preserve">Pagos de viáticos al personal de  georreferenciación en Independencia </t>
  </si>
  <si>
    <t>Pagos de combustible al personal de  georreferenciación en Hondo Valle y Juan Santiago</t>
  </si>
  <si>
    <t>Recurso reducido a un 50%</t>
  </si>
  <si>
    <t>Pagos de combustible al personal de  georreferenciación en Sabaneta</t>
  </si>
  <si>
    <t xml:space="preserve">Pagos de  combustible al personal de  georreferenciación en Barahona </t>
  </si>
  <si>
    <t xml:space="preserve">Pagos de  combustible al personal de  georreferenciación en Bahoruco </t>
  </si>
  <si>
    <t xml:space="preserve">Pagos de  combustible al personal de  georreferenciación en Las Cañitas </t>
  </si>
  <si>
    <t xml:space="preserve">Pagos de  combustible al personal de  georreferenciación en Independencia </t>
  </si>
  <si>
    <t>Insumos para el monitoreo de áreas bajo sistemas agroforestales</t>
  </si>
  <si>
    <t xml:space="preserve">Señalización de áreas en Hondo Valle </t>
  </si>
  <si>
    <t xml:space="preserve">Aerosol, varilla y talonarios </t>
  </si>
  <si>
    <t>Señalización de áreas en Sabaneta</t>
  </si>
  <si>
    <t xml:space="preserve">Señalización de áreas en Barahona </t>
  </si>
  <si>
    <t>Señalización de áreas en Bahoruco</t>
  </si>
  <si>
    <t>Señalización de áreas en Las Cañitas</t>
  </si>
  <si>
    <t>Señalización de áreas en Independencia</t>
  </si>
  <si>
    <t>Fortalecimiento del RRHH de departamento Monitoreo y Evaluación</t>
  </si>
  <si>
    <t>DPM-RRHH-GAF</t>
  </si>
  <si>
    <t>Contratación de un (1) analista de Monitoreo</t>
  </si>
  <si>
    <t>DRRHH-DME</t>
  </si>
  <si>
    <t>Contratación de personal</t>
  </si>
  <si>
    <t>Inventario de ocupación de los beneficiarios e identificación de las extensiones superficiales en áreas protegidas, realizado</t>
  </si>
  <si>
    <t>CPTTE-GO</t>
  </si>
  <si>
    <t>Inventario</t>
  </si>
  <si>
    <t>Oscar Garcia</t>
  </si>
  <si>
    <t>CT</t>
  </si>
  <si>
    <t xml:space="preserve">inventario </t>
  </si>
  <si>
    <t>Esta actividad se redujo en un 53% para contratación personal relevante, pago de viáticos y sueldo 13 del personal de titulación</t>
  </si>
  <si>
    <t>Actividades Previas a la Identificación</t>
  </si>
  <si>
    <t>Elaboración de la Propuesta de Reglamento técnico para mensura en zonas de topografía accidentada (CPTTE – Poder Judicial - Jurisdicción Inmobiliaria)</t>
  </si>
  <si>
    <t>Reglamento</t>
  </si>
  <si>
    <t>Identificación, Priorización y Planificación de las áreas de las cuencas a intervenir por el PDA (UTEPDA – CPTTE)</t>
  </si>
  <si>
    <t>Cronograma</t>
  </si>
  <si>
    <t xml:space="preserve">Cronograma </t>
  </si>
  <si>
    <t>Luis Vásquez /Bernardo Sánchez/Oscar García/Ramón Paulino</t>
  </si>
  <si>
    <t>GAF-DF-GO</t>
  </si>
  <si>
    <t>GAF-DCC</t>
  </si>
  <si>
    <t xml:space="preserve">Contrato </t>
  </si>
  <si>
    <t xml:space="preserve">Adquisición de GPS para Las Cañitas </t>
  </si>
  <si>
    <t>Adquisición de equipos tecnológicos y licencias de software para Hondo Valle y Juan Santiago</t>
  </si>
  <si>
    <t>Glennys Genao</t>
  </si>
  <si>
    <t>Adquisicióm de Sfotware de ArcGis</t>
  </si>
  <si>
    <t xml:space="preserve">Adquisición de equipos tecnológicos y licencias de software para Sabaneta </t>
  </si>
  <si>
    <t xml:space="preserve">Adquisición de equipos tecnológicos y licencias de software para Barahona </t>
  </si>
  <si>
    <t xml:space="preserve">Adquisición de equipos tecnológicos y licencias de software para Bahoruco </t>
  </si>
  <si>
    <t xml:space="preserve">Adquisición de equipos tecnológicos y licencias de software para Las Cañitas </t>
  </si>
  <si>
    <t>Adquisición de equipos tecnológicos y licencias de software para Independencia</t>
  </si>
  <si>
    <t xml:space="preserve">Adquisición de electrodomésticos para Hondo Valle y Juan Santiago </t>
  </si>
  <si>
    <t>Adquisición de electrodomésticos para Sabaneta</t>
  </si>
  <si>
    <t xml:space="preserve">Adquisición de electrodomésticos para Barahona </t>
  </si>
  <si>
    <t xml:space="preserve">Adquisición de electrodomésticos para Bahoruco </t>
  </si>
  <si>
    <t>Adquisición de electrodomésticos para Las Cañitas</t>
  </si>
  <si>
    <t>Adquisición de electrodomésticos para Independencia</t>
  </si>
  <si>
    <t xml:space="preserve">Adquisición de medios de transporte para Hondo Valle y Juan Santiago </t>
  </si>
  <si>
    <t>GO-DT</t>
  </si>
  <si>
    <t>Adquisición de medios de transporte para Sabaneta</t>
  </si>
  <si>
    <t xml:space="preserve">Adquisición de medios de transporte para Barahona </t>
  </si>
  <si>
    <t xml:space="preserve">Adquisición de medios de transporte para Bahoruco </t>
  </si>
  <si>
    <t xml:space="preserve">Adquisición de medios de transporte para Las Cañitas </t>
  </si>
  <si>
    <t xml:space="preserve">Adquisición de medios de transporte para Independencia </t>
  </si>
  <si>
    <t xml:space="preserve">Adquisición de capas de lluvia para Hondo Valle y Juan Santiago </t>
  </si>
  <si>
    <t xml:space="preserve">Adquisición de capas de lluvia para Sabaneta </t>
  </si>
  <si>
    <t xml:space="preserve">Adquisición de capas de lluvia para Barahona </t>
  </si>
  <si>
    <t xml:space="preserve">Adquisición de capas de lluvia para Bahoruco </t>
  </si>
  <si>
    <t xml:space="preserve">Adquisición de capas de lluvia para Las Cañitas </t>
  </si>
  <si>
    <t xml:space="preserve">Adquisición de capas de lluvia para Independencia </t>
  </si>
  <si>
    <t xml:space="preserve">Adquisición de insumos menores y equipos de seguridad personal para Hondo Valle y Juan Santiago </t>
  </si>
  <si>
    <t xml:space="preserve">Adquisición de insumos menores y equipos de seguridad personal para Sabaneta </t>
  </si>
  <si>
    <t xml:space="preserve">Adquisición de insumos menores y equipos de seguridad personal para Barahona </t>
  </si>
  <si>
    <t xml:space="preserve">Adquisición de insumos menores y equipos de seguridad personal para Bahoruco </t>
  </si>
  <si>
    <t>Adquisición de insumos menores y equipos de seguridad personal para Las Cañitas</t>
  </si>
  <si>
    <t xml:space="preserve">Adquisición de insumos menores y equipos de seguridad personal para Independencia </t>
  </si>
  <si>
    <t>Adquisición e instalación mejoras para oficinas Titulacion</t>
  </si>
  <si>
    <t>GO-CT-DA</t>
  </si>
  <si>
    <t xml:space="preserve">Contrato de alquiler </t>
  </si>
  <si>
    <t>Combustibles</t>
  </si>
  <si>
    <t>Ramon Paulino</t>
  </si>
  <si>
    <t>Galones</t>
  </si>
  <si>
    <t xml:space="preserve">Adquisión de equipos levantamiento catastral para Hondo Valle y Juan Santiago </t>
  </si>
  <si>
    <t>GO-CT-DPM</t>
  </si>
  <si>
    <t>Adquisión de equipos levantamiento catastral para Sabaneta</t>
  </si>
  <si>
    <t xml:space="preserve">Adquisión de equipos levantamiento catastral para Barahona </t>
  </si>
  <si>
    <t xml:space="preserve">Adquisión de equipos levantamiento catastral para Bahoruco </t>
  </si>
  <si>
    <t xml:space="preserve">Adquisión de equipos levantamiento catastral para Las Cañitas </t>
  </si>
  <si>
    <t>Adquisión de equipos levantamiento catastral para Independencsia</t>
  </si>
  <si>
    <t xml:space="preserve">Adquisicion de 24 Radios de Comunicacion para Hondo Valle y Juan Santiago </t>
  </si>
  <si>
    <t xml:space="preserve">Adquisicion de 24 Radios de Comunicacion para Sabaneta </t>
  </si>
  <si>
    <t xml:space="preserve">Adquisicion de 24 Radios de Comunicacion para Barahona </t>
  </si>
  <si>
    <t xml:space="preserve">Adquisicion de 24 Radios de Comunicacion para Bahoruco </t>
  </si>
  <si>
    <t xml:space="preserve">Adquisicion de 24 Radios de Comunicacion para Las Cañitas </t>
  </si>
  <si>
    <t xml:space="preserve">Adquisicion de 24 Radios de Comunicacion para Independencia </t>
  </si>
  <si>
    <t>Identificación de las extensiones superficiales de las áreas protegidas e inventario de ocupación de los beneficiarios</t>
  </si>
  <si>
    <t>Identificación de terreno de los beneficiarios</t>
  </si>
  <si>
    <t>A definir</t>
  </si>
  <si>
    <t>Delimitación de terreno de los beneficiarios (Consiste en ir al campo con los RTK y las estaciones totales)</t>
  </si>
  <si>
    <t>Elaboración de inventario (trabajo de gabinete)</t>
  </si>
  <si>
    <t xml:space="preserve">Equipos Informaticos </t>
  </si>
  <si>
    <t>Gestion Humana</t>
  </si>
  <si>
    <t>Contratacion personal relevante</t>
  </si>
  <si>
    <t>Solicitud</t>
  </si>
  <si>
    <t>Este monto se distribuye de la siguiente manera; RD$466 x 48 semanas = RD$22,370,400.00</t>
  </si>
  <si>
    <t>Actividades previas a la Certificacion de titulos</t>
  </si>
  <si>
    <t>No habra presupuesto para la realizacion de esta actividad</t>
  </si>
  <si>
    <t>Estudio de Riesgo de Empobrecimiento, Desplazamiento Físico y Económico por cuenca: 5 cuencas</t>
  </si>
  <si>
    <t xml:space="preserve">Maidry Medina / Luis Vasquez </t>
  </si>
  <si>
    <t>Consultoría para realizar el Diseño y Ejecución de una Campaña de Información previa a los trabajos de Titulación</t>
  </si>
  <si>
    <t xml:space="preserve">Maidry Medina </t>
  </si>
  <si>
    <t>7 informes de ejecución final de la campaña</t>
  </si>
  <si>
    <t>Informes de ejecución final de la campaña</t>
  </si>
  <si>
    <t>Certificados de títulos emitidos</t>
  </si>
  <si>
    <t>Certificados de títulos</t>
  </si>
  <si>
    <t>CPTTE-GO-CT</t>
  </si>
  <si>
    <t xml:space="preserve">Titulos Emitidos </t>
  </si>
  <si>
    <t xml:space="preserve">Se redujo en un 50% el presupuesto para campaña de información de titulación, preparación y tramitación de expedientes y acto de entrega de certificados de títulos </t>
  </si>
  <si>
    <t>Certificados de títulos emitidos a favor de los beneficiarios</t>
  </si>
  <si>
    <t>Campañas de Información de Titulación</t>
  </si>
  <si>
    <t>Firma externa</t>
  </si>
  <si>
    <t>Campaña</t>
  </si>
  <si>
    <t>Informes de Cuenca</t>
  </si>
  <si>
    <t>Conratación extrena</t>
  </si>
  <si>
    <t xml:space="preserve">Identificar todos los asentamientos de reforma agraria ubicados en el área de influencia del Programa para Hondo Valle y Juan Santiago </t>
  </si>
  <si>
    <t>CPTTE-IAD</t>
  </si>
  <si>
    <t>Listado de asentamientos</t>
  </si>
  <si>
    <t>IAD</t>
  </si>
  <si>
    <t>CPTTE, GO</t>
  </si>
  <si>
    <t xml:space="preserve">Listado </t>
  </si>
  <si>
    <t xml:space="preserve">Identificar todos los asentamientos de reforma agraria ubicados en el área de influencia del Programa para Sabaneta </t>
  </si>
  <si>
    <t xml:space="preserve">Identificar todos los asentamientos de reforma agraria ubicados en el área de influencia del Programa para Barahona </t>
  </si>
  <si>
    <t xml:space="preserve">Identificar todos los asentamientos de reforma agraria ubicados en el área de influencia del Programa para Bahoruco </t>
  </si>
  <si>
    <t xml:space="preserve">Identificar todos los asentamientos de reforma agraria ubicados en el área de influencia del Programa para Las Cañitas </t>
  </si>
  <si>
    <t xml:space="preserve">Identificar todos los asentamientos de reforma agraria ubicados en el área de influencia del Programa para Independencia </t>
  </si>
  <si>
    <t>Realización de charlas con los beneficiarios del Programa</t>
  </si>
  <si>
    <t>Informe y Fotos</t>
  </si>
  <si>
    <t>Verificación de Estado Catastral y Derecho Registral</t>
  </si>
  <si>
    <t>Reporte de Verificación de Estado Catastral y Derecho Registral</t>
  </si>
  <si>
    <t>Reuniones Comunitarias</t>
  </si>
  <si>
    <t>Fotos</t>
  </si>
  <si>
    <t>Levantamientos Parcelarios</t>
  </si>
  <si>
    <t>Listado de las ocupaciones en las parcelas</t>
  </si>
  <si>
    <t>Informes tecnicos</t>
  </si>
  <si>
    <t>Preparación y tramitación de expedientes técnicos</t>
  </si>
  <si>
    <t>Informe técnico y aviso de mensura</t>
  </si>
  <si>
    <t xml:space="preserve">Notificaciones de Actos de Alguacil </t>
  </si>
  <si>
    <t>Planos firmados por Agrimensor</t>
  </si>
  <si>
    <t xml:space="preserve">Planos </t>
  </si>
  <si>
    <t xml:space="preserve">Contratato de Agrimensor firmante </t>
  </si>
  <si>
    <t>Preparación y realización de Censos Sociales ( Tasación y Valoración de Inmuebles)</t>
  </si>
  <si>
    <t>Ficha de levantamiento</t>
  </si>
  <si>
    <t>Expedientes sometidos</t>
  </si>
  <si>
    <t>Material gastable y de oficina (incluye toner)</t>
  </si>
  <si>
    <t>26 Resmas de papel legal 8 1/2 x 14 
25 Resmas de papel carta 8 1/2 x 11
30 Resmas de papel carta 11 x 17
400 caja Folderl legal 8 1/2 x 14 
5 caja Folder carta 8 1/2 x 11
Toner para impresora Canon MF244
160 caja Pendaflex
8 Cartuchos de Torner
20 Rollos de papel de ploter (36x152x2" Bond #20)</t>
  </si>
  <si>
    <t>Varrillas 3/8" (80 Quintales), Pintura Spray (1,152 unidad), Clavos de Acero (20 lb), Clavos Topograficos (2 cajas), Seguetas (20 hojas), Machete (6 unidades), lima de metal (6 unidades), una maseta de 2 lb, Neveritas de playa de 50 libros (2 unidades)</t>
  </si>
  <si>
    <t>58-65</t>
  </si>
  <si>
    <t>Botas</t>
  </si>
  <si>
    <t>47 pares de botas</t>
  </si>
  <si>
    <r>
      <t xml:space="preserve">Sin partida por corte presupuestado. Costo por unidad de botas $3,750 para un total de </t>
    </r>
    <r>
      <rPr>
        <b/>
        <sz val="11"/>
        <color rgb="FF000000"/>
        <rFont val="Calibri"/>
        <family val="2"/>
      </rPr>
      <t>RD$176,250</t>
    </r>
  </si>
  <si>
    <t>Preparación de Actos de Transferencias</t>
  </si>
  <si>
    <t>Inventario de actos notariales</t>
  </si>
  <si>
    <t>Reducción un 50% la notarización de actos</t>
  </si>
  <si>
    <t>Notarización de actos</t>
  </si>
  <si>
    <t>Actos notariales</t>
  </si>
  <si>
    <t xml:space="preserve">Expedientes </t>
  </si>
  <si>
    <t xml:space="preserve">Contratos de Servicios de Notarizacion de Actos </t>
  </si>
  <si>
    <t>Preparación y Sometimiento de Expedientes Judiciales</t>
  </si>
  <si>
    <t>Expedientes judiciales</t>
  </si>
  <si>
    <t>Cesos</t>
  </si>
  <si>
    <t>Preparación y Sometimiento de Expedientes Registrales</t>
  </si>
  <si>
    <t>Inventarios de expedientes registrales</t>
  </si>
  <si>
    <t>Apoyo Técnico a la CPTTE en la Mejora de Procesos y Desarrollo de Instrumentos de Gestión</t>
  </si>
  <si>
    <t>Contratacion de desarrollo de aplicación para titulacion en SDIGEN e integracion al SATE</t>
  </si>
  <si>
    <t>Acto de Entrega de Certificado de Títulos</t>
  </si>
  <si>
    <t>Lista de recepción de títulos, fotos</t>
  </si>
  <si>
    <t xml:space="preserve">Actos </t>
  </si>
  <si>
    <t>Reducción un 50% la entrega de certificados de titulo</t>
  </si>
  <si>
    <t>Post-Acto de Entrega de Certificados de Títulos</t>
  </si>
  <si>
    <t>Inventario de títulos archivados</t>
  </si>
  <si>
    <t xml:space="preserve">Oscar Garcia/Bernardo Sánchez </t>
  </si>
  <si>
    <t xml:space="preserve">Pago a personal titulacion en Hondo Valle y Juan Santiago </t>
  </si>
  <si>
    <t xml:space="preserve">Pago a personal titulacion en Sabaneta </t>
  </si>
  <si>
    <t xml:space="preserve">Pago a personal titulacion en Barahona </t>
  </si>
  <si>
    <t xml:space="preserve">Pago a personal titulacion en Bahoruco </t>
  </si>
  <si>
    <t xml:space="preserve">Pago a personal titulacion en Las Cañitas </t>
  </si>
  <si>
    <t>Pago a personal titulacion en Independencia</t>
  </si>
  <si>
    <t>Contrato Registrado</t>
  </si>
  <si>
    <t>Luis Vásquez/Glennys Genao</t>
  </si>
  <si>
    <t xml:space="preserve">Combustible para titulación de conformidad con lo requerido en el correo electronico de fecha 27/1/2022 de la Comisión de TitulaciVn </t>
  </si>
  <si>
    <t>Material Gastable</t>
  </si>
  <si>
    <t>Cooperativas formalizadas y/o fortalecidas</t>
  </si>
  <si>
    <t>GO-CI-DC</t>
  </si>
  <si>
    <t>Decretos de cooperativas y RNC</t>
  </si>
  <si>
    <t>CD,CI</t>
  </si>
  <si>
    <t>Acciones previas a la formalización</t>
  </si>
  <si>
    <t>IDECOOP-CI</t>
  </si>
  <si>
    <t>Plan de Trabajo/ Diagnóstico</t>
  </si>
  <si>
    <t xml:space="preserve">Yohana Leyba </t>
  </si>
  <si>
    <t>Elaborar programa integrado para cooperativizar a los grupos y asociaciones beneficiarios de los proyectos en la 7 cuencas</t>
  </si>
  <si>
    <t>Plan de trabajo</t>
  </si>
  <si>
    <t xml:space="preserve">Diagnóstico de las cooperativas establecidas en los diferentes proyectos en Hondo Valle y Juan Santiago </t>
  </si>
  <si>
    <t>Diagnóstico</t>
  </si>
  <si>
    <t>A identificar</t>
  </si>
  <si>
    <t>CI-GO</t>
  </si>
  <si>
    <t>Diagnóstico de las cooperativas establecidas en los diferentes proyectos en Sabaneta</t>
  </si>
  <si>
    <t xml:space="preserve">Diagnóstico de las cooperativas establecidas en los diferentes proyectos en Barahona </t>
  </si>
  <si>
    <t xml:space="preserve">Diagnóstico de las cooperativas establecidas en los diferentes proyectos en Bahoruco </t>
  </si>
  <si>
    <t xml:space="preserve">Diagnóstico de las cooperativas establecidas en los diferentes proyectos en Las Cañitas </t>
  </si>
  <si>
    <t xml:space="preserve">Diagnóstico de las cooperativas establecidas en los diferentes proyectos en Independencia </t>
  </si>
  <si>
    <t>Fortalecidas las capacidades a través de las capacitaciones</t>
  </si>
  <si>
    <t>DC-GAF</t>
  </si>
  <si>
    <t xml:space="preserve">Listado de Participantes /Contrato Registrado </t>
  </si>
  <si>
    <t>Francisco Segura/Luis Vásquez</t>
  </si>
  <si>
    <t>GO-IDECOOP-DC</t>
  </si>
  <si>
    <t xml:space="preserve">Taller de Fortalecimiento y Desarrollo Organizacional en Hondo Valle y Juan Santiago </t>
  </si>
  <si>
    <t>Listado de participantes, fotos</t>
  </si>
  <si>
    <t>GO-IDECOOP</t>
  </si>
  <si>
    <t>Socios Capacitados</t>
  </si>
  <si>
    <t>Taller de Fortalecimiento y Desarrollo Organizacional en Sabaneta</t>
  </si>
  <si>
    <t xml:space="preserve">Taller de Fortalecimiento y Desarrollo Organizacional en Barahona </t>
  </si>
  <si>
    <t xml:space="preserve">Taller de Fortalecimiento y Desarrollo Organizacional en Bahoruco </t>
  </si>
  <si>
    <t>Taller de Fortalecimiento y Desarrollo Organizacional en Las Cañitas</t>
  </si>
  <si>
    <t>Taller de Fortalecimiento y Desarrollo Organizacional en Independencia</t>
  </si>
  <si>
    <t>Materiales gastables para capacitación a los socios de cooperativas</t>
  </si>
  <si>
    <t>Sin partida por tope presupuestario</t>
  </si>
  <si>
    <t xml:space="preserve">Almuerzo para capacitación a los socios de cooperativas en Hondo Valle y Juan Santiago </t>
  </si>
  <si>
    <t xml:space="preserve">Almuerzo para capacitación a los socios de cooperativas en Sabaneta </t>
  </si>
  <si>
    <t xml:space="preserve">Almuerzo para capacitación a los socios de cooperativas en Barahona </t>
  </si>
  <si>
    <t xml:space="preserve">Almuerzo para capacitación a los socios de cooperativas en Bahoruco </t>
  </si>
  <si>
    <t xml:space="preserve">Almuerzo para capacitación a los socios de cooperativas en Las Cañitas </t>
  </si>
  <si>
    <t>Almuerzo para capacitación a los socios de cooperativas en Independencia</t>
  </si>
  <si>
    <t>Reproducción de materiales para capacitación a los socios de cooperativas</t>
  </si>
  <si>
    <t>Cooperativas formalizadas y registradas</t>
  </si>
  <si>
    <t>Vrios Documentos</t>
  </si>
  <si>
    <t>Coordinador</t>
  </si>
  <si>
    <t>CI</t>
  </si>
  <si>
    <t>Preparación del perfil</t>
  </si>
  <si>
    <t>Perfil empastado</t>
  </si>
  <si>
    <t>Esta actividad son metas</t>
  </si>
  <si>
    <t>Sometimiento del perfil para la incorporación</t>
  </si>
  <si>
    <t>Acuse de recibo del perfil</t>
  </si>
  <si>
    <t>Decreto de Incorporación</t>
  </si>
  <si>
    <t>Decreto</t>
  </si>
  <si>
    <t>Acto Oficial Solemne para la entrega del Certificado de Incorporación</t>
  </si>
  <si>
    <t>Emisión de RNC</t>
  </si>
  <si>
    <t>Certificación de RNC</t>
  </si>
  <si>
    <t>Planes de Negocio elaborados para cada Cooperativa</t>
  </si>
  <si>
    <t>Planes de negocios elaborados</t>
  </si>
  <si>
    <t>GAF-IDECOOP</t>
  </si>
  <si>
    <t>Elaboración de Planes de Negocio</t>
  </si>
  <si>
    <t>Empresa externa</t>
  </si>
  <si>
    <t>Gestión y seguimiento de los Planes de Negocios</t>
  </si>
  <si>
    <t>Gestor</t>
  </si>
  <si>
    <t>Caminos Interparcelarios rehabilitados</t>
  </si>
  <si>
    <t>Informes de cubicaciones, fotos de caminos rehabilitados</t>
  </si>
  <si>
    <t>Maura Suarez</t>
  </si>
  <si>
    <t>GAF, MA</t>
  </si>
  <si>
    <t>Reducción de alrededor de un 65% que afectaría las cubicaciones de los caminos interparcelarios de Independencia, obras de rehabilitación en caminos en Barahona y supervisión de los trabajos de los caminos de Barahona, Bahoruco e Independencia</t>
  </si>
  <si>
    <t>Rehabilitación de caminos</t>
  </si>
  <si>
    <t>CCI</t>
  </si>
  <si>
    <t>Cubicación Aceptada</t>
  </si>
  <si>
    <t>GAF-MA-CCI</t>
  </si>
  <si>
    <t>Reducción del 65% para las actividades de rehabilitación de caminos, lo cual no permitira las cubicaciones programadas para año</t>
  </si>
  <si>
    <t>Cubicación de obras de Rehabilitación de Caminos Interparcelarios en Hondo Valle y Juan Santiago</t>
  </si>
  <si>
    <t>Terminado</t>
  </si>
  <si>
    <t xml:space="preserve">Cubicación de obras de Rehabilitación de Caminos Interparcelarios en  Las Cañitas </t>
  </si>
  <si>
    <t>Cubicación de obras de Rehabilitación de Caminos Interparcelarios en Independencia</t>
  </si>
  <si>
    <r>
      <t xml:space="preserve">Arrastre del 2021 al 2022 </t>
    </r>
    <r>
      <rPr>
        <b/>
        <sz val="11"/>
        <color rgb="FF000000"/>
        <rFont val="Calibri"/>
        <family val="2"/>
      </rPr>
      <t>RD$28,149,006.42</t>
    </r>
    <r>
      <rPr>
        <sz val="11"/>
        <color rgb="FF000000"/>
        <rFont val="Calibri"/>
        <family val="2"/>
      </rPr>
      <t>. El cual solo esta presupuestado RD$3,940,410.10 en el POA 2022 por la reduccion presupuestaria</t>
    </r>
  </si>
  <si>
    <t xml:space="preserve">Supervisión de Obras de Rehabilitación de Caminos Interparcelarios en Hondo Valle y Juan Santiago </t>
  </si>
  <si>
    <t xml:space="preserve">Supervisión de Obras de Rehabilitación de Caminos Interparcelarios en Las Cañitas </t>
  </si>
  <si>
    <t xml:space="preserve">Supervisión de Obras de Rehabilitación de Caminos Interparcelarios en Independencia </t>
  </si>
  <si>
    <t>60-61-64</t>
  </si>
  <si>
    <t>Elaboración del diseño ejecutivo de Obras de rehabilitación de caminos interparcelarios de Independencia</t>
  </si>
  <si>
    <t>Documento de diseño ejecutivo</t>
  </si>
  <si>
    <t>Profesional contratado</t>
  </si>
  <si>
    <t>CCI, GAF, MA</t>
  </si>
  <si>
    <t>No aplica</t>
  </si>
  <si>
    <t xml:space="preserve">Obras de rehabilitación de caminos interparcelarios de Barahona </t>
  </si>
  <si>
    <t>km</t>
  </si>
  <si>
    <t xml:space="preserve">Rehabilitación de 48 Km. Caminos interparcelarios </t>
  </si>
  <si>
    <r>
      <t xml:space="preserve">Licitacion para la realizacion de 60 KM de LOTE 6 Paraiso, Barahona. Por un monto de RD$151,461,244.12
Arrastre del 2021 al 2022:
Lote III: RD$26,989,577.91
Lote IV: RD$1,016,531.07
Lote V: RD$44759863.23
Total: </t>
    </r>
    <r>
      <rPr>
        <b/>
        <sz val="11"/>
        <color rgb="FF000000"/>
        <rFont val="Calibri"/>
        <family val="2"/>
      </rPr>
      <t xml:space="preserve">RD$72,765,972.21. </t>
    </r>
    <r>
      <rPr>
        <sz val="11"/>
        <color rgb="FF000000"/>
        <rFont val="Calibri"/>
        <family val="2"/>
      </rPr>
      <t xml:space="preserve">El cual solo esta presupuestado </t>
    </r>
    <r>
      <rPr>
        <b/>
        <sz val="11"/>
        <color rgb="FF000000"/>
        <rFont val="Calibri"/>
        <family val="2"/>
      </rPr>
      <t>RD$56,848,319.81</t>
    </r>
    <r>
      <rPr>
        <sz val="11"/>
        <color rgb="FF000000"/>
        <rFont val="Calibri"/>
        <family val="2"/>
      </rPr>
      <t xml:space="preserve"> en el POA 2022 por la reduccion presupuestaria</t>
    </r>
  </si>
  <si>
    <t>Obras de rehabilitación de caminos interparcelarios de Bahoruco</t>
  </si>
  <si>
    <t>Pago 1era.Cubicación menos el avance del 20% 2da. Etapa Caminos Interparlamentarios Lote II. 39.40 KM, en la zona Bahoruco para el 2021.</t>
  </si>
  <si>
    <t>Obras de rehabilitación de caminos interparcelarios de Independencia</t>
  </si>
  <si>
    <t>Supervisión de Obras de Rehabilitación de Caminos Interparcelarios de Barahona</t>
  </si>
  <si>
    <t xml:space="preserve">Informe de supervición </t>
  </si>
  <si>
    <r>
      <t>Pago Avance Supervisión Caminos Interparcelarios 2da. Etapa. Lotes 2, 3 y 5 para el 2021.</t>
    </r>
    <r>
      <rPr>
        <b/>
        <sz val="11"/>
        <color rgb="FF000000"/>
        <rFont val="Calibri"/>
        <family val="2"/>
      </rPr>
      <t xml:space="preserve">
Arrastre del 2021 al 2022:</t>
    </r>
    <r>
      <rPr>
        <sz val="11"/>
        <color rgb="FF000000"/>
        <rFont val="Calibri"/>
        <family val="2"/>
      </rPr>
      <t xml:space="preserve">
Lote III: RD$3,020,613.81
Lote IV: RD$5,890,887.27
Lote V: RD$5,170.846.52</t>
    </r>
  </si>
  <si>
    <t xml:space="preserve">Supervisión de Obras de Rehabilitación de Caminos Interparcelarios de Bahoruco </t>
  </si>
  <si>
    <t>Recurso reducido al 50% por corte presupuestario</t>
  </si>
  <si>
    <t>Supervisión de Obras de Rehabilitación de Caminos Interparcelarios de Independencia</t>
  </si>
  <si>
    <t>Mitigación de Impactos Socio ambientales en la rehabilitación de caminos interparcelarios</t>
  </si>
  <si>
    <t>ES y EA</t>
  </si>
  <si>
    <t>Informes de capacitación</t>
  </si>
  <si>
    <t>Maidry Medina/Ana Esther de León</t>
  </si>
  <si>
    <t>DAS-GO-GAF</t>
  </si>
  <si>
    <t>Reducción del 100% de las capacitaciones ambientales sobre mitigación de Impacto Social</t>
  </si>
  <si>
    <t>Capacitación en el Plan de Mitigación de impactos a los empleados de la empresa constructora de la Rehabilitación de Caminos Interparcelarios y a los líderes comunitarios en Hondo Valle - Juan Santiago</t>
  </si>
  <si>
    <t>Informes de capacitaciones, lista de asistencia y fotos</t>
  </si>
  <si>
    <t>Maidry Medina y Ana Esther de León</t>
  </si>
  <si>
    <t>DAS, GO,GAF</t>
  </si>
  <si>
    <t>Capacitación en el Plan de Mitigación de impactos a los empleados de la empresa constructora de la Rehabilitación de Caminos Interparcelarios y a los líderes comunitarios en Sabaneta</t>
  </si>
  <si>
    <t>Talleres</t>
  </si>
  <si>
    <t>Adquisiciónde alimentos crudos (arroz, granos, carnes, jugos, galletas, desechables e impresión)</t>
  </si>
  <si>
    <t>Sin partido por corte presupuestario</t>
  </si>
  <si>
    <t>Capacitación en el Plan de Mitigación de impactos a los empleados de la empresa constructora de la Rehabilitación de Caminos Interparcelarios y a los líderes comunitarios en  Barahona</t>
  </si>
  <si>
    <t>DAS, GO, GAF</t>
  </si>
  <si>
    <t>Informe del taller</t>
  </si>
  <si>
    <t xml:space="preserve">Capacitación en el Plan de Mitigación de impactos a los empleados de la empresa constructora de la Rehabilitación de Caminos Interparcelarios y a los líderes comunitarios en Bahoruco </t>
  </si>
  <si>
    <t>Capacitación en el Plan de Mitigación de impactos a los empleados de la empresa constructora de la Rehabilitación de Caminos Interparcelarios y a los líderes comunitarios en Las Cañitas,</t>
  </si>
  <si>
    <t>Capacitación en el Plan de Mitigación de impactos a los empleados de la empresa constructora de la Rehabilitación de Caminos Interparcelarios y a los líderes comunitarios en  Los Fríos</t>
  </si>
  <si>
    <t>Capacitación en el Plan de Mitigación de impactos a los empleados de la empresa constructora de la Rehabilitación de Caminos Interparcelarios y a los líderes comunitarios en Independencia</t>
  </si>
  <si>
    <t>Arroz, granos, carne, jugo, galletas, desechables. Gastos de impresión.</t>
  </si>
  <si>
    <t xml:space="preserve">Capacitación en el Plan de Mitigación de impactos a los comunitarios y comunitarias en Bahoruco </t>
  </si>
  <si>
    <t>Habilitación de Caminos</t>
  </si>
  <si>
    <t xml:space="preserve">Adquisición de Combustible para Hondo Valle y Juan Santiago </t>
  </si>
  <si>
    <t>Adquisición de Combustible para Sabaneta</t>
  </si>
  <si>
    <t xml:space="preserve">Adquisición de Combustible para Barahona </t>
  </si>
  <si>
    <t xml:space="preserve">Adquisición de Combustible para Bahoruco </t>
  </si>
  <si>
    <t xml:space="preserve">Adquisición de Combustible para Las Cañitas </t>
  </si>
  <si>
    <t xml:space="preserve">Adquisición de Combustible para Independencia </t>
  </si>
  <si>
    <t xml:space="preserve">Adquisición de camiones volteo para Hondo Valle y Juan Santiago </t>
  </si>
  <si>
    <t xml:space="preserve">Adquisición de camiones volteo para Sabaneta </t>
  </si>
  <si>
    <t xml:space="preserve">Adquisición de camiones volteo para Barahona </t>
  </si>
  <si>
    <t xml:space="preserve">Adquisición de camiones volteo para Bahoruco </t>
  </si>
  <si>
    <t xml:space="preserve">Adquisición de camiones volteo para Las Cañitas </t>
  </si>
  <si>
    <t>Adquisición de camiones volteo para Independencia</t>
  </si>
  <si>
    <t xml:space="preserve">Pago operadores equipos pesados para caminos (gredar, retropala, bulldozer, etc) para Hondo Valle y Juan Santiago </t>
  </si>
  <si>
    <t xml:space="preserve">Pago operadores equipos pesados para caminos (gredar, retropala, bulldozer, etc) para Sabaneta </t>
  </si>
  <si>
    <t xml:space="preserve">Pago operadores equipos pesados para caminos (gredar, retropala, bulldozer, etc) para Barahona </t>
  </si>
  <si>
    <t xml:space="preserve">Pago operadores equipos pesados para caminos (gredar, retropala, bulldozer, etc) para Bahoruco </t>
  </si>
  <si>
    <t xml:space="preserve">Pago operadores equipos pesados para caminos (gredar, retropala, bulldozer, etc) para Las Cañitas </t>
  </si>
  <si>
    <t xml:space="preserve">Pago operadores equipos pesados para caminos (gredar, retropala, bulldozer, etc) para Independencia </t>
  </si>
  <si>
    <t>Mejoramiento de la conectividad a los mercados agrícolas</t>
  </si>
  <si>
    <t>MOPC</t>
  </si>
  <si>
    <t>Seguimiento y monitoreo a la ejecución del MOPC en la rehabilitación de caminos vecinales</t>
  </si>
  <si>
    <t>MOPC-GO</t>
  </si>
  <si>
    <t>Etapa I - Rehabilitación y Mantenimiento de Caminos Vecinales</t>
  </si>
  <si>
    <t>Proyecto Azua</t>
  </si>
  <si>
    <t>Proyecto Elías Piña</t>
  </si>
  <si>
    <t>Proyecto San Juan</t>
  </si>
  <si>
    <t>Etapa II- Rehabilitación y Mantenimiento de Caminos Vecinales</t>
  </si>
  <si>
    <t>Contratación de Consultor para la elaboración de Estudios de Campo para preparación de insumos técnicos para la Etapa II</t>
  </si>
  <si>
    <t>Fondo para Control, Seguimiento y Supervisión interna</t>
  </si>
  <si>
    <t>Adquisición de camionetas para la OCPRE - MOPC</t>
  </si>
  <si>
    <t>Compensación Personal OCGPFRE</t>
  </si>
  <si>
    <t>Fondo para Control, Seguimiento y Supervisión Interna (Gastos Administrativos, Viáticos, entre otros)</t>
  </si>
  <si>
    <t>Actividades de Gestión Ambiental y Social</t>
  </si>
  <si>
    <t>GO-DAS</t>
  </si>
  <si>
    <t xml:space="preserve">Informes </t>
  </si>
  <si>
    <t>Contratación de Especialista Ambiental para el Componente I del Programa (Descontinuado)</t>
  </si>
  <si>
    <t>contrato de trabajo</t>
  </si>
  <si>
    <t>Contratación de Especialista Social para el Componente I del Programa (Descontinuado)</t>
  </si>
  <si>
    <t>Implementación de un Mecanismo de Quejas y Reclamos</t>
  </si>
  <si>
    <t xml:space="preserve">Informes de implementación del MAQ y MAQ en uso. </t>
  </si>
  <si>
    <t>Institucional completo</t>
  </si>
  <si>
    <t xml:space="preserve">talleres </t>
  </si>
  <si>
    <t>Señalización de áreas protegidas</t>
  </si>
  <si>
    <t>Socialización a comunidades en materia de salvaguardas por rehabilitación de caminos interparcelarios</t>
  </si>
  <si>
    <t>Informes de socialización</t>
  </si>
  <si>
    <t>DAS-Caminos</t>
  </si>
  <si>
    <t>1 taller y encuentros de reforzamiento</t>
  </si>
  <si>
    <t>1 por fase de rehabilitación</t>
  </si>
  <si>
    <t>Contratacion de consultoría para notarizar contratos pertenecientes a la rehabilitacion de caminos</t>
  </si>
  <si>
    <t>CCI-EA-ES</t>
  </si>
  <si>
    <t>Actas</t>
  </si>
  <si>
    <t>Administración, Auditoría y Evaluación</t>
  </si>
  <si>
    <t>BID / IP</t>
  </si>
  <si>
    <t>Administración, Auditoría y Evaluación del Programa</t>
  </si>
  <si>
    <t>Equipo técnico y personal clave contratado</t>
  </si>
  <si>
    <t>MMA,MA,CPTTE</t>
  </si>
  <si>
    <t>Pago de nómina a personal contratado</t>
  </si>
  <si>
    <t>Pago nómina personal fijo</t>
  </si>
  <si>
    <t>Pago nómina personal  Nóminal (Militar)</t>
  </si>
  <si>
    <t>25/1//2021</t>
  </si>
  <si>
    <t>Pago Sueldo 13 Personal Contratado</t>
  </si>
  <si>
    <t>Pago sueldo 13 Personal Fijo</t>
  </si>
  <si>
    <t>Esta actividad conlleva un monto de RD$958,200.00 y esta cubierto con la cuenta 0001</t>
  </si>
  <si>
    <t>Pago sueldo 13 Personal Nóminal (Militar)</t>
  </si>
  <si>
    <t>Pago Viatico Personal contratado</t>
  </si>
  <si>
    <t>Pago Viatico Personal Fijo</t>
  </si>
  <si>
    <t>Pago Viatico Personal Militar</t>
  </si>
  <si>
    <t>Pago Viatico Personal Conadis</t>
  </si>
  <si>
    <t>Bono por desempeño anual</t>
  </si>
  <si>
    <t>Pago de nómina de personal BID</t>
  </si>
  <si>
    <t xml:space="preserve">Pago de viáticos </t>
  </si>
  <si>
    <t>Pago Personal de seguridad</t>
  </si>
  <si>
    <t>Pago sueldo 13 Personal de seguridad</t>
  </si>
  <si>
    <t>Monitoreo del Programa</t>
  </si>
  <si>
    <t>ES-EA-DIME</t>
  </si>
  <si>
    <t>INFORMES</t>
  </si>
  <si>
    <t>Maidry Medina y Ana Esther De León/Joam Moya</t>
  </si>
  <si>
    <t>DAS-ES-EA-DTI-DPD-GO</t>
  </si>
  <si>
    <t>Elaboración de los Informes Semestrales de Cumplimiento del Plan de Acción (Ambiental y Social) - Componente I</t>
  </si>
  <si>
    <t>Maidry Medina y Ana Esther De León</t>
  </si>
  <si>
    <t>DAS</t>
  </si>
  <si>
    <t>Permanente hasta concluído el programa</t>
  </si>
  <si>
    <t>2 informes anuales</t>
  </si>
  <si>
    <t>Informes de cumplimiento</t>
  </si>
  <si>
    <t>Modelo Operativo del Departamento de Monitoreo, diseñado e implementado</t>
  </si>
  <si>
    <t>Automatización del sistema de Monitoreo Institucional.</t>
  </si>
  <si>
    <t>DTI</t>
  </si>
  <si>
    <t>Actualización de los distintos instrumentos de gestión del Programa.</t>
  </si>
  <si>
    <t>Elaboración de los informes de seguimiento y monitoreo</t>
  </si>
  <si>
    <t>Revisión de datos confirmados en operativo</t>
  </si>
  <si>
    <t>Reporte</t>
  </si>
  <si>
    <t>Preparación de los datos e insumos requeridos para presentación de resultados (DESCONTINUADA)</t>
  </si>
  <si>
    <t>Elaboración de informe de avance para firma verificadora</t>
  </si>
  <si>
    <t>Logística y distribución de equipos Geos</t>
  </si>
  <si>
    <t>Glennys Genao-David Arthur</t>
  </si>
  <si>
    <t>Comparación de resultados GEO vs Firma</t>
  </si>
  <si>
    <t>No. de informes</t>
  </si>
  <si>
    <t>Auditoría del Programa - Componente 1</t>
  </si>
  <si>
    <t>GAF,MA,MMA,CPTT</t>
  </si>
  <si>
    <t>GO,GAF</t>
  </si>
  <si>
    <t>Contrato UTEPDA-01-2019 por un monto de US$ 2,072,382.28.
Informes de verificación 5 y 6 para el 2022 US$621,714.68</t>
  </si>
  <si>
    <t>Auditoría Externa del Programa</t>
  </si>
  <si>
    <t>Auditoría del Programa - Componente 2</t>
  </si>
  <si>
    <t>Evaluación del Programa</t>
  </si>
  <si>
    <t>Elaboración de la Línea de Base del Programa</t>
  </si>
  <si>
    <t>Firma Externa</t>
  </si>
  <si>
    <t>Se contrato 3,939,352.00 UTEPDA-CLC-LPN-2019-0019</t>
  </si>
  <si>
    <t xml:space="preserve">Corresponde  a los productos 4 y 5 de la consultoria </t>
  </si>
  <si>
    <t>Insumos y materiales para la administración adquiridos y suministrados</t>
  </si>
  <si>
    <t>Reducción de 85% para Combustible; 100% para Alquiler de Inmublees, Mejora de la Planta Fisica, Festividades y Mantenimienro; 54% para Servicios de Conectividad y Electricidad.</t>
  </si>
  <si>
    <t>Materiales de limpieza y gastables (centro palomino)</t>
  </si>
  <si>
    <t>Materiales gastables de oficina (incluye toners)</t>
  </si>
  <si>
    <t xml:space="preserve">Asumida por finanza con la cuenta p[resupeustaria 201 </t>
  </si>
  <si>
    <t>La partida de combustible debe subir a RD$30,000,000.00</t>
  </si>
  <si>
    <t>Seguros de Vehículos</t>
  </si>
  <si>
    <t>Mantenimientos y adquisición de materiales diversos para reparacion de vehiculos (repuestos, cambios de piezas, piezas, baterias, etc)</t>
  </si>
  <si>
    <t>Adquisición de baterias</t>
  </si>
  <si>
    <t>Alquileres de bienes inmuebles</t>
  </si>
  <si>
    <t>Ramón Paulino</t>
  </si>
  <si>
    <t>Alquiler oficina central</t>
  </si>
  <si>
    <t>Adquisición de neumáticos para los vehículos asignados a la sede central UTEPDA</t>
  </si>
  <si>
    <t>Servicios de conectividad telefónica (internet, flotas, router)</t>
  </si>
  <si>
    <t xml:space="preserve">Adquisición de Mobiliarios </t>
  </si>
  <si>
    <t xml:space="preserve">Caja de seguridad </t>
  </si>
  <si>
    <t>Equipos tecnológicos de oficina</t>
  </si>
  <si>
    <t>Contrato firmado y registrado</t>
  </si>
  <si>
    <t>Adquisición de equipos pesados y accesorios</t>
  </si>
  <si>
    <t>Adquisición de padrón electoral</t>
  </si>
  <si>
    <t>Adquisición de uniformes UTEPDA</t>
  </si>
  <si>
    <t>Adquisición de camionetas para la GO</t>
  </si>
  <si>
    <t>Reproducción de materiales</t>
  </si>
  <si>
    <t>Alquiler de vehículos</t>
  </si>
  <si>
    <t>Adquisición de aires acondicionados</t>
  </si>
  <si>
    <t>Adquisición de materiales diversos para mantenimiento y reparacion de vehiculos (repuestos, cambios de piezas, piezas, baterias, etc)</t>
  </si>
  <si>
    <t>GAF/Compras</t>
  </si>
  <si>
    <t xml:space="preserve">Adquisición de Cortinas </t>
  </si>
  <si>
    <t>Publicidad para los procesos de compra</t>
  </si>
  <si>
    <t xml:space="preserve">Ordenes de servicios </t>
  </si>
  <si>
    <t>Sin partida por tope presupuestario. Sin embargo, esta considerado en los diferentes PDA</t>
  </si>
  <si>
    <t>Adquisición de electrodomésticos</t>
  </si>
  <si>
    <t xml:space="preserve">Adquisición de Cafetera electrica y termos </t>
  </si>
  <si>
    <t>Estancias y centro de Capacitación</t>
  </si>
  <si>
    <t>Adquisición Mobiliarios para las estancias</t>
  </si>
  <si>
    <t>Adquisición e instalación mejoras para Planta Física UTEPDA Oficina Principal</t>
  </si>
  <si>
    <t>Mairol Vargas</t>
  </si>
  <si>
    <t xml:space="preserve">Orden de Compra y Contrato mano de obra </t>
  </si>
  <si>
    <t>Adquisición de mobiliarios y utensilios de cocina no eléctricos</t>
  </si>
  <si>
    <t>Almuerzos y festividades personal UTEPDA</t>
  </si>
  <si>
    <t>Adquisición de insumos no gastables (centro palomino)</t>
  </si>
  <si>
    <t>Adquisición de insumos y equipos menores de seguridad para oficina principal UTEPDA</t>
  </si>
  <si>
    <t>Saldo obligaciones con exempleados CLAVES (vacaciones no disfrutadas, liquidacion, porcion de regalia, etc)</t>
  </si>
  <si>
    <t xml:space="preserve">Nómina </t>
  </si>
  <si>
    <t>Saldo obligaciones legales de la institucion CLAVES (impuestos, comisiones bancarias, cargos, entre otros)</t>
  </si>
  <si>
    <t>Adquisición de banderas nacionales e institucionales para UTEPDA</t>
  </si>
  <si>
    <t>Dirección Ejecutiva</t>
  </si>
  <si>
    <t xml:space="preserve">3 Banderas para la Dirección Ejecutiva </t>
  </si>
  <si>
    <t>Adquisición de arreglos florales (ofrendas florales, coronas mortuarias, decoración eventos, entre otros)</t>
  </si>
  <si>
    <t>GAF/COMPRAS</t>
  </si>
  <si>
    <t xml:space="preserve">Arreglos Florales, picadera </t>
  </si>
  <si>
    <t>Saldo obligaciones con exempleados (NO CLAVES) (vacaciones no disfrutadas, liquidacion, porcion de regalia, etc)</t>
  </si>
  <si>
    <t>Obligaciones legales de la institucion (NO CLAVES) (impuestos, comisiones bancarias, cargos, entre otros)</t>
  </si>
  <si>
    <t xml:space="preserve">Bernardo Sánchez </t>
  </si>
  <si>
    <t>Materiales ferreteros y productos electricos varios (incluye spray, cinta, cables, etc)</t>
  </si>
  <si>
    <t xml:space="preserve">Materiales electricos </t>
  </si>
  <si>
    <t>Adquisición  de  Vehiculos (Camionetas, Jipeta, Carro, Autobus, etc)</t>
  </si>
  <si>
    <t>GO-MMA-MA</t>
  </si>
  <si>
    <t>Camionetas</t>
  </si>
  <si>
    <t>Alquiler de bienes muebles</t>
  </si>
  <si>
    <t>Pagos</t>
  </si>
  <si>
    <t xml:space="preserve">Alquiler de fotocopiadora por un año </t>
  </si>
  <si>
    <t xml:space="preserve">Adquisición de Mascarillas </t>
  </si>
  <si>
    <t xml:space="preserve">Contratación servicios de un notario </t>
  </si>
  <si>
    <t xml:space="preserve">Orden de servicio </t>
  </si>
  <si>
    <t>Polibio Rivas</t>
  </si>
  <si>
    <t>CJ-GAF</t>
  </si>
  <si>
    <t xml:space="preserve">Ordenes de servicios contratados </t>
  </si>
  <si>
    <t xml:space="preserve">Adquisición ropa para seguridad </t>
  </si>
  <si>
    <t xml:space="preserve">Seguridad </t>
  </si>
  <si>
    <t xml:space="preserve">Coronel Castillo </t>
  </si>
  <si>
    <t>Seguridad/GAG</t>
  </si>
  <si>
    <t xml:space="preserve">Confección de talonarios </t>
  </si>
  <si>
    <t>Almacen</t>
  </si>
  <si>
    <t>David</t>
  </si>
  <si>
    <t>Almacen/GAF/Compras</t>
  </si>
  <si>
    <t>12 paquetes talonarios de 50/1</t>
  </si>
  <si>
    <t>Recurdo reducido por corte presupuestario</t>
  </si>
  <si>
    <t xml:space="preserve">Mantenimiento de vehículos livianos y pesados </t>
  </si>
  <si>
    <t>Administrativo</t>
  </si>
  <si>
    <t xml:space="preserve">Matenimiento a la Camioneta Chevrolet Silverado
Mantenimeinto camioneta Toyota Land Cruiser </t>
  </si>
  <si>
    <t>Automatizaciones Electricas AE, SRL. por RD$44,840. Concepto por Fumigación y Desifección</t>
  </si>
  <si>
    <t>Gestión y Fortalecimiento Institucional</t>
  </si>
  <si>
    <t>Base de datos</t>
  </si>
  <si>
    <t>Claudia Méndez</t>
  </si>
  <si>
    <t>DME, GAF, MA, MMA</t>
  </si>
  <si>
    <t>Registro y control de los beneficiarios, realizado</t>
  </si>
  <si>
    <t>DCB</t>
  </si>
  <si>
    <t>Base datos de beneficiarios Agroforestales actualizada</t>
  </si>
  <si>
    <t>Base datos de beneficiarios Forestales actualizada</t>
  </si>
  <si>
    <t>Base datos de cooperativas e instituciones impactadas, actualizada</t>
  </si>
  <si>
    <t>Base de datos de beneficiarios del componente "apoyo proyectos agroforestales"</t>
  </si>
  <si>
    <t>Base datos de otros beneficiarios, actualizada</t>
  </si>
  <si>
    <t>Gestión humana fortalecida</t>
  </si>
  <si>
    <t xml:space="preserve">Contratos </t>
  </si>
  <si>
    <t>Políticas y normas de gestión humana e institucional definidas e implementadas</t>
  </si>
  <si>
    <t>Políticas y normas</t>
  </si>
  <si>
    <t xml:space="preserve"> 11 febrero 2021</t>
  </si>
  <si>
    <t>Capacidades técnicas fortalecidas</t>
  </si>
  <si>
    <t>Certificados de participación , fotos</t>
  </si>
  <si>
    <t>Contratación de nuevo personal CLAVE</t>
  </si>
  <si>
    <t>DN</t>
  </si>
  <si>
    <t>No se contratará</t>
  </si>
  <si>
    <t>Contratación de nuevo personal NO CLAVE</t>
  </si>
  <si>
    <t xml:space="preserve">Asistente Interinstitucional </t>
  </si>
  <si>
    <t>Contratos</t>
  </si>
  <si>
    <t>Asistente de Gabinete</t>
  </si>
  <si>
    <t xml:space="preserve">Analista de Planificacion </t>
  </si>
  <si>
    <t xml:space="preserve">Asistente Administrativo </t>
  </si>
  <si>
    <t xml:space="preserve">Analista de Datos </t>
  </si>
  <si>
    <t>Eventos y actividades diversas</t>
  </si>
  <si>
    <t xml:space="preserve">Cantidad de Actividades de Integracion realizadas </t>
  </si>
  <si>
    <t>Bono escolar</t>
  </si>
  <si>
    <t>Carnetización</t>
  </si>
  <si>
    <t>PEP,POA</t>
  </si>
  <si>
    <t>Frnak Vargas</t>
  </si>
  <si>
    <t>Planificación institucional elaborada y aprobada</t>
  </si>
  <si>
    <t>Frank Vargas</t>
  </si>
  <si>
    <t>Apoyo en la planificación de instituciones vinculadas y de los departamentos</t>
  </si>
  <si>
    <t>POA</t>
  </si>
  <si>
    <t>Sistema Integrado de Gestión Administrativa y Financiera elaborado e implementado</t>
  </si>
  <si>
    <t xml:space="preserve">Manuales e Informes </t>
  </si>
  <si>
    <t>GO-GAF</t>
  </si>
  <si>
    <t>Elaboración de planes y manuales de gestión financiera</t>
  </si>
  <si>
    <t>Manuales</t>
  </si>
  <si>
    <t>informes de cumplimiento</t>
  </si>
  <si>
    <t>Control y seguimiento del gasto</t>
  </si>
  <si>
    <t>informes de seguimiento</t>
  </si>
  <si>
    <t>Contabilidad</t>
  </si>
  <si>
    <t>Gestión legal para asegurar el soporte jurídico institucional</t>
  </si>
  <si>
    <t>DJ</t>
  </si>
  <si>
    <t>Contratos y convenios</t>
  </si>
  <si>
    <t xml:space="preserve">Polivio Rivas/Génesis Encarnación </t>
  </si>
  <si>
    <t>GAF-GO-DRRHH,DN</t>
  </si>
  <si>
    <t>Gestión de contratos y convenios</t>
  </si>
  <si>
    <t>Polivio Rivas</t>
  </si>
  <si>
    <t>Renovación de contratos mes de enero SP</t>
  </si>
  <si>
    <t>Contratos renovados</t>
  </si>
  <si>
    <t>Génesis Encarnación</t>
  </si>
  <si>
    <t>DRRHH, DN</t>
  </si>
  <si>
    <t xml:space="preserve">3 resmas de papel 8 1/2 x 11, 1 cartucho de tinta negra </t>
  </si>
  <si>
    <t>Renovación de contratos mes de febrero SP</t>
  </si>
  <si>
    <t>Renovación de contratos mes de marzo SP</t>
  </si>
  <si>
    <t>Renovación de contratos mes de abril SP</t>
  </si>
  <si>
    <t>Renovación de contratos mes de mayo SP</t>
  </si>
  <si>
    <t>Renovación de contratos mes de junio SP</t>
  </si>
  <si>
    <t>Renovación de contratos mes de julio SP</t>
  </si>
  <si>
    <t>Renovación de contratos mes de agosto SP</t>
  </si>
  <si>
    <t>Renovación de contratos mes de septiembre SP</t>
  </si>
  <si>
    <t>Renovación de contratos mes de octubre SP</t>
  </si>
  <si>
    <t>Renovación de contratos mes de noviembre SP</t>
  </si>
  <si>
    <t>3 resmas de papel 8 1/2 x 11, 1 cartucho de tinta negra, 1 caja de folder 8 1/2 x 11, 1 caja de lapicero azul</t>
  </si>
  <si>
    <t>Renovación de contratos mes de diciembre SP</t>
  </si>
  <si>
    <t>3 resmas de papel 8 1/2 x 11, 1 cartucho de tinta negra, 1 perforadora de 3 hoyos, 2 sillas hergonomicas, 2 escritorio, 1 impresora/copiadora a color</t>
  </si>
  <si>
    <t>Gestión de contratos de Compras de Bienes y Servicios BS</t>
  </si>
  <si>
    <t>GAF, DCC</t>
  </si>
  <si>
    <t>Nuevo Contrato</t>
  </si>
  <si>
    <t>Gestión de contratos de personal de nuevo ingreso (elaboración y registro) SP</t>
  </si>
  <si>
    <t>Gestión de Adendas a Contratos de Compras de Bienes y Servicios BS</t>
  </si>
  <si>
    <t xml:space="preserve">Contratos registrados </t>
  </si>
  <si>
    <t>Adenda Contrato</t>
  </si>
  <si>
    <t>Sistema de gestión de la coordinación interinstitucional implementado</t>
  </si>
  <si>
    <t>Convenios firmados</t>
  </si>
  <si>
    <t>Yohanna Leyba</t>
  </si>
  <si>
    <t>GO-DC-GAF</t>
  </si>
  <si>
    <t>Gestión de la coordinación interinstitucional</t>
  </si>
  <si>
    <t>GO,DC, GAF</t>
  </si>
  <si>
    <t>Acuerdos/Conenios</t>
  </si>
  <si>
    <t>Seguimiento a la coordinación interinstitucional</t>
  </si>
  <si>
    <t>GO,DC,GAF</t>
  </si>
  <si>
    <t>Informes realizados</t>
  </si>
  <si>
    <t>Gestión de las tecnologías de la información</t>
  </si>
  <si>
    <t xml:space="preserve">Cómputos </t>
  </si>
  <si>
    <t>Rufo Acosta</t>
  </si>
  <si>
    <t>Contratacion de servicios para Gestion y Mantenimieto del SDIGEM</t>
  </si>
  <si>
    <t>Computos</t>
  </si>
  <si>
    <t>Servicios de replicacion en la Nube SDIGEM</t>
  </si>
  <si>
    <t xml:space="preserve">Informe </t>
  </si>
  <si>
    <t>Licenciamiento de Software</t>
  </si>
  <si>
    <t>Licencia  Instaladas</t>
  </si>
  <si>
    <t>Nuevos Modulos y mejoramiento SDIGEM</t>
  </si>
  <si>
    <t>Equipamiento de Computos (se aumento esta actividad por la creacion del deparmento)</t>
  </si>
  <si>
    <t>Rufo Acosta
Dario Medrano</t>
  </si>
  <si>
    <t>Equipos Instalad</t>
  </si>
  <si>
    <t xml:space="preserve">Adquisición de equipos de comunicación, como son: cámara, microfono, luces, tripode memoria, etc. </t>
  </si>
  <si>
    <t>Adquisicion de diversos equipos informaticos para la Gerencia de Operaciones y el Sistema  de Información Geografica</t>
  </si>
  <si>
    <t>Personal departamento Computos (actividad nueva por la creacion del Departamento)</t>
  </si>
  <si>
    <t>DRRHH,GAF</t>
  </si>
  <si>
    <t>Personal Contrado</t>
  </si>
  <si>
    <t xml:space="preserve">SDIGEM Semanal      </t>
  </si>
  <si>
    <t>SDIGEM Trimestral</t>
  </si>
  <si>
    <t>SDIGEM Anual</t>
  </si>
  <si>
    <t>Actualización de los instrumentos de gestión institucional</t>
  </si>
  <si>
    <t>SIGOB Metas</t>
  </si>
  <si>
    <t>Analista Monitoreo</t>
  </si>
  <si>
    <t>SIGOB Compromisos</t>
  </si>
  <si>
    <t>Coordinación de Gabinete de la Dirección Ejecutiva</t>
  </si>
  <si>
    <t>CG</t>
  </si>
  <si>
    <t>Reducción de un 73% para la adquisición de Equipos Tecnologicos para Depto. De Comunicaciones</t>
  </si>
  <si>
    <t>Gestión, Coordinación y supervisión de áreas</t>
  </si>
  <si>
    <t>Reuniones realizadas</t>
  </si>
  <si>
    <t>Edwin Ramirez</t>
  </si>
  <si>
    <t>GAF,GO,MMA,MA</t>
  </si>
  <si>
    <t>No. de reuniones</t>
  </si>
  <si>
    <t>Fiscalizar y agilizar los expedientes y documentaciones a la firma del director</t>
  </si>
  <si>
    <t>Documentos firmados</t>
  </si>
  <si>
    <t>Expedientes/informes</t>
  </si>
  <si>
    <t>Coordinación y seguimiento a la agenda del director</t>
  </si>
  <si>
    <t>Compromisos realizados</t>
  </si>
  <si>
    <t>Gestion de Protocolo y Eventos</t>
  </si>
  <si>
    <t>Contratacion de servicios para relizar eventos</t>
  </si>
  <si>
    <t>GAF,DCC,RR HH</t>
  </si>
  <si>
    <t>Gestion de Publicidad y Comunicaciones</t>
  </si>
  <si>
    <t>Informes/ contrataos</t>
  </si>
  <si>
    <t>Informres</t>
  </si>
  <si>
    <t>Yanna Mendez</t>
  </si>
  <si>
    <t>MA,MMA,GO,GAF</t>
  </si>
  <si>
    <t>No. De informes</t>
  </si>
  <si>
    <t>No. Institucional informs</t>
  </si>
  <si>
    <t>GAF,DG</t>
  </si>
  <si>
    <t xml:space="preserve">Luz Led Neewer NL960,Camara Canon T8i con lente 18-55mm,Lente canon EF 50mm F/1.4 USM, Lente Canon 28-135mm f/3.5-5.6 IS USM, Lente Canon 70-200mm f/4 IS Lll USM (EF-Mount Lents/Full-Frame Format,Aperture Range: f/4 to f/32, One Fluorite, Element and Two UD Elements, Super Spectra Coating), Kit 2 luces Travor TL-16OS (2stand 2 baterias,1 cargador), Accesorios(DISCO DURO SAMSUNG SSD EXTERNO 2T), Estabilizador Zhiyun Crane 3S (14.3 lb Payload,Zoom and Focus Wheel, Redesigned Datachable SmartSling Handle, Updated Axis Locking System   Via Touch 2.0 Remote Motion Control),Microfono Boya BY-M1 Lavalie, Battery grip para camara,Bateria Canon Lp-E17,Bateria Sony NP-FZ100,Lente Sony FE 24-105MM f/4 Lents (E-Mount,Lents/Full-Frame Format, Aperture Range  f/4 to f/22, Aspherical Elements, 3 ED Elements, Nano AR and Fluorine Coatings,Direct Drive Super Sonic Wave AF Motor, Optical SteadyShot Image Stabilization, Internal Focus Desing, Focus Hold Button; AF/MF Switch, Rounded Nine.Blade Diaphragm,Lente Sony E 35mm f/1.8 OSS (E-Mount Lents A/PS-C Format-52.5mm (35mm Equivalent)-Aperture Range: f/1.8 to f22-One ED Element &amp; Two Aspherical Elements-Optical SteadyShot Image Stabilization  -Internal Focus-Minimun Focus Distance: 11.8ù-Seven-Blade Circular Diaphragm-49mm Circular Polarizer Filter)Kit 2 baterias y un cargador NP-F550DJI Osmo Action 4K Camera (1/2.3ù CMOS Sensor,Wide f/2.8 Lens Up to 4K60 Video, 12MP Still Photos Up to 3200 ISO, HDR Support Wide Dynamic Range in 4k30,RockSteady Digital Video Stabilization,Time-Lapse, Hyperlapse, Slow-Motion Mode,Waterproof to 36 without a Housting, Wi-Fi and Bluetooh Support,Touchscreen Displays on Front and Back,Record,to microSD/SDX/SDHC Cards),DJI Mavic 2 pro,Camara Sony Alpha a9 Mirrorless (solo cuerpo),3  Memoria Ram T-FORCE (teamgroup) 8GB DDR4 2666 VULCAN, 3 Laptop Asus TUF FX505DU-EB74,3 Mouse TUF Gaming M5 Optical </t>
  </si>
  <si>
    <t>Adquisición de mochilas para equipos</t>
  </si>
  <si>
    <t>3 Bulto Lenovo Casual Toploader T210 y Mochila Flyleat</t>
  </si>
  <si>
    <t>Gestion de seguridad</t>
  </si>
  <si>
    <t>Frank Castillo</t>
  </si>
  <si>
    <t>CG, GAF,GO,MMA,MA</t>
  </si>
  <si>
    <t>Coordinación y gestión de la seguridad PDA</t>
  </si>
  <si>
    <t xml:space="preserve">Adquisición de insumos y materiales diversos </t>
  </si>
  <si>
    <t>31/6/2021</t>
  </si>
  <si>
    <t>Cobertura Boscosa Restaurada</t>
  </si>
  <si>
    <t>UTEPDA-MMA</t>
  </si>
  <si>
    <t>Teresa Disla</t>
  </si>
  <si>
    <t>GO-GAF-DCC</t>
  </si>
  <si>
    <t>Cobertura Boscosa Restaurada a través de la reforestación para la conservación y el aprovechamiento</t>
  </si>
  <si>
    <t>Reforestación Proyecto Hondo Valle y Juan Santiago</t>
  </si>
  <si>
    <t>MMA-GAF-Nómina</t>
  </si>
  <si>
    <t xml:space="preserve">Tareas plantadas/plantas/Nóminas </t>
  </si>
  <si>
    <t xml:space="preserve">Reducción de 50% para adquisición de plantas,  un 76% de Nómina de Jorrnales, por ende, un 92% de raciones alimenticias y un 77% herramientas para las brigadas </t>
  </si>
  <si>
    <t>Plantación</t>
  </si>
  <si>
    <t>MMA</t>
  </si>
  <si>
    <t>Tareas plantadas</t>
  </si>
  <si>
    <t>tareas</t>
  </si>
  <si>
    <t>Producción y adquisición de plantas</t>
  </si>
  <si>
    <t>plantas</t>
  </si>
  <si>
    <t>Raciones alimenticias</t>
  </si>
  <si>
    <t>Conduce</t>
  </si>
  <si>
    <t>raciones</t>
  </si>
  <si>
    <t>Herramientas para las brigadas de reforestación (kit)/2 por brigadas al año</t>
  </si>
  <si>
    <t>kits</t>
  </si>
  <si>
    <t xml:space="preserve">Herramientas </t>
  </si>
  <si>
    <t>Supervisión técnica</t>
  </si>
  <si>
    <t>Informes técnicos</t>
  </si>
  <si>
    <t>técnico</t>
  </si>
  <si>
    <t>Compensación a técnicos</t>
  </si>
  <si>
    <t>Pago gratificación Navideña</t>
  </si>
  <si>
    <t>personas</t>
  </si>
  <si>
    <t>Gratificación navideña</t>
  </si>
  <si>
    <t>jornales</t>
  </si>
  <si>
    <t>35 brigadas forestales y 1/2 brigada vivero</t>
  </si>
  <si>
    <t xml:space="preserve">Adquisición de almuerzo (desayuno, comida y cena) </t>
  </si>
  <si>
    <t xml:space="preserve">Orden de Srvicio </t>
  </si>
  <si>
    <t>Reforestación Proyecto Sabaneta</t>
  </si>
  <si>
    <t>MMA-GAF</t>
  </si>
  <si>
    <t xml:space="preserve">Rafael Gomez </t>
  </si>
  <si>
    <t>21 brigadas forestales y 1/2 brigada vivero</t>
  </si>
  <si>
    <t>Reforestación Proyecto Las Cañitas</t>
  </si>
  <si>
    <t>18 brigadas forestales y 1 brigada vivero</t>
  </si>
  <si>
    <t>Reforestación Proyecto Independencia</t>
  </si>
  <si>
    <t>Reforestación Proyecto Bahoruco</t>
  </si>
  <si>
    <t>Reforestación Proyecto Los Fríos</t>
  </si>
  <si>
    <t>Reforestación Proyecto Barahona</t>
  </si>
  <si>
    <t>Solo 50% de las brigadas</t>
  </si>
  <si>
    <t>Reducción al 100% de adquisición de motocicletas</t>
  </si>
  <si>
    <t xml:space="preserve">Adquisición de semillas para Hondo Valle y Juan Santiago </t>
  </si>
  <si>
    <t>MMA,GO</t>
  </si>
  <si>
    <t xml:space="preserve">Adquisición de semillas para Sabaneta </t>
  </si>
  <si>
    <t xml:space="preserve">Adquisición de semillas para Barahona </t>
  </si>
  <si>
    <t xml:space="preserve">Adquisición de semillas para Bahoruco </t>
  </si>
  <si>
    <t>Adquisición de semillas para Las Cañitas</t>
  </si>
  <si>
    <t xml:space="preserve">Adquisición de semillas para Independencia </t>
  </si>
  <si>
    <t xml:space="preserve">Adquisición de Agroquímicos para Hondo Valle y Juan Santiago </t>
  </si>
  <si>
    <t xml:space="preserve">Adquisición de Agroquímicos para Sabaneta </t>
  </si>
  <si>
    <t xml:space="preserve">Adquisición de Agroquímicos para Barahona </t>
  </si>
  <si>
    <t xml:space="preserve">Adquisición de Agroquímicos para Bahoruco </t>
  </si>
  <si>
    <t>Adquisición de Agroquímicos para Las Cañitas</t>
  </si>
  <si>
    <t xml:space="preserve">Adquisición de Agroquímicos para Independencia </t>
  </si>
  <si>
    <t xml:space="preserve">Adquisición de insumos o materiales Hondo valle y Juan Santiago </t>
  </si>
  <si>
    <t xml:space="preserve">Adquisición de insumos o materiales para Sabaneta </t>
  </si>
  <si>
    <t xml:space="preserve">Adquisición de insumos o materiales para Barahona </t>
  </si>
  <si>
    <t xml:space="preserve">Adquisición de insumos o materiales para Bahoruco </t>
  </si>
  <si>
    <t xml:space="preserve">Adquisición de insumos o materiales para Las Cañitas </t>
  </si>
  <si>
    <t xml:space="preserve">Adquisición de insumos o materiales para Independencia </t>
  </si>
  <si>
    <t xml:space="preserve">Herramientas de campo (para viveros) para Hondo Valle y Juan Santiago </t>
  </si>
  <si>
    <t xml:space="preserve">Herramientas de campo (para viveros) para Sabaneta </t>
  </si>
  <si>
    <t xml:space="preserve">Herramientas de campo (para viveros) para Barahona </t>
  </si>
  <si>
    <t xml:space="preserve">Herramientas de campo (para viveros) para Bahoruco </t>
  </si>
  <si>
    <t xml:space="preserve">Herramientas de campo (para viveros) para Las Cañitas </t>
  </si>
  <si>
    <t xml:space="preserve">Herramientas de campo (para viveros) para Independencia </t>
  </si>
  <si>
    <t xml:space="preserve">Raciones alimenticias para Hondo Valle y Juan Santiago </t>
  </si>
  <si>
    <t xml:space="preserve">Raciones alimenticias para Sabaneta </t>
  </si>
  <si>
    <t xml:space="preserve">Raciones alimenticias para Barahona </t>
  </si>
  <si>
    <t xml:space="preserve">Raciones alimenticias para Bahoruco </t>
  </si>
  <si>
    <t xml:space="preserve">Raciones alimenticias para Las Cañitas </t>
  </si>
  <si>
    <t xml:space="preserve">Raciones alimenticias para Independencia </t>
  </si>
  <si>
    <t xml:space="preserve">Adquisición de Llantas y neumáticos para Hondo Valle y Juan Santiago </t>
  </si>
  <si>
    <t xml:space="preserve">Adquisición de Llantas y neumáticos para Sabaneta </t>
  </si>
  <si>
    <t xml:space="preserve">Adquisición de Llantas y neumáticos para Barahona </t>
  </si>
  <si>
    <t xml:space="preserve">Adquisición de Llantas y neumáticos para Bahoruco </t>
  </si>
  <si>
    <t xml:space="preserve">Adquisición de Llantas y neumáticos para Las Cañitas </t>
  </si>
  <si>
    <t xml:space="preserve">Adquisición de Llantas y neumáticos para Independencia </t>
  </si>
  <si>
    <t>Adquision motocicleta (para técnicos forestales)</t>
  </si>
  <si>
    <t>MMA-DA</t>
  </si>
  <si>
    <t>Motocicleta</t>
  </si>
  <si>
    <t>Motocicletas</t>
  </si>
  <si>
    <t>Reforestación Proyecto Hermanas Mirabal / Cibao Nordeste</t>
  </si>
  <si>
    <t>Reforestación Proyecto Monseñor Nouel (Bonao) / Cibao Sur</t>
  </si>
  <si>
    <t>Plantación de café a raiz dirigida</t>
  </si>
  <si>
    <t xml:space="preserve">Almuerzo jornada de reforestación </t>
  </si>
  <si>
    <t xml:space="preserve">Evento </t>
  </si>
  <si>
    <t>EVENTO/DE</t>
  </si>
  <si>
    <t>31/2021</t>
  </si>
  <si>
    <t xml:space="preserve">Almeurzos </t>
  </si>
  <si>
    <t>Reforestación Proyecto Santiago Rodríguez  / Cibao Noroeste</t>
  </si>
  <si>
    <t>Reforestación Proyecto SAJOMA (Las Placetas) / Cibao Norte</t>
  </si>
  <si>
    <t>Reforestación Proyecto El Rosalito</t>
  </si>
  <si>
    <t>Reforestación Proyecto NACAS (San Cristóbal)</t>
  </si>
  <si>
    <t>Capacitaciones sobre protección ambiental, implementadas</t>
  </si>
  <si>
    <t>DC-MMA</t>
  </si>
  <si>
    <t>Capacitaciones y sensibilización para la Protección Ambiental</t>
  </si>
  <si>
    <t>Taller de técnicas básicas de control de incendios forestales (brigadistas y productores)</t>
  </si>
  <si>
    <t>Lista de participantes Agenda desarrollada Contenido del curso Fotos de la actividad</t>
  </si>
  <si>
    <t>MMA-GO</t>
  </si>
  <si>
    <t>Taller de Educación Ambiental (beneficiarios)</t>
  </si>
  <si>
    <t>Taller de Reforestación (capataces)</t>
  </si>
  <si>
    <t>61-64-60</t>
  </si>
  <si>
    <t>Capacitaciones y sensibilización para la Protección Ambiental a beneficiarios de Bahoruco, Independencia, Barahona</t>
  </si>
  <si>
    <t>58-59</t>
  </si>
  <si>
    <t>Capacitaciones y sensibilización para la Protección Ambiental a beneficiarios de Hondo Valle - Juan Santiago, Sabaneta</t>
  </si>
  <si>
    <t>62-63</t>
  </si>
  <si>
    <t>Manejo de las aguas y desechos solidos a beneficiarios de Bahoruco, Independencia, Barahona</t>
  </si>
  <si>
    <t>Manejo de las aguas y desechos solidos a beneficiarios de Hondo Valle - Juan Santiago, Sabaneta</t>
  </si>
  <si>
    <t>Prácticas de conservación de suelos  a beneficiarios de Bahoruco, Independencia, Barahona</t>
  </si>
  <si>
    <t>Prácticas de conservación de suelos a beneficiarios de Hondo Valle - Juan Santiago, Sabaneta</t>
  </si>
  <si>
    <t>Sistemas productivos y foresteria analoga a beneficiarios de Bahoruco, Independencia, Barahona</t>
  </si>
  <si>
    <t>Sistemas productivos y foresteria analoga a beneficiarios de Hondo Valle - Juan Santiago, Sabaneta</t>
  </si>
  <si>
    <t>Taller Restauración De Ecosistemas Y Paisajes a beneficiarios de Bahoruco, Independencia, Barahona</t>
  </si>
  <si>
    <t>Taller Restauración De Ecosistemas Y Paisajes a beneficiarios de Hondo Valle - Juan Santiago, Sabaneta</t>
  </si>
  <si>
    <t>Adquisición de insumos y materiales</t>
  </si>
  <si>
    <t>Reproducción de materiales para las capacitaciones de los beneficiarios</t>
  </si>
  <si>
    <t>Contratación de servicios profesionales</t>
  </si>
  <si>
    <t xml:space="preserve">Viáticos personal forestal PDAs Hondo Valle y Juan Santiago </t>
  </si>
  <si>
    <t>Viáticos personal forestal PDAs Sabaneta</t>
  </si>
  <si>
    <t xml:space="preserve">Viáticos personal forestal  Barahona </t>
  </si>
  <si>
    <t>Viáticos personal forestal PDAs Bahoruco</t>
  </si>
  <si>
    <t>Viáticos personal forestal PDAs Las Cañitas</t>
  </si>
  <si>
    <t xml:space="preserve">Viáticos personal forestal PDAs Independencia </t>
  </si>
  <si>
    <t xml:space="preserve">Adquisición animales de carga para proyectos para Hondo Valle y Juan Santiago </t>
  </si>
  <si>
    <t xml:space="preserve">Adquisición animales de carga para proyectos para Sabaneta </t>
  </si>
  <si>
    <t xml:space="preserve">Adquisición animales de carga para proyectos para Barahona </t>
  </si>
  <si>
    <t xml:space="preserve">Adquisición animales de carga para proyectos para Bahoruco </t>
  </si>
  <si>
    <t xml:space="preserve">Adquisición animales de carga para proyectos para Las Cañitas </t>
  </si>
  <si>
    <t>Adquisición animales de carga para proyectos para Independencia</t>
  </si>
  <si>
    <t>Supervisión  técnica realizada</t>
  </si>
  <si>
    <t>MMA-GAF-GO</t>
  </si>
  <si>
    <t>GO-GAF-MMA</t>
  </si>
  <si>
    <t>Supervisión técnica proyecto Hondo Valle</t>
  </si>
  <si>
    <t>Reducción del 50% de Combustible y Material Gastable. Reducción del 100&amp; en Mantenimiento de Vehiculos, computadora e impresora.</t>
  </si>
  <si>
    <t>Compensación a técnicos (mensual)</t>
  </si>
  <si>
    <t>mensual</t>
  </si>
  <si>
    <t>Compensación</t>
  </si>
  <si>
    <t>Combustible (asignación mensual)</t>
  </si>
  <si>
    <t>Combustible</t>
  </si>
  <si>
    <t>12 asignacion mensual para los técnicos de RD$15,000 para la supervisión del componente forestal. Recurso reducido a un 50%</t>
  </si>
  <si>
    <t>Mantenimiento de vehículos (cada 2 meses)</t>
  </si>
  <si>
    <t>Mantenimiento</t>
  </si>
  <si>
    <t>Gomas camionetas (3 veces al año)</t>
  </si>
  <si>
    <t>unidad</t>
  </si>
  <si>
    <t>Neumáticos camioneta</t>
  </si>
  <si>
    <t>Gomas motocicletas (delanteras y traseras)</t>
  </si>
  <si>
    <t>Neumáticos motocicletas</t>
  </si>
  <si>
    <t>Computadora</t>
  </si>
  <si>
    <t xml:space="preserve">Impresora multifunción </t>
  </si>
  <si>
    <t>Impresora multifuncional</t>
  </si>
  <si>
    <t>Material gastable (mes)</t>
  </si>
  <si>
    <t>juego</t>
  </si>
  <si>
    <t>Supervesión  técnica Proyecto Sabaneta</t>
  </si>
  <si>
    <t>Supervesión  técnica Proyecto Las Cañitas</t>
  </si>
  <si>
    <t>Supervesión técnica Proyecto Independencia</t>
  </si>
  <si>
    <t>Supervesión técnica Proyecto Bahoruco</t>
  </si>
  <si>
    <t>Supervesión  técnica Proyecto Los Fríos</t>
  </si>
  <si>
    <t>Supervesión  técnica Proyecto Barahona</t>
  </si>
  <si>
    <t>Gestión de Proyectos (nivel central)</t>
  </si>
  <si>
    <t>Compensación a  choferes (mensual)</t>
  </si>
  <si>
    <t xml:space="preserve">Compensación a  choferes </t>
  </si>
  <si>
    <t>Camioneta doble 4Wd diesel</t>
  </si>
  <si>
    <t>Infraestructuras construidas y equipadas</t>
  </si>
  <si>
    <t>UTEPDA-MA-MMA</t>
  </si>
  <si>
    <t>Infraestructuras para fortalecer la comercialización de los sistemas agroforestales, construidas y equipadas</t>
  </si>
  <si>
    <t>Luis Vásques</t>
  </si>
  <si>
    <t>Infraestructuras en Hondo Valle y Juan Santiago</t>
  </si>
  <si>
    <t>Luis Vásquez</t>
  </si>
  <si>
    <t>Elevador con tolva, secadora con horno, ampliación de 200m2 de secadero, para la habilitación de planta de procesamiento del núcleo de caficultores</t>
  </si>
  <si>
    <t>Infraestructuras en Sabaneta</t>
  </si>
  <si>
    <t>Planta de Empaque y Centro de Acopio 1,800 mt2, Cuarto Frío, precamara, Planta eléctrica, transformador</t>
  </si>
  <si>
    <t>Construcción de Sala para extracción de Miel, polen y propóleos con su batea y extractor</t>
  </si>
  <si>
    <t>Construcción de Centro comercializador 600 mts2 con su cuarto frío y estanterías</t>
  </si>
  <si>
    <t>Infraestructuras en Las Cañitas</t>
  </si>
  <si>
    <t>Beneficiado Húmedo de Café 600 mt2</t>
  </si>
  <si>
    <t>Beneficiado Seco Construcción y equipamiento</t>
  </si>
  <si>
    <t>Construcción y equipamiento de planta de torrefacción 1,500 mt2</t>
  </si>
  <si>
    <t>Construcción y Equipamiento de Centro de Procesamiento de Madera</t>
  </si>
  <si>
    <t>Rehabilitación  y construcción de sistema de riego en Las Lagunas y Vallecitos</t>
  </si>
  <si>
    <t>Infraestructuras en Independencia</t>
  </si>
  <si>
    <t>Beneficiados Húmedos Ecológicos (2 Independencia)</t>
  </si>
  <si>
    <t>Planta de Empaque y Centro de Acopio de Mango con equipamiento (Independencia)</t>
  </si>
  <si>
    <t>Sistema de riego por goteo (Independencia) - Boca de Cachon</t>
  </si>
  <si>
    <t>Pago por trabajos adicionales y Cubicación Final por la Construcción de Sistema de Regio Boca de Cachón, Provincia Independencia, Certificación Contrato No.CO-0001367-2020.</t>
  </si>
  <si>
    <t>Sistema de riego por goteo (Independencia) - Pinos del Eden Etapa I-</t>
  </si>
  <si>
    <t>Sistema de riego por goteo (Independencia) - Pinos del Eden Etapa II-</t>
  </si>
  <si>
    <t>Sistema de riego por goteo (Independencia) - Pinos del Eden Etapa III-</t>
  </si>
  <si>
    <t>Infraestructuras en Bahoruco</t>
  </si>
  <si>
    <t>Planta de Empaque y Centro de Acopio 1,800 mt2, Cuarto Frío, precamara, Planta eléctrica, transformador Bahoruco</t>
  </si>
  <si>
    <t>Beneficiados Húmedos Ecológicos</t>
  </si>
  <si>
    <t>Centro de Acopio y Túneles de Secado para el procesamiento de Cacao 110 mts2</t>
  </si>
  <si>
    <t>Equipamiento de y fortalecimiento del núcleo de caficultores de Neyba</t>
  </si>
  <si>
    <t>1 Camión para el transporte</t>
  </si>
  <si>
    <t>Infraestructuras en Los Fríos</t>
  </si>
  <si>
    <t>Beneficiado Seco Construcción y equipamiento 1,200 mt2</t>
  </si>
  <si>
    <t>Construcción de Secadero Tradicional 700 mt2</t>
  </si>
  <si>
    <t>Infraestructuras en Barahona</t>
  </si>
  <si>
    <t>Beneficiado Seco Construcción y equipamiento 1,000 mt2</t>
  </si>
  <si>
    <t>Adquisiciones e insumos para construccion de infraestructuras</t>
  </si>
  <si>
    <t>Señalizacion de caminos</t>
  </si>
  <si>
    <t>Construcción y Equipamiento de Infraestructuras para la protección boscosa</t>
  </si>
  <si>
    <t>Luis Vasquez</t>
  </si>
  <si>
    <t>Infraestructura para para la protección, conservación, supervisión y Capacitación</t>
  </si>
  <si>
    <t xml:space="preserve">Contrato Registrado </t>
  </si>
  <si>
    <t>Fortalecimiento de la producción apícola</t>
  </si>
  <si>
    <t>Co</t>
  </si>
  <si>
    <t>Reducción del 100% la Producción Apícola</t>
  </si>
  <si>
    <t>Producción y manejo de la apicultura</t>
  </si>
  <si>
    <t>Colmenas instaladas</t>
  </si>
  <si>
    <t>31//12/2021</t>
  </si>
  <si>
    <t>Producción apícola para los PDA</t>
  </si>
  <si>
    <t>Técnico apícola</t>
  </si>
  <si>
    <t>Producción apícola para el proyecto Sabaneta</t>
  </si>
  <si>
    <t>Materiales gastables para manteniemiento</t>
  </si>
  <si>
    <t>Producción apícola para el proyecto Las Cañitas</t>
  </si>
  <si>
    <t>Producción apícola para el proyecto Independencia</t>
  </si>
  <si>
    <t>Producción apícola para el proyecto en Bahoruco</t>
  </si>
  <si>
    <t>Producción apícola para el proyecto Los Fríos</t>
  </si>
  <si>
    <t>Producción apícola para el proyecto en Barahona</t>
  </si>
  <si>
    <t>Producción apícola para el proyecto Hondo Valle y Juan Santiago</t>
  </si>
  <si>
    <t>Adquisiciones para la Produccion apicola para los PDA</t>
  </si>
  <si>
    <t>Adquisición de colmenas y equipos de manejo</t>
  </si>
  <si>
    <t>6.19.4.2.2.58</t>
  </si>
  <si>
    <t>Adquisición de materiales, insumos y equipos producción apícola en Hondo Valle y Juan Santiago</t>
  </si>
  <si>
    <t>6.19.4.2.2.59</t>
  </si>
  <si>
    <t>Adquisición de materiales, insumos y equipos producción apícola en Sabaneta</t>
  </si>
  <si>
    <t>6.19.4.2.2.60</t>
  </si>
  <si>
    <t>Adquisición de materiales, insumos y equipos producción apícola en Barahona</t>
  </si>
  <si>
    <t>6.19.4.2.2.61</t>
  </si>
  <si>
    <t>Adquisición de materiales, insumos y equipos producción apícola en Bahoruco</t>
  </si>
  <si>
    <t>6.19.4.2.2.62</t>
  </si>
  <si>
    <t>6.19.4.2.2.63</t>
  </si>
  <si>
    <t>Adquisición de materiales, insumos y equipos producción apícola en Las Cañitas</t>
  </si>
  <si>
    <t>6.19.4.2.2.64</t>
  </si>
  <si>
    <t>Adquisición de materiales, insumos y equipos producción apícola en Independencia</t>
  </si>
  <si>
    <t>Libramientos</t>
  </si>
  <si>
    <t>Ejecutado/Pagado RD$</t>
  </si>
  <si>
    <t>Compromiso</t>
  </si>
  <si>
    <t>Disponibilidad</t>
  </si>
  <si>
    <t>Déficit</t>
  </si>
  <si>
    <t>Estatus</t>
  </si>
  <si>
    <t>Proceso de Compras y Contrataciones</t>
  </si>
  <si>
    <t>No. De Contrato/Adenda/Orden de Compra o Servicio</t>
  </si>
  <si>
    <t>Presupuesto original</t>
  </si>
  <si>
    <t>Vigencia</t>
  </si>
  <si>
    <t>Fecha de entrega del bien o servicio</t>
  </si>
  <si>
    <t>Sabaneta</t>
  </si>
  <si>
    <t>Nombre PDA</t>
  </si>
  <si>
    <t>Hondo Valle y Juan Santiago</t>
  </si>
  <si>
    <t>Las Cañitas</t>
  </si>
  <si>
    <t>Independencia</t>
  </si>
  <si>
    <t>Bahoruco</t>
  </si>
  <si>
    <t>Los Fríos</t>
  </si>
  <si>
    <t>Barahona</t>
  </si>
  <si>
    <t xml:space="preserve">Nueva programática </t>
  </si>
  <si>
    <t>Anterior programática</t>
  </si>
  <si>
    <t>Capacitación sobre sistemas de fincas agroforestales integral para los Técnicos agrícolas y facilitadores</t>
  </si>
  <si>
    <t>Concepto de Bioseguridad para Técnicos agrícolas y forestales, brigadistas y facilitadores</t>
  </si>
  <si>
    <t>Concepto de sostenibilidad para Técnicos agrícolas  y facilitadores</t>
  </si>
  <si>
    <t>Educación Sexual y Planificación Familiar para Técnicos agrícolas y facilitadores</t>
  </si>
  <si>
    <t>Enfermedades de transmicion sexual para Técnicos agrícolas y facilitadores</t>
  </si>
  <si>
    <t>Implementación de nuevos programas ajustadas a la biodiversidad para Técnicos agrícolas y  facilitadores</t>
  </si>
  <si>
    <t>Niños y agricultura (Mini Agricultura) a hijos de Técnicos agrícolas y facilitadores</t>
  </si>
  <si>
    <t>Organización comunitaria para Técnicos agrícolas y  facilitadores</t>
  </si>
  <si>
    <t>Prevención de enfermedades virales para Técnicos agrícolas y facilitadores</t>
  </si>
  <si>
    <t>Primeros Auxilios Básicos  los Técnicos agrícolas y  facilitadores</t>
  </si>
  <si>
    <t>Recuperación después de un desastre para Técnicos agrícolas y  facilitadores</t>
  </si>
  <si>
    <t>Violencia intrafamiliar para Técnicos agrícolas y facilitadores</t>
  </si>
  <si>
    <t>Viáaticos para personal agrícola PDA</t>
  </si>
  <si>
    <t>Viáticos para personal agrícola PDA</t>
  </si>
  <si>
    <t>Capacitaciones y sensibilización para la Protección Ambiental  los Técnicos agrícolas y forestales, brigadistas y facilitadores</t>
  </si>
  <si>
    <t>Manejo de las aguas y desechos solidos  para Técnicos agrícolas y forestales, brigadistas y facilitadores</t>
  </si>
  <si>
    <t>Sistemas productivos y foresteria analoga los Técnicos agrícolas y forestales, brigadistas y facilitadores</t>
  </si>
  <si>
    <t>Taller Restauración De Ecosistemas Y Paisajes  los Técnicos agrícolas , Paratécnico y facilitadores</t>
  </si>
  <si>
    <t xml:space="preserve">Materiales gastables para la capacitación de técnicos y multiplicadores en Los Fríos </t>
  </si>
  <si>
    <t xml:space="preserve">Almuerzo para las capacitaciones de los beneficiarios en Los Fríos </t>
  </si>
  <si>
    <t>Adquisición de neumáticos para vehículos asignados al Proyecto Los Fríos</t>
  </si>
  <si>
    <t xml:space="preserve">Pago de nómina administrativa Proyecto Los Fríos </t>
  </si>
  <si>
    <t xml:space="preserve">Adquisición de transporte para plantas Los Fríos </t>
  </si>
  <si>
    <t xml:space="preserve">Pago injertía de aguacate Los Fríos </t>
  </si>
  <si>
    <t xml:space="preserve">Maquinarias, Equipos, Insumos y materiales para aplicación de agroquímicos Los Fríos </t>
  </si>
  <si>
    <t xml:space="preserve">Adquisición de Agroquímicos Los Fríos </t>
  </si>
  <si>
    <t xml:space="preserve">Kit de herramientas para Los Fríos </t>
  </si>
  <si>
    <t xml:space="preserve">Adquisición de motocicletas para Los Fríos </t>
  </si>
  <si>
    <t xml:space="preserve">Adquisición de plantas de café (a raiz dirigida, a Raiz desnuda y Funda) para Los Fríos </t>
  </si>
  <si>
    <t xml:space="preserve">Adquisición de Almuerzos para las reuniones y jornadas de acompañamiento técnico para Los Fríos </t>
  </si>
  <si>
    <t>Adquisición de alevines para Los Fríos</t>
  </si>
  <si>
    <t xml:space="preserve">Adquisición de plantas de Aguacate para Los Fríos </t>
  </si>
  <si>
    <t>Adquisición de Insumos y Materiales de Construcción de Viveros en Los Fríos</t>
  </si>
  <si>
    <t>Adquisición de equipos y maquinarias pesadas para plantaciones agrícolas para Los Fríos</t>
  </si>
  <si>
    <t>Adquisición de Camiones para Los Fríos</t>
  </si>
  <si>
    <t xml:space="preserve">Adquisición de GPS Los Fríos </t>
  </si>
  <si>
    <t xml:space="preserve">Adquisición de líneas y sogas para Los Fríos </t>
  </si>
  <si>
    <t>Adquisición frutas/semillas de aguacate para Los Fríos</t>
  </si>
  <si>
    <t xml:space="preserve">Pago operadores equipos pesados para cultivos (tractores) para Los Fríos </t>
  </si>
  <si>
    <t xml:space="preserve">Pago choferes para transporte de plantas de viveros a PDAs para Los Fríos </t>
  </si>
  <si>
    <t xml:space="preserve">Combustibles Los Fríos </t>
  </si>
  <si>
    <t xml:space="preserve">Llantas y neumáticos para Los Fríos </t>
  </si>
  <si>
    <t xml:space="preserve">Adquisición plantas de especias  Los Fríos </t>
  </si>
  <si>
    <t xml:space="preserve">Adquisición de insumos y equipos menores de seguridad para Los Fríos </t>
  </si>
  <si>
    <t xml:space="preserve">Adquisición de semillas de Cacao para Los Fríos </t>
  </si>
  <si>
    <t xml:space="preserve">Adquisición de plantas de mango para Los Fríos </t>
  </si>
  <si>
    <t xml:space="preserve">Adquisición de materiales diversos para reparacion de camionetas y vehiculos pesados (cambios de piezas, piezas, baterias, etc) para Los Fríos </t>
  </si>
  <si>
    <t xml:space="preserve">Servicios de mantenimientos de vehículos livianos y pesados para Los Fríos </t>
  </si>
  <si>
    <t xml:space="preserve">Adquisición de materiales ferreteros para Los Fríos </t>
  </si>
  <si>
    <t xml:space="preserve">Pago servicios de conectividad para Los Fríos </t>
  </si>
  <si>
    <t>Adquisición de Polimero para Los Fríos</t>
  </si>
  <si>
    <t>Adquisición de enraizador a base de algas marinas para Los Fríos</t>
  </si>
  <si>
    <t xml:space="preserve">Adquisición de Motocicletas Los Fríos </t>
  </si>
  <si>
    <t xml:space="preserve">Pagos de combustible al personal de  georreferenciación en Los Fríos </t>
  </si>
  <si>
    <t xml:space="preserve">Señalización de áreas en Los Fríos </t>
  </si>
  <si>
    <t xml:space="preserve">Adquisición de GPS para Los Fríos </t>
  </si>
  <si>
    <t xml:space="preserve">Adquisición de equipos tecnológicos y licencias de software Los Fríos </t>
  </si>
  <si>
    <t xml:space="preserve">Adquisición de electrodomésticos para Los Fríos </t>
  </si>
  <si>
    <t xml:space="preserve">Adquisición de medios de transporte para Los Fríos </t>
  </si>
  <si>
    <t xml:space="preserve">Adquisición de capas de lluvia para Los Fríos </t>
  </si>
  <si>
    <t xml:space="preserve">Adquisición de insumos menores y equipos de seguridad personal para Los Fríos </t>
  </si>
  <si>
    <t xml:space="preserve">Adquisión de equipos levantamiento catastral para Los Fríos </t>
  </si>
  <si>
    <t xml:space="preserve">Adquisicion de 24 Radios de Comunicacion para Los Fríos </t>
  </si>
  <si>
    <t xml:space="preserve">Identificar todos los asentamientos de reforma agraria ubicados en el área de influencia del Programa para Los Fríos </t>
  </si>
  <si>
    <t xml:space="preserve">Pago a personal titulacion en Los Fríos </t>
  </si>
  <si>
    <t xml:space="preserve">Diagnóstico de las cooperativas establecidas en los diferentes proyectos en Los Fríos </t>
  </si>
  <si>
    <t xml:space="preserve">Taller de Fortalecimiento y Desarrollo Organizacional en Los Fríos </t>
  </si>
  <si>
    <t xml:space="preserve">Almuerzo para capacitación a los socios de cooperativas en Los Fríos </t>
  </si>
  <si>
    <t xml:space="preserve">Cubicación de obras de Rehabilitación de Caminos Interparcelarios en Los Fríos </t>
  </si>
  <si>
    <t xml:space="preserve">Supervisión de Obras de Rehabilitación de Caminos Interparcelarios en Los Fríos </t>
  </si>
  <si>
    <t xml:space="preserve">Adquisición de Combustible para Los Fríos </t>
  </si>
  <si>
    <t xml:space="preserve">Adquisición de camiones volteo para Los Fríos </t>
  </si>
  <si>
    <t xml:space="preserve">Pago operadores equipos pesados para caminos (gredar, retropala, bulldozer, etc) Los Fríos </t>
  </si>
  <si>
    <t xml:space="preserve">Adquisición de semillas para Los Fríos </t>
  </si>
  <si>
    <t xml:space="preserve">Adquisición de Agroquímicos para Los Fríos </t>
  </si>
  <si>
    <t xml:space="preserve">Adquisición de insumos o materiales para Los Fríos </t>
  </si>
  <si>
    <t xml:space="preserve">Herramientas de campo (para viveros) para Los Fríos </t>
  </si>
  <si>
    <t xml:space="preserve">Raciones alimenticias para Los Fríos </t>
  </si>
  <si>
    <t xml:space="preserve">Adquisición de Llantas y neumáticos para Los Fríos </t>
  </si>
  <si>
    <t>Capacitaciones y sensibilización para la Protección Ambiental beneficiarios de Las Cañitas y Los Fríos</t>
  </si>
  <si>
    <t>Manejo de las aguas y desechos solidos a beneficiarios de Las Cañitas y Los Fríos</t>
  </si>
  <si>
    <t>Prácticas de conservación de suelos a beneficiarios de Las Cañitas y Los Fríos</t>
  </si>
  <si>
    <t>Sistemas productivos y foresteria analoga a beneficiarios de Las Cañitas y Los Fríos</t>
  </si>
  <si>
    <t>Taller Restauración De Ecosistemas Y Paisajes a beneficiarios de Las Cañitas y Los Fríos</t>
  </si>
  <si>
    <t xml:space="preserve">Viáticos personal forestal PDAs Los Fríos </t>
  </si>
  <si>
    <t xml:space="preserve">Adquisición animales de carga para proyectos para Los Fríos </t>
  </si>
  <si>
    <t>Adquisición de materiales, insumos y equipos producción apícola en Los Fríos</t>
  </si>
  <si>
    <t xml:space="preserve">Material Gastable, Almuerzo, reproducciviáticos, y combustible </t>
  </si>
  <si>
    <t>Reducción del 100% de Combustible para las jorndadas de implementación del Plan de Gestión Agroquímicos y de Educación Ambiental. Reducción del 98% de los viáticos para la especialista ambiental</t>
  </si>
  <si>
    <t xml:space="preserve">viáticos considerados paa viajes de la Espacialista Ambiental </t>
  </si>
  <si>
    <t>Reducción del 100% de Combustible para las jornadas del Plan de Participación Ciudadana y del Sistema de Gestión de Quejas y Reclamos. Reducción del 98% de los viáticos para la especialista social</t>
  </si>
  <si>
    <t>viáticos considerados paa viajes de la Espacialista Social, quien estará realizando acompañamiento con la firma Smartcom, responsible de la Campaña de Titulación</t>
  </si>
  <si>
    <t>viáticos para el personal técnico reducidos un 52%</t>
  </si>
  <si>
    <t>viáticos y Combutible</t>
  </si>
  <si>
    <t xml:space="preserve">viáticos, transporte </t>
  </si>
  <si>
    <t xml:space="preserve">Equipos de medicion, transporte, viáticos, combustible </t>
  </si>
  <si>
    <t>Reducción de la contratación de personal (100%) y el pago de viáticos a Titulación (44%)</t>
  </si>
  <si>
    <t xml:space="preserve">Nómina, viáticos, combustible, transporte </t>
  </si>
  <si>
    <t>Reducción del 50% en los viáticos del personal forestal de los PDA y en un 100% de material gastable y reproducción de materiales</t>
  </si>
  <si>
    <t>Asistencia técnica en Hondo Valle y Juan Santiago</t>
  </si>
  <si>
    <t>Asistencia técnica en Sabaneta</t>
  </si>
  <si>
    <t>Asistencia técnica en Los Fríos</t>
  </si>
  <si>
    <t>Asistencia técnica en Barahona</t>
  </si>
  <si>
    <t xml:space="preserve">Excel avanzado </t>
  </si>
  <si>
    <t>Socialización del proceso de verificación de resultados con la firma consultora OP &amp; Consultores Asociados  S.A.C /MVIS / Fundación REEDOM a los 7 proyectos</t>
  </si>
  <si>
    <t xml:space="preserve">Supervisión y Liderazgo Efectivos </t>
  </si>
  <si>
    <t xml:space="preserve">Técnicas de Servicio </t>
  </si>
  <si>
    <t>Presupuesto ajustado según estrategia</t>
  </si>
  <si>
    <t>Presupuesto con partidas actualizadas según modificaciones</t>
  </si>
  <si>
    <t>Intoxicación por fertilizantes para los Técnicos agrícolas y  facilitadores</t>
  </si>
  <si>
    <t xml:space="preserve">Viáticos personal capacitación en Hondo Valle y Juan Santiago </t>
  </si>
  <si>
    <t xml:space="preserve">Inducción a los proyectos agroforestales y repoblación de los recursos naturales a cadetes de 4to año y alistados de la Policia Nacional </t>
  </si>
  <si>
    <t>Mensual</t>
  </si>
  <si>
    <t>Servicios</t>
  </si>
  <si>
    <t>UTEPDA-CCC-PEPB-2022-0001</t>
  </si>
  <si>
    <t>No. de Orden UTEPDA-2022-00002</t>
  </si>
  <si>
    <t>Nómina de personal militar funcionaes adminsitrativas: Enero 2022, Febrero 2022</t>
  </si>
  <si>
    <t>Adjudicado</t>
  </si>
  <si>
    <t xml:space="preserve">Santo Domingo Motoss Servicios de Mantenimiento a camionetas Chevrolet Colorado Chasis No. MMM148FK0KH617551, MMM148FK5KH613432 y MMM148FK3KH618757 </t>
  </si>
  <si>
    <t>Compras por debajo del Umbral UTEPDA-UC-CD-2022-0001
Compras por debajo del Umbral UTEPDA-UC-CD-2022-0002</t>
  </si>
  <si>
    <t>Orden de Servicio UTEPDA-2022-00003
Orden de Servicio UTEPDA-2022-00004</t>
  </si>
  <si>
    <t>11/01/2022
17/01/2022</t>
  </si>
  <si>
    <t>Comparación de Precios UTEPDA-CCC-CP-2021-0006</t>
  </si>
  <si>
    <t>Contrato BS-0009994-2021 de fecha 01/09/2021</t>
  </si>
  <si>
    <t>09/08/221</t>
  </si>
  <si>
    <t>Adq. Repuesto para gredar y bombas para retropalas</t>
  </si>
  <si>
    <t>122-125</t>
  </si>
  <si>
    <t>Adq. Repuesto de Retro Pala Komatzu, Chasisi No. KMTWB024JJUF70257
Adq. Repuesto para gredar y bombas para retropalas</t>
  </si>
  <si>
    <t>Orden de Compra UTEPDA-2021-00162
Orden de Compra UTEPDA-2021-00177</t>
  </si>
  <si>
    <t>Compra Menor UTEPDA-DAF-CM-2021-0035
Compra por Debajo del Umbral UTEPDA-UC-CD-2021-0062</t>
  </si>
  <si>
    <t>6/10/2021
17/11/2021</t>
  </si>
  <si>
    <t>20/9/2021
6/10/2021
17/11/2021</t>
  </si>
  <si>
    <t>Orden de Compra UTEPDA-2021-00158
Orden de Compra UTEPDA-2021-00162
Orden de Compra UTEPDA-2021-00177</t>
  </si>
  <si>
    <t>Compras por debajo del Umbral UTEPDA-UC-CD-2021-0059
Compra Menor UTEPDA-DAF-CM-2021-0035
Compra por Debajo del Umbral UTEPDA-UC-CD-2021-0062</t>
  </si>
  <si>
    <r>
      <t xml:space="preserve">Se tenia planificado RD$3,682,800, lo cual fue reducido al 50% que corresponden al primer semestre.  Esta partida debe ser revisada en julio/2022
</t>
    </r>
    <r>
      <rPr>
        <sz val="11"/>
        <rFont val="Calibri"/>
        <family val="2"/>
      </rPr>
      <t>Pago de Viáticos: Enero y Febrero 2022</t>
    </r>
  </si>
  <si>
    <t>Se tenia previsto RD$7,390,800, la cual fue reducida en un 50% lo que abarca el primer semestre de ejecución.  Esta partida debe ser revisada en julio/2022 para transferirle recursos y completar el semestre
Pago de Viáticos: Enero y Febrero 2022</t>
  </si>
  <si>
    <t>Esta partida requiere RD$4,227,600, lo cual fue reducido en un 50%, lo que abarca el primer semestre de este año. Se debe revisar la planificación en julio 2022.
Pago de Viáticos: Enero y Febrero 2022</t>
  </si>
  <si>
    <t>Nómina errogada</t>
  </si>
  <si>
    <t>Pago a viveristas contratados (BID) para Hondo Valle y Juan Santiago</t>
  </si>
  <si>
    <t xml:space="preserve">Pago a viveristas contratados (BID) para Sabaneta </t>
  </si>
  <si>
    <t xml:space="preserve">Pago a viveristas contratados (BID) para Barahona </t>
  </si>
  <si>
    <t xml:space="preserve">Pago a viveristas contratados (BID) para Bahoruco </t>
  </si>
  <si>
    <t xml:space="preserve">Pago a viveristas contratados (BID) para Los Fríos </t>
  </si>
  <si>
    <t>Pago a viveristas contratados (BID) para Las Cañitas</t>
  </si>
  <si>
    <t>Pago a viveristas contratados (BID) para Independenia</t>
  </si>
  <si>
    <t>Adquisición plantas de Guama para Hondo Valle y Juan Santiago</t>
  </si>
  <si>
    <t>Adquisición plantas de Guama para Sabaneta</t>
  </si>
  <si>
    <t>Adquisición plantas de Guama para Barahona</t>
  </si>
  <si>
    <t>Adquisición plantas de Guama para Bahoruco</t>
  </si>
  <si>
    <t>Adquisición plantas de Guama para Los Fríos</t>
  </si>
  <si>
    <t>Adquisición plantas de Guama para Las Cañitas</t>
  </si>
  <si>
    <t>Adquisición plantas de Guama para Independencia</t>
  </si>
  <si>
    <t>Nom. Sueldos Horas Extraordinarias Anual Diciembre 2021</t>
  </si>
  <si>
    <t>Pago a viveristas contratados (IP/ nuevos frentes) para los PDA</t>
  </si>
  <si>
    <t>Adquisición de Agroquímicos (nuevos frentes) para los PDA</t>
  </si>
  <si>
    <t>Adquisición repuestos de motocicletas para Hondo Valle y Juan Santiago</t>
  </si>
  <si>
    <t>Adquisición repuestos de motocicletas para Sabaneta</t>
  </si>
  <si>
    <t xml:space="preserve">Adquisición repuestos de motocicletas para Barahona </t>
  </si>
  <si>
    <t xml:space="preserve">Adquisición repuestos de motocicletas para Bahoruco </t>
  </si>
  <si>
    <t xml:space="preserve">Adquisición repuestos de motocicletas para Los Fríos </t>
  </si>
  <si>
    <t>Adquisición repuestos de motocicletas para Las Cañitas</t>
  </si>
  <si>
    <t>Adquisición repuestos de motocicletas para Independencia</t>
  </si>
  <si>
    <t>Pago viáticos personal titulación</t>
  </si>
  <si>
    <t>Pago a personal titulación</t>
  </si>
  <si>
    <t>Pago sueldo 13 personal titulación</t>
  </si>
  <si>
    <t>Materiales ferreteros</t>
  </si>
  <si>
    <t>Capacitación en el Plan de Mitigación de impactos a los comunitarios y comunitarias en Barahona</t>
  </si>
  <si>
    <t>Capacitación en el Plan de Mitigación de impactos a los comunitarios y comunitarias en Independencia</t>
  </si>
  <si>
    <t>Contribuciones a la seguridad social</t>
  </si>
  <si>
    <t xml:space="preserve">Monitoreo Externo de la Gestión Ambiental y Social (Auditoria Externa Socioambiental) </t>
  </si>
  <si>
    <t>Pago Servicios multiples</t>
  </si>
  <si>
    <t>Capacidades institucionales que aseguren una gestión eficiente y coordinada, desarrolladas</t>
  </si>
  <si>
    <t>Cumplimiento con las normas básicas de control interno NOBACI</t>
  </si>
  <si>
    <t>Elaboración y seguimiento de la página web de la institución</t>
  </si>
  <si>
    <t>Elaboración de publicidad Institucional</t>
  </si>
  <si>
    <t>Adqusición de equipos tecnológicos para comunicaciones</t>
  </si>
  <si>
    <t>Vertedero Hondo Valle y Juan Santiago</t>
  </si>
  <si>
    <t>Invernadero Los Fríos</t>
  </si>
  <si>
    <t>Construcción de Sala para extracción de Miel, polen y propóleos con su batea y extractor (Bahoruco)</t>
  </si>
  <si>
    <t>Beneficiado Húmedo de Café (600 mt2)</t>
  </si>
  <si>
    <t>Jornales Las Cañitas</t>
  </si>
  <si>
    <t>Jornales Hondo Valle y Juan Santiago</t>
  </si>
  <si>
    <t>Jornales Sabaneta</t>
  </si>
  <si>
    <t>Jornales Independencia</t>
  </si>
  <si>
    <t>Jornales Bahoruco</t>
  </si>
  <si>
    <t>Jornales Los Fríos</t>
  </si>
  <si>
    <t>Jornales Barahona</t>
  </si>
  <si>
    <t>Publicidad para los procesos de compras Hondo Valle y Juan Santiago</t>
  </si>
  <si>
    <t>Publicidad para los procesos de compras Sabaneta</t>
  </si>
  <si>
    <t>Publicidad para los procesos de compras Las Cañitas</t>
  </si>
  <si>
    <t>Publicidad para los procesos de compras Independencia</t>
  </si>
  <si>
    <t>Publicidad para los procesos de compras Bahoruco</t>
  </si>
  <si>
    <t>Publicidad para los procesos de compras Los Fríos</t>
  </si>
  <si>
    <t>Publicidad para los procesos de compras Barahona</t>
  </si>
  <si>
    <t>43-44-304-306</t>
  </si>
  <si>
    <t>Publicidad de UTEPDA-CCC-LPN-2022-0001 - Editora del Caribe (Fact B1500003609 y 03652) y Listin Diario (Fact B1500006403, 06440 y 06467)</t>
  </si>
  <si>
    <t xml:space="preserve">UTEPDA-MAE-PEUR-2021-0004
UTEPDA-CCC-LPN-2021-0009
</t>
  </si>
  <si>
    <t>305-308</t>
  </si>
  <si>
    <t>Santo Domingo Motors - Pago de factura por servicios de mantenimiento, para la camioneta Chevrolet colorado, chasis No.MMM148FKXKH613460, propiedad de esta UTEPDA, proceso Compra No.UTEPDA-UC-CD-2022-0004.
Delta Comercial - Pago de factura por servicios de mantenimiento del vehículo Toyota Highlander, Chasis No.STDKKRH9GS179103, propiedad del Gerente Adm. y
Financiero de esta UTEPDA Compra No.UTEPDA-UC-CD-2022-0006.</t>
  </si>
  <si>
    <t>UTEPDA-UC-CD-2022-0004
UTEPDA-UC-CD-2022-0006</t>
  </si>
  <si>
    <t>CHELETE - Pago por servicios de almuerzos y cenas empacados, para el personal militar que presta servicios de seguridad en esta Sede Central UTEPDA,
correspondiente al periodo enero-febrero del año 2022.</t>
  </si>
  <si>
    <t>Esta partida requiere de RD$22,501,200, la cual fue reducida en un 50%, lo que abarca el primer semestre de este año.  Se debe revisar la planificación en julio 2022.
PAGO VIATICOS POR VIAJES PDA PERSONAL UTEPDA DEL 24 DE NOV 2021 AL 05 DE MARZO 2022
Pago de Viáticos: Enero y Febrero 2022</t>
  </si>
  <si>
    <t>Ejecución 1er Trimestre</t>
  </si>
  <si>
    <t>Ejecución 2do Trimestre</t>
  </si>
  <si>
    <t>Ejecución 3er Trimestre</t>
  </si>
  <si>
    <t>Ejecución 4to Trimestre</t>
  </si>
  <si>
    <t>Jornal Hondo Valle y Juan Santiago</t>
  </si>
  <si>
    <t>Jornal Sabaneta</t>
  </si>
  <si>
    <t>Jornal Las Cañitas</t>
  </si>
  <si>
    <t>Jornal Independencia</t>
  </si>
  <si>
    <t>Jornal Bahoruco</t>
  </si>
  <si>
    <t>Jornal Los Fríos</t>
  </si>
  <si>
    <t>Jornal Barahona</t>
  </si>
  <si>
    <t>Pago servicios oficina titulación (electricidad, telefono, alquiler, mantenimiento edificio, etc)</t>
  </si>
  <si>
    <t xml:space="preserve">Pago servicio energía eléctrica </t>
  </si>
  <si>
    <t>UTEPDA-CCC-LPN-2022-0001</t>
  </si>
  <si>
    <t>32-255-366</t>
  </si>
  <si>
    <t>Edesur: Meses Dic 2021 (Fact B1500260837), Enero 2022 (Fact B1500267089), Febrero (Fact. B1500279636)</t>
  </si>
  <si>
    <t xml:space="preserve">Hablar con Joan </t>
  </si>
  <si>
    <t>37-111-198-216-412-469</t>
  </si>
  <si>
    <t>Seguridad Palomino: Enero, Febrero, Marzo 202
Personal de Seguridiad: Enero, Febrero, Marzo 202</t>
  </si>
  <si>
    <t>56-229-410</t>
  </si>
  <si>
    <t>66-76-174-209-319-427</t>
  </si>
  <si>
    <t>Nómina Contratado PDA Hondo Valle: Enero 2022, 
Nomina adicional personal contratado: Enero, Febrero 2022
Nómina Temporero PDA Hondo Valle: Enero, Febrero, Marzo 2022</t>
  </si>
  <si>
    <t>67-73-135-211-320-428</t>
  </si>
  <si>
    <t xml:space="preserve">Nómina Contratado PDA Sabaneta: Enero 2022, 
Nomina adicional personal contratado: Enero, Febrero 2022
Nómina Temporero PDA Sabaneta: Enero, Febrero, Marzo 2022, </t>
  </si>
  <si>
    <t xml:space="preserve">Nómina Contratado PDA Las Cañitas: Enero 2022, 
Nomina adicional personal contratado: Enero, Febrero 2022
Nómina Temporero PDA Las Cañitas: Enero, Febrero, Marzo 2022, </t>
  </si>
  <si>
    <t xml:space="preserve">Nómina Contratado PDA Independencia: Enero 2022
Nomina adicional personal contratado: Enero, Febrero 2022
Nómina Temporero PDA Independencia: Enero, Febrero, Marzo 2022, </t>
  </si>
  <si>
    <t>72-88-137-219-323-432</t>
  </si>
  <si>
    <t>69-99-138-221-359-429</t>
  </si>
  <si>
    <t>Nómina Contratado PDA Bahoruco: Enero 2022, 
Nomina adicional personal contratado: Enero, Febrero 2022
Nómina Temporero PDA Bahoruco: Enero, Febrero, Marzo 2022</t>
  </si>
  <si>
    <t>70-100-217-322-430</t>
  </si>
  <si>
    <t xml:space="preserve">Nómina Contratado PDA Los Fríos: Enero 2022, 
Nómina adicional PDA Los Fríos: Febrero 2022
Nómina Temporero PDA Los Fríos: Enero, Febrero, Marzo 2022, </t>
  </si>
  <si>
    <t>68-74-140-223-358-437</t>
  </si>
  <si>
    <t>Nómina Contratado PDA Barahona: Enero 2022, 
Nomina adicional personal contratado: Enero, Febrero 2022
Nómina Temporero PDA Barahona: Enero, Febrero, Marzo 2022</t>
  </si>
  <si>
    <t>162-343-344-473</t>
  </si>
  <si>
    <t>Nómina jornalero agrícola: Diciembre 2021, Enero - Febrero - Marzo 2022</t>
  </si>
  <si>
    <t>169-342-471-472</t>
  </si>
  <si>
    <t>293-346-480</t>
  </si>
  <si>
    <t>Nómina jornalero forestal: Enero - Febrero - Marzo 2022</t>
  </si>
  <si>
    <t>176-360-476-482</t>
  </si>
  <si>
    <t>Nómina jornalero forestal: Noviembre 2021, Enero - Febrero - Marzo 2022</t>
  </si>
  <si>
    <t>56-229-301-410-484</t>
  </si>
  <si>
    <t>39-200-414</t>
  </si>
  <si>
    <t>Esta actividad conlleva un monto de RD$17,696,270.16 y esta cubierto con la cuenta 0001. 
Pago de nomina Enero, Febrero, Marzo 2022</t>
  </si>
  <si>
    <t>260-415</t>
  </si>
  <si>
    <t>38-199-413</t>
  </si>
  <si>
    <t>71-89-136-218-321-431</t>
  </si>
  <si>
    <t>POA 2022 DIGEPRES
 MONTO: RD$ 1,000,000,000,000.00</t>
  </si>
  <si>
    <t>Trimestres del 2022</t>
  </si>
  <si>
    <t>ITEMS</t>
  </si>
  <si>
    <t>DESCRIPCION</t>
  </si>
  <si>
    <t>GENERAL</t>
  </si>
  <si>
    <t>Enero - Marzo</t>
  </si>
  <si>
    <t>Abril - Junio</t>
  </si>
  <si>
    <t>Julio - Agosto</t>
  </si>
  <si>
    <t>Sept - Dic</t>
  </si>
  <si>
    <t>Cte 1</t>
  </si>
  <si>
    <t>P1</t>
  </si>
  <si>
    <t>P2</t>
  </si>
  <si>
    <t>Análisis físico-químicos (foliares) del suelo realizados</t>
  </si>
  <si>
    <t>P3</t>
  </si>
  <si>
    <t>Jornaleros Agrícolas</t>
  </si>
  <si>
    <t>Plantas (Aguacate, Café, Especias, Castaña)</t>
  </si>
  <si>
    <t>Agroquimicos (Fertilizante, Abono y Equipos)</t>
  </si>
  <si>
    <t>P4</t>
  </si>
  <si>
    <t>P5</t>
  </si>
  <si>
    <t>P6</t>
  </si>
  <si>
    <t>P7</t>
  </si>
  <si>
    <t>P8</t>
  </si>
  <si>
    <t>P9</t>
  </si>
  <si>
    <t>P10</t>
  </si>
  <si>
    <t>Cte 2</t>
  </si>
  <si>
    <t>Cte 3</t>
  </si>
  <si>
    <t>Cte 4</t>
  </si>
  <si>
    <t>Cte 5</t>
  </si>
  <si>
    <t>Cte 6</t>
  </si>
  <si>
    <t>TOTAL</t>
  </si>
  <si>
    <t>Ejecucion 1T</t>
  </si>
  <si>
    <r>
      <t xml:space="preserve">Pagos pendiente para la empresa SMARTCOM en el 2022:
4to Pago: Cuenca Las Cañitas RD$349,280 </t>
    </r>
    <r>
      <rPr>
        <b/>
        <sz val="11"/>
        <color theme="9" tint="-0.499984740745262"/>
        <rFont val="Calibri"/>
        <family val="2"/>
      </rPr>
      <t>ENTREGADO Y PAGADO</t>
    </r>
    <r>
      <rPr>
        <sz val="11"/>
        <color rgb="FF000000"/>
        <rFont val="Calibri"/>
        <family val="2"/>
      </rPr>
      <t xml:space="preserve">
5to pago: Cuencua de Los Fríos RD$349,280
6to pago: Cuenca de Bahoruco RD$349,280
7mo pago: Cuencia de Barahona RD$349,280
8vo. pago. Cuenca de Independencia RD$349,280
Se estima 5 pagos que asciende a </t>
    </r>
    <r>
      <rPr>
        <b/>
        <sz val="11"/>
        <color rgb="FF000000"/>
        <rFont val="Calibri"/>
        <family val="2"/>
      </rPr>
      <t xml:space="preserve">RD$1,746,400. </t>
    </r>
    <r>
      <rPr>
        <sz val="11"/>
        <color rgb="FF000000"/>
        <rFont val="Calibri"/>
        <family val="2"/>
      </rPr>
      <t xml:space="preserve"> El cual no esta presupuestado en el POA 2022 por la reduccion presupuestaria</t>
    </r>
  </si>
  <si>
    <t>Auditoría Externa de Resultados (Técnica)</t>
  </si>
  <si>
    <t>Auditoría Externa del Programa (Financiera)</t>
  </si>
  <si>
    <r>
      <t xml:space="preserve">Informes de verificación 5 y 6 para el 2022 US$621,714.68
</t>
    </r>
    <r>
      <rPr>
        <b/>
        <sz val="11"/>
        <color rgb="FF000000"/>
        <rFont val="Calibri"/>
        <family val="2"/>
      </rPr>
      <t xml:space="preserve">RD$35,437,736.76. </t>
    </r>
    <r>
      <rPr>
        <sz val="11"/>
        <color rgb="FF000000"/>
        <rFont val="Calibri"/>
        <family val="2"/>
      </rPr>
      <t xml:space="preserve">El cual </t>
    </r>
    <r>
      <rPr>
        <b/>
        <sz val="11"/>
        <color rgb="FF000000"/>
        <rFont val="Calibri"/>
        <family val="2"/>
      </rPr>
      <t xml:space="preserve">RD$26,364,407.31 </t>
    </r>
    <r>
      <rPr>
        <sz val="11"/>
        <color rgb="FF000000"/>
        <rFont val="Calibri"/>
        <family val="2"/>
      </rPr>
      <t xml:space="preserve"> esta presupuestado en el POA 2022 por la reduccion presupuestaria
Pago Reembolso  27% (ISR) (US$20,134.44 = RD$1,108,239.84) por la contratación de expertos Internacionales que participaron en la preparación del Informe Verificación Resultados No.4, código POA.3.12.1.3.1.58-64. según numeral 39.2 de Contrato y Noveno del Acta  Negociación
Para completar la segunda auditoria del año faltaria un monto de RD$10,295,043.09</t>
    </r>
  </si>
  <si>
    <t>160-345-481-517</t>
  </si>
  <si>
    <t>Nómina jornalero agrícola: Diciembre 2021, Febrero - Marzo 2022</t>
  </si>
  <si>
    <t>175-519-547</t>
  </si>
  <si>
    <t>161-440-442-548</t>
  </si>
  <si>
    <t>272-361-479-549</t>
  </si>
  <si>
    <t>33-41-254-259-554</t>
  </si>
  <si>
    <t>Alquiler de oficina de Titulacion 2022, Empresa Heran, SRL: Enero (Fact. B1500000149) fecha 06/01/2022; Febrero (Fact. B1500000152) fecha 02/02/2022; Marzo (Fact. B1500000154) fecha 02/03/2022; 
Energia Electrica, Empresa Condominio Unicentro Plaza: Dic 2021 (Fact. B1500000765) fecha 05/01/2022; Enero 2022 (Fact. B1500000777) fecha 04/02/2022</t>
  </si>
  <si>
    <t>Esta partida tenia RD$233,000,000.00 y Le fue dismunido RD$33,000,000.00, los cuales RD$20,000,000.00 corresponden al pago de equipos para la aplicación de agroquímicos 
CEMASA, SRL - Pago avance 20% del contrato No. BS-0016293-2021, por concepto de adquisición de insecticidas fungicidas y otros, abonos y fertilizantes, según
proceso UTEPDA-MAE-PEUR-2021-0004. Pago de factura B150000087 fech 09/03/2022.
FUAGRISA - Pago avance 20% del contrato No. BS-0016292-2021, por concepto de adquisición de insecticidas fungicidas y otros, según proceso UTEPDA-MAEPEUR-2021-0004.
EBANISPRO, SRL - Pago factura, menos el 20% del avance por adquisición de Agroquímicos y fertilizantes, para uso en las plantaciones de los PDAS proceso
UTEPDA-CCC-LPN-2021-0009.
GILDA INVESTMENT - Pago de factura, menos 20% del avance, por adquisición Agroinsumos y fertilizantes,herramientas, equipos agrícolas, materiales plásticos y otros
materiales agrícolas, para uso en PDAS, proceso UTEPDA-CCC-LPN-2021-0009.
EBANISPRO - Pago factura, menos el 20% del avance por adquisición de Agroquímicos y fertilizantes, para uso en las plantaciones de los PDAS. 
GILDA INVESTMENT - Pago de factura, menos 20% del avance, por adquisición Agroinsumos y fertilizantes,herramientas, equipos agrícolas, materiales plásticos y otros
materiales agrícolas, para uso en PDAS.
MAJERO COMERCIAL - Pago de factura, menos el 20% del Avance, por concepto de adquisición de agroquímicos y fertilizantes, según proceso UTEPDA-MAE-PEUR-2021-0004</t>
  </si>
  <si>
    <t>310-311-312-313-367-369-500-553</t>
  </si>
  <si>
    <t>Actividades</t>
  </si>
  <si>
    <t>415-563-564</t>
  </si>
  <si>
    <t>416-572</t>
  </si>
  <si>
    <t>415-576</t>
  </si>
  <si>
    <t>Compromiso de pago del proceso de licitación UTEPDA-CCC-LPN-2021-0002, correspondiente a la adquisición de Plantas de Café (en fundas, raiz dirigida y raiz desnuda).
De conformidad con la estrategia de ejecución se requiere la cantidad de 14,000,000 plantas, que hace un monto total de RD$233,000,000.00
DELMAN DE JESUS FERMIN CHECO. Pago de Fact B15000000066 fecha 1703/2022: 50,000 plantas de café a raíz dirigida en Los Fríos.
PRORENAREM, SRL. - Pago de factura B1500000101 fecha 07/0/2022, por adquisición de 47,800 plantas de café en fundas entregadas en el Proyecto de Los Fríos, amparada en el Proceso UTEPDA-001-2017.
ANA ESTHER SANCHEZ. Pago facturas, menos el 20% del avance, por adquisición de 49,400 Plantas de café en fundas de las cuales 20,000 se recibieron  en Proyecto de Sabaneta y 29,400  en Independencia. Amparado en Proceso UTEPDA-CCC-LPN-2021-0002. 
JOLTECA, SRL. Pago de Factura, menos el 20% del avance, por la adquisición de 55,813 , plantas de café en fundas recibidas en el Proyecto de Barahona, Proceso UTEPDA-CCC-LPN-2021-0002.
JOLTECA, SRL. Pago de Factura, menos el 20% del avance, por la adquisición de 55,813 , plantas de café en fundas recibidas en el Proyecto de Barahona, Proceso UTEPDA-CCC-LPN-2021-000</t>
  </si>
  <si>
    <t>Se tenia previsto el pago de RD$7,105,000, los cuales fueron trnasferido a Plantas para fines de compensar con la estrategia de ejecución.
Pago a Viveros Jarem . Pago factura, menos 20% del avance, por adquisición de 5,590 Plantas de Clavos Dulces recibidas en Almacén No.2, según Proceso UTEPDA-CCC-LPN-2021-0003</t>
  </si>
  <si>
    <t>159-470-520-586</t>
  </si>
  <si>
    <t>347-478-589</t>
  </si>
  <si>
    <t>Nómina jornalero forestal: Enero- Febrero- Marzo 2022</t>
  </si>
  <si>
    <t>517-601-602</t>
  </si>
  <si>
    <t>Nómina jornalero forestal: Diciembre 2021, Enero- Febrero- Marzo 2022</t>
  </si>
  <si>
    <t>177-362-603-604</t>
  </si>
  <si>
    <t>Nómina jornalero forestal: Noviembre y Diciembre 2021, Enero - Febrero- Marzo 2022</t>
  </si>
  <si>
    <t>163-168-474-477-605</t>
  </si>
  <si>
    <t>164-475-610-611</t>
  </si>
  <si>
    <t>Esta partida corresponde al pago segundo y  tercer producto, quedando un restante de RD$24,503,571.35.
Pago del 2do Producto - RD$3,560,000.00 REALIZADO</t>
  </si>
  <si>
    <t>Pago de restante de carmen lucia y contrtación de servicio de notarización 
Pago realizado a Carmen Lucia Gonzalez Marzo 2022</t>
  </si>
  <si>
    <t>34-130-256-257-587-620</t>
  </si>
  <si>
    <t>Dentro de este monto se encuentra la actividad de alquiler de fotocopiadoras, por un monto de RD$300,000.00 .  En conversación Sánchez 9/02/2022 estos recursos seran asumidos por la Cuenta Presupuestaria 0001
S&amp;M Motor, pago de Alquiler de sede central: Enero 2022 (Fact B1500000156), Febrero 2022 (Fact B1500000157) Marzo 2022 (Fact B1500000158)
Duval Copy Solutions, Pago de facturas, por alquiler de equipos de oficina (Fotocopiadoras), correspondiente al periodo Enero- Febrero- Marzo 2022, utilizadas en la Sede Central de esta UTEPDA. Para ser pagada por la Cuenta 0001</t>
  </si>
  <si>
    <t>40-258-593</t>
  </si>
  <si>
    <t>Facturas: Agosto 2021 (Fact B1500113039), Septimebre 2021 (Fact B1500113040), Noviembre 2021 (Fact B1500113041), Telefono- Diciembre 2021 (Fact B1500115438-5025). Telefono - Enero 2022 Fact (B1500158416-7999). Internet: Dciiembre 2021 (Fact B1500115435-5436-5437), Internet: Enero 2022 (Fact B1500158413-8414-8415)</t>
  </si>
  <si>
    <t>Este monto se distribuye de la siguiente manera; RD$466 x 48 semanas = RD$22,370,400.00
28 de Marzo - 8 de Abril 2022</t>
  </si>
  <si>
    <t>Esta partida tenia RD$233,000,000.00 y Le fue dismunido RD$33,000,000.00, los cuales RD$20,000,000.00 corresponden al pago de equipos para la aplicación de agroquímicos 
CEMASA, SRL - Pago avance 20% del contrato No. BS-0016293-2021, por concepto de adquisición de insecticidas fungicidas y otros, abonos y fertilizantes, según
proceso UTEPDA-MAE-PEUR-2021-0004. Pago de factura B150000087 fech 09/03/2022.
FUAGRISA - Pago avance 20% del contrato No. BS-0016292-2021, por concepto de adquisición de insecticidas fungicidas y otros, según proceso UTEPDA-MAEPEUR-2021-0004. Pago de diversas facturas B1500000228-229-230-231-232-233
EBANISPRO, SRL - Pago factura, menos el 20% del avance por adquisición de Agroquímicos y fertilizantes, para uso en las plantaciones de los PDAS proceso
UTEPDA-CCC-LPN-2021-0009.
GILDA INVESTMENT - Pago de factura, menos 20% del avance, por adquisición Agroinsumos y fertilizantes,herramientas, equipos agrícolas, materiales plásticos y otros
materiales agrícolas, para uso en PDAS, proceso UTEPDA-CCC-LPN-2021-0009.
EBANISPRO - Pago factura, menos el 20% del avance por adquisición de Agroquímicos y fertilizantes, para uso en las plantaciones de los PDAS. 
GILDA INVESTMENT - Pago de factura, menos 20% del avance, por adquisición Agroinsumos y fertilizantes,herramientas, equipos agrícolas, materiales plásticos y otros
materiales agrícolas, para uso en PDAS.
MAJERO COMERCIAL - Pago de factura, menos el 20% del Avance, por concepto de adquisición de agroquímicos y fertilizantes, según proceso UTEPDA-MAE-PEUR-2021-0004</t>
  </si>
  <si>
    <t>Dentro de este monto se encuentra la actividad de alquiler de fotocopiadoras, por un monto de RD$300,000.00 .  En conversación Sánchez 9/02/2022 estos recursos seran asumidos por la Cuenta Presupuestaria 0001
S&amp;M Motor, pago de Alquiler de sede central: Enero 2022 (Fact B1500000156), Febrero 2022 (Fact B1500000157) Marzo 2022 (Fact B1500000158), Abril (Fact B1500000159)
Duval Copy Solutions, Pago de facturas, por alquiler de equipos de oficina (Fotocopiadoras), correspondiente al periodo Enero- Febrero- Marzo 2022, utilizadas en la Sede Central de esta UTEPDA. Para ser pagada por la Cuenta 0001</t>
  </si>
  <si>
    <t>Santo Domingo Motors Company: UTEPDA-UC-CD-2022-0008-09</t>
  </si>
  <si>
    <t>Publicidad de UTEPDA-CCC-LPN-2022-0001 - Editora del Caribe (Fact B1500003609 y 03652) y Listin Diario (Fact B1500006403, 06440 y 06467)
Editora Listin Diario UTEPDA-CCC-PEPB-2022-0004, Orden de Servicios UTEPDA-2022-00026</t>
  </si>
  <si>
    <t>UTEPDA-CCC-LPN-2021-0002</t>
  </si>
  <si>
    <t>UTEPDA-SBMC-001/2019</t>
  </si>
  <si>
    <t>UTEPDA-2022-00027</t>
  </si>
  <si>
    <t>UTEPDA-2022-00032</t>
  </si>
  <si>
    <t>Adquisición de insumos y materiales para cultivo de aguacate</t>
  </si>
  <si>
    <t>UTEPDA-DAF-CM-2021-0022</t>
  </si>
  <si>
    <t>BS-00144117-2021</t>
  </si>
  <si>
    <t>Mes: Enero - Febrero y Marzo 2022</t>
  </si>
  <si>
    <t>Pago de restante de carmen lucia y contrtación de servicio de notarización 
Pago realizado a Carmen Lucia Gonzalez Marzo 2022
Pago realizado a Legal Note Myo 2022, para actos de apertura de procesos de compra</t>
  </si>
  <si>
    <t>A requerimiento</t>
  </si>
  <si>
    <t>UTEPDA-CCC-LPN-2019-0017</t>
  </si>
  <si>
    <t xml:space="preserve">Pago de los productos 4 y 5 de la consultoria. Pago final a la Univerisidad ISA de Linea Base </t>
  </si>
  <si>
    <t>BS-0006889-2020</t>
  </si>
  <si>
    <t xml:space="preserve">De conformidad con la parte técnica (Catano) en reunión sostenida en fecha 28/1/2022 se ajusto el pago de injertía se planificó RD$2,835,000.00 y lo requerido es de RD$7,000,000.00).
Los pagos fueron distribuidos un 40% para el primer y tercer trimestre; y 20% para el segundo trimestre.
Nom. Jornaleros Injertadores Sabaneta Enero, 2022 y Bahoruco Febrero, 2022 Nom. </t>
  </si>
  <si>
    <t>Vacaciones no disf. E Indennizacion ex empleados 2022</t>
  </si>
  <si>
    <t>UTEPDA-2022-00061</t>
  </si>
  <si>
    <t>UTEPDA-DAF-CM-2022-0009</t>
  </si>
  <si>
    <t>ADQUISICION DE TSHIRT Y GORRAS BORDADOS PARA SER UTILIZADOS EN ACTIVIDADES DE UTEPDA.</t>
  </si>
  <si>
    <t>UTEPCA-CCC-CP-2021-0005</t>
  </si>
  <si>
    <t>Pago definitivo a factura No.B1500000193, por  adquisición de materiales, suministro y equipos, para  de la producción y manejo Apícola, según proceso de compra No.UTEPDA-CCC-CP-2021-0005</t>
  </si>
  <si>
    <t xml:space="preserve">Pago final de Obra, 6ta. Cubicación, menos proporción pendiente retener del avance del 20%, 1era. Etapa Sistema de Riego por Goteo, Comunidad Los Pinos de Edén, Municipio La Descubierta, Provincia Independencia, </t>
  </si>
  <si>
    <t>UTEPDA-CCC-CP-2020-0002</t>
  </si>
  <si>
    <t>No. CO-0000187-2020
No. CO-0001609-2020</t>
  </si>
  <si>
    <t>Compromiso de pago del proceso de licitación UTEPDA-CCC-LPN-2021-0002, correspondiente a la adquisición de Plantas de Café (en fundas, raiz dirigida y raiz desnuda).
De conformidad con la estrategia de ejecución se requiere la cantidad de 14,000,000 plantas, que hace un monto total de RD$233,000,000.00
DELMAN DE JESUS FERMIN CHECO. Pago de Fact B15000000066 fecha 1703/2022: 50,000 plantas de café a raíz dirigida en Los Fríos.
PRORENAREM, SRL. - Pago de factura B1500000101 fecha 07/0/2022, por adquisición de 47,800 plantas de café en fundas entregadas en el Proyecto de Los Fríos, amparada en el Proceso UTEPDA-001-2017.
ANA ESTHER SANCHEZ. Pago facturas por adquisición de 49,400 Plantas de café en fundas de las cuales 20,000 se recibieron  en Proyecto de Sabaneta y 29,400  en Independencia.  Pago facturas por adquisición de 29,000 Plantas de café en fundas de las cuales 17,000 se recibieron  en Proyecto de Barahona y 12,000  en Sabaneta. Proceso UTEPDA-CCC-LPN-2021-0002. 
JOLTECA, SRL. Pago de Factura por la adquisición de 55,813 , plantas de café en fundas recibidas en el Proyecto de Barahona, adquisición de 45QQ de semillas de café recibidas en el Proyecto de Sabaneta, adquisición de 50,000 plantas de café en fundas recibidas en el Proyecto de Bahoruco, adquisición de 157 QQ de semillas de café, recibidas en el Proyecto de Sabaneta. Proceso UTEPDA-CCC-LPN-2021-0002. JOLTECA, SRL. 
SERTECAR. Pago de factura B15000000106, menos el 20% del avance, por adquisición de 266,440 , plantas de café en fundas recibidas en el Proyecto de Barahona, Proceso UTEPDA-CCC-LPN-2021-0002
RENO AGROINDUSTRIAL. Pago de factura B15000000106, por adquisición de 54,050 , plantas de café a raiz dirigida recibidas en el Proyecto de Barahona, Proceso UTEPDA-CCC-LPN-2017-0001
GRUPO DEXIA. Pago de factura B15000000052, menos el 20% de avance, por adquisición de 15,000 plantas de café a raiz dirigida recibidas en el Proyecto de Barahona, Proceso UTEPDA-CCC-LPN-2021-0002
JEORQUIS MARIORBIS ARIAS. Pago de factura por adquisición de 46,950 plantas de café en fundas recibidas en el Proyecto de Bahoruco, adquisición de 9,100 plantas de café en fundas recibidas en el Proyecto de Bahoruco,Proceso UTEPDA-CCC-LPN-2021-0002
SENDERO ALTO, SRL.  Pago de factura por adquisición de 29,700  plantas de café en fundas, recibidas 18,700 en Sabaneta y 11,000 en Barahona. Proceso UTEPDA-CCC-LPN-2021-0002</t>
  </si>
  <si>
    <t>UTEPDA-CCC-LPN-2021-0009</t>
  </si>
  <si>
    <t>BS-0013149-2021</t>
  </si>
  <si>
    <t>Pago de factura correspondiente al 30% de los honorarios por los servicios de auditoria financiera de la presentación de Planificación y Cronograma de trabajo,
Pago de factura correspondiente al 30% de los honorarios por los servicios de auditoria financiera de la presentación de Informe definitvo,</t>
  </si>
  <si>
    <t>06/05/20222</t>
  </si>
  <si>
    <t>BS-0016843-2019</t>
  </si>
  <si>
    <t>UTEPDA-UC-CD-2022-0004
UTEPDA-UC-CD-2022-0006
UTEPDA-UC-CD-2022-0010</t>
  </si>
  <si>
    <r>
      <t>305-308</t>
    </r>
    <r>
      <rPr>
        <b/>
        <sz val="11"/>
        <color theme="9" tint="-0.499984740745262"/>
        <rFont val="Calibri"/>
        <family val="2"/>
      </rPr>
      <t>-910</t>
    </r>
  </si>
  <si>
    <t>Santo Domingo Motors - Pago de factura por servicios de mantenimiento, para la camioneta Chevrolet colorado, chasis No.MMM148FKXKH613460, propiedad de esta UTEPDA, proceso Compra No.UTEPDA-UC-CD-2022-0004. Pago de factura por servicios de mantenimiento a la camioneta Chevrolet colorado, chasis No.MMM148FK0KH617551, propiedad de esta UTEPDA, proceso Compra No.UTEPDA-UC-CD-2022-0010
Delta Comercial - Pago de factura por servicios de mantenimiento del vehículo Toyota Highlander, Chasis No.STDKKRH9GS179103, propiedad del Gerente Adm. y
Financiero de esta UTEPDA Compra No.UTEPDA-UC-CD-2022-0006.</t>
  </si>
  <si>
    <r>
      <t>125-</t>
    </r>
    <r>
      <rPr>
        <b/>
        <sz val="11"/>
        <color theme="9" tint="-0.499984740745262"/>
        <rFont val="Calibri"/>
        <family val="2"/>
        <scheme val="minor"/>
      </rPr>
      <t>908</t>
    </r>
  </si>
  <si>
    <t>Adq. Repuesto para gredar y bombas para retropalas.
M &amp; p Maquinarias y Piezas. Pago facturas por servicios de mantenimiento y reparación a las Retroplas Komatsu y Jonh Deere, chasis Nos 1BZ310LAAHC000812 y KMTWB024JJF7025, asignada a los PDAS de Independencia y Bonao.</t>
  </si>
  <si>
    <t>Santo Domingo Motoss Servicios de Mantenimiento a camionetas Chevrolet Colorado Chasis No. MMM148FK0KH617551, MMM148FK5KH613432 y MMM148FK3KH618757 
Gilda Investment. Servicios de  Mantenimientos, reparación y adquisición de repuestos para uso en los vehículos de esta Dirección Ejecutiva mediante el proceso UTEPDA-DAF-CM-2022-0003.</t>
  </si>
  <si>
    <t>Esta partida requiere RD$4,227,600, lo cual fue reducido en un 50%, lo que abarca el primer semestre de este año. Se debe revisar la planificación en julio 2022.
Pago de Viáticos: Enero, Febrero, Marzo y Abril 2022</t>
  </si>
  <si>
    <t>Esta partida requiere de RD$22,501,200, la cual fue reducida en un 50%, lo que abarca el primer semestre de este año.  Se debe revisar la planificación en julio 2022.
PAGO VIATICOS POR VIAJES PDA PERSONAL UTEPDA DEL 24 DE NOV 2021 AL 05 DE MARZO 2022
Viaticos Personal UTEPDA del 25/01 hasta 12/05/2022
Pago de Viáticos: Enero, Febrero, Marzo y Abril 2022</t>
  </si>
  <si>
    <r>
      <t xml:space="preserve">Nómina Contratado PDA Hondo Valle: Enero 2022 </t>
    </r>
    <r>
      <rPr>
        <b/>
        <sz val="11"/>
        <color rgb="FFFF0000"/>
        <rFont val="Calibri"/>
        <family val="2"/>
      </rPr>
      <t>INHABILITADA</t>
    </r>
    <r>
      <rPr>
        <sz val="11"/>
        <color rgb="FF000000"/>
        <rFont val="Calibri"/>
        <family val="2"/>
      </rPr>
      <t xml:space="preserve">
Nomina adicional personal contratado: Enero, Febrero 2022
Nómina Temporero PDA Hondo Valle: Enero, Febrero, Marzo, Abril, Mayo, Junio 2022</t>
    </r>
  </si>
  <si>
    <r>
      <t>67-73-135-211-320-428-</t>
    </r>
    <r>
      <rPr>
        <b/>
        <sz val="11"/>
        <color theme="9" tint="-0.499984740745262"/>
        <rFont val="Calibri"/>
        <family val="2"/>
      </rPr>
      <t>721</t>
    </r>
    <r>
      <rPr>
        <b/>
        <sz val="11"/>
        <color theme="4" tint="-0.499984740745262"/>
        <rFont val="Calibri"/>
        <family val="2"/>
      </rPr>
      <t>-</t>
    </r>
    <r>
      <rPr>
        <b/>
        <sz val="11"/>
        <color theme="9" tint="-0.499984740745262"/>
        <rFont val="Calibri"/>
        <family val="2"/>
      </rPr>
      <t>1013-1334</t>
    </r>
  </si>
  <si>
    <r>
      <t>66-76-174-209-319-427-</t>
    </r>
    <r>
      <rPr>
        <b/>
        <sz val="11"/>
        <color theme="9" tint="-0.499984740745262"/>
        <rFont val="Calibri"/>
        <family val="2"/>
      </rPr>
      <t>719-1054-1333</t>
    </r>
  </si>
  <si>
    <r>
      <t>71-89-136-218-321-431-</t>
    </r>
    <r>
      <rPr>
        <b/>
        <sz val="11"/>
        <color theme="9" tint="-0.499984740745262"/>
        <rFont val="Calibri"/>
        <family val="2"/>
      </rPr>
      <t>727-1014-1358</t>
    </r>
  </si>
  <si>
    <r>
      <t>72-88-137-219-323-432</t>
    </r>
    <r>
      <rPr>
        <b/>
        <sz val="11"/>
        <color theme="9" tint="-0.499984740745262"/>
        <rFont val="Calibri"/>
        <family val="2"/>
        <scheme val="minor"/>
      </rPr>
      <t>-729-1015-1339</t>
    </r>
  </si>
  <si>
    <r>
      <t xml:space="preserve">Nómina Contratado PDA Independencia: Enero 2022 </t>
    </r>
    <r>
      <rPr>
        <b/>
        <sz val="11"/>
        <color rgb="FFFF0000"/>
        <rFont val="Calibri"/>
        <family val="2"/>
        <scheme val="minor"/>
      </rPr>
      <t>INHABILITADA</t>
    </r>
    <r>
      <rPr>
        <sz val="11"/>
        <color rgb="FF000000"/>
        <rFont val="Calibri"/>
        <family val="2"/>
        <scheme val="minor"/>
      </rPr>
      <t xml:space="preserve">
Nomina adicional personal contratado: Enero, Febrero 2022
Nómina Temporero PDA Independencia: Enero, Febrero, Marzo, Abril, Mayo, Junio 2022, </t>
    </r>
  </si>
  <si>
    <r>
      <t>69-99-138-221-359-429-</t>
    </r>
    <r>
      <rPr>
        <b/>
        <sz val="11"/>
        <color theme="9" tint="-0.499984740745262"/>
        <rFont val="Calibri"/>
        <family val="2"/>
      </rPr>
      <t>635-744-1028-1337</t>
    </r>
  </si>
  <si>
    <r>
      <t xml:space="preserve">Nómina Contratado PDA Bahoruco: Enero 2022 </t>
    </r>
    <r>
      <rPr>
        <b/>
        <sz val="11"/>
        <color rgb="FFFF0000"/>
        <rFont val="Calibri"/>
        <family val="2"/>
        <scheme val="minor"/>
      </rPr>
      <t>INHABILITADA</t>
    </r>
    <r>
      <rPr>
        <sz val="11"/>
        <color rgb="FF000000"/>
        <rFont val="Calibri"/>
        <family val="2"/>
        <scheme val="minor"/>
      </rPr>
      <t xml:space="preserve">
Nomina adicional personal contratado: Enero, Febrero- Marzo 2022
Nómina Temporero PDA Bahoruco: Enero, Febrero, Marzo, Abril, Mayo, Junio 2022</t>
    </r>
  </si>
  <si>
    <r>
      <t>70-100-217-322-430-</t>
    </r>
    <r>
      <rPr>
        <b/>
        <sz val="11"/>
        <color theme="9" tint="-0.499984740745262"/>
        <rFont val="Calibri"/>
        <family val="2"/>
      </rPr>
      <t>725-1047-1338</t>
    </r>
  </si>
  <si>
    <r>
      <t xml:space="preserve">Nómina Contratado PDA Los Fríos: Enero 2022 </t>
    </r>
    <r>
      <rPr>
        <b/>
        <sz val="11"/>
        <color rgb="FFFF0000"/>
        <rFont val="Calibri"/>
        <family val="2"/>
        <scheme val="minor"/>
      </rPr>
      <t>INHABILITADA</t>
    </r>
    <r>
      <rPr>
        <sz val="11"/>
        <color rgb="FF000000"/>
        <rFont val="Calibri"/>
        <family val="2"/>
        <scheme val="minor"/>
      </rPr>
      <t xml:space="preserve">
Nómina adicional PDA Los Fríos: Febrero 2022
Nómina Temporero PDA Los Fríos: Enero, Febrero, Marzo, Abril, Mayo, Junio 2022, </t>
    </r>
  </si>
  <si>
    <r>
      <t>68-74-140-223-358-437-</t>
    </r>
    <r>
      <rPr>
        <b/>
        <sz val="11"/>
        <color theme="9" tint="-0.499984740745262"/>
        <rFont val="Calibri"/>
        <family val="2"/>
      </rPr>
      <t>723-1016-1335</t>
    </r>
  </si>
  <si>
    <r>
      <t>Nómina Contratado PDA Barahona: Enero 2022</t>
    </r>
    <r>
      <rPr>
        <b/>
        <sz val="11"/>
        <color rgb="FFFF0000"/>
        <rFont val="Calibri"/>
        <family val="2"/>
        <scheme val="minor"/>
      </rPr>
      <t xml:space="preserve"> INHABILITADA</t>
    </r>
    <r>
      <rPr>
        <sz val="11"/>
        <color rgb="FF000000"/>
        <rFont val="Calibri"/>
        <family val="2"/>
        <scheme val="minor"/>
      </rPr>
      <t xml:space="preserve">
Nomina adicional personal contratado: Enero, Febrero 2022
Nómina Temporero PDA Barahona: Enero, Febrero, Marzo, Abril, Mayo, Junio 2022</t>
    </r>
  </si>
  <si>
    <r>
      <t>Nómina Contratado PDA Sabaneta: Enero 2022</t>
    </r>
    <r>
      <rPr>
        <b/>
        <sz val="11"/>
        <color rgb="FFFF0000"/>
        <rFont val="Calibri"/>
        <family val="2"/>
      </rPr>
      <t xml:space="preserve"> INHABILITADA</t>
    </r>
    <r>
      <rPr>
        <sz val="11"/>
        <color rgb="FF000000"/>
        <rFont val="Calibri"/>
        <family val="2"/>
      </rPr>
      <t xml:space="preserve">
Nomina adicional personal contratado: Enero, Febrero 2022
Nómina Temporero PDA Sabaneta: Enero, Febrero, Marzo, Abril, Mayo, Junio 2022, </t>
    </r>
  </si>
  <si>
    <r>
      <t xml:space="preserve">Nómina Contratado PDA Las Cañitas: Enero 2022 </t>
    </r>
    <r>
      <rPr>
        <b/>
        <sz val="11"/>
        <color rgb="FFFF0000"/>
        <rFont val="Calibri"/>
        <family val="2"/>
      </rPr>
      <t xml:space="preserve">INHABILITADA </t>
    </r>
    <r>
      <rPr>
        <sz val="11"/>
        <color rgb="FF000000"/>
        <rFont val="Calibri"/>
        <family val="2"/>
      </rPr>
      <t xml:space="preserve">
Nomina adicional personal contratado: Enero, Febrero 2022
Nómina Temporero PDA Las Cañitas: Enero, Febrero, Marzo, Abril, Mayo, Junio 2022, </t>
    </r>
  </si>
  <si>
    <r>
      <t>38-199-413-</t>
    </r>
    <r>
      <rPr>
        <b/>
        <sz val="11"/>
        <color theme="9" tint="-0.499984740745262"/>
        <rFont val="Calibri"/>
        <family val="2"/>
      </rPr>
      <t>710-1003-1348</t>
    </r>
  </si>
  <si>
    <t>Nómina de personal militar funcionaes adminsitrativas: Enero 2022, Febrero, Marzo, Abril, Mayo, Junio 2022</t>
  </si>
  <si>
    <t>Seguridad Palomino: Enero, Febrero, Marzo, Abril, Mayo, Junio 2022
Personal de Seguridad: Enero, Febrero, Marzo, Abril, Mayo, Junio 2022</t>
  </si>
  <si>
    <r>
      <t>39-200-414-</t>
    </r>
    <r>
      <rPr>
        <b/>
        <sz val="11"/>
        <color theme="9" tint="-0.499984740745262"/>
        <rFont val="Calibri"/>
        <family val="2"/>
      </rPr>
      <t>706-1012-1349</t>
    </r>
  </si>
  <si>
    <t>Nómina Fija: Enero - Junio 202. Nota: Esta actividad conlleva un monto de RD$17,696,270.16 y esta cubierto con la cuenta 0001. 
Pago de nomina Enero, Febrero, Marzo, Abril 2022</t>
  </si>
  <si>
    <t>Facturas: Agosto 2021 (Fact B1500113039), Septimebre 2021 (Fact B1500113040), Noviembre 2021 (Fact B1500113041), Telefono- Diciembre 2021 (Fact B1500115438-5025). Telefono - Enero 2022 Fact (B1500158416-7999). Internet: Diciembre 2021 (Fact B1500115435-5436-5437), Internet: Enero 2022 (Fact B1500158413-8414-8415), Internet: Febrero 2022 (Fact B1500161104-1105-1106-1107-1108). Internet: Marzo - Abril 2022 (Fact B1500163831-3832-3833-6686-6687-6688). Telefono: Marzo - Abril 2022 (Fact B1500163834-3835-6103-6689-6690). Internet: Mayo 2022 (Fact B1500169388,9389-9390). Internet: Junio 2022 (Fact B1500172181-2182-2183). Telefono: Junio 2022 (Fact B1500171664-2184-2185)</t>
  </si>
  <si>
    <r>
      <t>32-255-366-</t>
    </r>
    <r>
      <rPr>
        <b/>
        <sz val="11"/>
        <color theme="9" tint="-0.499984740745262"/>
        <rFont val="Calibri"/>
        <family val="2"/>
      </rPr>
      <t>690</t>
    </r>
    <r>
      <rPr>
        <b/>
        <sz val="11"/>
        <color theme="4" tint="-0.499984740745262"/>
        <rFont val="Calibri"/>
        <family val="2"/>
      </rPr>
      <t>-</t>
    </r>
    <r>
      <rPr>
        <b/>
        <sz val="11"/>
        <color theme="9" tint="-0.499984740745262"/>
        <rFont val="Calibri"/>
        <family val="2"/>
      </rPr>
      <t>922-1285</t>
    </r>
  </si>
  <si>
    <t>Edesur: Meses Dic 2021 (Fact B1500260837), Enero 2022 (Fact B1500267089), Febrero (Fact. B1500279636), Marzo (Fact. B1500286017), Abril (Fact. B1500293278), Mayo (Fact. B1500299754).</t>
  </si>
  <si>
    <r>
      <t>164-475-610-611-</t>
    </r>
    <r>
      <rPr>
        <b/>
        <sz val="11"/>
        <color theme="9" tint="-0.499984740745262"/>
        <rFont val="Calibri"/>
        <family val="2"/>
      </rPr>
      <t>931-1030-1478</t>
    </r>
  </si>
  <si>
    <t>Nómina jornalero forestal: Diciembre 2021, Enero- Febrero- Marzo- Abril- Mayo- Junio 2022</t>
  </si>
  <si>
    <r>
      <t>347-478-589-</t>
    </r>
    <r>
      <rPr>
        <b/>
        <sz val="11"/>
        <color theme="9" tint="-0.499984740745262"/>
        <rFont val="Calibri"/>
        <family val="2"/>
      </rPr>
      <t>777-999-1431</t>
    </r>
  </si>
  <si>
    <t>Nómina jornalero forestal: Enero- Febrero- Marzo - Abril- Mayo - Junio 2022</t>
  </si>
  <si>
    <t>Nómina jornalero forestal: Enero - Febrero - Marzo - Abril - Mayo - Junio 2022</t>
  </si>
  <si>
    <r>
      <t>293-346-480-</t>
    </r>
    <r>
      <rPr>
        <b/>
        <sz val="11"/>
        <color theme="9" tint="-0.499984740745262"/>
        <rFont val="Calibri"/>
        <family val="2"/>
      </rPr>
      <t>779-1000-1433</t>
    </r>
  </si>
  <si>
    <r>
      <t>517-601-602-</t>
    </r>
    <r>
      <rPr>
        <b/>
        <sz val="11"/>
        <color theme="9" tint="-0.499984740745262"/>
        <rFont val="Calibri"/>
        <family val="2"/>
      </rPr>
      <t>896-1098-1498</t>
    </r>
  </si>
  <si>
    <t>Nómina jornalero forestal: Enero- Febrero- Marzo - Abril - Mayo - Junio 2022</t>
  </si>
  <si>
    <r>
      <t>177-362-603-604-</t>
    </r>
    <r>
      <rPr>
        <b/>
        <sz val="11"/>
        <color theme="9" tint="-0.499984740745262"/>
        <rFont val="Calibri"/>
        <family val="2"/>
      </rPr>
      <t>1100-1111-1499</t>
    </r>
  </si>
  <si>
    <t>Nómina jornalero forestal: Diciembre 2021, Enero- Febrero- Marzo - Abril - Mayo - Junio 2022</t>
  </si>
  <si>
    <r>
      <t>163-168-474-477-605-</t>
    </r>
    <r>
      <rPr>
        <b/>
        <sz val="11"/>
        <color theme="9" tint="-0.499984740745262"/>
        <rFont val="Calibri"/>
        <family val="2"/>
      </rPr>
      <t>799-972-1432</t>
    </r>
  </si>
  <si>
    <t>Nómina jornalero forestal: Noviembre y Diciembre 2021, Enero - Febrero- Marzo - Abril - Mayo - Junio  2022</t>
  </si>
  <si>
    <r>
      <t>176-360-476-482-</t>
    </r>
    <r>
      <rPr>
        <b/>
        <sz val="11"/>
        <color theme="9" tint="-0.499984740745262"/>
        <rFont val="Calibri"/>
        <family val="2"/>
      </rPr>
      <t>775-970-1455</t>
    </r>
  </si>
  <si>
    <t>Nómina jornalero forestal: Noviembre 2021, Enero - Febrero - Marzo - Abril - Mayo - Junio 2022</t>
  </si>
  <si>
    <r>
      <t>160-345-481-518-</t>
    </r>
    <r>
      <rPr>
        <b/>
        <sz val="11"/>
        <color theme="9" tint="-0.499984740745262"/>
        <rFont val="Calibri"/>
        <family val="2"/>
      </rPr>
      <t>878-1135-1511</t>
    </r>
  </si>
  <si>
    <r>
      <t>630-</t>
    </r>
    <r>
      <rPr>
        <b/>
        <sz val="11"/>
        <color theme="9" tint="-0.499984740745262"/>
        <rFont val="Calibri"/>
        <family val="2"/>
      </rPr>
      <t>765</t>
    </r>
  </si>
  <si>
    <t>Nómina jornalero agrícola: Diciembre 2021, Enero - Febrero - Marzo - Abril - Mayo - Junio 2022</t>
  </si>
  <si>
    <r>
      <t>630</t>
    </r>
    <r>
      <rPr>
        <b/>
        <sz val="11"/>
        <color theme="9" tint="-0.499984740745262"/>
        <rFont val="Calibri"/>
        <family val="2"/>
      </rPr>
      <t>-765</t>
    </r>
  </si>
  <si>
    <r>
      <t>175-519-547-600-</t>
    </r>
    <r>
      <rPr>
        <b/>
        <sz val="11"/>
        <color theme="9" tint="-0.499984740745262"/>
        <rFont val="Calibri"/>
        <family val="2"/>
      </rPr>
      <t>1133-1134-1514</t>
    </r>
  </si>
  <si>
    <t>Nómina jornalero agrícola: Diciembre 2021, Enero- Febrero - Marzo - Abril - Mayo - Junio 2022</t>
  </si>
  <si>
    <r>
      <t>162-343-344-473-</t>
    </r>
    <r>
      <rPr>
        <b/>
        <sz val="11"/>
        <color theme="9" tint="-0.499984740745262"/>
        <rFont val="Calibri"/>
        <family val="2"/>
      </rPr>
      <t>773-1099-1414</t>
    </r>
  </si>
  <si>
    <r>
      <t>159-470-520-586-</t>
    </r>
    <r>
      <rPr>
        <b/>
        <sz val="11"/>
        <color theme="9" tint="-0.499984740745262"/>
        <rFont val="Calibri"/>
        <family val="2"/>
      </rPr>
      <t>862-1132-1440</t>
    </r>
  </si>
  <si>
    <t>Nómina jornalero agrícola: Diciembre 2021, Enero - Febrero - Marzo - Abril - Mayo - Junio  2022</t>
  </si>
  <si>
    <r>
      <t>161-440-442-548-</t>
    </r>
    <r>
      <rPr>
        <b/>
        <sz val="11"/>
        <color theme="9" tint="-0.499984740745262"/>
        <rFont val="Calibri"/>
        <family val="2"/>
      </rPr>
      <t>800-1256</t>
    </r>
  </si>
  <si>
    <t>Nómina jornalero agrícola: Diciembre 2021, Enero - Febrero - Marzo - Abril - Mayo 2022</t>
  </si>
  <si>
    <r>
      <t>169-342-471-472-</t>
    </r>
    <r>
      <rPr>
        <b/>
        <sz val="11"/>
        <color theme="9" tint="-0.499984740745262"/>
        <rFont val="Calibri"/>
        <family val="2"/>
      </rPr>
      <t>898-1237-1434</t>
    </r>
  </si>
  <si>
    <r>
      <t>272-361-479-549-</t>
    </r>
    <r>
      <rPr>
        <b/>
        <sz val="11"/>
        <color theme="9" tint="-0.499984740745262"/>
        <rFont val="Calibri"/>
        <family val="2"/>
      </rPr>
      <t>1029-1239-1445</t>
    </r>
  </si>
  <si>
    <t>Nómina jornalero agrícola: Diciembre 2021, Enero - Febrero - Marzo - Abril - Mayo- Junio 2022</t>
  </si>
  <si>
    <r>
      <t>34-130-256-257-587-620-</t>
    </r>
    <r>
      <rPr>
        <b/>
        <sz val="11"/>
        <color theme="9" tint="-0.499984740745262"/>
        <rFont val="Calibri"/>
        <family val="2"/>
      </rPr>
      <t>717-933-1253</t>
    </r>
  </si>
  <si>
    <t>11/1/2022
1/2/2022
03/02/2022
11/02/2022</t>
  </si>
  <si>
    <t>13/1/2022
03/2/2022
05/02/2022
13/2/2022</t>
  </si>
  <si>
    <t>UTEPDA-CCC-PEPB-2022-0001
UTEPDA-CCC-PEPB-2022-0002
UTEPDA-CCC-PEPB-2022-0003</t>
  </si>
  <si>
    <t>No. de Orden UTEPDA-2022-00001
No. de Orden UTEPDA-2022-00002
No. de Orden UTEPDA-2022-00007
No. de Orden UTEPDA-2022-00011</t>
  </si>
  <si>
    <t>UTEPDA-CCC-PEPB-2022-0004
UTEPDA-CCC-PEPB-2022-0005
UTEPDA-CCC-PEPB-2022-0006</t>
  </si>
  <si>
    <t>10/3/2022
23/06/2022
27/06/2022</t>
  </si>
  <si>
    <t>13/3/2022
27/06/2022
30/6/2022</t>
  </si>
  <si>
    <t>11/3/2022
24/06/2022
28/06/2022</t>
  </si>
  <si>
    <t>UTEPDA-2022-00026
UTEPDA-2022-00076
UTEPDA-2022-00077</t>
  </si>
  <si>
    <t>Servicios de publicicda de Avisos de Audiciencia y Mensura Catastral
Editora Listin Diario (Fact. B150000006628, 7043 y 7061)</t>
  </si>
  <si>
    <t>UTEPCA-CCC-CP-2021-0008</t>
  </si>
  <si>
    <t>UTEPDA-CCC-LPN-2020-0007</t>
  </si>
  <si>
    <t>BS-0007679-2021</t>
  </si>
  <si>
    <t>UTEPDA-CCC-LPN-2021-0002
UTEPDA-CCC-LPN-2017-0001</t>
  </si>
  <si>
    <t>985-1196-1242-1396-1398-1446-1453</t>
  </si>
  <si>
    <r>
      <t>416-572</t>
    </r>
    <r>
      <rPr>
        <b/>
        <sz val="11"/>
        <color theme="9" tint="-0.499984740745262"/>
        <rFont val="Calibri"/>
        <family val="2"/>
      </rPr>
      <t>-856-857-875-985-1022-1186-1313-1314-1453</t>
    </r>
  </si>
  <si>
    <r>
      <t>415-</t>
    </r>
    <r>
      <rPr>
        <b/>
        <sz val="11"/>
        <color theme="9" tint="-0.499984740745262"/>
        <rFont val="Calibri"/>
        <family val="2"/>
      </rPr>
      <t>685-714-715-857-875-976-1017-1075-1254-1395</t>
    </r>
  </si>
  <si>
    <r>
      <t>260-415-576</t>
    </r>
    <r>
      <rPr>
        <b/>
        <sz val="11"/>
        <color theme="9" tint="-0.499984740745262"/>
        <rFont val="Calibri"/>
        <family val="2"/>
      </rPr>
      <t>-740</t>
    </r>
    <r>
      <rPr>
        <b/>
        <sz val="11"/>
        <color theme="4" tint="-0.499984740745262"/>
        <rFont val="Calibri"/>
        <family val="2"/>
      </rPr>
      <t>-</t>
    </r>
    <r>
      <rPr>
        <b/>
        <sz val="11"/>
        <color theme="9" tint="-0.499984740745262"/>
        <rFont val="Calibri"/>
        <family val="2"/>
      </rPr>
      <t>855</t>
    </r>
    <r>
      <rPr>
        <b/>
        <sz val="11"/>
        <color theme="4" tint="-0.499984740745262"/>
        <rFont val="Calibri"/>
        <family val="2"/>
      </rPr>
      <t>-</t>
    </r>
    <r>
      <rPr>
        <b/>
        <sz val="11"/>
        <color theme="9" tint="-0.499984740745262"/>
        <rFont val="Calibri"/>
        <family val="2"/>
      </rPr>
      <t>856</t>
    </r>
    <r>
      <rPr>
        <b/>
        <sz val="11"/>
        <color theme="4" tint="-0.499984740745262"/>
        <rFont val="Calibri"/>
        <family val="2"/>
      </rPr>
      <t>-</t>
    </r>
    <r>
      <rPr>
        <b/>
        <sz val="11"/>
        <color theme="9" tint="-0.499984740745262"/>
        <rFont val="Calibri"/>
        <family val="2"/>
      </rPr>
      <t>985-1022-1077-1185-1242-1254-1453-1462</t>
    </r>
  </si>
  <si>
    <r>
      <t>415-563-564-</t>
    </r>
    <r>
      <rPr>
        <b/>
        <sz val="11"/>
        <color theme="9" tint="-0.499984740745262"/>
        <rFont val="Calibri"/>
        <family val="2"/>
      </rPr>
      <t>977-985-1022-1038-1074-1108-1177-1360-1398-1446-1448-1453-146</t>
    </r>
    <r>
      <rPr>
        <b/>
        <sz val="11"/>
        <color theme="4" tint="-0.499984740745262"/>
        <rFont val="Calibri"/>
        <family val="2"/>
      </rPr>
      <t>2</t>
    </r>
  </si>
  <si>
    <r>
      <t>572</t>
    </r>
    <r>
      <rPr>
        <b/>
        <sz val="11"/>
        <color theme="9" tint="-0.499984740745262"/>
        <rFont val="Calibri"/>
        <family val="2"/>
      </rPr>
      <t>-985-1241-1242-1314</t>
    </r>
  </si>
  <si>
    <t>771-975</t>
  </si>
  <si>
    <t>Jolteca</t>
  </si>
  <si>
    <t>BS-0013409-2021</t>
  </si>
  <si>
    <r>
      <t>411-</t>
    </r>
    <r>
      <rPr>
        <b/>
        <sz val="11"/>
        <color theme="9" tint="-0.499984740745262"/>
        <rFont val="Calibri"/>
        <family val="2"/>
      </rPr>
      <t>1094</t>
    </r>
  </si>
  <si>
    <t>UTEPDA-CCC-LPN-2021-0001
UTEPDA-CCC-LPN-2022-0001</t>
  </si>
  <si>
    <t>BS-0009115-2021
BS-0006002-2022</t>
  </si>
  <si>
    <t>BS-0006002-2022</t>
  </si>
  <si>
    <t>968-1094-1410</t>
  </si>
  <si>
    <t>968-1076-1094-1410</t>
  </si>
  <si>
    <t>968-1094-1263-1410-1586</t>
  </si>
  <si>
    <t>968-1094-1410-1447</t>
  </si>
  <si>
    <t>968-1076-1094-1263-1410</t>
  </si>
  <si>
    <t>UTEPDA-CCC-LPN-2022-0001
UTEPDA-CCC-LPN-2021-0001</t>
  </si>
  <si>
    <t>12/4/2022
16/7/2021
12/4/2022</t>
  </si>
  <si>
    <t>12/4/2023
16/7/2022
12/4/2023</t>
  </si>
  <si>
    <t>BS-0005955-2022
BS-0006002-2022
BS-0009115-2021
BS-0009073-2021</t>
  </si>
  <si>
    <r>
      <t>37-111-198-216-412-469-</t>
    </r>
    <r>
      <rPr>
        <b/>
        <sz val="11"/>
        <color theme="9" tint="-0.499984740745262"/>
        <rFont val="Calibri"/>
        <family val="2"/>
        <scheme val="minor"/>
      </rPr>
      <t>708-816-1001-1002-1340-1347</t>
    </r>
  </si>
  <si>
    <t>BS-0003758-2025</t>
  </si>
  <si>
    <t>UTEPDA-CCC-LPN-2021-0003</t>
  </si>
  <si>
    <t>BS-0010096-2021</t>
  </si>
  <si>
    <t>Se tenia previsto el pago de RD$7,105,000, los cuales fueron trnasferido a Plantas para fines de compensar con la estrategia de ejecución.
Pago a Viveros Jarem . Pago factura, menos 20% del avance, por adquisición de 5,590 Plantas de Clavos Dulces recibidas en Almacén No.2, según Proceso UTEPDA-CCC-LPN-2021-0003
Viveros Agroforestal Jarem S.R.L.</t>
  </si>
  <si>
    <t>UTEPDA-CCC-CP-2020-0010</t>
  </si>
  <si>
    <t>BS-007371-2020</t>
  </si>
  <si>
    <t>1115-1293-1294-1297-1592</t>
  </si>
  <si>
    <t>BS-0006128-2022
BS-0006127-2022
BS-0005957-2022
BS-0005956-2022</t>
  </si>
  <si>
    <t>GO / GAF</t>
  </si>
  <si>
    <r>
      <t>310-311-312-313-367-369-500-553-</t>
    </r>
    <r>
      <rPr>
        <b/>
        <sz val="11"/>
        <color theme="9" tint="-0.499984740745262"/>
        <rFont val="Calibri"/>
        <family val="2"/>
      </rPr>
      <t>671-679-920-1123-1136-1508-1585-1587-1588-1589-1593</t>
    </r>
  </si>
  <si>
    <t>633-936-1211-1352-1437</t>
  </si>
  <si>
    <r>
      <t>56-229-410</t>
    </r>
    <r>
      <rPr>
        <b/>
        <sz val="11"/>
        <color theme="9" tint="-0.499984740745262"/>
        <rFont val="Calibri"/>
        <family val="2"/>
      </rPr>
      <t>-804-1102-1365</t>
    </r>
  </si>
  <si>
    <t>Se tenia previsto RD$7,390,800, la cual fue reducida en un 50% lo que abarca el primer semestre de ejecución.  Esta partida debe ser revisada en julio/2022 para transferirle recursos y completar el semestre
Pago de Viáticos: Enero, Febrero, Marzo, Abril, Mayo y Junio 2022</t>
  </si>
  <si>
    <r>
      <t xml:space="preserve">Se tenia planificado RD$3,682,800, lo cual fue reducido al 50% que corresponden al primer semestre.  Esta partida debe ser revisada en julio/2022
</t>
    </r>
    <r>
      <rPr>
        <sz val="11"/>
        <rFont val="Calibri"/>
        <family val="2"/>
      </rPr>
      <t>Pago de Viáticos: Enero, Febrero, Marzo, Abril, Mayo y Junio  2022</t>
    </r>
  </si>
  <si>
    <r>
      <t>56-229-301-410-484-</t>
    </r>
    <r>
      <rPr>
        <b/>
        <sz val="11"/>
        <color theme="9" tint="-0.499984740745262"/>
        <rFont val="Calibri"/>
        <family val="2"/>
      </rPr>
      <t>804-829-1102-1174-1365-1493</t>
    </r>
  </si>
  <si>
    <t>UTEPDA-CCC-LPN-2022-0002</t>
  </si>
  <si>
    <t>BS-0005533-2022</t>
  </si>
  <si>
    <t>1051-1476</t>
  </si>
  <si>
    <r>
      <t>631-</t>
    </r>
    <r>
      <rPr>
        <b/>
        <sz val="11"/>
        <color theme="9" tint="-0.499984740745262"/>
        <rFont val="Calibri"/>
        <family val="2"/>
      </rPr>
      <t>766-934</t>
    </r>
  </si>
  <si>
    <t>UTEPDA-DAF-CM-2021-0016
UTEPDA-UC-CD-2022-0007
UTEPDA-UC-CD-2022-0015</t>
  </si>
  <si>
    <t>UTEPDA-2022-00014
UTEPDA-2022-00058</t>
  </si>
  <si>
    <t>17/2/2022
28/4/2022</t>
  </si>
  <si>
    <t>17/3/2022
28/5/2022</t>
  </si>
  <si>
    <t>17/3/2022
28/4/2022</t>
  </si>
  <si>
    <t>619-1159</t>
  </si>
  <si>
    <t>UTEPDA-CCC-LPN-2021-0008</t>
  </si>
  <si>
    <t>BS-0015786-2021</t>
  </si>
  <si>
    <t>Esta partida corresponde al pago segundo y  tercer producto, quedando un restante de RD$24,503,571.35.
Pago del 2do Producto 10% - RD$3,560,000.00 REALIZADO
Pago del 3er Producto 15% - RD$5,340,000.00 REALIZADO
Pago del 4to Producto 45% -
Pago del 4to Producto 10%</t>
  </si>
  <si>
    <t>746-889-917</t>
  </si>
  <si>
    <t>676-1419</t>
  </si>
  <si>
    <t>UTEPDA-CCC-LPN-2022-0003</t>
  </si>
  <si>
    <t>BS-0007556-2022</t>
  </si>
  <si>
    <t>Pago final de contrato de Dento Media (UTEPDA-CCC-CP-2021-0007) por adquisición de alimetnos crudos y bebidas para empleados y personal que asisten a Talleres Impartidos en el Centro de Palomino
Pago de factira por adq de alimentos crudos por proceso UTEPDA-CCC-LPN-2022-0003 por Mademum AD, SRL</t>
  </si>
  <si>
    <t>UTEPDA-CCC-CP-2022-0002</t>
  </si>
  <si>
    <t>BS-0006648-2022</t>
  </si>
  <si>
    <t>995-996</t>
  </si>
  <si>
    <t>807-997</t>
  </si>
  <si>
    <t>808-1158</t>
  </si>
  <si>
    <t>UTEPDA-2022-00065</t>
  </si>
  <si>
    <t>UTEPDA-DAF-CM-2021-0035
UTEPDA-UC-CD-2021-0062
UTEPDA-UC-CD-2022-0012</t>
  </si>
  <si>
    <t>UTEPDA-2021-00162
UTEPDA-2021-00177
UTEPDA-2022-00054</t>
  </si>
  <si>
    <t>6/10/2021
17/11/2021
22/4/2022</t>
  </si>
  <si>
    <t>UTEPDA-UC-CD-2022-0014</t>
  </si>
  <si>
    <t>UTEPDA-2022-00056</t>
  </si>
  <si>
    <t>1138-1139</t>
  </si>
  <si>
    <t>UTEPDA-DAF-CM-2022-0001</t>
  </si>
  <si>
    <t>UTEPDA-2022-00012</t>
  </si>
  <si>
    <t>UTEPDA-2022-00066</t>
  </si>
  <si>
    <t>UTEPDA-2021-00164</t>
  </si>
  <si>
    <t>Aznavour Global, SRL</t>
  </si>
  <si>
    <t>UTEPDA-DAF-CM-2021-0030</t>
  </si>
  <si>
    <t>UTEPDA-DAF-CM-2022-0008</t>
  </si>
  <si>
    <t>UTEPDA-2022-00057</t>
  </si>
  <si>
    <t>UTEPDA-CCC-CP-2022-0001</t>
  </si>
  <si>
    <t>BS-0003003-2022</t>
  </si>
  <si>
    <t>22//3/22</t>
  </si>
  <si>
    <t>UTEPDA-CCC-LPN-2019-0014</t>
  </si>
  <si>
    <t>CO-0000805-2020</t>
  </si>
  <si>
    <t>1221-1244-1252</t>
  </si>
  <si>
    <t>UTEPDA-CCC-LPN-2019-0013</t>
  </si>
  <si>
    <r>
      <t xml:space="preserve">Licitacion para la realizacion de 60 KM de LOTE 6 Paraiso, Barahona. Por un monto de RD$151,461,244.12
Arrastre del 2021 al 2022:
Lote III: RD$26,989,577.91
Lote IV: RD$1,016,531.07
Lote V: RD$44759863.23
Total: </t>
    </r>
    <r>
      <rPr>
        <b/>
        <sz val="11"/>
        <color rgb="FF000000"/>
        <rFont val="Calibri"/>
        <family val="2"/>
      </rPr>
      <t xml:space="preserve">RD$72,765,972.21. </t>
    </r>
    <r>
      <rPr>
        <sz val="11"/>
        <color rgb="FF000000"/>
        <rFont val="Calibri"/>
        <family val="2"/>
      </rPr>
      <t xml:space="preserve">El cual solo esta presupuestado </t>
    </r>
    <r>
      <rPr>
        <b/>
        <sz val="11"/>
        <color rgb="FF000000"/>
        <rFont val="Calibri"/>
        <family val="2"/>
      </rPr>
      <t>RD$56,848,319.81</t>
    </r>
    <r>
      <rPr>
        <sz val="11"/>
        <color rgb="FF000000"/>
        <rFont val="Calibri"/>
        <family val="2"/>
      </rPr>
      <t xml:space="preserve"> en el POA 2022 por la reduccion presupuestaria
Pago de 4ta Cubicacion de Sudivial Lote III</t>
    </r>
  </si>
  <si>
    <t>Mantenimiento vehículos incluye repuestos a motores</t>
  </si>
  <si>
    <r>
      <t>42-</t>
    </r>
    <r>
      <rPr>
        <b/>
        <sz val="11"/>
        <color theme="9" tint="-0.499984740745262"/>
        <rFont val="Calibri"/>
        <family val="2"/>
      </rPr>
      <t>1286-1473-1533</t>
    </r>
  </si>
  <si>
    <r>
      <t>42</t>
    </r>
    <r>
      <rPr>
        <b/>
        <sz val="11"/>
        <color theme="9" tint="-0.499984740745262"/>
        <rFont val="Calibri"/>
        <family val="2"/>
      </rPr>
      <t>-1473-1533</t>
    </r>
  </si>
  <si>
    <t>UTEPDA-UC-CD-2022-0001
UTEPDA-UC-CD-2022-0002
UTEPDA-UC-CD-2022-0020
UTEPDA-UC-CD-2022-0025
UTEPDA-UC-CD-2022-0023</t>
  </si>
  <si>
    <t>UTEPDA-2022-00003
UTEPDA-2022-00004
UTEPDA-2022-00069
UTEPDA-2022-00075
UTEPDA-2022-00073</t>
  </si>
  <si>
    <t>UTEPDA-2022-00003
UTEPDA-2022-00004
UTEPDA-2022-00075
UTEPDA-2022-00073</t>
  </si>
  <si>
    <t>UTEPDA-UC-CD-2022-0001
UTEPDA-UC-CD-2022-0002
UTEPDA-UC-CD-2022-0025
UTEPDA-UC-CD-2022-0023</t>
  </si>
  <si>
    <t>Adquisicióm de Softtware de ArcGis Online tipo GIS con Geomatica &amp; Tecnologia GMT</t>
  </si>
  <si>
    <t>UTEPDA-DAF-CM-2022-0006</t>
  </si>
  <si>
    <t>UTEPDA-2022-00030</t>
  </si>
  <si>
    <t>CO-00000788-2022</t>
  </si>
  <si>
    <t>Cubicación No. 5 Lote I de Consorcio Union de Feinge</t>
  </si>
  <si>
    <t>704-961-1408</t>
  </si>
  <si>
    <t>UTEPDA-UC-CD-2022-0008
UTEPDA-UC-CD-2022-0009
UTEPDA-UC-CD-2022-0017
UTEPDA-CCC-CP-2022-0002</t>
  </si>
  <si>
    <t>BS-0006636-2022</t>
  </si>
  <si>
    <t>9/5/222</t>
  </si>
  <si>
    <r>
      <t>33-41-254-259-554</t>
    </r>
    <r>
      <rPr>
        <b/>
        <sz val="11"/>
        <color theme="9" tint="-0.499984740745262"/>
        <rFont val="Calibri"/>
        <family val="2"/>
      </rPr>
      <t>-683-874-1225-1435</t>
    </r>
  </si>
  <si>
    <t>Alquiler de oficina de Titulacion 2022, Empresa Heran, SRL: Enero (Fact. B1500000149) fecha 06/01/2022; Febrero (Fact. B1500000152) fecha 02/02/2022; Marzo (Fact. B1500000154) fecha 02/03/2022; Abril (Fact. B1500000157) fecha 02/04/2022; Mayo (Fact. B1500000159) fecha 04/05/2022; Junio (Fact. B1500000165) fecha 03/06/22; Julio (Fact. B1500000168) fecha 04/07/22
Energia Electrica, Empresa Condominio Unicentro Plaza: Dic 2021 (Fact. B1500000765) fecha 05/01/2022; Enero 2022 (Fact. B1500000777) fecha 04/02/2022; Abril 2022 (Fact B150000000847) de fecha 04/05/2022; Mayo (Fact B150000000869) de fecha 06/06/2022</t>
  </si>
  <si>
    <t>853-1441</t>
  </si>
  <si>
    <t>1164-1522</t>
  </si>
  <si>
    <t>UTEPDA-UC-CD-2022-0018
UTEPDA-UC-CD-2022-0024</t>
  </si>
  <si>
    <t>11/5/2022
22/06/2022</t>
  </si>
  <si>
    <t>11/5/2022
21/6/2022</t>
  </si>
  <si>
    <t>11/6/2022
21/7/2022</t>
  </si>
  <si>
    <t>1221-1244-1252-1531</t>
  </si>
  <si>
    <t>UTEPDA-CCC-CP-2022-0001
UTEPDA-DAF-CM-2022-0003</t>
  </si>
  <si>
    <t>22//3/22
28/06/2022</t>
  </si>
  <si>
    <t>BS-0003003-2022
UTEPDA-2022-00018</t>
  </si>
  <si>
    <t>23/2/2022
02/03/2022</t>
  </si>
  <si>
    <t>23/5/2022
02/06/2022</t>
  </si>
  <si>
    <t>UTEPDA-UC-CD-2022-0013</t>
  </si>
  <si>
    <t>UTEPDA-2022-00055</t>
  </si>
  <si>
    <r>
      <t>125-</t>
    </r>
    <r>
      <rPr>
        <b/>
        <sz val="11"/>
        <color theme="9" tint="-0.499984740745262"/>
        <rFont val="Calibri"/>
        <family val="2"/>
      </rPr>
      <t>1575</t>
    </r>
  </si>
  <si>
    <t>6/10/2021
17/11/2021
09/05/2022</t>
  </si>
  <si>
    <t>UTEPDA-DAF-CM-2021-0035
UTEPDA-UC-CD-2021-0062
UTEPDA-UC-CD-2022-0016</t>
  </si>
  <si>
    <t>UTEPDA-2021-00162
UTEPDA-2021-00177
UTEPDA-2022-00062</t>
  </si>
  <si>
    <t>9/6/2022
01/07/2022</t>
  </si>
  <si>
    <t>1269-1362-1599</t>
  </si>
  <si>
    <r>
      <t>40-258-593</t>
    </r>
    <r>
      <rPr>
        <b/>
        <sz val="11"/>
        <color theme="9" tint="-0.499984740745262"/>
        <rFont val="Calibri"/>
        <family val="2"/>
      </rPr>
      <t>-868-1223-1224-1521</t>
    </r>
  </si>
  <si>
    <r>
      <t xml:space="preserve">LA consultoria de SDIGEM con Arturo Aranguem esta estructurada con la entregad de  6 informe:
No 1 Plan de Trabajo 30% = RD$674,999.77 </t>
    </r>
    <r>
      <rPr>
        <b/>
        <sz val="11"/>
        <color rgb="FF000000"/>
        <rFont val="Calibri"/>
        <family val="2"/>
      </rPr>
      <t>PAGADO</t>
    </r>
    <r>
      <rPr>
        <sz val="11"/>
        <color rgb="FF000000"/>
        <rFont val="Calibri"/>
        <family val="2"/>
      </rPr>
      <t xml:space="preserve">
No. 2 Modificación y carga de nómina 15% = RD$337,499.88 </t>
    </r>
    <r>
      <rPr>
        <b/>
        <sz val="11"/>
        <color rgb="FF000000"/>
        <rFont val="Calibri"/>
        <family val="2"/>
      </rPr>
      <t>PAGADO</t>
    </r>
    <r>
      <rPr>
        <sz val="11"/>
        <color rgb="FF000000"/>
        <rFont val="Calibri"/>
        <family val="2"/>
      </rPr>
      <t xml:space="preserve">
No. 3 Reportería 15% = RD$337,499.88 
No. 4 Operaciones de GPS y tablas actualizadas 15% = RD$337,499.88 
No. 5 Creación de balanza, modificación de módulos y cargas de información 15% RD$337,499.88 PAGADO 
No. 6 Tres informe de apoyo de soporte 10% RD$224,999.92</t>
    </r>
  </si>
  <si>
    <t>985-1242-1396-1420-1421</t>
  </si>
  <si>
    <t>1114-1475</t>
  </si>
  <si>
    <r>
      <t>43-44-304-306-</t>
    </r>
    <r>
      <rPr>
        <b/>
        <sz val="11"/>
        <color theme="9" tint="-0.499984740745262"/>
        <rFont val="Calibri"/>
        <family val="2"/>
      </rPr>
      <t>731</t>
    </r>
  </si>
  <si>
    <t>1115-1293-1294-1592</t>
  </si>
  <si>
    <t>32</t>
  </si>
  <si>
    <t>ED</t>
  </si>
  <si>
    <t>100</t>
  </si>
  <si>
    <t>T/C</t>
  </si>
  <si>
    <t>199</t>
  </si>
  <si>
    <t>PP</t>
  </si>
  <si>
    <t>367</t>
  </si>
  <si>
    <t>AGQ</t>
  </si>
  <si>
    <t>BF</t>
  </si>
  <si>
    <t>896</t>
  </si>
  <si>
    <t>999</t>
  </si>
  <si>
    <t>1186</t>
  </si>
  <si>
    <t>Ca</t>
  </si>
  <si>
    <t>1297</t>
  </si>
  <si>
    <t>ENA</t>
  </si>
  <si>
    <t>1398</t>
  </si>
  <si>
    <t>1475</t>
  </si>
  <si>
    <t>C</t>
  </si>
  <si>
    <t>1609</t>
  </si>
  <si>
    <t>33</t>
  </si>
  <si>
    <t>Ti</t>
  </si>
  <si>
    <t>111</t>
  </si>
  <si>
    <t>SP</t>
  </si>
  <si>
    <t>200</t>
  </si>
  <si>
    <t>PF</t>
  </si>
  <si>
    <t>MAN</t>
  </si>
  <si>
    <t>LSC</t>
  </si>
  <si>
    <t>898</t>
  </si>
  <si>
    <t>1000</t>
  </si>
  <si>
    <t>R</t>
  </si>
  <si>
    <t>1196</t>
  </si>
  <si>
    <t>1298</t>
  </si>
  <si>
    <t>LI</t>
  </si>
  <si>
    <t>1408</t>
  </si>
  <si>
    <t>1476</t>
  </si>
  <si>
    <t>CB</t>
  </si>
  <si>
    <t>1610</t>
  </si>
  <si>
    <t>34</t>
  </si>
  <si>
    <t>122</t>
  </si>
  <si>
    <t>201</t>
  </si>
  <si>
    <t>HE</t>
  </si>
  <si>
    <t>410</t>
  </si>
  <si>
    <t>VG</t>
  </si>
  <si>
    <t>478</t>
  </si>
  <si>
    <t>908</t>
  </si>
  <si>
    <t>1001</t>
  </si>
  <si>
    <t>S</t>
  </si>
  <si>
    <t>1211</t>
  </si>
  <si>
    <t>VT</t>
  </si>
  <si>
    <t>N</t>
  </si>
  <si>
    <t>1409</t>
  </si>
  <si>
    <t>NEU</t>
  </si>
  <si>
    <t>1478</t>
  </si>
  <si>
    <t>1613</t>
  </si>
  <si>
    <t>T/I</t>
  </si>
  <si>
    <t>X</t>
  </si>
  <si>
    <t>37</t>
  </si>
  <si>
    <t>124</t>
  </si>
  <si>
    <t>H</t>
  </si>
  <si>
    <t>411</t>
  </si>
  <si>
    <t>SAG</t>
  </si>
  <si>
    <t>909</t>
  </si>
  <si>
    <t>1002</t>
  </si>
  <si>
    <t>1221</t>
  </si>
  <si>
    <t>REP</t>
  </si>
  <si>
    <t>1410</t>
  </si>
  <si>
    <t>AG</t>
  </si>
  <si>
    <t>1493</t>
  </si>
  <si>
    <t>VA</t>
  </si>
  <si>
    <t>1617</t>
  </si>
  <si>
    <t>38</t>
  </si>
  <si>
    <t>125</t>
  </si>
  <si>
    <t>310</t>
  </si>
  <si>
    <t>412</t>
  </si>
  <si>
    <t>910</t>
  </si>
  <si>
    <t>1003</t>
  </si>
  <si>
    <t>1108</t>
  </si>
  <si>
    <t>1222</t>
  </si>
  <si>
    <t>1498</t>
  </si>
  <si>
    <t>1619</t>
  </si>
  <si>
    <t>39</t>
  </si>
  <si>
    <t>130</t>
  </si>
  <si>
    <t>413</t>
  </si>
  <si>
    <t>INJ</t>
  </si>
  <si>
    <t>917</t>
  </si>
  <si>
    <t>1111</t>
  </si>
  <si>
    <t>1223</t>
  </si>
  <si>
    <t>CC</t>
  </si>
  <si>
    <t>AL</t>
  </si>
  <si>
    <t>1499</t>
  </si>
  <si>
    <t>1635</t>
  </si>
  <si>
    <t>40</t>
  </si>
  <si>
    <t>135</t>
  </si>
  <si>
    <t>414</t>
  </si>
  <si>
    <t>920</t>
  </si>
  <si>
    <t>1114</t>
  </si>
  <si>
    <t>1224</t>
  </si>
  <si>
    <t>1508</t>
  </si>
  <si>
    <t>41</t>
  </si>
  <si>
    <t>136</t>
  </si>
  <si>
    <t>415</t>
  </si>
  <si>
    <t>922</t>
  </si>
  <si>
    <t>1115</t>
  </si>
  <si>
    <t>1225</t>
  </si>
  <si>
    <t>1511</t>
  </si>
  <si>
    <t>42</t>
  </si>
  <si>
    <t>137</t>
  </si>
  <si>
    <t>416</t>
  </si>
  <si>
    <t>500</t>
  </si>
  <si>
    <t>829</t>
  </si>
  <si>
    <t>931</t>
  </si>
  <si>
    <t>1126</t>
  </si>
  <si>
    <t>1514</t>
  </si>
  <si>
    <t>Rubro</t>
  </si>
  <si>
    <t>Concepto</t>
  </si>
  <si>
    <t>Siglas</t>
  </si>
  <si>
    <t>43</t>
  </si>
  <si>
    <t>138</t>
  </si>
  <si>
    <t>427</t>
  </si>
  <si>
    <t>517</t>
  </si>
  <si>
    <t>853</t>
  </si>
  <si>
    <t>VAC</t>
  </si>
  <si>
    <t>933</t>
  </si>
  <si>
    <t>1132</t>
  </si>
  <si>
    <t>1521</t>
  </si>
  <si>
    <t>Temporal / Contratado</t>
  </si>
  <si>
    <t>44</t>
  </si>
  <si>
    <t>140</t>
  </si>
  <si>
    <t>428</t>
  </si>
  <si>
    <t>518</t>
  </si>
  <si>
    <t>855</t>
  </si>
  <si>
    <t>934</t>
  </si>
  <si>
    <t>1133</t>
  </si>
  <si>
    <t>SCC</t>
  </si>
  <si>
    <t>1522</t>
  </si>
  <si>
    <t>IM</t>
  </si>
  <si>
    <t>Brigada Agricola</t>
  </si>
  <si>
    <t>BA</t>
  </si>
  <si>
    <t>56</t>
  </si>
  <si>
    <t>159</t>
  </si>
  <si>
    <t>429</t>
  </si>
  <si>
    <t>519</t>
  </si>
  <si>
    <t>856</t>
  </si>
  <si>
    <t>936</t>
  </si>
  <si>
    <t>1134</t>
  </si>
  <si>
    <t>1531</t>
  </si>
  <si>
    <t>Brigada Forestal</t>
  </si>
  <si>
    <t>66</t>
  </si>
  <si>
    <t>160</t>
  </si>
  <si>
    <t>430</t>
  </si>
  <si>
    <t>520</t>
  </si>
  <si>
    <t>857</t>
  </si>
  <si>
    <t>961</t>
  </si>
  <si>
    <t>EVE</t>
  </si>
  <si>
    <t>1135</t>
  </si>
  <si>
    <t>1532</t>
  </si>
  <si>
    <t>Militar Administrativo</t>
  </si>
  <si>
    <t>67</t>
  </si>
  <si>
    <t>161</t>
  </si>
  <si>
    <t>431</t>
  </si>
  <si>
    <t>547</t>
  </si>
  <si>
    <t>858</t>
  </si>
  <si>
    <t>UNI</t>
  </si>
  <si>
    <t>968</t>
  </si>
  <si>
    <t>1136</t>
  </si>
  <si>
    <t>1533</t>
  </si>
  <si>
    <t>Seguridad Palomino</t>
  </si>
  <si>
    <t>68</t>
  </si>
  <si>
    <t>162</t>
  </si>
  <si>
    <t>432</t>
  </si>
  <si>
    <t>548</t>
  </si>
  <si>
    <t>859</t>
  </si>
  <si>
    <t>API</t>
  </si>
  <si>
    <t>970</t>
  </si>
  <si>
    <t>1138</t>
  </si>
  <si>
    <t>PS</t>
  </si>
  <si>
    <t>1575</t>
  </si>
  <si>
    <t>Seguridad</t>
  </si>
  <si>
    <t>69</t>
  </si>
  <si>
    <t>163</t>
  </si>
  <si>
    <t>549</t>
  </si>
  <si>
    <t>862</t>
  </si>
  <si>
    <t>972</t>
  </si>
  <si>
    <t>1139</t>
  </si>
  <si>
    <t>1441</t>
  </si>
  <si>
    <t>1585</t>
  </si>
  <si>
    <t xml:space="preserve">Persona Fijo </t>
  </si>
  <si>
    <t>70</t>
  </si>
  <si>
    <t>164</t>
  </si>
  <si>
    <t>550</t>
  </si>
  <si>
    <t>ES</t>
  </si>
  <si>
    <t>863</t>
  </si>
  <si>
    <t>974</t>
  </si>
  <si>
    <t>1156</t>
  </si>
  <si>
    <t>1445</t>
  </si>
  <si>
    <t>1586</t>
  </si>
  <si>
    <t>Injertadores</t>
  </si>
  <si>
    <t>71</t>
  </si>
  <si>
    <t>168</t>
  </si>
  <si>
    <t>551</t>
  </si>
  <si>
    <t>867</t>
  </si>
  <si>
    <t>975</t>
  </si>
  <si>
    <t>Sca</t>
  </si>
  <si>
    <t>1158</t>
  </si>
  <si>
    <t>1358</t>
  </si>
  <si>
    <t>1446</t>
  </si>
  <si>
    <t>1587</t>
  </si>
  <si>
    <t>Vaacacionnes</t>
  </si>
  <si>
    <t>72</t>
  </si>
  <si>
    <t>169</t>
  </si>
  <si>
    <t>552</t>
  </si>
  <si>
    <t>868</t>
  </si>
  <si>
    <t>976</t>
  </si>
  <si>
    <t>1054</t>
  </si>
  <si>
    <t>1163</t>
  </si>
  <si>
    <t>MINJ</t>
  </si>
  <si>
    <t>1360</t>
  </si>
  <si>
    <t>1447</t>
  </si>
  <si>
    <t>1588</t>
  </si>
  <si>
    <t>Horas Extraordinaria</t>
  </si>
  <si>
    <t>73</t>
  </si>
  <si>
    <t>174</t>
  </si>
  <si>
    <t>553</t>
  </si>
  <si>
    <t>874</t>
  </si>
  <si>
    <t>977</t>
  </si>
  <si>
    <t>1074</t>
  </si>
  <si>
    <t>1164</t>
  </si>
  <si>
    <t>1362</t>
  </si>
  <si>
    <t>1448</t>
  </si>
  <si>
    <t>1589</t>
  </si>
  <si>
    <t>74</t>
  </si>
  <si>
    <t>175</t>
  </si>
  <si>
    <t>471</t>
  </si>
  <si>
    <t>554</t>
  </si>
  <si>
    <t>875</t>
  </si>
  <si>
    <t>985</t>
  </si>
  <si>
    <t>1075</t>
  </si>
  <si>
    <t>1166</t>
  </si>
  <si>
    <t>MOB</t>
  </si>
  <si>
    <t>1280</t>
  </si>
  <si>
    <t>1365</t>
  </si>
  <si>
    <t>1453</t>
  </si>
  <si>
    <t>1592</t>
  </si>
  <si>
    <t>Telefono / Intenet</t>
  </si>
  <si>
    <t>76</t>
  </si>
  <si>
    <t>176</t>
  </si>
  <si>
    <t>563</t>
  </si>
  <si>
    <t>876</t>
  </si>
  <si>
    <t>995</t>
  </si>
  <si>
    <t>1076</t>
  </si>
  <si>
    <t>1174</t>
  </si>
  <si>
    <t>1285</t>
  </si>
  <si>
    <t>1380</t>
  </si>
  <si>
    <t>1455</t>
  </si>
  <si>
    <t>1593</t>
  </si>
  <si>
    <t>EDESUR</t>
  </si>
  <si>
    <t>88</t>
  </si>
  <si>
    <t>177</t>
  </si>
  <si>
    <t>564</t>
  </si>
  <si>
    <t>878</t>
  </si>
  <si>
    <t>996</t>
  </si>
  <si>
    <t>1077</t>
  </si>
  <si>
    <t>1177</t>
  </si>
  <si>
    <t>1286</t>
  </si>
  <si>
    <t>1394</t>
  </si>
  <si>
    <t>1461</t>
  </si>
  <si>
    <t>1599</t>
  </si>
  <si>
    <t>Local / Edesur Titulacion</t>
  </si>
  <si>
    <t>89</t>
  </si>
  <si>
    <t>192</t>
  </si>
  <si>
    <t>572</t>
  </si>
  <si>
    <t>889</t>
  </si>
  <si>
    <t>997</t>
  </si>
  <si>
    <t>1087</t>
  </si>
  <si>
    <t>1181</t>
  </si>
  <si>
    <t>ALZ</t>
  </si>
  <si>
    <t>1293</t>
  </si>
  <si>
    <t>1395</t>
  </si>
  <si>
    <t>1462</t>
  </si>
  <si>
    <t>1602</t>
  </si>
  <si>
    <t>Local Sede Central</t>
  </si>
  <si>
    <t>99</t>
  </si>
  <si>
    <t>198</t>
  </si>
  <si>
    <t>576</t>
  </si>
  <si>
    <t>894</t>
  </si>
  <si>
    <t>998</t>
  </si>
  <si>
    <t>AG/SAG</t>
  </si>
  <si>
    <t>1185</t>
  </si>
  <si>
    <t>1294</t>
  </si>
  <si>
    <t>1396</t>
  </si>
  <si>
    <t>1473</t>
  </si>
  <si>
    <t>1603</t>
  </si>
  <si>
    <t>Publicación en el Periodico</t>
  </si>
  <si>
    <t>Consultorias</t>
  </si>
  <si>
    <t>Café</t>
  </si>
  <si>
    <t>Semilla de Café</t>
  </si>
  <si>
    <t>Aguacate</t>
  </si>
  <si>
    <t>Semilla de Aguacate</t>
  </si>
  <si>
    <t>Especias</t>
  </si>
  <si>
    <t>Operatividad</t>
  </si>
  <si>
    <t>Alimentos</t>
  </si>
  <si>
    <t>Agroquimicos</t>
  </si>
  <si>
    <t>Enraizador Agroquimico</t>
  </si>
  <si>
    <t>Herramientas</t>
  </si>
  <si>
    <t>Neumaticos</t>
  </si>
  <si>
    <t>Repuesto</t>
  </si>
  <si>
    <t>Viaticos</t>
  </si>
  <si>
    <t>Viatico Titulacion</t>
  </si>
  <si>
    <t>Viatico Administratico</t>
  </si>
  <si>
    <t>Viatico Generales</t>
  </si>
  <si>
    <t>Otros</t>
  </si>
  <si>
    <t>Uniforme</t>
  </si>
  <si>
    <t>Apicola</t>
  </si>
  <si>
    <t>Eventos</t>
  </si>
  <si>
    <t>Poliza de Seguros</t>
  </si>
  <si>
    <t>Material de Injertia</t>
  </si>
  <si>
    <t>Mobiliario</t>
  </si>
  <si>
    <t>Articulos de Limpieza</t>
  </si>
  <si>
    <t>Licencia informatica</t>
  </si>
  <si>
    <t>Impresos</t>
  </si>
  <si>
    <t>Obras</t>
  </si>
  <si>
    <t>Camino Cubicacion</t>
  </si>
  <si>
    <t>Supervision Camino</t>
  </si>
  <si>
    <t>ip</t>
  </si>
  <si>
    <t>Visitas de verificación</t>
  </si>
  <si>
    <t>Esta capacitación será impartida desde el 18 al 31 de enero del 2023</t>
  </si>
  <si>
    <t>Impresos y publicidad</t>
  </si>
  <si>
    <t>Letro para delimitación de area de APS</t>
  </si>
  <si>
    <t>Esta capacitación será impartida desde el 07 al 17 de enero del 2023</t>
  </si>
  <si>
    <t>1. Folletos e impresos para la capacitación en el Plan de Mitigación de impactos a los empleados de la empresa constructora de la Rehabilitación de Caminos Interparcelarios.
2. Publicidad para las actividades de la UTEPDA en los 7 PDA. Pendiente contrato con Onanney Amelia Mendez Herasme (UTEPDA-UC-CD-2022-0041)</t>
  </si>
  <si>
    <t>Esta capacitación será impartida desde el 07/02/2023 al 28/02/2023</t>
  </si>
  <si>
    <t>Esta capacitación será impartida desde el 06/03/2023 al 17/03/2023</t>
  </si>
  <si>
    <t>Programa de Desarrollo Forestal Sostenible 
Plan Operativo Anual 2023
(POA)</t>
  </si>
  <si>
    <t>Esta actividad solo se mediran las metas 
De conformidad con la estrategia de ejecución se requiere 14,000,000 plantas de Café,  las cuales fueron licitadas mediante el proceso UTEPDA-CCC-LPN-0002 en el año 2023</t>
  </si>
  <si>
    <t>UTEPDA-CCC-LPN-2023-0002</t>
  </si>
  <si>
    <t>BS-0013409-2023</t>
  </si>
  <si>
    <t>UTEPDA-CCC-LPN-2023-0009</t>
  </si>
  <si>
    <t>BS-0013149-2023</t>
  </si>
  <si>
    <t>Corresponde al pago de la adquisicion de bomba mochilas atomizadoras y fumigadoras, motosierra, serrucho, tijeras, botellas, podadoras para la aplicación de agroquimicos. Proceso de adquisicion ya realizado UTEPDA-CCC-LPN-2023-0009 y se tiene compromiso de pagos con la  empresa Gilda Invesment, SRL. por un monto total de RD$21,000,000.00
Este monto deberá ser pagado en el primer y segundo trimestre/2022 
Nota: aumentar los recursos para poder recepcionar estos equipos, los cuales he considerado aumentar del monto de fertilizantes.</t>
  </si>
  <si>
    <t xml:space="preserve">UTEPDA-MAE-PEUR-2023-0004
UTEPDA-CCC-LPN-2023-0009
</t>
  </si>
  <si>
    <t>Esta partida tenia RD$233,000,000.00 y Le fue dismunido RD$33,000,000.00, los cuales RD$20,000,000.00 corresponden al pago de equipos para la aplicación de agroquímicos 
CEMASA, SRL - Pago avance 20% del contrato No. BS-0016293-2023, por concepto de adquisición de insecticidas fungicidas y otros, abonos y fertilizantes, según
proceso UTEPDA-MAE-PEUR-2023-0004. Pago de factura B150000087 fech 09/03/2022.
FUAGRISA - Pago avance 20% del contrato No. BS-0016292-2023, por concepto de adquisición de insecticidas fungicidas y otros, según proceso UTEPDA-MAEPEUR-2023-0004. Pago de diversas facturas B1500000228-229-230-231-232-233
EBANISPRO, SRL - Pago factura, menos el 20% del avance por adquisición de Agroquímicos y fertilizantes, para uso en las plantaciones de los PDAS proceso
UTEPDA-CCC-LPN-2023-0009.
GILDA INVESTMENT - Pago de factura, menos 20% del avance, por adquisición Agroinsumos y fertilizantes,herramientas, equipos agrícolas, materiales plásticos y otros
materiales agrícolas, para uso en PDAS, proceso UTEPDA-CCC-LPN-2023-0009.
EBANISPRO - Pago factura, menos el 20% del avance por adquisición de Agroquímicos y fertilizantes, para uso en las plantaciones de los PDAS. 
GILDA INVESTMENT - Pago de factura, menos 20% del avance, por adquisición Agroinsumos y fertilizantes,herramientas, equipos agrícolas, materiales plásticos y otros
materiales agrícolas, para uso en PDAS.
MAJERO COMERCIAL - Pago de factura, menos el 20% del Avance, por concepto de adquisición de agroquímicos y fertilizantes, según proceso UTEPDA-MAE-PEUR-2023-0004</t>
  </si>
  <si>
    <t>UTEPDA-CCC-LPN-2023-0002
UTEPDA-CCC-LPN-2017-0001</t>
  </si>
  <si>
    <t>UTEPDA-CCC-LPN-2022-0001
UTEPDA-CCC-LPN-2023-0001</t>
  </si>
  <si>
    <t>BS-0005955-2022
BS-0006002-2022
BS-0009115-2023
BS-0009073-2023</t>
  </si>
  <si>
    <t>12/4/2022
16/7/2023
12/4/2022</t>
  </si>
  <si>
    <t>AUMENTAR MONTO DE ACUERDO A LA LICITACION QUE ES POR UN MONTO DE 64,000,000.00
PENDIENTE PAGO PARA REALIZAR EN EL PRIMER TRIMESTRE SUJETO A LA INFORMACIóN SUMINISTRADA POR EL EQUIPO TECNICO. 
RD$103,863,013.14 se tenia ese monto
Monto propuesto por la parte técnica RD$27,825,000.00 de conformidad con la licitación UTEPDA-CCC-LPN-2022-0001, correspondiente a la adquisición de plantas de aguacates injertas de las variedades Hass, Carla, Beneke, Semil-34.
Pago en el primer trimestre de compromiso de arrastre de la Licitación UTEPDA-CCC-LPN-2023-0001, a las empresas: Agrofumigadora del Sur RD$603,500.00; Jolteca, SRL, RD$1,988,560.00 y Sendero Alto, SRL RD$806,484.00
Revisar compromisos de pagos y entregas pendientes de plantas (catano), deficit de esta partida por un monto total de RD$3,398,544.00</t>
  </si>
  <si>
    <t>UTEPDA-CCC-LPN-2023-0001
UTEPDA-CCC-LPN-2022-0001</t>
  </si>
  <si>
    <t>BS-0009115-2023
BS-0006002-2022</t>
  </si>
  <si>
    <t>UTEPDA-CCC-LPN-2023-0003</t>
  </si>
  <si>
    <t>BS-0010096-2023</t>
  </si>
  <si>
    <t>Se tenia previsto el pago de RD$7,105,000, los cuales fueron trnasferido a Plantas para fines de compensar con la estrategia de ejecución.
Pago a Viveros Jarem . Pago factura, menos 20% del avance, por adquisición de 5,590 Plantas de Clavos Dulces recibidas en Almacén No.2, según Proceso UTEPDA-CCC-LPN-2023-0003
Viveros Agroforestal Jarem S.R.L.</t>
  </si>
  <si>
    <t>UTEPDA-CCC-LPN-2023-0008</t>
  </si>
  <si>
    <t>BS-0015786-2023</t>
  </si>
  <si>
    <t>Alquiler de oficina de Titulacion 2022, Empresa Heran, SRL: Enero (Fact. B1500000149) fecha 06/01/2022; Febrero (Fact. B1500000152) fecha 02/02/2022; Marzo (Fact. B1500000154) fecha 02/03/2022; Abril (Fact. B1500000157) fecha 02/04/2022; Mayo (Fact. B1500000159) fecha 04/05/2022; Junio (Fact. B1500000165) fecha 03/06/22; Julio (Fact. B1500000168) fecha 04/07/22
Energia Electrica, Empresa Condominio Unicentro Plaza: Dic 2023 (Fact. B1500000765) fecha 05/01/2022; Enero 2022 (Fact. B1500000777) fecha 04/02/2022; Abril 2022 (Fact B150000000847) de fecha 04/05/2022; Mayo (Fact B150000000869) de fecha 06/06/2022</t>
  </si>
  <si>
    <t>Arrastre del 2023 al 2022 RD$28,149,006.42. El cual solo esta presupuestado RD$3,940,410.10 en el POA 2022 por la reduccion presupuestaria</t>
  </si>
  <si>
    <t>Licitacion para la realizacion de 60 KM de LOTE 6 Paraiso, Barahona. Por un monto de RD$151,461,244.12
Arrastre del 2023 al 2022:
Lote III: RD$26,989,577.91
Lote IV: RD$1,016,531.07
Lote V: RD$44759863.23
Total: RD$72,765,972.21. El cual solo esta presupuestado RD$56,848,319.81 en el POA 2022 por la reduccion presupuestaria
Pago de 4ta Cubicacion de Sudivial Lote III</t>
  </si>
  <si>
    <t>Pago 1era.Cubicación menos el avance del 20% 2da. Etapa Caminos Interparlamentarios Lote II. 39.40 KM, en la zona Bahoruco para el 2023.</t>
  </si>
  <si>
    <t>Pago Avance Supervisión Caminos Interparcelarios 2da. Etapa. Lotes 2, 3 y 5 para el 2023.
Arrastre del 2023 al 2022:
Lote III: RD$3,020,613.81
Lote IV: RD$5,890,887.27
Lote V: RD$5,170.846.52</t>
  </si>
  <si>
    <t>25/1//2023</t>
  </si>
  <si>
    <t>Nom. Sueldos Horas Extraordinarias Anual Diciembre 2023</t>
  </si>
  <si>
    <t xml:space="preserve"> 11 febrero 2023</t>
  </si>
  <si>
    <t>31/6/2023</t>
  </si>
  <si>
    <t>Comparación de Precios UTEPDA-CCC-CP-2023-0006</t>
  </si>
  <si>
    <t>Contrato BS-0009994-2023 de fecha 01/09/2023</t>
  </si>
  <si>
    <t>Nómina jornalero forestal: Diciembre 2023, Enero- Febrero- Marzo- Abril- Mayo- Junio 2022</t>
  </si>
  <si>
    <t>Nómina jornalero forestal: Diciembre 2023, Enero- Febrero- Marzo - Abril - Mayo - Junio 2022</t>
  </si>
  <si>
    <t>Nómina jornalero forestal: Noviembre y Diciembre 2023, Enero - Febrero- Marzo - Abril - Mayo - Junio  2022</t>
  </si>
  <si>
    <t>Nómina jornalero forestal: Noviembre 2023, Enero - Febrero - Marzo - Abril - Mayo - Junio 2022</t>
  </si>
  <si>
    <t>31/2023</t>
  </si>
  <si>
    <t>31//12/2023</t>
  </si>
  <si>
    <t>UTEPCA-CCC-CP-2023-0005</t>
  </si>
  <si>
    <t>Pago definitivo a factura No.B1500000193, por  adquisición de materiales, suministro y equipos, para  de la producción y manejo Apícola, según proceso de compra No.UTEPDA-CCC-CP-2023-0005</t>
  </si>
  <si>
    <t xml:space="preserve"> beneficiarios y facilitadores </t>
  </si>
  <si>
    <t>Contratación de personal auxiliar</t>
  </si>
  <si>
    <t>Francisco Segura/Sergio Santana/Joan Moya</t>
  </si>
  <si>
    <t>Sergio Santana</t>
  </si>
  <si>
    <t>Joan Moya/Yunior Turbi</t>
  </si>
  <si>
    <t>Yunior Turbi</t>
  </si>
  <si>
    <t xml:space="preserve">Yunior Turbi/Bernardo Sánchez </t>
  </si>
  <si>
    <t>Esta capacitación será impartida desde el 20/03/2023 al 31/03/2023</t>
  </si>
  <si>
    <t xml:space="preserve">Beneficiario, asociaciones y cooperativas </t>
  </si>
  <si>
    <t>Esta capacitación será impartida desde el 05/04/2023 al 14/04/2023</t>
  </si>
  <si>
    <t>Productores</t>
  </si>
  <si>
    <t>Esta capacitación será impartida desde el 05/04/2023 al 28/04/2023</t>
  </si>
  <si>
    <t>Talleres sobre conservación de suelos, dirigido a; productores de independencia, Barahona, sabaneta, los fríos, las cañitas, hondo valle y Bahoruco.</t>
  </si>
  <si>
    <t>Taller sobre injertación en aguacate, dirigido: a técnicos y productores de los proyectos Bahoruco, sabaneta, independencia, los fríos, hondo valle y las cañitas.</t>
  </si>
  <si>
    <t>Esta capacitación será impartida desde el 02/05/2023 al 19/05/2023</t>
  </si>
  <si>
    <t xml:space="preserve">Taller sobre cultivo de aguacate dirigido; a técnicos y productores de los proyectos, Barahona, hondo valle, sabaneta, los fríos y las cañitas, </t>
  </si>
  <si>
    <t>Talleres sobre manejo y cultivo de café, con énfasis en poda, sobra y marco de plantación dirigido; a productores, facilitadores de los proyectos sabaneta, Bahoruco, Barahona, hondo valle, los fríos e independencia.</t>
  </si>
  <si>
    <t>Taller sobre no embarazo en la adolescencia, dirigido a; jóvenes de las comunidades en la jurisdicción del proyecto, a realizarse en los centros educativos.</t>
  </si>
  <si>
    <t>Taller sobre elaboración de abono orgánico; a productores de los proyectos las cañitas, los fríos, hondo valle y sabaneta.</t>
  </si>
  <si>
    <t>Taller sobre desarrollo rural sostenible y seguridad alimentaria, dirigido a; a técnicos, facilitadores y productores de los proyectos Barahona, Bahoruco e independencia.</t>
  </si>
  <si>
    <t>Talleres sobre igualdad o equidad de género, dirigido a; dirigido a beneficiarios y facilitadores de los proyectos Barahona, independencia, las cañitas, Bahoruco, hondo valle, los fríos.</t>
  </si>
  <si>
    <t>Taller sobre plagas y enfermedades del café, dirigido a; beneficiarios. De los proyectos Bahoruco, independencia, Barahona, las cañitas, los fríos, sabaneta y hondo valle.</t>
  </si>
  <si>
    <t>Talleres sobre gestión de riesgos, dirigido a; técnicos de los proyectos Barahona, Bahoruco, independencia, las cañitas, los fríos y hondo valle.</t>
  </si>
  <si>
    <t>Taller sobre desarrollo rural sostenible y seguridad alimentaria, dirigido; a beneficiarios y miembros de asociaciones de los proyectos Barahona, Bahoruco e independencia.</t>
  </si>
  <si>
    <t>Talleres sobre agricultura sostenible, dirigido a: Beneficiarios de los proyectos Barahona, Bahoruco, independencia, las cañitas, los fríos, hondo valle, sabaneta.</t>
  </si>
  <si>
    <t>Taller sobre asociaciones y cooperativas, dirigido a: lideres comunitarios de los proyectos sabaneta, hondo valle y Barahona.</t>
  </si>
  <si>
    <t xml:space="preserve">Taller sobre asociaciones y cooperativas, dirigido a: lideres comunitarios de los proyectos los fríos, las cañitas, hondo valle e independencia. </t>
  </si>
  <si>
    <t xml:space="preserve">Taller sobre áreas protegidas, dirigido a: beneficiarios del proyecto independencia, Bahoruco y las cañitas. </t>
  </si>
  <si>
    <t>Taller sobre incendios y bomberos forestales, dirigido a: brigadistas y beneficiarios del proyecto los fríos, independencia y Barahona.</t>
  </si>
  <si>
    <t xml:space="preserve">Proceso de compra a iniciar en enero 2023
Se trata material gastable que será utilizado para las capacitaciones. 
Estos materiales ya fueron solicitados al Departamento de Compras por el Deprtamento de Capacitación.
</t>
  </si>
  <si>
    <t>Proceso de compras para iniciar en enero 2023.  Este combustible será utilizados en diferentes capacitaciones.
Este combustible ya fue solicitado por el Departamento de Capacitaciones al Departamento de Compras.por un monto total de RD$412,500.00
Dar seguimiento al proceso de compras 
Para el primer trimestre estará garantizado a través del abastecimiento que tenemos hasta finales de marzo/2023.</t>
  </si>
  <si>
    <t xml:space="preserve">Adquisición de equipos tecnologicos </t>
  </si>
  <si>
    <t>Proceso iniciado en enero 2023</t>
  </si>
  <si>
    <t xml:space="preserve">Adquisición de productos eléctricos </t>
  </si>
  <si>
    <t xml:space="preserve">Adquisición almuezos empacados </t>
  </si>
  <si>
    <t>Orden de Servicio</t>
  </si>
  <si>
    <t xml:space="preserve">Adquisición de almuerzos empacados </t>
  </si>
  <si>
    <t xml:space="preserve">Proceso a ser iniciado en enero 2023, corresponde a alimentos crudos </t>
  </si>
  <si>
    <t>Taller sobre desarrollo rural sostenible y seguridad alimentaria, dirigido a; a productores de los proyectos las cañitas los fríos.</t>
  </si>
  <si>
    <t xml:space="preserve"> 58-59-60-62-64</t>
  </si>
  <si>
    <t xml:space="preserve"> 58-59-60-62-63</t>
  </si>
  <si>
    <t xml:space="preserve"> 58-59-60-61-62</t>
  </si>
  <si>
    <t xml:space="preserve"> 58-59-60-61-62-63</t>
  </si>
  <si>
    <t xml:space="preserve"> 60-61-64</t>
  </si>
  <si>
    <t>58-59-60-61-62-63</t>
  </si>
  <si>
    <t>58-59-60-61-62-63-64</t>
  </si>
  <si>
    <t>58-59-60-61-62-64</t>
  </si>
  <si>
    <t>58-59-62-63</t>
  </si>
  <si>
    <t>58-60-61-62-63-64</t>
  </si>
  <si>
    <t>58-59-60</t>
  </si>
  <si>
    <t>59-62-63-64</t>
  </si>
  <si>
    <t>61-63-64</t>
  </si>
  <si>
    <t>60-62-64</t>
  </si>
  <si>
    <t>Talleres sobre educación ambiental para el desarrollo humano y cambio climático, dirigido; a beneficiarios de los proyectos hondo valle, sabaneta, barahona, Los Frios e Independencia</t>
  </si>
  <si>
    <t>Talleres sobre técnicas básicas de control de incendios forestales, dirigido; a beneficiarios y para técnicos de los proyectos  hondo valle, Sabaneta, Barahona, Los Frios y Las Cañitas</t>
  </si>
  <si>
    <t xml:space="preserve">Charlas manejo económico y financiero dirigido; a beneficiario y facilitadores, de los proyectos Hondo valle, Sabaneta, Barahona, Bahoruco y Los Frios </t>
  </si>
  <si>
    <t>Taller sobre agricultura sostenible dirigido; a técnicos, facilitadores y beneficiarios, de los proyectos  hondo valle, Sabaneta, Barahona, Bahoruco, Los Frios y Las Cañitas</t>
  </si>
  <si>
    <t xml:space="preserve">Taller sobre elaboración de abono orgánico, dirigido: a beneficiarios y facilitadores de los proyectos Barahona, Bahoruco e Indepedencia </t>
  </si>
  <si>
    <t xml:space="preserve">Taller sobre desarrollo de habilidades sociales y colectivas, dirigido a:  beneficiarios y asociaciones y cooperativas de los proyectos Barahona, Bahoruco e Independencia </t>
  </si>
  <si>
    <t xml:space="preserve">Taller sobre desarrollo rural sostenible y seguridad alimentaria, dirigido a; a productores de hondo valle y Sabaneta </t>
  </si>
  <si>
    <t>Taller sobre desarrollo rural sostenible y seguridad alimentaria, dirigida a; productores de Juan Santiago.</t>
  </si>
  <si>
    <t>Esta capacitación será impartida desde el 20/02/2023 al 28/02/2023</t>
  </si>
  <si>
    <t>Esta capacitación será impartida desde el 02/05/2023 al 31/05/2023</t>
  </si>
  <si>
    <t>Esta capacitación será impartida desde el 06/06/2023 al 16/06/2023</t>
  </si>
  <si>
    <t xml:space="preserve">Jovenes </t>
  </si>
  <si>
    <t>Esta capacitación será impartida desde el 04/07/2023 al 30/07/2023</t>
  </si>
  <si>
    <t>Esta capacitación será impartida desde el 19/06/2023 al 30/06/2023</t>
  </si>
  <si>
    <t>Esta capacitación será impartida desde el 21/07/2023 al 30/07/2023</t>
  </si>
  <si>
    <t xml:space="preserve">Benefiiarios </t>
  </si>
  <si>
    <t>Esta capacitación será impartida desde el 01/08/2023 al 18/08/2023</t>
  </si>
  <si>
    <t>Esta capacitación será impartida desde el 04/09/2023 al 15/09/2023</t>
  </si>
  <si>
    <t>Esta capacitación será impartida desde el 18/09/2023 al 29/09/2023</t>
  </si>
  <si>
    <t>Esta capacitación será impartida desde el 05/10/2023 al 13/10/2023</t>
  </si>
  <si>
    <t>Esta capacitación será impartida desde el 16/10/2023 al 21/10/2023</t>
  </si>
  <si>
    <t>Esta capacitación será impartida desde el 01/11/2023 al 17/11/2023</t>
  </si>
  <si>
    <t>Esta capacitación será impartida desde el 21/11/2023 al 30/11/2023</t>
  </si>
  <si>
    <t>Materiales gastables de oficina</t>
  </si>
  <si>
    <t>Orden de compra</t>
  </si>
  <si>
    <t xml:space="preserve">Proceso de compra a iniciar en enero 2023
</t>
  </si>
  <si>
    <t xml:space="preserve">Almuerzo y/o refrigerios empacados </t>
  </si>
  <si>
    <t>Contratación de Servicios a iniciar en enero 2023</t>
  </si>
  <si>
    <r>
      <t xml:space="preserve">Esta actividad tiene un monto total de RD$250,000.00 para todo el año para ser usados en las capacitaciones programadas por Francisco. 
(estos fondos corresponden a la partida agrupada de </t>
    </r>
    <r>
      <rPr>
        <sz val="11"/>
        <color rgb="FFFF0000"/>
        <rFont val="Calibri"/>
        <family val="2"/>
      </rPr>
      <t>RD$32,400,000.00)</t>
    </r>
  </si>
  <si>
    <t xml:space="preserve">Proceso de licitación </t>
  </si>
  <si>
    <t>Ver Planificación detallada del Departamento de Capacitación.</t>
  </si>
  <si>
    <t xml:space="preserve">Joselo </t>
  </si>
  <si>
    <t>Encargado de Almacen</t>
  </si>
  <si>
    <t xml:space="preserve">orden de servicios </t>
  </si>
  <si>
    <t xml:space="preserve">Joselo/Evelyn/Luis Vásquez </t>
  </si>
  <si>
    <t>Orden de Comrpas</t>
  </si>
  <si>
    <t>Adquisición de T-Shirt, gorra</t>
  </si>
  <si>
    <t xml:space="preserve">Almacen </t>
  </si>
  <si>
    <t xml:space="preserve">Evelyn Fernnadez </t>
  </si>
  <si>
    <t xml:space="preserve">Administración </t>
  </si>
  <si>
    <t xml:space="preserve">Administrativo </t>
  </si>
  <si>
    <t xml:space="preserve">Proceso de contratación de servicios solicitado por la Gerencia de Operaciones para el mes de febrero/2023, la ejecución del contrato se estaria realizando en el segundo trimestre. 
Seguimiento Catano y Mayreni
</t>
  </si>
  <si>
    <t xml:space="preserve">Capacitacion de Ana Esther </t>
  </si>
  <si>
    <t xml:space="preserve">Combustible de Ana Esther </t>
  </si>
  <si>
    <t>Contrtación de servicios para realizar letreros para delimitación de áreas de APS</t>
  </si>
  <si>
    <t>Combustible para Ana Esther</t>
  </si>
  <si>
    <t xml:space="preserve">Caraciones alimenticias para impartir capacitación </t>
  </si>
  <si>
    <t>Pago de incentivos a beneficairios durante el periodo enero-diciembre/2023</t>
  </si>
  <si>
    <t>Adquiición de alimentos y bebidas (Compras)</t>
  </si>
  <si>
    <t>Nóminas erogadas 2023</t>
  </si>
  <si>
    <t>Contratación de 2 tecnicos para el Departamento de Compras</t>
  </si>
  <si>
    <t>Regalia para los dos técnicos que se tiene que contratar en Compras</t>
  </si>
  <si>
    <t>Ver requerimiento del Departamento de comunicación</t>
  </si>
  <si>
    <t>Equipos técnológicos para el Departamento de Comunicaciones (ver requerimientos)</t>
  </si>
  <si>
    <t>Adquisición de equipos y aparatos audiovisuales</t>
  </si>
  <si>
    <t>Herramientas menores</t>
  </si>
  <si>
    <t>Corresponde a máquina de botones (remachadora)</t>
  </si>
  <si>
    <t xml:space="preserve">Adquisición de T-SHIRT y Gorras para el Departamento de Beneficiario, comunicaciones </t>
  </si>
  <si>
    <t>Adquisición de repuestos para equipo</t>
  </si>
  <si>
    <t xml:space="preserve">Servicio de capacitación </t>
  </si>
  <si>
    <t>ver requerimiento del Departamento de Almacen</t>
  </si>
  <si>
    <t xml:space="preserve">Ver requerimeinto de Departamento de Almacen </t>
  </si>
  <si>
    <t xml:space="preserve">Alimentos y bebidas para personas </t>
  </si>
  <si>
    <t>Ver requerimiento de la Coordinación Interinstitucional</t>
  </si>
  <si>
    <t>Ver requerimiento de la Coordinación Interinstitucional, se planificó contratar una firma para la elaboración del Plan</t>
  </si>
  <si>
    <t xml:space="preserve">Impresión, Encuadernación y rotulación </t>
  </si>
  <si>
    <t>58-66</t>
  </si>
  <si>
    <t xml:space="preserve">Servicio de rotulación de vehiculos </t>
  </si>
  <si>
    <t xml:space="preserve">Ver requerimiento del Departamento de Coordinación Institucional </t>
  </si>
  <si>
    <t>58-67</t>
  </si>
  <si>
    <t xml:space="preserve">Mobiliarios </t>
  </si>
  <si>
    <t>Contratación de un técnico del Departamento coordinación institucional, ver requerimiento del area</t>
  </si>
  <si>
    <t>Contratación de un gerente del Departamento coordinación institucional, ver requerimiento del area</t>
  </si>
  <si>
    <t xml:space="preserve">Publicidad </t>
  </si>
  <si>
    <t>58-68</t>
  </si>
  <si>
    <t xml:space="preserve">Ver requerimiento de la Coordinación Interinstitucional (media tours, </t>
  </si>
  <si>
    <t>58-69</t>
  </si>
  <si>
    <t>Contratación de servicios de alimentos, refrigerios</t>
  </si>
  <si>
    <t xml:space="preserve">Acabados textiles </t>
  </si>
  <si>
    <t>Corresponde a compras de toallas de baños del director</t>
  </si>
  <si>
    <t xml:space="preserve">Ver requerimeinto de la Dirección Ejecutiva </t>
  </si>
  <si>
    <t xml:space="preserve">Contratación de servicios elaboración tarjetas de presentación </t>
  </si>
  <si>
    <t>Ver requerimeinto de Departamento de Almacen, Dirección Ejecutiva</t>
  </si>
  <si>
    <t>Contratación de una Analista Dirección Ejecutiva</t>
  </si>
  <si>
    <t xml:space="preserve">Corresponde al pago de la firma auditora BDO </t>
  </si>
  <si>
    <t xml:space="preserve">Adquisición de contenedores plasticos para organizar expediente , Departamento de Finanzas </t>
  </si>
  <si>
    <t xml:space="preserve">Contratación de un técnico del Departamento de comunicación, contrtación de un Encargado de Presupuesto Departamento de Finanzas </t>
  </si>
  <si>
    <t xml:space="preserve">Adquisición de alimentos crudos para las brigadas requeridos por la Gerencia de Operaciones </t>
  </si>
  <si>
    <t xml:space="preserve">Adquisición productos eléctricos </t>
  </si>
  <si>
    <t xml:space="preserve">Requerimeinto de consultoria jurídica </t>
  </si>
  <si>
    <t>Servicios juridicos (Actos de alguacil, legalización de contrtaos, procesos de litigio)</t>
  </si>
  <si>
    <t xml:space="preserve">Viáticos </t>
  </si>
  <si>
    <t xml:space="preserve">Adquisición de accesorios </t>
  </si>
  <si>
    <t xml:space="preserve">Requerimeinto de protocolo </t>
  </si>
  <si>
    <t>Requerimeinto de protocolo</t>
  </si>
  <si>
    <t>Materiales de limpiezas</t>
  </si>
  <si>
    <t>Requerimiento de protocolo</t>
  </si>
  <si>
    <t xml:space="preserve">Publicidad y Propaganda </t>
  </si>
  <si>
    <t xml:space="preserve">Utiles de Cocina </t>
  </si>
  <si>
    <t>Requerimeinto protocolo</t>
  </si>
  <si>
    <t xml:space="preserve">viaticos </t>
  </si>
  <si>
    <t xml:space="preserve">Adquisición de mochilas </t>
  </si>
  <si>
    <t>Requeridas por Monitoreo</t>
  </si>
  <si>
    <t xml:space="preserve">Adquisición de Thermos </t>
  </si>
  <si>
    <t>Requeridos por monitoreo</t>
  </si>
  <si>
    <t>Adquisición de botas</t>
  </si>
  <si>
    <t xml:space="preserve">Ver requerimiento de Monitoreo </t>
  </si>
  <si>
    <t>Corresponde al pago del Consorcio OP Owasldo Patiño</t>
  </si>
  <si>
    <t>Esta partida corresponde al último pago a la empresa POLYCANA
Pago del 2do Producto 10% - RD$3,560,000.00 REALIZADO
Pago del 3er Producto 15% - RD$5,340,000.00 REALIZADO
Pago del 4to Producto 45% -
Pago del 4to Producto 10%</t>
  </si>
  <si>
    <t>Requerimiento de monitoreo</t>
  </si>
  <si>
    <t>Requerida por Monitoreo</t>
  </si>
  <si>
    <t>Corresponde a requerimeinto de monitoreo</t>
  </si>
  <si>
    <t>Alimentos empacados inducción nuevos técnicos</t>
  </si>
  <si>
    <t>Este monto se distribuye de la siguiente forma: RD$2,800.00 X 3 personas X 26 días X 12 meses = RD$2,620,800.00
Viaticos de los GEOS y compensaciones</t>
  </si>
  <si>
    <t>Alimentos y bebidas para personas (almuerzos, refrigerios y otros)</t>
  </si>
  <si>
    <t>Recursos Humanos</t>
  </si>
  <si>
    <t xml:space="preserve">Requerimeinto de Recursos Humanos </t>
  </si>
  <si>
    <t>Contratación de servicio de carnet</t>
  </si>
  <si>
    <t>Materiales de limpieza e Higuienes</t>
  </si>
  <si>
    <t>Recuros Humanos</t>
  </si>
  <si>
    <t xml:space="preserve">Productos y utiles diversos </t>
  </si>
  <si>
    <t xml:space="preserve">Adquisición de combustible Administrativo, Beneficiarios, comunicaciones, coordinación interinstitucional, Juridica, monitoreo, seguridad </t>
  </si>
  <si>
    <t xml:space="preserve">Reparaciones de seguridad de la institución </t>
  </si>
  <si>
    <t xml:space="preserve">Adquisición equipos de seguridad </t>
  </si>
  <si>
    <t xml:space="preserve">Requerimiento de seguridad </t>
  </si>
  <si>
    <t>Adquisición de botas y capas impermeables para beneficiarios, requerimiento del Departamento de Seguridad (insignia, sello de ERD, sellos para chamaco), chamaco, gorras, uniforme, etc.</t>
  </si>
  <si>
    <t>Requerimeinto de seguuridad (Motor electrico para porton)</t>
  </si>
  <si>
    <t>Requerimiento de seguridad (Sirena, sistema de alarma)</t>
  </si>
  <si>
    <t>Recursos Humanos, Servicios Generales</t>
  </si>
  <si>
    <t>Contratación de servicios de gas propano</t>
  </si>
  <si>
    <t>Requerimiento de Servicios Generales</t>
  </si>
  <si>
    <t>Corresponde a máquina de botones (remachadora), Servicios Generales</t>
  </si>
  <si>
    <t xml:space="preserve">Rotulación de las oficinas </t>
  </si>
  <si>
    <t xml:space="preserve">Adquisición de materiales para mantenimiento y construcción </t>
  </si>
  <si>
    <t>Corresponde a materiales para mantenimiento y construcción requeridos por el Departamento de Servicios Generales</t>
  </si>
  <si>
    <t xml:space="preserve">Contemplados requerimeintos de Almacen, corresponde a material de limpieza, utiles de cocina, Dirección ejecutiva, Servicios Gnerales </t>
  </si>
  <si>
    <t>Requerimiento de servicios generales</t>
  </si>
  <si>
    <t>Ver requerimiento del Departamento de Almacen (vasos desechables) para palominos y PDA, Servicios Gnerales</t>
  </si>
  <si>
    <t>Requerimiento de TI</t>
  </si>
  <si>
    <t xml:space="preserve">Adquisición de Herramientas menores </t>
  </si>
  <si>
    <t xml:space="preserve">Adquisición de equipos eléctricos </t>
  </si>
  <si>
    <t xml:space="preserve">Servicios de Capacitación </t>
  </si>
  <si>
    <t>Viáticos por un año  Administrativo, beneficiarios, comunicaciones, almacen, coordinación, monitoreo, GIS, seguridad, TI</t>
  </si>
  <si>
    <t xml:space="preserve">Requerimiento de consultoria jurídica </t>
  </si>
  <si>
    <t xml:space="preserve">Requerimiento Transportación </t>
  </si>
  <si>
    <t xml:space="preserve">Adquisición herramientas menores </t>
  </si>
  <si>
    <t xml:space="preserve">Ver requerimiento de la Coordinación Interinstitucional, transportación </t>
  </si>
  <si>
    <t>Requerimiento de transportanción</t>
  </si>
  <si>
    <t xml:space="preserve">Requerimiento de Transportación </t>
  </si>
  <si>
    <t xml:space="preserve">Requerimeinto de Transportación </t>
  </si>
  <si>
    <t xml:space="preserve">Contratación de la firma de evaluación final y la de impacto </t>
  </si>
  <si>
    <t>Requerimiento de la Gerencia de Operaciones</t>
  </si>
  <si>
    <t>Plan de mejora sugerido en la Evaluación de Medio Término</t>
  </si>
  <si>
    <t xml:space="preserve">Contratación de servicios de consultoria Gestión a las Sistematización </t>
  </si>
  <si>
    <t>Ver requerimiento Gerencia de Operaciones</t>
  </si>
  <si>
    <t>Requerimiento Gerencia de Operaciones</t>
  </si>
  <si>
    <t xml:space="preserve">Ver planificación de Almacen, Juridica, monitoreo, Servicios Generales, Gerencia de Operaciones </t>
  </si>
  <si>
    <t>Requerimiento Gerencia ed Operaciones</t>
  </si>
  <si>
    <t>Ver requerimiento de Almacen (Solicita alimentos y bebidas para los 7 PDA y Palomino, Gerencia de Operaciones</t>
  </si>
  <si>
    <t>Requerimeinto Gerencia de Operaciones</t>
  </si>
  <si>
    <t>Adquisición de material gastable de Activo Fijos, administrativo, beneficiario, compras, comunicaciones, Almace para la sede central y 7 PDA, Dirección Ejecutiva, Finanzas, Jurídica, planificación, protocolo, monitoreo, Recursos Humanos, Seguridad, Gerencia de Operaciones, Nóminas</t>
  </si>
  <si>
    <t>Adquisición de equipos tecnológicos: Activo Fijo, administrativo, beneficiario, coordinación interinstitucional, Dirección Ejecutiva, Finanzas, jurídica, Monitoreo, Recursos Humanos, TI, transportación, nóminas</t>
  </si>
  <si>
    <t>Ver Planificación detallada del Departamento de Capacitación, Compras y Contrataciones, comunicaciones, cooperativa, Dirección Ejecutiva, Planificación, transportación, Nóminas</t>
  </si>
  <si>
    <t>Recuros Humanos, Nóminas</t>
  </si>
  <si>
    <t>Pago nómina seguridad de palomino</t>
  </si>
  <si>
    <t xml:space="preserve">Nómina de personal militar funcionaes adminsitrativas </t>
  </si>
  <si>
    <t>UNIDAD TECNICA EJECUTORA DE PROYECTOS 
DE DESARROLLO AGROFORESTAL</t>
  </si>
  <si>
    <t>Componente 1</t>
  </si>
  <si>
    <t>Producto 1</t>
  </si>
  <si>
    <t>Producto 2</t>
  </si>
  <si>
    <t>Producto 3</t>
  </si>
  <si>
    <t>Producto 4</t>
  </si>
  <si>
    <t>Producto 5</t>
  </si>
  <si>
    <t>Producto 6</t>
  </si>
  <si>
    <t>Producto 7</t>
  </si>
  <si>
    <t>Producto 8</t>
  </si>
  <si>
    <t>Producto 9</t>
  </si>
  <si>
    <t>Producto 10</t>
  </si>
  <si>
    <t>Componente 2</t>
  </si>
  <si>
    <t>Componente 3</t>
  </si>
  <si>
    <t>Componente 4</t>
  </si>
  <si>
    <t>Componente 5</t>
  </si>
  <si>
    <t>POA 2023 DIGEPRES
 MONTO: RD$ 1,500,000,000,000.00</t>
  </si>
  <si>
    <t xml:space="preserve">Contratación de servicios de fumigación </t>
  </si>
  <si>
    <t>Requerimiento Administrativo</t>
  </si>
  <si>
    <t>Contratación de servicios (tintato-servicios de laminados)</t>
  </si>
  <si>
    <t xml:space="preserve">Combustible para titulación de conformidad con lo requerido </t>
  </si>
  <si>
    <t>Viaticos de titulación</t>
  </si>
  <si>
    <t>Adquisición de memoria USB 32 GB,  Pantalla Klipx para proyector y Scanner
requerido por el Depto de Capacitación</t>
  </si>
  <si>
    <t>Adquisición de equipos mobiliarios  Activo Fijo, administrativo, beneficiarios, compras, comunicaciones, Dirección Ejecutiva, Jurídica, Planificación, Protocolo, monitoreo, Recursos Humanos, transportación, Nóminas</t>
  </si>
  <si>
    <t>No. Institucional informes</t>
  </si>
  <si>
    <t>Carmen Cordero.</t>
  </si>
  <si>
    <t>Adquisición de alimentos y bebidas (centro de palomino y Sede Central)</t>
  </si>
  <si>
    <t>Ver requerimeinto del Departamento de Almacen/Administrativo</t>
  </si>
  <si>
    <t>Eridania Gomzalez</t>
  </si>
  <si>
    <t>Campaña previa a los trabajos de titulación - Cuenca Las Cañitas: Alimentos del evento final- Pendiente contrato con Glenny Congnis Matos Diaz (UTEPDA-DAF-CM-2022-0015) - ALIMENTOS CRUDOS
Campaña previa a los trabajos de titulación - Cuenca Las Cañitas: Montaje de evento final - Pendiente contrato con Ricos Buffet, SRL (UTEPDA-DAF-CM-2022-0016) - MONTAJE DE EVENTOS
INTEGRAR SOLICITUD DE MAYDRI TELEPRONTER</t>
  </si>
  <si>
    <t>Requerimiento de protocolo (astas, maceteros y plantas artificiales)</t>
  </si>
  <si>
    <t>Requerimeinto de Protocolo pantalla 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</si>
</sst>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dd\-mm\-yy"/>
    <numFmt numFmtId="165" formatCode="_([$€-2]* #,##0.00_);_([$€-2]* \(#,##0.00\);_([$€-2]* &quot;-&quot;??_)"/>
    <numFmt numFmtId="166" formatCode="_-* #,##0.00_-;\-* #,##0.00_-;_-* &quot;-&quot;??_-;_-@_-"/>
    <numFmt numFmtId="167" formatCode="d&quot; de &quot;mmmm&quot; de &quot;yyyy"/>
    <numFmt numFmtId="168" formatCode="_-* #,##0_-;\-* #,##0_-;_-* &quot;-&quot;??_-;_-@_-"/>
    <numFmt numFmtId="169" formatCode="#,##0.00000"/>
    <numFmt numFmtId="170" formatCode="0.0%"/>
    <numFmt numFmtId="171" formatCode="#,##0.0000000"/>
  </numFmts>
  <fonts count="62" x14ac:knownFonts="1">
    <font>
      <sz val="11"/>
      <color theme="1"/>
      <name val="Calibri"/>
      <family val="2"/>
      <scheme val="minor"/>
    </font>
    <font>
      <sz val="11"/>
      <color theme="1"/>
      <name val="Calibri"/>
      <family val="2"/>
      <scheme val="minor"/>
    </font>
    <font>
      <sz val="10"/>
      <color rgb="FF000000"/>
      <name val="Arial"/>
      <family val="2"/>
    </font>
    <font>
      <b/>
      <sz val="11"/>
      <color theme="1"/>
      <name val="Calibri"/>
      <family val="2"/>
    </font>
    <font>
      <sz val="11"/>
      <color theme="1"/>
      <name val="Calibri"/>
      <family val="2"/>
    </font>
    <font>
      <sz val="11"/>
      <color rgb="FF000000"/>
      <name val="Calibri"/>
      <family val="2"/>
    </font>
    <font>
      <sz val="11"/>
      <color rgb="FFFFFFFF"/>
      <name val="Calibri"/>
      <family val="2"/>
    </font>
    <font>
      <sz val="11"/>
      <color theme="0"/>
      <name val="Calibri"/>
      <family val="2"/>
    </font>
    <font>
      <b/>
      <sz val="11"/>
      <color theme="0"/>
      <name val="Calibri"/>
      <family val="2"/>
    </font>
    <font>
      <b/>
      <sz val="11"/>
      <color rgb="FF000000"/>
      <name val="Calibri"/>
      <family val="2"/>
    </font>
    <font>
      <sz val="11"/>
      <color rgb="FF000000"/>
      <name val="Calibri"/>
      <family val="2"/>
      <scheme val="minor"/>
    </font>
    <font>
      <b/>
      <sz val="11"/>
      <color rgb="FFFFFFFF"/>
      <name val="Calibri"/>
      <family val="2"/>
    </font>
    <font>
      <sz val="10"/>
      <color rgb="FF000000"/>
      <name val="Calibri"/>
      <family val="2"/>
      <scheme val="minor"/>
    </font>
    <font>
      <b/>
      <sz val="11"/>
      <color rgb="FF000000"/>
      <name val="Calibri"/>
      <family val="2"/>
      <scheme val="minor"/>
    </font>
    <font>
      <sz val="11"/>
      <name val="Calibri"/>
      <family val="2"/>
    </font>
    <font>
      <sz val="11"/>
      <color rgb="FFFF0000"/>
      <name val="Calibri"/>
      <family val="2"/>
    </font>
    <font>
      <b/>
      <sz val="11"/>
      <name val="Calibri"/>
      <family val="2"/>
    </font>
    <font>
      <sz val="11"/>
      <name val="Calibri"/>
      <family val="2"/>
      <scheme val="minor"/>
    </font>
    <font>
      <b/>
      <sz val="9"/>
      <color indexed="81"/>
      <name val="Tahoma"/>
      <family val="2"/>
    </font>
    <font>
      <sz val="9"/>
      <color indexed="81"/>
      <name val="Tahoma"/>
      <family val="2"/>
    </font>
    <font>
      <b/>
      <sz val="11"/>
      <color theme="0"/>
      <name val="Calibri"/>
      <family val="2"/>
      <scheme val="minor"/>
    </font>
    <font>
      <sz val="11"/>
      <color rgb="FFFF0000"/>
      <name val="Calibri"/>
      <family val="2"/>
      <scheme val="minor"/>
    </font>
    <font>
      <b/>
      <sz val="11"/>
      <color theme="1"/>
      <name val="Calibri"/>
      <family val="2"/>
      <scheme val="minor"/>
    </font>
    <font>
      <b/>
      <sz val="11"/>
      <name val="Calibri"/>
      <family val="2"/>
      <scheme val="minor"/>
    </font>
    <font>
      <b/>
      <sz val="11"/>
      <color rgb="FFFFFFFF"/>
      <name val="Calibri"/>
      <family val="2"/>
      <scheme val="minor"/>
    </font>
    <font>
      <b/>
      <sz val="11"/>
      <color theme="4" tint="-0.499984740745262"/>
      <name val="Calibri"/>
      <family val="2"/>
    </font>
    <font>
      <b/>
      <sz val="11"/>
      <color theme="4" tint="-0.499984740745262"/>
      <name val="Calibri"/>
      <family val="2"/>
      <scheme val="minor"/>
    </font>
    <font>
      <sz val="11"/>
      <color theme="0"/>
      <name val="Calibri"/>
      <family val="2"/>
      <scheme val="minor"/>
    </font>
    <font>
      <b/>
      <sz val="16"/>
      <color theme="1"/>
      <name val="Calibri"/>
      <family val="2"/>
      <scheme val="minor"/>
    </font>
    <font>
      <b/>
      <sz val="20"/>
      <color theme="0"/>
      <name val="Calibri"/>
      <family val="2"/>
      <scheme val="minor"/>
    </font>
    <font>
      <b/>
      <sz val="12"/>
      <color theme="0"/>
      <name val="Calibri"/>
      <family val="2"/>
      <scheme val="minor"/>
    </font>
    <font>
      <b/>
      <sz val="11"/>
      <color theme="9" tint="-0.499984740745262"/>
      <name val="Calibri"/>
      <family val="2"/>
    </font>
    <font>
      <b/>
      <sz val="12"/>
      <color rgb="FF000000"/>
      <name val="Calibri"/>
      <family val="2"/>
    </font>
    <font>
      <sz val="12"/>
      <color rgb="FF000000"/>
      <name val="Calibri"/>
      <family val="2"/>
    </font>
    <font>
      <sz val="12"/>
      <name val="Calibri"/>
      <family val="2"/>
    </font>
    <font>
      <b/>
      <sz val="12"/>
      <name val="Calibri"/>
      <family val="2"/>
    </font>
    <font>
      <sz val="12"/>
      <color theme="1"/>
      <name val="Calibri"/>
      <family val="2"/>
    </font>
    <font>
      <b/>
      <sz val="12"/>
      <color rgb="FF000000"/>
      <name val="Calibri"/>
      <family val="2"/>
      <scheme val="minor"/>
    </font>
    <font>
      <sz val="12"/>
      <color rgb="FF000000"/>
      <name val="Calibri"/>
      <family val="2"/>
      <scheme val="minor"/>
    </font>
    <font>
      <sz val="12"/>
      <color theme="1"/>
      <name val="Calibri"/>
      <family val="2"/>
      <scheme val="minor"/>
    </font>
    <font>
      <b/>
      <sz val="12"/>
      <color theme="4" tint="-0.499984740745262"/>
      <name val="Calibri"/>
      <family val="2"/>
    </font>
    <font>
      <sz val="12"/>
      <color rgb="FFFF0000"/>
      <name val="Calibri"/>
      <family val="2"/>
    </font>
    <font>
      <sz val="11"/>
      <color theme="4" tint="-0.499984740745262"/>
      <name val="Calibri"/>
      <family val="2"/>
    </font>
    <font>
      <sz val="11"/>
      <color theme="9" tint="-0.499984740745262"/>
      <name val="Calibri"/>
      <family val="2"/>
    </font>
    <font>
      <b/>
      <sz val="12"/>
      <name val="Calibri"/>
      <family val="2"/>
      <scheme val="minor"/>
    </font>
    <font>
      <b/>
      <sz val="11"/>
      <color theme="9" tint="-0.499984740745262"/>
      <name val="Calibri"/>
      <family val="2"/>
      <scheme val="minor"/>
    </font>
    <font>
      <b/>
      <sz val="11"/>
      <color rgb="FFFF0000"/>
      <name val="Calibri"/>
      <family val="2"/>
    </font>
    <font>
      <b/>
      <sz val="11"/>
      <color rgb="FFFF0000"/>
      <name val="Calibri"/>
      <family val="2"/>
      <scheme val="minor"/>
    </font>
    <font>
      <sz val="16"/>
      <color rgb="FF000000"/>
      <name val="Calibri"/>
      <family val="2"/>
    </font>
    <font>
      <sz val="16"/>
      <color theme="9" tint="-0.499984740745262"/>
      <name val="Calibri"/>
      <family val="2"/>
    </font>
    <font>
      <sz val="14"/>
      <color rgb="FF000000"/>
      <name val="Calibri"/>
      <family val="2"/>
    </font>
    <font>
      <sz val="12"/>
      <color rgb="FFFF0000"/>
      <name val="Calibri"/>
      <family val="2"/>
      <scheme val="minor"/>
    </font>
    <font>
      <sz val="12"/>
      <name val="Calibri"/>
      <family val="2"/>
      <scheme val="minor"/>
    </font>
    <font>
      <b/>
      <sz val="12"/>
      <color theme="1"/>
      <name val="Calibri"/>
      <family val="2"/>
      <scheme val="minor"/>
    </font>
    <font>
      <b/>
      <sz val="11"/>
      <color theme="7" tint="-0.499984740745262"/>
      <name val="Calibri"/>
      <family val="2"/>
    </font>
    <font>
      <sz val="11"/>
      <color theme="7" tint="-0.499984740745262"/>
      <name val="Calibri"/>
      <family val="2"/>
    </font>
    <font>
      <b/>
      <sz val="18"/>
      <color theme="1"/>
      <name val="Calibri"/>
      <family val="2"/>
      <scheme val="minor"/>
    </font>
    <font>
      <sz val="14"/>
      <color theme="4" tint="-0.499984740745262"/>
      <name val="Calibri"/>
      <family val="2"/>
    </font>
    <font>
      <sz val="14"/>
      <color theme="9" tint="-0.499984740745262"/>
      <name val="Calibri"/>
      <family val="2"/>
    </font>
    <font>
      <sz val="11"/>
      <color theme="7" tint="-0.499984740745262"/>
      <name val="Calibri"/>
      <family val="2"/>
      <scheme val="minor"/>
    </font>
    <font>
      <sz val="11"/>
      <color theme="9" tint="-0.499984740745262"/>
      <name val="Calibri"/>
      <family val="2"/>
      <scheme val="minor"/>
    </font>
    <font>
      <sz val="11"/>
      <color theme="4" tint="-0.499984740745262"/>
      <name val="Calibri"/>
      <family val="2"/>
      <scheme val="minor"/>
    </font>
  </fonts>
  <fills count="39">
    <fill>
      <patternFill patternType="none"/>
    </fill>
    <fill>
      <patternFill patternType="gray125"/>
    </fill>
    <fill>
      <patternFill patternType="solid">
        <fgColor rgb="FFFFFF00"/>
        <bgColor indexed="64"/>
      </patternFill>
    </fill>
    <fill>
      <patternFill patternType="solid">
        <fgColor rgb="FF1E4E79"/>
        <bgColor rgb="FF1E4E79"/>
      </patternFill>
    </fill>
    <fill>
      <patternFill patternType="solid">
        <fgColor rgb="FF00B0F0"/>
        <bgColor rgb="FF00B0F0"/>
      </patternFill>
    </fill>
    <fill>
      <patternFill patternType="solid">
        <fgColor rgb="FF9CC2E5"/>
        <bgColor rgb="FF9CC2E5"/>
      </patternFill>
    </fill>
    <fill>
      <patternFill patternType="solid">
        <fgColor rgb="FFBDD6EE"/>
        <bgColor rgb="FFBDD6EE"/>
      </patternFill>
    </fill>
    <fill>
      <patternFill patternType="solid">
        <fgColor rgb="FFDEEAF6"/>
        <bgColor rgb="FFDEEAF6"/>
      </patternFill>
    </fill>
    <fill>
      <patternFill patternType="solid">
        <fgColor theme="0"/>
        <bgColor indexed="64"/>
      </patternFill>
    </fill>
    <fill>
      <patternFill patternType="solid">
        <fgColor theme="6" tint="0.59999389629810485"/>
        <bgColor indexed="64"/>
      </patternFill>
    </fill>
    <fill>
      <patternFill patternType="solid">
        <fgColor rgb="FF00B050"/>
        <bgColor indexed="64"/>
      </patternFill>
    </fill>
    <fill>
      <patternFill patternType="solid">
        <fgColor rgb="FF2F75B5"/>
        <bgColor rgb="FF2F75B5"/>
      </patternFill>
    </fill>
    <fill>
      <patternFill patternType="solid">
        <fgColor rgb="FF9BC2E6"/>
        <bgColor rgb="FF9BC2E6"/>
      </patternFill>
    </fill>
    <fill>
      <patternFill patternType="solid">
        <fgColor theme="4" tint="0.79998168889431442"/>
        <bgColor rgb="FFDDEBF7"/>
      </patternFill>
    </fill>
    <fill>
      <patternFill patternType="solid">
        <fgColor rgb="FFDDEBF7"/>
        <bgColor rgb="FFDDEBF7"/>
      </patternFill>
    </fill>
    <fill>
      <patternFill patternType="solid">
        <fgColor theme="0"/>
        <bgColor rgb="FFFFFFFF"/>
      </patternFill>
    </fill>
    <fill>
      <patternFill patternType="solid">
        <fgColor theme="0"/>
        <bgColor theme="0"/>
      </patternFill>
    </fill>
    <fill>
      <patternFill patternType="solid">
        <fgColor theme="0"/>
        <bgColor rgb="FFDDEBF7"/>
      </patternFill>
    </fill>
    <fill>
      <patternFill patternType="solid">
        <fgColor theme="4" tint="0.79998168889431442"/>
        <bgColor indexed="64"/>
      </patternFill>
    </fill>
    <fill>
      <patternFill patternType="solid">
        <fgColor rgb="FFFF0000"/>
        <bgColor indexed="64"/>
      </patternFill>
    </fill>
    <fill>
      <patternFill patternType="solid">
        <fgColor theme="4" tint="0.79998168889431442"/>
        <bgColor rgb="FF00B0F0"/>
      </patternFill>
    </fill>
    <fill>
      <patternFill patternType="solid">
        <fgColor rgb="FFFFC000"/>
        <bgColor indexed="64"/>
      </patternFill>
    </fill>
    <fill>
      <patternFill patternType="solid">
        <fgColor rgb="FFFFFF00"/>
        <bgColor rgb="FF9BC2E6"/>
      </patternFill>
    </fill>
    <fill>
      <patternFill patternType="solid">
        <fgColor theme="4" tint="0.39997558519241921"/>
        <bgColor rgb="FF9BC2E6"/>
      </patternFill>
    </fill>
    <fill>
      <patternFill patternType="solid">
        <fgColor theme="4" tint="0.39997558519241921"/>
        <bgColor indexed="64"/>
      </patternFill>
    </fill>
    <fill>
      <patternFill patternType="solid">
        <fgColor theme="4" tint="0.59999389629810485"/>
        <bgColor rgb="FFDDEBF7"/>
      </patternFill>
    </fill>
    <fill>
      <patternFill patternType="solid">
        <fgColor theme="2"/>
        <bgColor rgb="FF9BC2E6"/>
      </patternFill>
    </fill>
    <fill>
      <patternFill patternType="solid">
        <fgColor theme="2"/>
        <bgColor indexed="64"/>
      </patternFill>
    </fill>
    <fill>
      <patternFill patternType="solid">
        <fgColor rgb="FF002060"/>
        <bgColor indexed="64"/>
      </patternFill>
    </fill>
    <fill>
      <patternFill patternType="solid">
        <fgColor theme="5"/>
        <bgColor indexed="64"/>
      </patternFill>
    </fill>
    <fill>
      <patternFill patternType="solid">
        <fgColor theme="4"/>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9"/>
        <bgColor indexed="64"/>
      </patternFill>
    </fill>
    <fill>
      <patternFill patternType="solid">
        <fgColor rgb="FF7030A0"/>
        <bgColor indexed="64"/>
      </patternFill>
    </fill>
    <fill>
      <patternFill patternType="solid">
        <fgColor theme="5" tint="-0.249977111117893"/>
        <bgColor indexed="64"/>
      </patternFill>
    </fill>
  </fills>
  <borders count="39">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rgb="FF000000"/>
      </left>
      <right style="thin">
        <color rgb="FF000000"/>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thin">
        <color rgb="FF000000"/>
      </bottom>
      <diagonal/>
    </border>
    <border>
      <left style="thin">
        <color indexed="64"/>
      </left>
      <right style="medium">
        <color indexed="64"/>
      </right>
      <top style="thin">
        <color indexed="64"/>
      </top>
      <bottom style="medium">
        <color indexed="64"/>
      </bottom>
      <diagonal/>
    </border>
    <border>
      <left style="thin">
        <color rgb="FF000000"/>
      </left>
      <right/>
      <top/>
      <bottom/>
      <diagonal/>
    </border>
    <border>
      <left style="hair">
        <color indexed="64"/>
      </left>
      <right style="hair">
        <color indexed="64"/>
      </right>
      <top style="hair">
        <color indexed="64"/>
      </top>
      <bottom style="hair">
        <color indexed="64"/>
      </bottom>
      <diagonal/>
    </border>
    <border>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s>
  <cellStyleXfs count="6">
    <xf numFmtId="0" fontId="0" fillId="0" borderId="0"/>
    <xf numFmtId="43" fontId="1" fillId="0" borderId="0" applyFont="0" applyFill="0" applyBorder="0" applyAlignment="0" applyProtection="0"/>
    <xf numFmtId="0" fontId="2" fillId="0" borderId="0"/>
    <xf numFmtId="44" fontId="2" fillId="0" borderId="0" applyFont="0" applyFill="0" applyBorder="0" applyAlignment="0" applyProtection="0"/>
    <xf numFmtId="166" fontId="2" fillId="0" borderId="0" applyFont="0" applyFill="0" applyBorder="0" applyAlignment="0" applyProtection="0"/>
    <xf numFmtId="9" fontId="1" fillId="0" borderId="0" applyFont="0" applyFill="0" applyBorder="0" applyAlignment="0" applyProtection="0"/>
  </cellStyleXfs>
  <cellXfs count="1433">
    <xf numFmtId="0" fontId="0" fillId="0" borderId="0" xfId="0"/>
    <xf numFmtId="0" fontId="4" fillId="0" borderId="0" xfId="2" applyFont="1" applyAlignment="1">
      <alignment horizontal="center" wrapText="1"/>
    </xf>
    <xf numFmtId="0" fontId="5" fillId="0" borderId="0" xfId="2" applyFont="1"/>
    <xf numFmtId="0" fontId="5" fillId="0" borderId="0" xfId="2" applyFont="1" applyAlignment="1">
      <alignment horizontal="center"/>
    </xf>
    <xf numFmtId="0" fontId="5" fillId="2" borderId="0" xfId="2" applyFont="1" applyFill="1" applyAlignment="1">
      <alignment horizontal="left" vertical="center"/>
    </xf>
    <xf numFmtId="44" fontId="4" fillId="0" borderId="0" xfId="2" applyNumberFormat="1" applyFont="1" applyAlignment="1">
      <alignment horizontal="center" wrapText="1"/>
    </xf>
    <xf numFmtId="0" fontId="4" fillId="2" borderId="0" xfId="2" applyFont="1" applyFill="1" applyAlignment="1">
      <alignment horizontal="left" vertical="center"/>
    </xf>
    <xf numFmtId="0" fontId="3" fillId="0" borderId="2" xfId="2" applyFont="1" applyBorder="1" applyAlignment="1">
      <alignment horizontal="center" vertical="center" wrapText="1"/>
    </xf>
    <xf numFmtId="0" fontId="3" fillId="0" borderId="2" xfId="2" applyFont="1" applyBorder="1" applyAlignment="1">
      <alignment horizontal="center" vertical="center"/>
    </xf>
    <xf numFmtId="164" fontId="3" fillId="0" borderId="2" xfId="2" applyNumberFormat="1" applyFont="1" applyBorder="1" applyAlignment="1">
      <alignment horizontal="center" vertical="center"/>
    </xf>
    <xf numFmtId="0" fontId="4" fillId="0" borderId="2" xfId="2" applyFont="1" applyBorder="1" applyAlignment="1">
      <alignment horizontal="center" vertical="center"/>
    </xf>
    <xf numFmtId="0" fontId="4" fillId="0" borderId="2" xfId="2" applyFont="1" applyBorder="1" applyAlignment="1">
      <alignment horizontal="center" vertical="center" wrapText="1"/>
    </xf>
    <xf numFmtId="164" fontId="3" fillId="0" borderId="1" xfId="2" applyNumberFormat="1" applyFont="1" applyBorder="1" applyAlignment="1">
      <alignment horizontal="center" vertical="center" wrapText="1"/>
    </xf>
    <xf numFmtId="44" fontId="4" fillId="0" borderId="3" xfId="2" applyNumberFormat="1" applyFont="1" applyBorder="1" applyAlignment="1">
      <alignment vertical="center"/>
    </xf>
    <xf numFmtId="165" fontId="8" fillId="3" borderId="2" xfId="2" applyNumberFormat="1" applyFont="1" applyFill="1" applyBorder="1" applyAlignment="1">
      <alignment horizontal="center" vertical="center" textRotation="90"/>
    </xf>
    <xf numFmtId="165" fontId="3" fillId="5" borderId="2" xfId="2" applyNumberFormat="1" applyFont="1" applyFill="1" applyBorder="1" applyAlignment="1">
      <alignment horizontal="center" vertical="center" textRotation="90"/>
    </xf>
    <xf numFmtId="165" fontId="3" fillId="6" borderId="1" xfId="2" applyNumberFormat="1" applyFont="1" applyFill="1" applyBorder="1" applyAlignment="1">
      <alignment horizontal="center" vertical="center" textRotation="90"/>
    </xf>
    <xf numFmtId="165" fontId="3" fillId="7" borderId="4" xfId="2" applyNumberFormat="1" applyFont="1" applyFill="1" applyBorder="1" applyAlignment="1">
      <alignment horizontal="center" vertical="center" textRotation="90"/>
    </xf>
    <xf numFmtId="165" fontId="3" fillId="0" borderId="5" xfId="2" applyNumberFormat="1" applyFont="1" applyBorder="1" applyAlignment="1">
      <alignment horizontal="center" vertical="center" wrapText="1"/>
    </xf>
    <xf numFmtId="164" fontId="3" fillId="0" borderId="2" xfId="2" applyNumberFormat="1" applyFont="1" applyBorder="1" applyAlignment="1">
      <alignment horizontal="center" vertical="center" wrapText="1"/>
    </xf>
    <xf numFmtId="44" fontId="3" fillId="0" borderId="3" xfId="2" applyNumberFormat="1" applyFont="1" applyBorder="1" applyAlignment="1">
      <alignment vertical="center" wrapText="1"/>
    </xf>
    <xf numFmtId="0" fontId="3" fillId="9" borderId="2" xfId="2" applyFont="1" applyFill="1" applyBorder="1" applyAlignment="1">
      <alignment horizontal="center" vertical="center"/>
    </xf>
    <xf numFmtId="0" fontId="3" fillId="9" borderId="2" xfId="2" applyFont="1" applyFill="1" applyBorder="1" applyAlignment="1">
      <alignment horizontal="center" vertical="center" wrapText="1"/>
    </xf>
    <xf numFmtId="164" fontId="3" fillId="9" borderId="2" xfId="2" applyNumberFormat="1" applyFont="1" applyFill="1" applyBorder="1" applyAlignment="1">
      <alignment horizontal="center" vertical="center" wrapText="1"/>
    </xf>
    <xf numFmtId="44" fontId="3" fillId="9" borderId="3" xfId="2" applyNumberFormat="1" applyFont="1" applyFill="1" applyBorder="1" applyAlignment="1">
      <alignment horizontal="center" vertical="center" wrapText="1"/>
    </xf>
    <xf numFmtId="0" fontId="5" fillId="0" borderId="2" xfId="2" applyFont="1" applyBorder="1" applyAlignment="1">
      <alignment horizontal="left"/>
    </xf>
    <xf numFmtId="0" fontId="5" fillId="0" borderId="2" xfId="2" applyFont="1" applyBorder="1" applyAlignment="1">
      <alignment horizontal="center"/>
    </xf>
    <xf numFmtId="0" fontId="5" fillId="0" borderId="2" xfId="2" applyFont="1" applyBorder="1"/>
    <xf numFmtId="0" fontId="5" fillId="0" borderId="1" xfId="2" applyFont="1" applyBorder="1"/>
    <xf numFmtId="0" fontId="5" fillId="0" borderId="4" xfId="2" applyFont="1" applyBorder="1" applyAlignment="1">
      <alignment horizontal="right"/>
    </xf>
    <xf numFmtId="0" fontId="5" fillId="0" borderId="5" xfId="2" applyFont="1" applyBorder="1" applyAlignment="1">
      <alignment wrapText="1"/>
    </xf>
    <xf numFmtId="44" fontId="5" fillId="10" borderId="3" xfId="2" applyNumberFormat="1" applyFont="1" applyFill="1" applyBorder="1" applyAlignment="1">
      <alignment horizontal="center"/>
    </xf>
    <xf numFmtId="0" fontId="5" fillId="8" borderId="2" xfId="2" applyFont="1" applyFill="1" applyBorder="1" applyAlignment="1">
      <alignment horizontal="center"/>
    </xf>
    <xf numFmtId="0" fontId="5" fillId="8" borderId="2" xfId="2" applyFont="1" applyFill="1" applyBorder="1" applyAlignment="1">
      <alignment horizontal="right"/>
    </xf>
    <xf numFmtId="0" fontId="5" fillId="8" borderId="2" xfId="2" applyFont="1" applyFill="1" applyBorder="1" applyAlignment="1">
      <alignment horizontal="center" wrapText="1"/>
    </xf>
    <xf numFmtId="4" fontId="5" fillId="8" borderId="3" xfId="2" applyNumberFormat="1" applyFont="1" applyFill="1" applyBorder="1" applyAlignment="1">
      <alignment horizontal="right"/>
    </xf>
    <xf numFmtId="0" fontId="5" fillId="0" borderId="3" xfId="2" applyFont="1" applyBorder="1"/>
    <xf numFmtId="44" fontId="5" fillId="8" borderId="3" xfId="2" applyNumberFormat="1" applyFont="1" applyFill="1" applyBorder="1" applyAlignment="1">
      <alignment horizontal="center"/>
    </xf>
    <xf numFmtId="0" fontId="11" fillId="11" borderId="2" xfId="2" applyFont="1" applyFill="1" applyBorder="1" applyAlignment="1">
      <alignment vertical="center"/>
    </xf>
    <xf numFmtId="0" fontId="11" fillId="11" borderId="2" xfId="2" applyFont="1" applyFill="1" applyBorder="1" applyAlignment="1">
      <alignment horizontal="center" vertical="center"/>
    </xf>
    <xf numFmtId="0" fontId="11" fillId="11" borderId="2" xfId="2" applyFont="1" applyFill="1" applyBorder="1" applyAlignment="1">
      <alignment horizontal="center"/>
    </xf>
    <xf numFmtId="14" fontId="11" fillId="11" borderId="2" xfId="2" applyNumberFormat="1" applyFont="1" applyFill="1" applyBorder="1" applyAlignment="1">
      <alignment horizontal="center"/>
    </xf>
    <xf numFmtId="44" fontId="11" fillId="11" borderId="2" xfId="2" applyNumberFormat="1" applyFont="1" applyFill="1" applyBorder="1" applyAlignment="1">
      <alignment horizontal="center"/>
    </xf>
    <xf numFmtId="4" fontId="11" fillId="11" borderId="3" xfId="3" applyNumberFormat="1" applyFont="1" applyFill="1" applyBorder="1" applyAlignment="1">
      <alignment horizontal="right" vertical="center"/>
    </xf>
    <xf numFmtId="0" fontId="11" fillId="11" borderId="4" xfId="2" applyFont="1" applyFill="1" applyBorder="1" applyAlignment="1">
      <alignment horizontal="center" vertical="center"/>
    </xf>
    <xf numFmtId="0" fontId="9" fillId="12" borderId="2" xfId="2" applyFont="1" applyFill="1" applyBorder="1" applyAlignment="1">
      <alignment vertical="center"/>
    </xf>
    <xf numFmtId="0" fontId="9" fillId="12" borderId="2" xfId="2" applyFont="1" applyFill="1" applyBorder="1" applyAlignment="1">
      <alignment horizontal="center" vertical="center"/>
    </xf>
    <xf numFmtId="0" fontId="9" fillId="12" borderId="2" xfId="2" applyFont="1" applyFill="1" applyBorder="1" applyAlignment="1">
      <alignment horizontal="left" vertical="center"/>
    </xf>
    <xf numFmtId="0" fontId="9" fillId="12" borderId="2" xfId="2" applyFont="1" applyFill="1" applyBorder="1" applyAlignment="1">
      <alignment horizontal="center" vertical="center" wrapText="1"/>
    </xf>
    <xf numFmtId="14" fontId="9" fillId="12" borderId="2" xfId="2" applyNumberFormat="1" applyFont="1" applyFill="1" applyBorder="1" applyAlignment="1">
      <alignment horizontal="center" vertical="center"/>
    </xf>
    <xf numFmtId="4" fontId="9" fillId="12" borderId="2" xfId="2" applyNumberFormat="1" applyFont="1" applyFill="1" applyBorder="1" applyAlignment="1">
      <alignment horizontal="right" vertical="center"/>
    </xf>
    <xf numFmtId="4" fontId="9" fillId="12" borderId="6" xfId="2" applyNumberFormat="1" applyFont="1" applyFill="1" applyBorder="1" applyAlignment="1">
      <alignment horizontal="right" vertical="center"/>
    </xf>
    <xf numFmtId="0" fontId="9" fillId="12" borderId="7" xfId="2" applyFont="1" applyFill="1" applyBorder="1" applyAlignment="1">
      <alignment horizontal="center" vertical="center"/>
    </xf>
    <xf numFmtId="0" fontId="9" fillId="13" borderId="7" xfId="2" applyFont="1" applyFill="1" applyBorder="1" applyAlignment="1">
      <alignment vertical="center"/>
    </xf>
    <xf numFmtId="0" fontId="9" fillId="13" borderId="7" xfId="2" applyFont="1" applyFill="1" applyBorder="1" applyAlignment="1">
      <alignment horizontal="center" vertical="center"/>
    </xf>
    <xf numFmtId="0" fontId="9" fillId="13" borderId="7" xfId="2" applyFont="1" applyFill="1" applyBorder="1" applyAlignment="1">
      <alignment horizontal="left" vertical="center"/>
    </xf>
    <xf numFmtId="0" fontId="9" fillId="13" borderId="8" xfId="2" applyFont="1" applyFill="1" applyBorder="1" applyAlignment="1">
      <alignment horizontal="left" vertical="center"/>
    </xf>
    <xf numFmtId="0" fontId="9" fillId="13" borderId="7" xfId="2" applyFont="1" applyFill="1" applyBorder="1" applyAlignment="1">
      <alignment horizontal="center" vertical="center" wrapText="1"/>
    </xf>
    <xf numFmtId="14" fontId="9" fillId="13" borderId="7" xfId="2" applyNumberFormat="1" applyFont="1" applyFill="1" applyBorder="1" applyAlignment="1">
      <alignment horizontal="center" vertical="center"/>
    </xf>
    <xf numFmtId="166" fontId="9" fillId="13" borderId="7" xfId="4" applyFont="1" applyFill="1" applyBorder="1" applyAlignment="1">
      <alignment horizontal="center" vertical="center"/>
    </xf>
    <xf numFmtId="4" fontId="9" fillId="13" borderId="7" xfId="1" applyNumberFormat="1" applyFont="1" applyFill="1" applyBorder="1" applyAlignment="1">
      <alignment horizontal="right" vertical="center"/>
    </xf>
    <xf numFmtId="4" fontId="9" fillId="13" borderId="4" xfId="2" applyNumberFormat="1" applyFont="1" applyFill="1" applyBorder="1" applyAlignment="1">
      <alignment horizontal="right" vertical="center"/>
    </xf>
    <xf numFmtId="44" fontId="9" fillId="13" borderId="4" xfId="2" applyNumberFormat="1" applyFont="1" applyFill="1" applyBorder="1" applyAlignment="1">
      <alignment horizontal="center" vertical="center"/>
    </xf>
    <xf numFmtId="0" fontId="5" fillId="0" borderId="4" xfId="2" applyFont="1" applyBorder="1" applyAlignment="1">
      <alignment vertical="center"/>
    </xf>
    <xf numFmtId="0" fontId="5" fillId="0" borderId="4" xfId="2" applyFont="1" applyBorder="1" applyAlignment="1">
      <alignment horizontal="center" vertical="center"/>
    </xf>
    <xf numFmtId="0" fontId="5" fillId="0" borderId="4" xfId="2" applyFont="1" applyBorder="1" applyAlignment="1">
      <alignment horizontal="left" vertical="center"/>
    </xf>
    <xf numFmtId="167" fontId="5" fillId="0" borderId="4" xfId="2" applyNumberFormat="1" applyFont="1" applyBorder="1" applyAlignment="1">
      <alignment horizontal="left" vertical="center"/>
    </xf>
    <xf numFmtId="0" fontId="5" fillId="0" borderId="4" xfId="2" applyFont="1" applyBorder="1" applyAlignment="1">
      <alignment horizontal="left" vertical="center" wrapText="1"/>
    </xf>
    <xf numFmtId="0" fontId="5" fillId="0" borderId="4" xfId="2" applyFont="1" applyBorder="1" applyAlignment="1">
      <alignment horizontal="center" vertical="center" wrapText="1"/>
    </xf>
    <xf numFmtId="14" fontId="5" fillId="0" borderId="4" xfId="2" applyNumberFormat="1" applyFont="1" applyBorder="1" applyAlignment="1">
      <alignment horizontal="center" vertical="center"/>
    </xf>
    <xf numFmtId="0" fontId="9" fillId="0" borderId="7" xfId="2" applyFont="1" applyBorder="1" applyAlignment="1">
      <alignment horizontal="center" vertical="center" wrapText="1"/>
    </xf>
    <xf numFmtId="0" fontId="9" fillId="0" borderId="7" xfId="2" applyFont="1" applyBorder="1" applyAlignment="1">
      <alignment horizontal="center" vertical="center"/>
    </xf>
    <xf numFmtId="4" fontId="9" fillId="0" borderId="7" xfId="2" applyNumberFormat="1" applyFont="1" applyBorder="1" applyAlignment="1">
      <alignment horizontal="right" vertical="center"/>
    </xf>
    <xf numFmtId="0" fontId="9" fillId="0" borderId="7" xfId="2" applyFont="1" applyBorder="1" applyAlignment="1">
      <alignment horizontal="right" vertical="center"/>
    </xf>
    <xf numFmtId="0" fontId="5" fillId="0" borderId="7" xfId="2" applyFont="1" applyBorder="1" applyAlignment="1">
      <alignment horizontal="center" vertical="center"/>
    </xf>
    <xf numFmtId="4" fontId="5" fillId="0" borderId="4" xfId="2" applyNumberFormat="1" applyFont="1" applyBorder="1" applyAlignment="1">
      <alignment horizontal="right" vertical="center"/>
    </xf>
    <xf numFmtId="44" fontId="9" fillId="0" borderId="4" xfId="2" applyNumberFormat="1" applyFont="1" applyBorder="1" applyAlignment="1">
      <alignment horizontal="center" vertical="center"/>
    </xf>
    <xf numFmtId="4" fontId="4" fillId="0" borderId="7" xfId="2" applyNumberFormat="1" applyFont="1" applyBorder="1" applyAlignment="1">
      <alignment horizontal="right" vertical="center"/>
    </xf>
    <xf numFmtId="4" fontId="5" fillId="8" borderId="4" xfId="2" applyNumberFormat="1" applyFont="1" applyFill="1" applyBorder="1" applyAlignment="1">
      <alignment horizontal="right" vertical="center"/>
    </xf>
    <xf numFmtId="4" fontId="4" fillId="0" borderId="4" xfId="2" applyNumberFormat="1" applyFont="1" applyBorder="1" applyAlignment="1">
      <alignment horizontal="right" vertical="center"/>
    </xf>
    <xf numFmtId="0" fontId="9" fillId="13" borderId="4" xfId="2" applyFont="1" applyFill="1" applyBorder="1" applyAlignment="1">
      <alignment vertical="center"/>
    </xf>
    <xf numFmtId="0" fontId="9" fillId="13" borderId="4" xfId="2" applyFont="1" applyFill="1" applyBorder="1" applyAlignment="1">
      <alignment horizontal="center" vertical="center"/>
    </xf>
    <xf numFmtId="0" fontId="9" fillId="14" borderId="4" xfId="2" applyFont="1" applyFill="1" applyBorder="1" applyAlignment="1">
      <alignment horizontal="center" vertical="center"/>
    </xf>
    <xf numFmtId="0" fontId="9" fillId="14" borderId="4" xfId="2" applyFont="1" applyFill="1" applyBorder="1" applyAlignment="1">
      <alignment horizontal="center" vertical="center" wrapText="1"/>
    </xf>
    <xf numFmtId="14" fontId="9" fillId="14" borderId="4" xfId="2" applyNumberFormat="1" applyFont="1" applyFill="1" applyBorder="1" applyAlignment="1">
      <alignment horizontal="center" vertical="center"/>
    </xf>
    <xf numFmtId="166" fontId="9" fillId="14" borderId="4" xfId="4" applyFont="1" applyFill="1" applyBorder="1" applyAlignment="1">
      <alignment horizontal="center" vertical="center"/>
    </xf>
    <xf numFmtId="0" fontId="14" fillId="0" borderId="4" xfId="2" applyFont="1" applyBorder="1" applyAlignment="1">
      <alignment horizontal="left" vertical="center" wrapText="1"/>
    </xf>
    <xf numFmtId="4" fontId="5" fillId="0" borderId="7" xfId="2" applyNumberFormat="1" applyFont="1" applyBorder="1" applyAlignment="1">
      <alignment horizontal="right" vertical="center"/>
    </xf>
    <xf numFmtId="0" fontId="5" fillId="0" borderId="7" xfId="2" applyFont="1" applyBorder="1" applyAlignment="1">
      <alignment horizontal="right" vertical="center"/>
    </xf>
    <xf numFmtId="44" fontId="5" fillId="0" borderId="4" xfId="2" applyNumberFormat="1" applyFont="1" applyBorder="1" applyAlignment="1">
      <alignment horizontal="center" vertical="center"/>
    </xf>
    <xf numFmtId="0" fontId="5" fillId="0" borderId="4" xfId="2" applyFont="1" applyBorder="1" applyAlignment="1">
      <alignment vertical="center" wrapText="1"/>
    </xf>
    <xf numFmtId="0" fontId="14" fillId="0" borderId="4" xfId="2" applyFont="1" applyBorder="1" applyAlignment="1">
      <alignment vertical="center" wrapText="1"/>
    </xf>
    <xf numFmtId="0" fontId="15" fillId="0" borderId="4" xfId="2" applyFont="1" applyBorder="1" applyAlignment="1">
      <alignment horizontal="center" vertical="center"/>
    </xf>
    <xf numFmtId="4" fontId="5" fillId="0" borderId="8" xfId="2" applyNumberFormat="1" applyFont="1" applyBorder="1" applyAlignment="1">
      <alignment horizontal="right" vertical="center"/>
    </xf>
    <xf numFmtId="4" fontId="5" fillId="0" borderId="10" xfId="2" applyNumberFormat="1" applyFont="1" applyBorder="1" applyAlignment="1">
      <alignment horizontal="right" vertical="center"/>
    </xf>
    <xf numFmtId="4" fontId="5" fillId="0" borderId="11" xfId="2" applyNumberFormat="1" applyFont="1" applyBorder="1" applyAlignment="1">
      <alignment horizontal="right" vertical="center"/>
    </xf>
    <xf numFmtId="4" fontId="9" fillId="13" borderId="7" xfId="2" applyNumberFormat="1" applyFont="1" applyFill="1" applyBorder="1" applyAlignment="1">
      <alignment horizontal="right" vertical="center"/>
    </xf>
    <xf numFmtId="4" fontId="5" fillId="0" borderId="4" xfId="2" applyNumberFormat="1" applyFont="1" applyBorder="1" applyAlignment="1">
      <alignment horizontal="right"/>
    </xf>
    <xf numFmtId="0" fontId="9" fillId="0" borderId="4" xfId="2" applyFont="1" applyBorder="1" applyAlignment="1">
      <alignment horizontal="center" vertical="center"/>
    </xf>
    <xf numFmtId="0" fontId="5" fillId="8" borderId="4" xfId="2" applyFont="1" applyFill="1" applyBorder="1" applyAlignment="1">
      <alignment vertical="center"/>
    </xf>
    <xf numFmtId="0" fontId="5" fillId="8" borderId="4" xfId="2" applyFont="1" applyFill="1" applyBorder="1" applyAlignment="1">
      <alignment horizontal="center" vertical="center"/>
    </xf>
    <xf numFmtId="0" fontId="5" fillId="8" borderId="4" xfId="2" applyFont="1" applyFill="1" applyBorder="1" applyAlignment="1">
      <alignment horizontal="left" vertical="center"/>
    </xf>
    <xf numFmtId="167" fontId="5" fillId="8" borderId="4" xfId="2" applyNumberFormat="1" applyFont="1" applyFill="1" applyBorder="1" applyAlignment="1">
      <alignment horizontal="left" vertical="center"/>
    </xf>
    <xf numFmtId="0" fontId="5" fillId="8" borderId="4" xfId="2" applyFont="1" applyFill="1" applyBorder="1" applyAlignment="1">
      <alignment horizontal="left" vertical="center" wrapText="1"/>
    </xf>
    <xf numFmtId="14" fontId="5" fillId="8" borderId="4" xfId="2" applyNumberFormat="1" applyFont="1" applyFill="1" applyBorder="1" applyAlignment="1">
      <alignment horizontal="center" vertical="center"/>
    </xf>
    <xf numFmtId="4" fontId="5" fillId="15" borderId="4" xfId="2" applyNumberFormat="1" applyFont="1" applyFill="1" applyBorder="1" applyAlignment="1">
      <alignment horizontal="right" vertical="center"/>
    </xf>
    <xf numFmtId="0" fontId="9" fillId="16" borderId="4" xfId="2" applyFont="1" applyFill="1" applyBorder="1" applyAlignment="1">
      <alignment horizontal="center" vertical="center"/>
    </xf>
    <xf numFmtId="0" fontId="5" fillId="8" borderId="0" xfId="2" applyFont="1" applyFill="1"/>
    <xf numFmtId="0" fontId="9" fillId="12" borderId="4" xfId="2" applyFont="1" applyFill="1" applyBorder="1" applyAlignment="1">
      <alignment vertical="center"/>
    </xf>
    <xf numFmtId="0" fontId="9" fillId="12" borderId="4" xfId="2" applyFont="1" applyFill="1" applyBorder="1" applyAlignment="1">
      <alignment horizontal="center" vertical="center"/>
    </xf>
    <xf numFmtId="0" fontId="9" fillId="12" borderId="4" xfId="2" applyFont="1" applyFill="1" applyBorder="1" applyAlignment="1">
      <alignment horizontal="left" vertical="center"/>
    </xf>
    <xf numFmtId="14" fontId="9" fillId="12" borderId="4" xfId="2" applyNumberFormat="1" applyFont="1" applyFill="1" applyBorder="1" applyAlignment="1">
      <alignment horizontal="center" vertical="center"/>
    </xf>
    <xf numFmtId="4" fontId="9" fillId="12" borderId="4" xfId="2" applyNumberFormat="1" applyFont="1" applyFill="1" applyBorder="1" applyAlignment="1">
      <alignment horizontal="right" vertical="center"/>
    </xf>
    <xf numFmtId="0" fontId="9" fillId="12" borderId="4" xfId="2" applyFont="1" applyFill="1" applyBorder="1" applyAlignment="1">
      <alignment horizontal="center" vertical="center" wrapText="1"/>
    </xf>
    <xf numFmtId="0" fontId="9" fillId="13" borderId="4" xfId="2" applyFont="1" applyFill="1" applyBorder="1" applyAlignment="1">
      <alignment horizontal="left" vertical="center"/>
    </xf>
    <xf numFmtId="14" fontId="9" fillId="13" borderId="4" xfId="2" applyNumberFormat="1" applyFont="1" applyFill="1" applyBorder="1" applyAlignment="1">
      <alignment horizontal="center" vertical="center"/>
    </xf>
    <xf numFmtId="4" fontId="9" fillId="13" borderId="4" xfId="1" applyNumberFormat="1" applyFont="1" applyFill="1" applyBorder="1" applyAlignment="1">
      <alignment horizontal="right" vertical="center"/>
    </xf>
    <xf numFmtId="4" fontId="9" fillId="12" borderId="4" xfId="2" applyNumberFormat="1" applyFont="1" applyFill="1" applyBorder="1" applyAlignment="1">
      <alignment horizontal="right"/>
    </xf>
    <xf numFmtId="14" fontId="9" fillId="18" borderId="4" xfId="2" applyNumberFormat="1" applyFont="1" applyFill="1" applyBorder="1" applyAlignment="1">
      <alignment horizontal="center" vertical="center"/>
    </xf>
    <xf numFmtId="3" fontId="9" fillId="13" borderId="4" xfId="2" applyNumberFormat="1" applyFont="1" applyFill="1" applyBorder="1" applyAlignment="1">
      <alignment horizontal="center" vertical="center"/>
    </xf>
    <xf numFmtId="3" fontId="9" fillId="13" borderId="4" xfId="2" applyNumberFormat="1" applyFont="1" applyFill="1" applyBorder="1" applyAlignment="1">
      <alignment horizontal="left" vertical="center"/>
    </xf>
    <xf numFmtId="0" fontId="4" fillId="0" borderId="4" xfId="2" applyFont="1" applyBorder="1" applyAlignment="1">
      <alignment horizontal="left" vertical="center"/>
    </xf>
    <xf numFmtId="3" fontId="14" fillId="0" borderId="4" xfId="2" applyNumberFormat="1" applyFont="1" applyBorder="1" applyAlignment="1">
      <alignment horizontal="center" vertical="center" wrapText="1"/>
    </xf>
    <xf numFmtId="3" fontId="5" fillId="0" borderId="4" xfId="2" applyNumberFormat="1" applyFont="1" applyBorder="1" applyAlignment="1">
      <alignment horizontal="left" vertical="center"/>
    </xf>
    <xf numFmtId="3" fontId="5" fillId="0" borderId="4" xfId="2" applyNumberFormat="1" applyFont="1" applyBorder="1" applyAlignment="1">
      <alignment horizontal="center" vertical="center"/>
    </xf>
    <xf numFmtId="0" fontId="14" fillId="0" borderId="4" xfId="2" applyFont="1" applyBorder="1" applyAlignment="1">
      <alignment horizontal="left" vertical="center"/>
    </xf>
    <xf numFmtId="3" fontId="14" fillId="0" borderId="4" xfId="2" applyNumberFormat="1" applyFont="1" applyBorder="1" applyAlignment="1">
      <alignment horizontal="center" vertical="center"/>
    </xf>
    <xf numFmtId="4" fontId="15" fillId="0" borderId="4" xfId="2" applyNumberFormat="1" applyFont="1" applyBorder="1" applyAlignment="1">
      <alignment horizontal="right" vertical="center"/>
    </xf>
    <xf numFmtId="0" fontId="5" fillId="2" borderId="4" xfId="2" applyFont="1" applyFill="1" applyBorder="1" applyAlignment="1">
      <alignment horizontal="center" vertical="center"/>
    </xf>
    <xf numFmtId="4" fontId="5" fillId="0" borderId="4" xfId="2" applyNumberFormat="1" applyFont="1" applyBorder="1" applyAlignment="1">
      <alignment horizontal="right" vertical="center" wrapText="1"/>
    </xf>
    <xf numFmtId="4" fontId="14" fillId="0" borderId="4" xfId="2" applyNumberFormat="1" applyFont="1" applyBorder="1" applyAlignment="1">
      <alignment horizontal="right" vertical="center" wrapText="1"/>
    </xf>
    <xf numFmtId="164" fontId="5" fillId="0" borderId="4" xfId="2" applyNumberFormat="1" applyFont="1" applyBorder="1" applyAlignment="1">
      <alignment horizontal="center" vertical="center"/>
    </xf>
    <xf numFmtId="4" fontId="14" fillId="0" borderId="4" xfId="2" applyNumberFormat="1" applyFont="1" applyBorder="1" applyAlignment="1">
      <alignment horizontal="right" vertical="center"/>
    </xf>
    <xf numFmtId="0" fontId="15" fillId="0" borderId="4" xfId="2" applyFont="1" applyBorder="1" applyAlignment="1">
      <alignment horizontal="left" vertical="center"/>
    </xf>
    <xf numFmtId="4" fontId="15" fillId="0" borderId="4" xfId="2" applyNumberFormat="1" applyFont="1" applyBorder="1" applyAlignment="1">
      <alignment vertical="center"/>
    </xf>
    <xf numFmtId="0" fontId="5" fillId="18" borderId="0" xfId="2" applyFont="1" applyFill="1"/>
    <xf numFmtId="0" fontId="14" fillId="0" borderId="4" xfId="2" applyFont="1" applyBorder="1" applyAlignment="1">
      <alignment horizontal="center" vertical="center"/>
    </xf>
    <xf numFmtId="0" fontId="5" fillId="0" borderId="5" xfId="2" applyFont="1" applyBorder="1" applyAlignment="1">
      <alignment horizontal="left" vertical="center" wrapText="1"/>
    </xf>
    <xf numFmtId="14" fontId="5" fillId="0" borderId="0" xfId="2" applyNumberFormat="1" applyFont="1" applyAlignment="1">
      <alignment horizontal="center" vertical="center"/>
    </xf>
    <xf numFmtId="4" fontId="9" fillId="18" borderId="4" xfId="2" applyNumberFormat="1" applyFont="1" applyFill="1" applyBorder="1" applyAlignment="1">
      <alignment horizontal="right" vertical="center"/>
    </xf>
    <xf numFmtId="3" fontId="5" fillId="0" borderId="5" xfId="2" applyNumberFormat="1" applyFont="1" applyBorder="1" applyAlignment="1">
      <alignment horizontal="center"/>
    </xf>
    <xf numFmtId="3" fontId="5" fillId="0" borderId="2" xfId="2" applyNumberFormat="1" applyFont="1" applyBorder="1" applyAlignment="1">
      <alignment horizontal="right"/>
    </xf>
    <xf numFmtId="3" fontId="5" fillId="0" borderId="2" xfId="2" applyNumberFormat="1" applyFont="1" applyBorder="1" applyAlignment="1">
      <alignment horizontal="center"/>
    </xf>
    <xf numFmtId="3" fontId="5" fillId="0" borderId="1" xfId="2" applyNumberFormat="1" applyFont="1" applyBorder="1" applyAlignment="1">
      <alignment horizontal="right"/>
    </xf>
    <xf numFmtId="44" fontId="5" fillId="0" borderId="3" xfId="2" applyNumberFormat="1" applyFont="1" applyBorder="1" applyAlignment="1">
      <alignment horizontal="center"/>
    </xf>
    <xf numFmtId="0" fontId="5" fillId="0" borderId="13" xfId="2" applyFont="1" applyBorder="1" applyAlignment="1">
      <alignment horizontal="center" vertical="center" wrapText="1"/>
    </xf>
    <xf numFmtId="0" fontId="5" fillId="0" borderId="9" xfId="2" applyFont="1" applyBorder="1" applyAlignment="1">
      <alignment horizontal="center" vertical="center" wrapText="1"/>
    </xf>
    <xf numFmtId="14" fontId="4" fillId="0" borderId="4" xfId="2" applyNumberFormat="1" applyFont="1" applyBorder="1" applyAlignment="1">
      <alignment horizontal="center" vertical="center"/>
    </xf>
    <xf numFmtId="0" fontId="9" fillId="14" borderId="4" xfId="2" applyFont="1" applyFill="1" applyBorder="1" applyAlignment="1">
      <alignment vertical="center"/>
    </xf>
    <xf numFmtId="0" fontId="9" fillId="14" borderId="4" xfId="2" applyFont="1" applyFill="1" applyBorder="1" applyAlignment="1">
      <alignment horizontal="left" vertical="center"/>
    </xf>
    <xf numFmtId="3" fontId="9" fillId="14" borderId="4" xfId="2" applyNumberFormat="1" applyFont="1" applyFill="1" applyBorder="1" applyAlignment="1">
      <alignment horizontal="center" vertical="center"/>
    </xf>
    <xf numFmtId="3" fontId="9" fillId="14" borderId="4" xfId="2" applyNumberFormat="1" applyFont="1" applyFill="1" applyBorder="1" applyAlignment="1">
      <alignment horizontal="left" vertical="center"/>
    </xf>
    <xf numFmtId="4" fontId="9" fillId="14" borderId="4" xfId="2" applyNumberFormat="1" applyFont="1" applyFill="1" applyBorder="1" applyAlignment="1">
      <alignment horizontal="right" vertical="center"/>
    </xf>
    <xf numFmtId="0" fontId="9" fillId="0" borderId="0" xfId="2" applyFont="1"/>
    <xf numFmtId="4" fontId="9" fillId="0" borderId="4" xfId="2" applyNumberFormat="1" applyFont="1" applyBorder="1" applyAlignment="1">
      <alignment horizontal="right" vertical="center"/>
    </xf>
    <xf numFmtId="4" fontId="5" fillId="0" borderId="4" xfId="1" applyNumberFormat="1" applyFont="1" applyFill="1" applyBorder="1" applyAlignment="1">
      <alignment horizontal="right" vertical="center"/>
    </xf>
    <xf numFmtId="9" fontId="5" fillId="0" borderId="4" xfId="2" applyNumberFormat="1" applyFont="1" applyBorder="1" applyAlignment="1">
      <alignment horizontal="center" vertical="center"/>
    </xf>
    <xf numFmtId="4" fontId="5" fillId="2" borderId="4" xfId="2" applyNumberFormat="1" applyFont="1" applyFill="1" applyBorder="1" applyAlignment="1">
      <alignment horizontal="right" vertical="center"/>
    </xf>
    <xf numFmtId="3" fontId="4" fillId="0" borderId="4" xfId="2" applyNumberFormat="1" applyFont="1" applyBorder="1" applyAlignment="1">
      <alignment horizontal="center" vertical="center" wrapText="1"/>
    </xf>
    <xf numFmtId="3" fontId="7" fillId="0" borderId="4" xfId="2" applyNumberFormat="1" applyFont="1" applyBorder="1" applyAlignment="1">
      <alignment horizontal="center" vertical="center"/>
    </xf>
    <xf numFmtId="4" fontId="14" fillId="2" borderId="4" xfId="2" applyNumberFormat="1" applyFont="1" applyFill="1" applyBorder="1" applyAlignment="1">
      <alignment horizontal="right" vertical="center"/>
    </xf>
    <xf numFmtId="4" fontId="7" fillId="0" borderId="4" xfId="2" applyNumberFormat="1" applyFont="1" applyBorder="1" applyAlignment="1">
      <alignment horizontal="right" vertical="center"/>
    </xf>
    <xf numFmtId="4" fontId="5" fillId="0" borderId="0" xfId="2" applyNumberFormat="1" applyFont="1"/>
    <xf numFmtId="4" fontId="14" fillId="0" borderId="4" xfId="1" applyNumberFormat="1" applyFont="1" applyFill="1" applyBorder="1" applyAlignment="1">
      <alignment horizontal="right" vertical="center"/>
    </xf>
    <xf numFmtId="0" fontId="5" fillId="0" borderId="9" xfId="2" applyFont="1" applyBorder="1" applyAlignment="1">
      <alignment vertical="center"/>
    </xf>
    <xf numFmtId="0" fontId="5" fillId="0" borderId="9" xfId="2" applyFont="1" applyBorder="1" applyAlignment="1">
      <alignment horizontal="center" vertical="center"/>
    </xf>
    <xf numFmtId="0" fontId="5" fillId="0" borderId="9" xfId="2" applyFont="1" applyBorder="1" applyAlignment="1">
      <alignment horizontal="left" vertical="center"/>
    </xf>
    <xf numFmtId="167" fontId="5" fillId="0" borderId="9" xfId="2" applyNumberFormat="1" applyFont="1" applyBorder="1" applyAlignment="1">
      <alignment horizontal="left" vertical="center"/>
    </xf>
    <xf numFmtId="0" fontId="14" fillId="0" borderId="9" xfId="2" applyFont="1" applyBorder="1" applyAlignment="1">
      <alignment horizontal="left" vertical="center"/>
    </xf>
    <xf numFmtId="14" fontId="5" fillId="0" borderId="9" xfId="2" applyNumberFormat="1" applyFont="1" applyBorder="1" applyAlignment="1">
      <alignment horizontal="center" vertical="center"/>
    </xf>
    <xf numFmtId="0" fontId="5" fillId="0" borderId="4" xfId="2" applyFont="1" applyBorder="1"/>
    <xf numFmtId="0" fontId="5" fillId="0" borderId="4" xfId="2" applyFont="1" applyBorder="1" applyAlignment="1">
      <alignment horizontal="center"/>
    </xf>
    <xf numFmtId="4" fontId="5" fillId="0" borderId="4" xfId="1" applyNumberFormat="1" applyFont="1" applyFill="1" applyBorder="1" applyAlignment="1">
      <alignment horizontal="right"/>
    </xf>
    <xf numFmtId="0" fontId="9" fillId="18" borderId="4" xfId="2" applyFont="1" applyFill="1" applyBorder="1" applyAlignment="1">
      <alignment vertical="center"/>
    </xf>
    <xf numFmtId="0" fontId="9" fillId="18" borderId="4" xfId="2" applyFont="1" applyFill="1" applyBorder="1" applyAlignment="1">
      <alignment horizontal="center" vertical="center"/>
    </xf>
    <xf numFmtId="0" fontId="9" fillId="18" borderId="4" xfId="2" applyFont="1" applyFill="1" applyBorder="1" applyAlignment="1">
      <alignment horizontal="left" vertical="center"/>
    </xf>
    <xf numFmtId="0" fontId="9" fillId="20" borderId="4" xfId="2" applyFont="1" applyFill="1" applyBorder="1" applyAlignment="1">
      <alignment horizontal="left" vertical="center"/>
    </xf>
    <xf numFmtId="0" fontId="9" fillId="18" borderId="4" xfId="2" applyFont="1" applyFill="1" applyBorder="1"/>
    <xf numFmtId="4" fontId="9" fillId="18" borderId="4" xfId="1" applyNumberFormat="1" applyFont="1" applyFill="1" applyBorder="1" applyAlignment="1">
      <alignment horizontal="right" vertical="center"/>
    </xf>
    <xf numFmtId="4" fontId="5" fillId="0" borderId="4" xfId="1" applyNumberFormat="1" applyFont="1" applyBorder="1" applyAlignment="1">
      <alignment horizontal="right" vertical="center"/>
    </xf>
    <xf numFmtId="0" fontId="9" fillId="18" borderId="0" xfId="2" applyFont="1" applyFill="1"/>
    <xf numFmtId="44" fontId="9" fillId="13" borderId="4" xfId="3" applyFont="1" applyFill="1" applyBorder="1" applyAlignment="1">
      <alignment horizontal="center" vertical="center"/>
    </xf>
    <xf numFmtId="44" fontId="5" fillId="0" borderId="4" xfId="3" applyFont="1" applyFill="1" applyBorder="1" applyAlignment="1"/>
    <xf numFmtId="4" fontId="5" fillId="0" borderId="4" xfId="3" applyNumberFormat="1" applyFont="1" applyFill="1" applyBorder="1" applyAlignment="1">
      <alignment horizontal="right"/>
    </xf>
    <xf numFmtId="0" fontId="9" fillId="0" borderId="14" xfId="2" applyFont="1" applyBorder="1" applyAlignment="1">
      <alignment horizontal="center" vertical="center"/>
    </xf>
    <xf numFmtId="0" fontId="5" fillId="0" borderId="15" xfId="2" applyFont="1" applyBorder="1" applyAlignment="1">
      <alignment horizontal="left" vertical="center"/>
    </xf>
    <xf numFmtId="4" fontId="5" fillId="0" borderId="4" xfId="2" applyNumberFormat="1" applyFont="1" applyBorder="1" applyAlignment="1">
      <alignment horizontal="center" vertical="center"/>
    </xf>
    <xf numFmtId="4" fontId="5" fillId="0" borderId="4" xfId="2" applyNumberFormat="1" applyFont="1" applyBorder="1" applyAlignment="1">
      <alignment horizontal="left" vertical="center"/>
    </xf>
    <xf numFmtId="4" fontId="4" fillId="0" borderId="4" xfId="2" applyNumberFormat="1" applyFont="1" applyBorder="1" applyAlignment="1">
      <alignment horizontal="center" vertical="center" wrapText="1"/>
    </xf>
    <xf numFmtId="0" fontId="5" fillId="0" borderId="14" xfId="2" applyFont="1" applyBorder="1" applyAlignment="1">
      <alignment horizontal="center" vertical="center"/>
    </xf>
    <xf numFmtId="14" fontId="5" fillId="0" borderId="4" xfId="2" applyNumberFormat="1" applyFont="1" applyBorder="1" applyAlignment="1">
      <alignment horizontal="center"/>
    </xf>
    <xf numFmtId="0" fontId="5" fillId="0" borderId="2" xfId="2" applyFont="1" applyBorder="1" applyAlignment="1">
      <alignment horizontal="center" vertical="center"/>
    </xf>
    <xf numFmtId="0" fontId="5" fillId="0" borderId="1" xfId="2" applyFont="1" applyBorder="1" applyAlignment="1">
      <alignment horizontal="center" vertical="center"/>
    </xf>
    <xf numFmtId="1" fontId="9" fillId="14" borderId="4" xfId="2" applyNumberFormat="1" applyFont="1" applyFill="1" applyBorder="1" applyAlignment="1">
      <alignment horizontal="center" vertical="center"/>
    </xf>
    <xf numFmtId="1" fontId="5" fillId="0" borderId="4" xfId="2" applyNumberFormat="1" applyFont="1" applyBorder="1" applyAlignment="1">
      <alignment horizontal="center" vertical="center"/>
    </xf>
    <xf numFmtId="0" fontId="5" fillId="0" borderId="1" xfId="2" applyFont="1" applyBorder="1" applyAlignment="1">
      <alignment horizontal="left" vertical="center"/>
    </xf>
    <xf numFmtId="14" fontId="5" fillId="0" borderId="4" xfId="2" applyNumberFormat="1" applyFont="1" applyBorder="1" applyAlignment="1">
      <alignment horizontal="right" vertical="center"/>
    </xf>
    <xf numFmtId="14" fontId="5" fillId="0" borderId="4" xfId="2" applyNumberFormat="1" applyFont="1" applyBorder="1"/>
    <xf numFmtId="4" fontId="3" fillId="14" borderId="4" xfId="2" applyNumberFormat="1" applyFont="1" applyFill="1" applyBorder="1" applyAlignment="1">
      <alignment horizontal="right" vertical="center"/>
    </xf>
    <xf numFmtId="4" fontId="10" fillId="0" borderId="0" xfId="2" applyNumberFormat="1" applyFont="1"/>
    <xf numFmtId="0" fontId="10" fillId="0" borderId="0" xfId="2" applyFont="1"/>
    <xf numFmtId="0" fontId="15" fillId="2" borderId="4" xfId="2" applyFont="1" applyFill="1" applyBorder="1" applyAlignment="1">
      <alignment vertical="center"/>
    </xf>
    <xf numFmtId="0" fontId="15" fillId="2" borderId="4" xfId="2" applyFont="1" applyFill="1" applyBorder="1" applyAlignment="1">
      <alignment horizontal="center" vertical="center"/>
    </xf>
    <xf numFmtId="0" fontId="15" fillId="2" borderId="4" xfId="2" applyFont="1" applyFill="1" applyBorder="1" applyAlignment="1">
      <alignment horizontal="left" vertical="center"/>
    </xf>
    <xf numFmtId="167" fontId="15" fillId="2" borderId="4" xfId="2" applyNumberFormat="1" applyFont="1" applyFill="1" applyBorder="1" applyAlignment="1">
      <alignment horizontal="left" vertical="center"/>
    </xf>
    <xf numFmtId="4" fontId="15" fillId="2" borderId="4" xfId="2" applyNumberFormat="1" applyFont="1" applyFill="1" applyBorder="1" applyAlignment="1">
      <alignment horizontal="right" vertical="center"/>
    </xf>
    <xf numFmtId="49" fontId="5" fillId="0" borderId="4" xfId="2" applyNumberFormat="1" applyFont="1" applyBorder="1" applyAlignment="1">
      <alignment horizontal="center" vertical="center"/>
    </xf>
    <xf numFmtId="4" fontId="9" fillId="17" borderId="4" xfId="2" applyNumberFormat="1" applyFont="1" applyFill="1" applyBorder="1" applyAlignment="1">
      <alignment horizontal="right" vertical="center"/>
    </xf>
    <xf numFmtId="4" fontId="5" fillId="17" borderId="4" xfId="2" applyNumberFormat="1" applyFont="1" applyFill="1" applyBorder="1" applyAlignment="1">
      <alignment horizontal="right" vertical="center"/>
    </xf>
    <xf numFmtId="4" fontId="9" fillId="14" borderId="4" xfId="1" applyNumberFormat="1" applyFont="1" applyFill="1" applyBorder="1" applyAlignment="1">
      <alignment horizontal="right" vertical="center"/>
    </xf>
    <xf numFmtId="0" fontId="14" fillId="0" borderId="4" xfId="2" applyFont="1" applyBorder="1" applyAlignment="1">
      <alignment vertical="center"/>
    </xf>
    <xf numFmtId="0" fontId="14" fillId="0" borderId="4" xfId="2" applyFont="1" applyBorder="1" applyAlignment="1">
      <alignment horizontal="center" vertical="center" wrapText="1"/>
    </xf>
    <xf numFmtId="0" fontId="14" fillId="0" borderId="0" xfId="2" applyFont="1"/>
    <xf numFmtId="167" fontId="14" fillId="0" borderId="4" xfId="2" applyNumberFormat="1" applyFont="1" applyBorder="1" applyAlignment="1">
      <alignment horizontal="left" vertical="center"/>
    </xf>
    <xf numFmtId="14" fontId="14" fillId="0" borderId="4" xfId="2" applyNumberFormat="1" applyFont="1" applyBorder="1" applyAlignment="1">
      <alignment horizontal="center" vertical="center"/>
    </xf>
    <xf numFmtId="4" fontId="9" fillId="14" borderId="4" xfId="4" applyNumberFormat="1" applyFont="1" applyFill="1" applyBorder="1" applyAlignment="1">
      <alignment horizontal="right" vertical="center"/>
    </xf>
    <xf numFmtId="4" fontId="16" fillId="14" borderId="4" xfId="2" applyNumberFormat="1" applyFont="1" applyFill="1" applyBorder="1" applyAlignment="1">
      <alignment horizontal="right" vertical="center"/>
    </xf>
    <xf numFmtId="4" fontId="9" fillId="12" borderId="4" xfId="3" applyNumberFormat="1" applyFont="1" applyFill="1" applyBorder="1" applyAlignment="1">
      <alignment horizontal="right" vertical="center"/>
    </xf>
    <xf numFmtId="4" fontId="9" fillId="14" borderId="4" xfId="3" applyNumberFormat="1" applyFont="1" applyFill="1" applyBorder="1" applyAlignment="1">
      <alignment horizontal="right" vertical="center"/>
    </xf>
    <xf numFmtId="0" fontId="14" fillId="0" borderId="4" xfId="2" applyFont="1" applyBorder="1"/>
    <xf numFmtId="4" fontId="14" fillId="0" borderId="4" xfId="2" applyNumberFormat="1" applyFont="1" applyBorder="1" applyAlignment="1">
      <alignment horizontal="right"/>
    </xf>
    <xf numFmtId="0" fontId="14" fillId="0" borderId="4" xfId="2" applyFont="1" applyBorder="1" applyAlignment="1">
      <alignment horizontal="center"/>
    </xf>
    <xf numFmtId="14" fontId="14" fillId="0" borderId="4" xfId="2" applyNumberFormat="1" applyFont="1" applyBorder="1" applyAlignment="1">
      <alignment vertical="center"/>
    </xf>
    <xf numFmtId="3" fontId="14" fillId="0" borderId="4" xfId="2" applyNumberFormat="1" applyFont="1" applyBorder="1" applyAlignment="1">
      <alignment horizontal="right" vertical="center"/>
    </xf>
    <xf numFmtId="14" fontId="14" fillId="0" borderId="4" xfId="2" applyNumberFormat="1" applyFont="1" applyBorder="1"/>
    <xf numFmtId="4" fontId="14" fillId="0" borderId="4" xfId="2" applyNumberFormat="1" applyFont="1" applyBorder="1" applyAlignment="1">
      <alignment vertical="center"/>
    </xf>
    <xf numFmtId="4" fontId="14" fillId="0" borderId="4" xfId="1" applyNumberFormat="1" applyFont="1" applyFill="1" applyBorder="1" applyAlignment="1">
      <alignment horizontal="right"/>
    </xf>
    <xf numFmtId="14" fontId="14" fillId="0" borderId="7" xfId="2" applyNumberFormat="1" applyFont="1" applyBorder="1" applyAlignment="1">
      <alignment horizontal="center" vertical="center"/>
    </xf>
    <xf numFmtId="0" fontId="15" fillId="8" borderId="4" xfId="2" applyFont="1" applyFill="1" applyBorder="1" applyAlignment="1">
      <alignment horizontal="center" vertical="center"/>
    </xf>
    <xf numFmtId="0" fontId="4" fillId="8" borderId="4" xfId="2" applyFont="1" applyFill="1" applyBorder="1" applyAlignment="1">
      <alignment horizontal="center" vertical="center"/>
    </xf>
    <xf numFmtId="14" fontId="15" fillId="8" borderId="4" xfId="2" applyNumberFormat="1" applyFont="1" applyFill="1" applyBorder="1" applyAlignment="1">
      <alignment horizontal="center" vertical="center"/>
    </xf>
    <xf numFmtId="0" fontId="15" fillId="8" borderId="4" xfId="2" applyFont="1" applyFill="1" applyBorder="1" applyAlignment="1">
      <alignment horizontal="left" vertical="center"/>
    </xf>
    <xf numFmtId="4" fontId="4" fillId="8" borderId="4" xfId="2" applyNumberFormat="1" applyFont="1" applyFill="1" applyBorder="1" applyAlignment="1">
      <alignment horizontal="right" vertical="center"/>
    </xf>
    <xf numFmtId="4" fontId="15" fillId="8" borderId="4" xfId="2" applyNumberFormat="1" applyFont="1" applyFill="1" applyBorder="1" applyAlignment="1">
      <alignment horizontal="right" vertical="center"/>
    </xf>
    <xf numFmtId="14" fontId="5" fillId="0" borderId="4" xfId="2" applyNumberFormat="1" applyFont="1" applyBorder="1" applyAlignment="1">
      <alignment vertical="center"/>
    </xf>
    <xf numFmtId="0" fontId="14" fillId="0" borderId="2" xfId="2" applyFont="1" applyBorder="1" applyAlignment="1">
      <alignment horizontal="center" vertical="center"/>
    </xf>
    <xf numFmtId="0" fontId="14" fillId="0" borderId="2" xfId="2" applyFont="1" applyBorder="1" applyAlignment="1">
      <alignment horizontal="center"/>
    </xf>
    <xf numFmtId="4" fontId="14" fillId="0" borderId="2" xfId="2" applyNumberFormat="1" applyFont="1" applyBorder="1" applyAlignment="1">
      <alignment horizontal="right"/>
    </xf>
    <xf numFmtId="4" fontId="14" fillId="0" borderId="0" xfId="2" applyNumberFormat="1" applyFont="1" applyAlignment="1">
      <alignment horizontal="right"/>
    </xf>
    <xf numFmtId="4" fontId="14" fillId="0" borderId="0" xfId="2" applyNumberFormat="1" applyFont="1" applyAlignment="1">
      <alignment horizontal="right" vertical="center"/>
    </xf>
    <xf numFmtId="0" fontId="14" fillId="0" borderId="0" xfId="2" applyFont="1" applyAlignment="1">
      <alignment horizontal="center"/>
    </xf>
    <xf numFmtId="0" fontId="9" fillId="22" borderId="4" xfId="2" applyFont="1" applyFill="1" applyBorder="1" applyAlignment="1">
      <alignment horizontal="left" vertical="center"/>
    </xf>
    <xf numFmtId="44" fontId="16" fillId="14" borderId="4" xfId="2" applyNumberFormat="1" applyFont="1" applyFill="1" applyBorder="1" applyAlignment="1">
      <alignment vertical="center"/>
    </xf>
    <xf numFmtId="14" fontId="5" fillId="0" borderId="4" xfId="2" applyNumberFormat="1" applyFont="1" applyBorder="1" applyAlignment="1">
      <alignment horizontal="left" vertical="center"/>
    </xf>
    <xf numFmtId="0" fontId="5" fillId="0" borderId="13" xfId="2" applyFont="1" applyBorder="1" applyAlignment="1">
      <alignment horizontal="left" vertical="center" wrapText="1"/>
    </xf>
    <xf numFmtId="0" fontId="5" fillId="0" borderId="13" xfId="2" applyFont="1" applyBorder="1" applyAlignment="1">
      <alignment horizontal="center" vertical="center"/>
    </xf>
    <xf numFmtId="0" fontId="11" fillId="11" borderId="4" xfId="2" applyFont="1" applyFill="1" applyBorder="1" applyAlignment="1">
      <alignment vertical="center"/>
    </xf>
    <xf numFmtId="0" fontId="11" fillId="11" borderId="4" xfId="2" applyFont="1" applyFill="1" applyBorder="1" applyAlignment="1">
      <alignment horizontal="left" vertical="center"/>
    </xf>
    <xf numFmtId="4" fontId="11" fillId="11" borderId="4" xfId="2" applyNumberFormat="1" applyFont="1" applyFill="1" applyBorder="1" applyAlignment="1">
      <alignment horizontal="right" vertical="center"/>
    </xf>
    <xf numFmtId="4" fontId="11" fillId="11" borderId="4" xfId="3" applyNumberFormat="1" applyFont="1" applyFill="1" applyBorder="1" applyAlignment="1">
      <alignment horizontal="right" vertical="center"/>
    </xf>
    <xf numFmtId="0" fontId="5" fillId="18" borderId="4" xfId="2" applyFont="1" applyFill="1" applyBorder="1" applyAlignment="1">
      <alignment horizontal="left" vertical="center"/>
    </xf>
    <xf numFmtId="0" fontId="5" fillId="18" borderId="4" xfId="2" applyFont="1" applyFill="1" applyBorder="1" applyAlignment="1">
      <alignment horizontal="center" vertical="center"/>
    </xf>
    <xf numFmtId="4" fontId="5" fillId="0" borderId="0" xfId="2" applyNumberFormat="1" applyFont="1" applyAlignment="1">
      <alignment horizontal="right"/>
    </xf>
    <xf numFmtId="4" fontId="5" fillId="19" borderId="4" xfId="1" applyNumberFormat="1" applyFont="1" applyFill="1" applyBorder="1" applyAlignment="1">
      <alignment horizontal="right" vertical="center"/>
    </xf>
    <xf numFmtId="4" fontId="5" fillId="8" borderId="9" xfId="2" applyNumberFormat="1" applyFont="1" applyFill="1" applyBorder="1" applyAlignment="1">
      <alignment horizontal="right" vertical="center"/>
    </xf>
    <xf numFmtId="4" fontId="5" fillId="8" borderId="4" xfId="2" applyNumberFormat="1" applyFont="1" applyFill="1" applyBorder="1" applyAlignment="1">
      <alignment horizontal="right"/>
    </xf>
    <xf numFmtId="4" fontId="5" fillId="8" borderId="13" xfId="2" applyNumberFormat="1" applyFont="1" applyFill="1" applyBorder="1" applyAlignment="1">
      <alignment horizontal="right"/>
    </xf>
    <xf numFmtId="4" fontId="9" fillId="14" borderId="4" xfId="2" applyNumberFormat="1" applyFont="1" applyFill="1" applyBorder="1" applyAlignment="1">
      <alignment horizontal="right"/>
    </xf>
    <xf numFmtId="4" fontId="5" fillId="0" borderId="4" xfId="3" applyNumberFormat="1" applyFont="1" applyFill="1" applyBorder="1" applyAlignment="1">
      <alignment horizontal="right" vertical="center"/>
    </xf>
    <xf numFmtId="0" fontId="5" fillId="0" borderId="14" xfId="2" applyFont="1" applyBorder="1" applyAlignment="1">
      <alignment horizontal="left" vertical="center"/>
    </xf>
    <xf numFmtId="0" fontId="9" fillId="23" borderId="4" xfId="2" applyFont="1" applyFill="1" applyBorder="1" applyAlignment="1">
      <alignment vertical="center"/>
    </xf>
    <xf numFmtId="0" fontId="9" fillId="23" borderId="4" xfId="2" applyFont="1" applyFill="1" applyBorder="1" applyAlignment="1">
      <alignment horizontal="center" vertical="center"/>
    </xf>
    <xf numFmtId="0" fontId="5" fillId="24" borderId="4" xfId="2" applyFont="1" applyFill="1" applyBorder="1" applyAlignment="1">
      <alignment horizontal="center" vertical="center"/>
    </xf>
    <xf numFmtId="0" fontId="5" fillId="24" borderId="4" xfId="2" applyFont="1" applyFill="1" applyBorder="1" applyAlignment="1">
      <alignment horizontal="left" vertical="center"/>
    </xf>
    <xf numFmtId="0" fontId="5" fillId="24" borderId="4" xfId="2" applyFont="1" applyFill="1" applyBorder="1"/>
    <xf numFmtId="0" fontId="9" fillId="23" borderId="4" xfId="2" applyFont="1" applyFill="1" applyBorder="1" applyAlignment="1">
      <alignment horizontal="left" vertical="center"/>
    </xf>
    <xf numFmtId="4" fontId="9" fillId="23" borderId="4" xfId="1" applyNumberFormat="1" applyFont="1" applyFill="1" applyBorder="1" applyAlignment="1">
      <alignment horizontal="right" vertical="center"/>
    </xf>
    <xf numFmtId="4" fontId="9" fillId="23" borderId="4" xfId="3" applyNumberFormat="1" applyFont="1" applyFill="1" applyBorder="1" applyAlignment="1">
      <alignment horizontal="right" vertical="center"/>
    </xf>
    <xf numFmtId="0" fontId="9" fillId="25" borderId="4" xfId="2" applyFont="1" applyFill="1" applyBorder="1" applyAlignment="1">
      <alignment horizontal="center" vertical="center"/>
    </xf>
    <xf numFmtId="0" fontId="9" fillId="25" borderId="4" xfId="2" applyFont="1" applyFill="1" applyBorder="1" applyAlignment="1">
      <alignment horizontal="left" vertical="center"/>
    </xf>
    <xf numFmtId="167" fontId="5" fillId="0" borderId="4" xfId="2" applyNumberFormat="1" applyFont="1" applyBorder="1" applyAlignment="1">
      <alignment horizontal="center" vertical="center"/>
    </xf>
    <xf numFmtId="4" fontId="5" fillId="2" borderId="4" xfId="3" applyNumberFormat="1" applyFont="1" applyFill="1" applyBorder="1" applyAlignment="1">
      <alignment horizontal="right" vertical="center"/>
    </xf>
    <xf numFmtId="0" fontId="5" fillId="0" borderId="0" xfId="2" applyFont="1" applyAlignment="1">
      <alignment horizontal="center" vertical="center"/>
    </xf>
    <xf numFmtId="4" fontId="11" fillId="11" borderId="14" xfId="2" applyNumberFormat="1" applyFont="1" applyFill="1" applyBorder="1" applyAlignment="1">
      <alignment horizontal="right" vertical="center"/>
    </xf>
    <xf numFmtId="4" fontId="9" fillId="12" borderId="14" xfId="3" applyNumberFormat="1" applyFont="1" applyFill="1" applyBorder="1" applyAlignment="1">
      <alignment horizontal="right" vertical="center" wrapText="1"/>
    </xf>
    <xf numFmtId="0" fontId="5" fillId="18" borderId="4" xfId="2" applyFont="1" applyFill="1" applyBorder="1"/>
    <xf numFmtId="4" fontId="5" fillId="19" borderId="4" xfId="2" applyNumberFormat="1" applyFont="1" applyFill="1" applyBorder="1" applyAlignment="1">
      <alignment horizontal="right" vertical="center"/>
    </xf>
    <xf numFmtId="3" fontId="5" fillId="0" borderId="4" xfId="2" applyNumberFormat="1" applyFont="1" applyBorder="1" applyAlignment="1">
      <alignment horizontal="center"/>
    </xf>
    <xf numFmtId="4" fontId="5" fillId="0" borderId="4" xfId="2" applyNumberFormat="1" applyFont="1" applyBorder="1" applyAlignment="1">
      <alignment horizontal="center"/>
    </xf>
    <xf numFmtId="166" fontId="5" fillId="0" borderId="4" xfId="4" applyFont="1" applyFill="1" applyBorder="1" applyAlignment="1">
      <alignment horizontal="center" vertical="center"/>
    </xf>
    <xf numFmtId="4" fontId="5" fillId="19" borderId="4" xfId="2" applyNumberFormat="1" applyFont="1" applyFill="1" applyBorder="1" applyAlignment="1">
      <alignment horizontal="right"/>
    </xf>
    <xf numFmtId="4" fontId="14" fillId="19" borderId="4" xfId="2" applyNumberFormat="1" applyFont="1" applyFill="1" applyBorder="1" applyAlignment="1">
      <alignment horizontal="right" vertical="center"/>
    </xf>
    <xf numFmtId="3" fontId="15" fillId="0" borderId="4" xfId="2" applyNumberFormat="1" applyFont="1" applyBorder="1" applyAlignment="1">
      <alignment horizontal="center" vertical="center"/>
    </xf>
    <xf numFmtId="4" fontId="15" fillId="0" borderId="4" xfId="2" applyNumberFormat="1" applyFont="1" applyBorder="1" applyAlignment="1">
      <alignment horizontal="right"/>
    </xf>
    <xf numFmtId="0" fontId="15" fillId="0" borderId="0" xfId="2" applyFont="1"/>
    <xf numFmtId="168" fontId="5" fillId="0" borderId="4" xfId="4" applyNumberFormat="1" applyFont="1" applyFill="1" applyBorder="1" applyAlignment="1">
      <alignment horizontal="center" vertical="center"/>
    </xf>
    <xf numFmtId="4" fontId="5" fillId="0" borderId="4" xfId="4" applyNumberFormat="1" applyFont="1" applyFill="1" applyBorder="1" applyAlignment="1">
      <alignment horizontal="right" vertical="center"/>
    </xf>
    <xf numFmtId="4" fontId="5" fillId="0" borderId="4" xfId="2" applyNumberFormat="1" applyFont="1" applyBorder="1" applyAlignment="1">
      <alignment vertical="center"/>
    </xf>
    <xf numFmtId="44" fontId="5" fillId="0" borderId="0" xfId="2" applyNumberFormat="1" applyFont="1"/>
    <xf numFmtId="0" fontId="9" fillId="26" borderId="0" xfId="2" applyFont="1" applyFill="1" applyAlignment="1">
      <alignment horizontal="right"/>
    </xf>
    <xf numFmtId="0" fontId="9" fillId="26" borderId="0" xfId="2" applyFont="1" applyFill="1" applyAlignment="1">
      <alignment horizontal="center"/>
    </xf>
    <xf numFmtId="0" fontId="9" fillId="26" borderId="0" xfId="2" applyFont="1" applyFill="1"/>
    <xf numFmtId="4" fontId="11" fillId="11" borderId="4" xfId="2" applyNumberFormat="1" applyFont="1" applyFill="1" applyBorder="1" applyAlignment="1">
      <alignment horizontal="right"/>
    </xf>
    <xf numFmtId="0" fontId="4" fillId="0" borderId="4" xfId="2" applyFont="1" applyBorder="1" applyAlignment="1">
      <alignment horizontal="center" vertical="center"/>
    </xf>
    <xf numFmtId="0" fontId="9" fillId="14" borderId="4" xfId="2" applyFont="1" applyFill="1" applyBorder="1" applyAlignment="1">
      <alignment horizontal="right" vertical="center"/>
    </xf>
    <xf numFmtId="0" fontId="5" fillId="0" borderId="4" xfId="2" applyFont="1" applyBorder="1" applyAlignment="1">
      <alignment horizontal="right" vertical="center"/>
    </xf>
    <xf numFmtId="4" fontId="4" fillId="0" borderId="4" xfId="2" applyNumberFormat="1" applyFont="1" applyBorder="1" applyAlignment="1">
      <alignment horizontal="right"/>
    </xf>
    <xf numFmtId="14" fontId="11" fillId="11" borderId="4" xfId="2" applyNumberFormat="1" applyFont="1" applyFill="1" applyBorder="1" applyAlignment="1">
      <alignment horizontal="center" vertical="center"/>
    </xf>
    <xf numFmtId="0" fontId="9" fillId="14" borderId="9" xfId="2" applyFont="1" applyFill="1" applyBorder="1" applyAlignment="1">
      <alignment vertical="center"/>
    </xf>
    <xf numFmtId="0" fontId="9" fillId="14" borderId="9" xfId="2" applyFont="1" applyFill="1" applyBorder="1" applyAlignment="1">
      <alignment horizontal="center" vertical="center"/>
    </xf>
    <xf numFmtId="0" fontId="9" fillId="14" borderId="9" xfId="2" applyFont="1" applyFill="1" applyBorder="1" applyAlignment="1">
      <alignment horizontal="left" vertical="center"/>
    </xf>
    <xf numFmtId="4" fontId="9" fillId="14" borderId="9" xfId="2" applyNumberFormat="1" applyFont="1" applyFill="1" applyBorder="1" applyAlignment="1">
      <alignment horizontal="right" vertical="center"/>
    </xf>
    <xf numFmtId="4" fontId="9" fillId="14" borderId="9" xfId="2" applyNumberFormat="1" applyFont="1" applyFill="1" applyBorder="1" applyAlignment="1">
      <alignment horizontal="right"/>
    </xf>
    <xf numFmtId="0" fontId="11" fillId="0" borderId="4" xfId="2" applyFont="1" applyBorder="1" applyAlignment="1">
      <alignment horizontal="center" vertical="center"/>
    </xf>
    <xf numFmtId="0" fontId="11" fillId="0" borderId="4" xfId="2" applyFont="1" applyBorder="1" applyAlignment="1">
      <alignment horizontal="left" vertical="center"/>
    </xf>
    <xf numFmtId="4" fontId="11" fillId="0" borderId="4" xfId="2" applyNumberFormat="1" applyFont="1" applyBorder="1" applyAlignment="1">
      <alignment horizontal="right" vertical="center"/>
    </xf>
    <xf numFmtId="4" fontId="11" fillId="0" borderId="4" xfId="2" applyNumberFormat="1" applyFont="1" applyBorder="1" applyAlignment="1">
      <alignment horizontal="right"/>
    </xf>
    <xf numFmtId="0" fontId="5" fillId="8" borderId="0" xfId="2" applyFont="1" applyFill="1" applyAlignment="1">
      <alignment horizontal="center"/>
    </xf>
    <xf numFmtId="169" fontId="5" fillId="0" borderId="0" xfId="2" applyNumberFormat="1" applyFont="1" applyAlignment="1">
      <alignment vertical="center"/>
    </xf>
    <xf numFmtId="0" fontId="5" fillId="0" borderId="0" xfId="2" applyFont="1" applyAlignment="1">
      <alignment vertical="center"/>
    </xf>
    <xf numFmtId="4" fontId="5" fillId="0" borderId="0" xfId="2" applyNumberFormat="1" applyFont="1" applyAlignment="1">
      <alignment horizontal="center"/>
    </xf>
    <xf numFmtId="0" fontId="11" fillId="11" borderId="0" xfId="2" applyFont="1" applyFill="1" applyAlignment="1">
      <alignment horizontal="center" vertical="center"/>
    </xf>
    <xf numFmtId="44" fontId="9" fillId="0" borderId="9" xfId="2" applyNumberFormat="1" applyFont="1" applyBorder="1" applyAlignment="1">
      <alignment horizontal="center" vertical="center"/>
    </xf>
    <xf numFmtId="44" fontId="5" fillId="0" borderId="9" xfId="2" applyNumberFormat="1" applyFont="1" applyBorder="1" applyAlignment="1">
      <alignment horizontal="center" vertical="center"/>
    </xf>
    <xf numFmtId="0" fontId="9" fillId="0" borderId="9" xfId="2" applyFont="1" applyBorder="1" applyAlignment="1">
      <alignment horizontal="center" vertical="center"/>
    </xf>
    <xf numFmtId="0" fontId="9" fillId="16" borderId="9" xfId="2" applyFont="1" applyFill="1" applyBorder="1" applyAlignment="1">
      <alignment horizontal="center" vertical="center"/>
    </xf>
    <xf numFmtId="0" fontId="5" fillId="0" borderId="12" xfId="2" applyFont="1" applyBorder="1" applyAlignment="1">
      <alignment horizontal="center" vertical="center"/>
    </xf>
    <xf numFmtId="0" fontId="14" fillId="0" borderId="12" xfId="2" applyFont="1" applyBorder="1" applyAlignment="1">
      <alignment horizontal="center" vertical="center"/>
    </xf>
    <xf numFmtId="0" fontId="9" fillId="13" borderId="12" xfId="2" applyFont="1" applyFill="1" applyBorder="1" applyAlignment="1">
      <alignment horizontal="center" vertical="center"/>
    </xf>
    <xf numFmtId="0" fontId="5" fillId="0" borderId="16" xfId="2" applyFont="1" applyBorder="1" applyAlignment="1">
      <alignment horizontal="center" vertical="center"/>
    </xf>
    <xf numFmtId="0" fontId="9" fillId="14" borderId="16" xfId="2" applyFont="1" applyFill="1" applyBorder="1" applyAlignment="1">
      <alignment horizontal="center" vertical="center"/>
    </xf>
    <xf numFmtId="0" fontId="14" fillId="0" borderId="16" xfId="2" applyFont="1" applyBorder="1" applyAlignment="1">
      <alignment horizontal="center" vertical="center"/>
    </xf>
    <xf numFmtId="4" fontId="10" fillId="0" borderId="9" xfId="2" applyNumberFormat="1" applyFont="1" applyBorder="1" applyAlignment="1">
      <alignment horizontal="center" vertical="center"/>
    </xf>
    <xf numFmtId="4" fontId="10" fillId="0" borderId="16" xfId="2" applyNumberFormat="1" applyFont="1" applyBorder="1" applyAlignment="1">
      <alignment horizontal="center" vertical="center"/>
    </xf>
    <xf numFmtId="4" fontId="10" fillId="0" borderId="13" xfId="2" applyNumberFormat="1" applyFont="1" applyBorder="1" applyAlignment="1">
      <alignment horizontal="center" vertical="center"/>
    </xf>
    <xf numFmtId="4" fontId="5" fillId="0" borderId="9" xfId="2" applyNumberFormat="1" applyFont="1" applyBorder="1" applyAlignment="1">
      <alignment horizontal="right" vertical="center"/>
    </xf>
    <xf numFmtId="4" fontId="5" fillId="0" borderId="16" xfId="2" applyNumberFormat="1" applyFont="1" applyBorder="1" applyAlignment="1">
      <alignment horizontal="right" vertical="center"/>
    </xf>
    <xf numFmtId="4" fontId="5" fillId="0" borderId="13" xfId="2" applyNumberFormat="1" applyFont="1" applyBorder="1" applyAlignment="1">
      <alignment horizontal="right" vertical="center"/>
    </xf>
    <xf numFmtId="4" fontId="9" fillId="0" borderId="0" xfId="2" applyNumberFormat="1" applyFont="1" applyAlignment="1">
      <alignment horizontal="right" vertical="center"/>
    </xf>
    <xf numFmtId="164" fontId="3" fillId="0" borderId="3" xfId="2" applyNumberFormat="1" applyFont="1" applyBorder="1" applyAlignment="1">
      <alignment horizontal="center" vertical="center" wrapText="1"/>
    </xf>
    <xf numFmtId="0" fontId="9" fillId="12" borderId="6" xfId="2" applyFont="1" applyFill="1" applyBorder="1" applyAlignment="1">
      <alignment horizontal="center" vertical="center"/>
    </xf>
    <xf numFmtId="0" fontId="9" fillId="13" borderId="0" xfId="2" applyFont="1" applyFill="1" applyAlignment="1">
      <alignment horizontal="center" vertical="center"/>
    </xf>
    <xf numFmtId="0" fontId="11" fillId="11" borderId="14" xfId="2" applyFont="1" applyFill="1" applyBorder="1" applyAlignment="1">
      <alignment horizontal="left" vertical="center"/>
    </xf>
    <xf numFmtId="0" fontId="9" fillId="12" borderId="14" xfId="2" applyFont="1" applyFill="1" applyBorder="1" applyAlignment="1">
      <alignment horizontal="left" vertical="center"/>
    </xf>
    <xf numFmtId="0" fontId="9" fillId="13" borderId="6" xfId="2" applyFont="1" applyFill="1" applyBorder="1" applyAlignment="1">
      <alignment horizontal="left" vertical="center" wrapText="1"/>
    </xf>
    <xf numFmtId="0" fontId="5" fillId="0" borderId="15" xfId="2" applyFont="1" applyBorder="1" applyAlignment="1">
      <alignment horizontal="left" vertical="center" wrapText="1"/>
    </xf>
    <xf numFmtId="0" fontId="10" fillId="0" borderId="15" xfId="2" applyFont="1" applyBorder="1" applyAlignment="1">
      <alignment horizontal="left" vertical="center" wrapText="1"/>
    </xf>
    <xf numFmtId="0" fontId="12" fillId="0" borderId="15" xfId="2" applyFont="1" applyBorder="1" applyAlignment="1">
      <alignment horizontal="left" vertical="center" wrapText="1"/>
    </xf>
    <xf numFmtId="0" fontId="9" fillId="13" borderId="8" xfId="2" applyFont="1" applyFill="1" applyBorder="1" applyAlignment="1">
      <alignment horizontal="center" vertical="center"/>
    </xf>
    <xf numFmtId="0" fontId="5" fillId="0" borderId="8" xfId="2" applyFont="1" applyBorder="1" applyAlignment="1">
      <alignment horizontal="center" vertical="center"/>
    </xf>
    <xf numFmtId="0" fontId="4" fillId="0" borderId="1" xfId="2" applyFont="1" applyBorder="1" applyAlignment="1">
      <alignment horizontal="center" vertical="center" wrapText="1"/>
    </xf>
    <xf numFmtId="164" fontId="3" fillId="9" borderId="1" xfId="2" applyNumberFormat="1" applyFont="1" applyFill="1" applyBorder="1" applyAlignment="1">
      <alignment horizontal="center" vertical="center" wrapText="1"/>
    </xf>
    <xf numFmtId="0" fontId="5" fillId="8" borderId="1" xfId="2" applyFont="1" applyFill="1" applyBorder="1" applyAlignment="1">
      <alignment horizontal="center" wrapText="1"/>
    </xf>
    <xf numFmtId="0" fontId="5" fillId="0" borderId="14" xfId="2" applyFont="1" applyBorder="1" applyAlignment="1">
      <alignment horizontal="left" vertical="center" wrapText="1"/>
    </xf>
    <xf numFmtId="0" fontId="5" fillId="8" borderId="14" xfId="2" applyFont="1" applyFill="1" applyBorder="1" applyAlignment="1">
      <alignment horizontal="left" vertical="center" wrapText="1"/>
    </xf>
    <xf numFmtId="0" fontId="9" fillId="13" borderId="14" xfId="2" applyFont="1" applyFill="1" applyBorder="1" applyAlignment="1">
      <alignment horizontal="left" vertical="center"/>
    </xf>
    <xf numFmtId="3" fontId="9" fillId="13" borderId="14" xfId="2" applyNumberFormat="1" applyFont="1" applyFill="1" applyBorder="1" applyAlignment="1">
      <alignment horizontal="left" vertical="center"/>
    </xf>
    <xf numFmtId="3" fontId="5" fillId="0" borderId="14" xfId="2" applyNumberFormat="1" applyFont="1" applyBorder="1" applyAlignment="1">
      <alignment horizontal="left" vertical="center"/>
    </xf>
    <xf numFmtId="3" fontId="5" fillId="0" borderId="14" xfId="2" applyNumberFormat="1" applyFont="1" applyBorder="1" applyAlignment="1">
      <alignment horizontal="left" vertical="center" wrapText="1"/>
    </xf>
    <xf numFmtId="0" fontId="14" fillId="0" borderId="14" xfId="2" applyFont="1" applyBorder="1" applyAlignment="1">
      <alignment horizontal="left" vertical="center"/>
    </xf>
    <xf numFmtId="0" fontId="14" fillId="0" borderId="14" xfId="2" applyFont="1" applyBorder="1" applyAlignment="1">
      <alignment horizontal="left" vertical="center" wrapText="1"/>
    </xf>
    <xf numFmtId="3" fontId="9" fillId="14" borderId="14" xfId="2" applyNumberFormat="1" applyFont="1" applyFill="1" applyBorder="1" applyAlignment="1">
      <alignment horizontal="left" vertical="center"/>
    </xf>
    <xf numFmtId="3" fontId="5" fillId="0" borderId="14" xfId="2" applyNumberFormat="1" applyFont="1" applyBorder="1" applyAlignment="1">
      <alignment horizontal="right" vertical="center"/>
    </xf>
    <xf numFmtId="0" fontId="5" fillId="0" borderId="14" xfId="2" applyFont="1" applyBorder="1" applyAlignment="1">
      <alignment horizontal="left"/>
    </xf>
    <xf numFmtId="4" fontId="5" fillId="0" borderId="14" xfId="2" applyNumberFormat="1" applyFont="1" applyBorder="1" applyAlignment="1">
      <alignment horizontal="left" vertical="center" wrapText="1"/>
    </xf>
    <xf numFmtId="4" fontId="5" fillId="0" borderId="14" xfId="2" applyNumberFormat="1" applyFont="1" applyBorder="1" applyAlignment="1">
      <alignment horizontal="left" vertical="center"/>
    </xf>
    <xf numFmtId="4" fontId="5" fillId="0" borderId="14" xfId="2" applyNumberFormat="1" applyFont="1" applyBorder="1" applyAlignment="1">
      <alignment horizontal="left"/>
    </xf>
    <xf numFmtId="3" fontId="9" fillId="14" borderId="14" xfId="2" applyNumberFormat="1" applyFont="1" applyFill="1" applyBorder="1" applyAlignment="1">
      <alignment horizontal="center" vertical="center"/>
    </xf>
    <xf numFmtId="0" fontId="9" fillId="14" borderId="14" xfId="2" applyFont="1" applyFill="1" applyBorder="1" applyAlignment="1">
      <alignment horizontal="left" vertical="center"/>
    </xf>
    <xf numFmtId="3" fontId="14" fillId="0" borderId="14" xfId="2" applyNumberFormat="1" applyFont="1" applyBorder="1" applyAlignment="1">
      <alignment horizontal="left" vertical="center"/>
    </xf>
    <xf numFmtId="0" fontId="14" fillId="0" borderId="14" xfId="2" applyFont="1" applyBorder="1" applyAlignment="1">
      <alignment horizontal="left"/>
    </xf>
    <xf numFmtId="0" fontId="14" fillId="0" borderId="14" xfId="2" applyFont="1" applyBorder="1" applyAlignment="1">
      <alignment horizontal="left" wrapText="1"/>
    </xf>
    <xf numFmtId="0" fontId="15" fillId="8" borderId="14" xfId="2" applyFont="1" applyFill="1" applyBorder="1" applyAlignment="1">
      <alignment horizontal="left" vertical="center"/>
    </xf>
    <xf numFmtId="0" fontId="14" fillId="0" borderId="1" xfId="2" applyFont="1" applyBorder="1" applyAlignment="1">
      <alignment horizontal="left"/>
    </xf>
    <xf numFmtId="0" fontId="5" fillId="8" borderId="22" xfId="2" applyFont="1" applyFill="1" applyBorder="1" applyAlignment="1">
      <alignment vertical="center" wrapText="1"/>
    </xf>
    <xf numFmtId="0" fontId="9" fillId="14" borderId="14" xfId="2" applyFont="1" applyFill="1" applyBorder="1" applyAlignment="1">
      <alignment horizontal="center" vertical="center"/>
    </xf>
    <xf numFmtId="0" fontId="15" fillId="0" borderId="14" xfId="2" applyFont="1" applyBorder="1" applyAlignment="1">
      <alignment horizontal="left" vertical="center"/>
    </xf>
    <xf numFmtId="4" fontId="5" fillId="0" borderId="14" xfId="2" applyNumberFormat="1" applyFont="1" applyBorder="1" applyAlignment="1">
      <alignment vertical="center"/>
    </xf>
    <xf numFmtId="0" fontId="9" fillId="14" borderId="19" xfId="2" applyFont="1" applyFill="1" applyBorder="1" applyAlignment="1">
      <alignment horizontal="left" vertical="center"/>
    </xf>
    <xf numFmtId="4" fontId="9" fillId="13" borderId="15" xfId="2" applyNumberFormat="1" applyFont="1" applyFill="1" applyBorder="1" applyAlignment="1">
      <alignment horizontal="right" vertical="center"/>
    </xf>
    <xf numFmtId="4" fontId="5" fillId="0" borderId="15" xfId="2" applyNumberFormat="1" applyFont="1" applyBorder="1" applyAlignment="1">
      <alignment horizontal="right" vertical="center"/>
    </xf>
    <xf numFmtId="4" fontId="5" fillId="8" borderId="15" xfId="2" applyNumberFormat="1" applyFont="1" applyFill="1" applyBorder="1" applyAlignment="1">
      <alignment horizontal="right" vertical="center"/>
    </xf>
    <xf numFmtId="4" fontId="4" fillId="0" borderId="15" xfId="2" applyNumberFormat="1" applyFont="1" applyBorder="1" applyAlignment="1">
      <alignment horizontal="right" vertical="center"/>
    </xf>
    <xf numFmtId="4" fontId="5" fillId="15" borderId="15" xfId="2" applyNumberFormat="1" applyFont="1" applyFill="1" applyBorder="1" applyAlignment="1">
      <alignment horizontal="right" vertical="center"/>
    </xf>
    <xf numFmtId="4" fontId="9" fillId="12" borderId="15" xfId="2" applyNumberFormat="1" applyFont="1" applyFill="1" applyBorder="1" applyAlignment="1">
      <alignment horizontal="right" vertical="center"/>
    </xf>
    <xf numFmtId="4" fontId="5" fillId="0" borderId="15" xfId="2" applyNumberFormat="1" applyFont="1" applyBorder="1" applyAlignment="1">
      <alignment horizontal="right" vertical="center" wrapText="1"/>
    </xf>
    <xf numFmtId="4" fontId="14" fillId="0" borderId="15" xfId="2" applyNumberFormat="1" applyFont="1" applyBorder="1" applyAlignment="1">
      <alignment horizontal="right" vertical="center" wrapText="1"/>
    </xf>
    <xf numFmtId="4" fontId="14" fillId="0" borderId="15" xfId="2" applyNumberFormat="1" applyFont="1" applyBorder="1" applyAlignment="1">
      <alignment horizontal="right" vertical="center"/>
    </xf>
    <xf numFmtId="4" fontId="9" fillId="18" borderId="15" xfId="2" applyNumberFormat="1" applyFont="1" applyFill="1" applyBorder="1" applyAlignment="1">
      <alignment horizontal="right" vertical="center"/>
    </xf>
    <xf numFmtId="4" fontId="9" fillId="14" borderId="15" xfId="2" applyNumberFormat="1" applyFont="1" applyFill="1" applyBorder="1" applyAlignment="1">
      <alignment horizontal="right" vertical="center"/>
    </xf>
    <xf numFmtId="4" fontId="3" fillId="14" borderId="15" xfId="2" applyNumberFormat="1" applyFont="1" applyFill="1" applyBorder="1" applyAlignment="1">
      <alignment horizontal="right" vertical="center"/>
    </xf>
    <xf numFmtId="4" fontId="9" fillId="17" borderId="15" xfId="2" applyNumberFormat="1" applyFont="1" applyFill="1" applyBorder="1" applyAlignment="1">
      <alignment horizontal="right" vertical="center"/>
    </xf>
    <xf numFmtId="4" fontId="5" fillId="17" borderId="15" xfId="2" applyNumberFormat="1" applyFont="1" applyFill="1" applyBorder="1" applyAlignment="1">
      <alignment horizontal="right" vertical="center"/>
    </xf>
    <xf numFmtId="4" fontId="9" fillId="14" borderId="15" xfId="4" applyNumberFormat="1" applyFont="1" applyFill="1" applyBorder="1" applyAlignment="1">
      <alignment horizontal="right" vertical="center"/>
    </xf>
    <xf numFmtId="4" fontId="16" fillId="14" borderId="15" xfId="2" applyNumberFormat="1" applyFont="1" applyFill="1" applyBorder="1" applyAlignment="1">
      <alignment horizontal="right" vertical="center"/>
    </xf>
    <xf numFmtId="4" fontId="9" fillId="12" borderId="15" xfId="3" applyNumberFormat="1" applyFont="1" applyFill="1" applyBorder="1" applyAlignment="1">
      <alignment horizontal="right" vertical="center"/>
    </xf>
    <xf numFmtId="4" fontId="9" fillId="14" borderId="15" xfId="3" applyNumberFormat="1" applyFont="1" applyFill="1" applyBorder="1" applyAlignment="1">
      <alignment horizontal="right" vertical="center"/>
    </xf>
    <xf numFmtId="4" fontId="11" fillId="11" borderId="15" xfId="3" applyNumberFormat="1" applyFont="1" applyFill="1" applyBorder="1" applyAlignment="1">
      <alignment horizontal="right" vertical="center"/>
    </xf>
    <xf numFmtId="4" fontId="5" fillId="0" borderId="15" xfId="3" applyNumberFormat="1" applyFont="1" applyFill="1" applyBorder="1" applyAlignment="1">
      <alignment horizontal="right" vertical="center"/>
    </xf>
    <xf numFmtId="4" fontId="5" fillId="0" borderId="15" xfId="1" applyNumberFormat="1" applyFont="1" applyFill="1" applyBorder="1" applyAlignment="1">
      <alignment horizontal="right" vertical="center"/>
    </xf>
    <xf numFmtId="4" fontId="9" fillId="23" borderId="15" xfId="3" applyNumberFormat="1" applyFont="1" applyFill="1" applyBorder="1" applyAlignment="1">
      <alignment horizontal="right" vertical="center"/>
    </xf>
    <xf numFmtId="4" fontId="11" fillId="11" borderId="17" xfId="2" applyNumberFormat="1" applyFont="1" applyFill="1" applyBorder="1" applyAlignment="1">
      <alignment horizontal="right" vertical="center"/>
    </xf>
    <xf numFmtId="4" fontId="9" fillId="12" borderId="17" xfId="3" applyNumberFormat="1" applyFont="1" applyFill="1" applyBorder="1" applyAlignment="1">
      <alignment horizontal="right" vertical="center" wrapText="1"/>
    </xf>
    <xf numFmtId="4" fontId="11" fillId="11" borderId="15" xfId="2" applyNumberFormat="1" applyFont="1" applyFill="1" applyBorder="1" applyAlignment="1">
      <alignment horizontal="right" vertical="center"/>
    </xf>
    <xf numFmtId="4" fontId="9" fillId="14" borderId="18" xfId="2" applyNumberFormat="1" applyFont="1" applyFill="1" applyBorder="1" applyAlignment="1">
      <alignment horizontal="right" vertical="center"/>
    </xf>
    <xf numFmtId="4" fontId="5" fillId="0" borderId="15" xfId="2" applyNumberFormat="1" applyFont="1" applyBorder="1" applyAlignment="1">
      <alignment horizontal="right"/>
    </xf>
    <xf numFmtId="0" fontId="4" fillId="0" borderId="4" xfId="2" applyFont="1" applyBorder="1" applyAlignment="1">
      <alignment horizontal="center" wrapText="1"/>
    </xf>
    <xf numFmtId="0" fontId="4" fillId="0" borderId="4" xfId="2" applyFont="1" applyBorder="1" applyAlignment="1">
      <alignment horizontal="center" vertical="center" wrapText="1"/>
    </xf>
    <xf numFmtId="164" fontId="3" fillId="0" borderId="4" xfId="2" applyNumberFormat="1" applyFont="1" applyBorder="1" applyAlignment="1">
      <alignment horizontal="center" vertical="center" wrapText="1"/>
    </xf>
    <xf numFmtId="164" fontId="3" fillId="9" borderId="4" xfId="2" applyNumberFormat="1" applyFont="1" applyFill="1" applyBorder="1" applyAlignment="1">
      <alignment horizontal="center" vertical="center" wrapText="1"/>
    </xf>
    <xf numFmtId="0" fontId="5" fillId="8" borderId="4" xfId="2" applyFont="1" applyFill="1" applyBorder="1" applyAlignment="1">
      <alignment horizontal="center" wrapText="1"/>
    </xf>
    <xf numFmtId="0" fontId="4" fillId="0" borderId="1" xfId="2" applyFont="1" applyBorder="1" applyAlignment="1">
      <alignment horizontal="center" vertical="center"/>
    </xf>
    <xf numFmtId="0" fontId="5" fillId="8" borderId="1" xfId="2" applyFont="1" applyFill="1" applyBorder="1" applyAlignment="1">
      <alignment horizontal="center"/>
    </xf>
    <xf numFmtId="0" fontId="9" fillId="12" borderId="8" xfId="2" applyFont="1" applyFill="1" applyBorder="1" applyAlignment="1">
      <alignment horizontal="center" vertical="center"/>
    </xf>
    <xf numFmtId="44" fontId="9" fillId="13" borderId="14" xfId="2" applyNumberFormat="1" applyFont="1" applyFill="1" applyBorder="1" applyAlignment="1">
      <alignment horizontal="center" vertical="center"/>
    </xf>
    <xf numFmtId="44" fontId="9" fillId="0" borderId="14" xfId="2" applyNumberFormat="1" applyFont="1" applyBorder="1" applyAlignment="1">
      <alignment horizontal="center" vertical="center"/>
    </xf>
    <xf numFmtId="44" fontId="9" fillId="0" borderId="19" xfId="2" applyNumberFormat="1" applyFont="1" applyBorder="1" applyAlignment="1">
      <alignment horizontal="center" vertical="center"/>
    </xf>
    <xf numFmtId="44" fontId="5" fillId="0" borderId="14" xfId="2" applyNumberFormat="1" applyFont="1" applyBorder="1" applyAlignment="1">
      <alignment horizontal="center" vertical="center"/>
    </xf>
    <xf numFmtId="44" fontId="5" fillId="0" borderId="19" xfId="2" applyNumberFormat="1" applyFont="1" applyBorder="1" applyAlignment="1">
      <alignment horizontal="center" vertical="center"/>
    </xf>
    <xf numFmtId="0" fontId="9" fillId="0" borderId="19" xfId="2" applyFont="1" applyBorder="1" applyAlignment="1">
      <alignment horizontal="center" vertical="center"/>
    </xf>
    <xf numFmtId="0" fontId="9" fillId="16" borderId="19" xfId="2" applyFont="1" applyFill="1" applyBorder="1" applyAlignment="1">
      <alignment horizontal="center" vertical="center"/>
    </xf>
    <xf numFmtId="0" fontId="9" fillId="12" borderId="14" xfId="2" applyFont="1" applyFill="1" applyBorder="1" applyAlignment="1">
      <alignment horizontal="center" vertical="center"/>
    </xf>
    <xf numFmtId="0" fontId="9" fillId="13" borderId="14" xfId="2" applyFont="1" applyFill="1" applyBorder="1" applyAlignment="1">
      <alignment horizontal="center" vertical="center"/>
    </xf>
    <xf numFmtId="0" fontId="5" fillId="0" borderId="19" xfId="2" applyFont="1" applyBorder="1" applyAlignment="1">
      <alignment horizontal="center" vertical="center"/>
    </xf>
    <xf numFmtId="0" fontId="14" fillId="0" borderId="14" xfId="2" applyFont="1" applyBorder="1" applyAlignment="1">
      <alignment horizontal="center" vertical="center"/>
    </xf>
    <xf numFmtId="3" fontId="5" fillId="0" borderId="14" xfId="2" applyNumberFormat="1" applyFont="1" applyBorder="1" applyAlignment="1">
      <alignment horizontal="center" vertical="center"/>
    </xf>
    <xf numFmtId="0" fontId="5" fillId="0" borderId="22" xfId="2" applyFont="1" applyBorder="1" applyAlignment="1">
      <alignment horizontal="center" vertical="center"/>
    </xf>
    <xf numFmtId="0" fontId="9" fillId="18" borderId="14" xfId="2" applyFont="1" applyFill="1" applyBorder="1" applyAlignment="1">
      <alignment horizontal="center" vertical="center"/>
    </xf>
    <xf numFmtId="0" fontId="5" fillId="0" borderId="14" xfId="2" applyFont="1" applyBorder="1" applyAlignment="1">
      <alignment horizontal="center"/>
    </xf>
    <xf numFmtId="0" fontId="14" fillId="0" borderId="14" xfId="2" applyFont="1" applyBorder="1" applyAlignment="1">
      <alignment horizontal="center"/>
    </xf>
    <xf numFmtId="0" fontId="11" fillId="11" borderId="14" xfId="2" applyFont="1" applyFill="1" applyBorder="1" applyAlignment="1">
      <alignment horizontal="center" vertical="center"/>
    </xf>
    <xf numFmtId="0" fontId="9" fillId="14" borderId="14" xfId="2" applyFont="1" applyFill="1" applyBorder="1" applyAlignment="1">
      <alignment horizontal="center" vertical="center" wrapText="1"/>
    </xf>
    <xf numFmtId="0" fontId="9" fillId="23" borderId="14" xfId="2" applyFont="1" applyFill="1" applyBorder="1" applyAlignment="1">
      <alignment horizontal="center" vertical="center"/>
    </xf>
    <xf numFmtId="0" fontId="9" fillId="14" borderId="12" xfId="2" applyFont="1" applyFill="1" applyBorder="1" applyAlignment="1">
      <alignment horizontal="center" vertical="center"/>
    </xf>
    <xf numFmtId="0" fontId="9" fillId="14" borderId="19" xfId="2" applyFont="1" applyFill="1" applyBorder="1" applyAlignment="1">
      <alignment horizontal="center" vertical="center"/>
    </xf>
    <xf numFmtId="0" fontId="10" fillId="8" borderId="5" xfId="2" applyFont="1" applyFill="1" applyBorder="1" applyAlignment="1">
      <alignment horizontal="left" vertical="center"/>
    </xf>
    <xf numFmtId="0" fontId="11" fillId="11" borderId="15" xfId="2" applyFont="1" applyFill="1" applyBorder="1" applyAlignment="1">
      <alignment horizontal="center" vertical="center"/>
    </xf>
    <xf numFmtId="0" fontId="9" fillId="13" borderId="15" xfId="2" applyFont="1" applyFill="1" applyBorder="1" applyAlignment="1">
      <alignment horizontal="center" vertical="center" wrapText="1"/>
    </xf>
    <xf numFmtId="0" fontId="9" fillId="13" borderId="15" xfId="2" applyFont="1" applyFill="1" applyBorder="1" applyAlignment="1">
      <alignment horizontal="left" vertical="center" wrapText="1"/>
    </xf>
    <xf numFmtId="0" fontId="9" fillId="12" borderId="15" xfId="2" applyFont="1" applyFill="1" applyBorder="1" applyAlignment="1">
      <alignment horizontal="center" vertical="center" wrapText="1"/>
    </xf>
    <xf numFmtId="0" fontId="9" fillId="13" borderId="15" xfId="2" applyFont="1" applyFill="1" applyBorder="1" applyAlignment="1">
      <alignment horizontal="center" vertical="center"/>
    </xf>
    <xf numFmtId="4" fontId="9" fillId="12" borderId="15" xfId="2" applyNumberFormat="1" applyFont="1" applyFill="1" applyBorder="1" applyAlignment="1">
      <alignment horizontal="center" vertical="center"/>
    </xf>
    <xf numFmtId="0" fontId="5" fillId="0" borderId="18" xfId="2" applyFont="1" applyBorder="1" applyAlignment="1">
      <alignment horizontal="left" vertical="center" wrapText="1"/>
    </xf>
    <xf numFmtId="0" fontId="5" fillId="0" borderId="15" xfId="2" applyFont="1" applyBorder="1" applyAlignment="1">
      <alignment horizontal="center" vertical="center" wrapText="1"/>
    </xf>
    <xf numFmtId="0" fontId="5" fillId="0" borderId="0" xfId="2" applyFont="1" applyAlignment="1">
      <alignment horizontal="center" vertical="center" wrapText="1"/>
    </xf>
    <xf numFmtId="0" fontId="5" fillId="0" borderId="0" xfId="2" applyFont="1" applyAlignment="1">
      <alignment vertical="center" wrapText="1"/>
    </xf>
    <xf numFmtId="0" fontId="5" fillId="18" borderId="15" xfId="2" applyFont="1" applyFill="1" applyBorder="1" applyAlignment="1">
      <alignment horizontal="center" vertical="center" wrapText="1"/>
    </xf>
    <xf numFmtId="0" fontId="5" fillId="0" borderId="24" xfId="2" applyFont="1" applyBorder="1" applyAlignment="1">
      <alignment horizontal="center" vertical="center" wrapText="1"/>
    </xf>
    <xf numFmtId="0" fontId="5" fillId="0" borderId="18" xfId="2" applyFont="1" applyBorder="1" applyAlignment="1">
      <alignment horizontal="center" vertical="center" wrapText="1"/>
    </xf>
    <xf numFmtId="0" fontId="5" fillId="18" borderId="0" xfId="2" applyFont="1" applyFill="1" applyAlignment="1">
      <alignment horizontal="center" vertical="center" wrapText="1"/>
    </xf>
    <xf numFmtId="0" fontId="9" fillId="0" borderId="15" xfId="2" applyFont="1" applyBorder="1" applyAlignment="1">
      <alignment horizontal="center" vertical="center" wrapText="1"/>
    </xf>
    <xf numFmtId="0" fontId="5" fillId="0" borderId="15" xfId="2" applyFont="1" applyBorder="1"/>
    <xf numFmtId="4" fontId="5" fillId="0" borderId="15" xfId="2" applyNumberFormat="1" applyFont="1" applyBorder="1"/>
    <xf numFmtId="0" fontId="5" fillId="0" borderId="15" xfId="2" applyFont="1" applyBorder="1" applyAlignment="1">
      <alignment vertical="center" wrapText="1"/>
    </xf>
    <xf numFmtId="0" fontId="9" fillId="14" borderId="15" xfId="2" applyFont="1" applyFill="1" applyBorder="1" applyAlignment="1">
      <alignment horizontal="center" vertical="center"/>
    </xf>
    <xf numFmtId="0" fontId="9" fillId="12" borderId="15" xfId="2" applyFont="1" applyFill="1" applyBorder="1" applyAlignment="1">
      <alignment horizontal="center" vertical="center"/>
    </xf>
    <xf numFmtId="0" fontId="15" fillId="2" borderId="15" xfId="2" applyFont="1" applyFill="1" applyBorder="1" applyAlignment="1">
      <alignment horizontal="left" vertical="center" wrapText="1"/>
    </xf>
    <xf numFmtId="9" fontId="9" fillId="14" borderId="15" xfId="2" applyNumberFormat="1" applyFont="1" applyFill="1" applyBorder="1" applyAlignment="1">
      <alignment horizontal="center" vertical="center"/>
    </xf>
    <xf numFmtId="0" fontId="14" fillId="0" borderId="15" xfId="2" applyFont="1" applyBorder="1" applyAlignment="1">
      <alignment horizontal="left" vertical="center"/>
    </xf>
    <xf numFmtId="0" fontId="9" fillId="14" borderId="15" xfId="2" applyFont="1" applyFill="1" applyBorder="1" applyAlignment="1">
      <alignment horizontal="center" vertical="center" wrapText="1"/>
    </xf>
    <xf numFmtId="0" fontId="5" fillId="21" borderId="15" xfId="2" applyFont="1" applyFill="1" applyBorder="1" applyAlignment="1">
      <alignment horizontal="left" vertical="center"/>
    </xf>
    <xf numFmtId="0" fontId="14" fillId="0" borderId="15" xfId="2" applyFont="1" applyBorder="1"/>
    <xf numFmtId="0" fontId="14" fillId="0" borderId="15" xfId="2" applyFont="1" applyBorder="1" applyAlignment="1">
      <alignment vertical="top" wrapText="1"/>
    </xf>
    <xf numFmtId="0" fontId="14" fillId="0" borderId="15" xfId="2" applyFont="1" applyBorder="1" applyAlignment="1">
      <alignment vertical="center"/>
    </xf>
    <xf numFmtId="0" fontId="5" fillId="0" borderId="15" xfId="2" applyFont="1" applyBorder="1" applyAlignment="1">
      <alignment vertical="center"/>
    </xf>
    <xf numFmtId="0" fontId="9" fillId="0" borderId="15" xfId="2" applyFont="1" applyBorder="1" applyAlignment="1">
      <alignment horizontal="center" vertical="center"/>
    </xf>
    <xf numFmtId="0" fontId="5" fillId="8" borderId="15" xfId="2" applyFont="1" applyFill="1" applyBorder="1" applyAlignment="1">
      <alignment horizontal="left" vertical="center" wrapText="1"/>
    </xf>
    <xf numFmtId="0" fontId="5" fillId="19" borderId="15" xfId="2" applyFont="1" applyFill="1" applyBorder="1" applyAlignment="1">
      <alignment vertical="center"/>
    </xf>
    <xf numFmtId="0" fontId="9" fillId="23" borderId="15" xfId="2" applyFont="1" applyFill="1" applyBorder="1" applyAlignment="1">
      <alignment horizontal="center" vertical="center"/>
    </xf>
    <xf numFmtId="0" fontId="5" fillId="0" borderId="15" xfId="2" applyFont="1" applyBorder="1" applyAlignment="1">
      <alignment wrapText="1"/>
    </xf>
    <xf numFmtId="0" fontId="5" fillId="0" borderId="15" xfId="2" applyFont="1" applyBorder="1" applyAlignment="1">
      <alignment horizontal="center" vertical="center"/>
    </xf>
    <xf numFmtId="0" fontId="9" fillId="12" borderId="15" xfId="2" applyFont="1" applyFill="1" applyBorder="1" applyAlignment="1">
      <alignment vertical="center"/>
    </xf>
    <xf numFmtId="0" fontId="9" fillId="14" borderId="18" xfId="2" applyFont="1" applyFill="1" applyBorder="1" applyAlignment="1">
      <alignment horizontal="center" vertical="center"/>
    </xf>
    <xf numFmtId="0" fontId="5" fillId="8" borderId="4" xfId="2" applyFont="1" applyFill="1" applyBorder="1" applyAlignment="1">
      <alignment horizontal="center"/>
    </xf>
    <xf numFmtId="0" fontId="4" fillId="0" borderId="3" xfId="2" applyFont="1" applyBorder="1" applyAlignment="1">
      <alignment horizontal="center" vertical="center"/>
    </xf>
    <xf numFmtId="0" fontId="5" fillId="8" borderId="3" xfId="2" applyFont="1" applyFill="1" applyBorder="1" applyAlignment="1">
      <alignment horizontal="center"/>
    </xf>
    <xf numFmtId="44" fontId="9" fillId="13" borderId="17" xfId="2" applyNumberFormat="1" applyFont="1" applyFill="1" applyBorder="1" applyAlignment="1">
      <alignment horizontal="center" vertical="center"/>
    </xf>
    <xf numFmtId="44" fontId="9" fillId="0" borderId="17" xfId="2" applyNumberFormat="1" applyFont="1" applyBorder="1" applyAlignment="1">
      <alignment horizontal="center" vertical="center"/>
    </xf>
    <xf numFmtId="44" fontId="9" fillId="0" borderId="20" xfId="2" applyNumberFormat="1" applyFont="1" applyBorder="1" applyAlignment="1">
      <alignment horizontal="center" vertical="center"/>
    </xf>
    <xf numFmtId="44" fontId="5" fillId="0" borderId="17" xfId="2" applyNumberFormat="1" applyFont="1" applyBorder="1" applyAlignment="1">
      <alignment horizontal="center" vertical="center"/>
    </xf>
    <xf numFmtId="44" fontId="5" fillId="0" borderId="20" xfId="2" applyNumberFormat="1" applyFont="1" applyBorder="1" applyAlignment="1">
      <alignment horizontal="center" vertical="center"/>
    </xf>
    <xf numFmtId="0" fontId="9" fillId="0" borderId="20" xfId="2" applyFont="1" applyBorder="1" applyAlignment="1">
      <alignment horizontal="center" vertical="center"/>
    </xf>
    <xf numFmtId="0" fontId="9" fillId="16" borderId="20" xfId="2" applyFont="1" applyFill="1" applyBorder="1" applyAlignment="1">
      <alignment horizontal="center" vertical="center"/>
    </xf>
    <xf numFmtId="0" fontId="9" fillId="12" borderId="17" xfId="2" applyFont="1" applyFill="1" applyBorder="1" applyAlignment="1">
      <alignment horizontal="center" vertical="center"/>
    </xf>
    <xf numFmtId="0" fontId="9" fillId="13" borderId="17" xfId="2" applyFont="1" applyFill="1" applyBorder="1" applyAlignment="1">
      <alignment horizontal="center" vertical="center"/>
    </xf>
    <xf numFmtId="0" fontId="5" fillId="0" borderId="20" xfId="2" applyFont="1" applyBorder="1" applyAlignment="1">
      <alignment horizontal="center" vertical="center"/>
    </xf>
    <xf numFmtId="0" fontId="5" fillId="0" borderId="17" xfId="2" applyFont="1" applyBorder="1" applyAlignment="1">
      <alignment horizontal="center" vertical="center"/>
    </xf>
    <xf numFmtId="0" fontId="14" fillId="0" borderId="17" xfId="2" applyFont="1" applyBorder="1" applyAlignment="1">
      <alignment horizontal="center" vertical="center"/>
    </xf>
    <xf numFmtId="0" fontId="14" fillId="0" borderId="0" xfId="2" applyFont="1" applyAlignment="1">
      <alignment horizontal="center" vertical="center"/>
    </xf>
    <xf numFmtId="3" fontId="5" fillId="0" borderId="17" xfId="2" applyNumberFormat="1" applyFont="1" applyBorder="1" applyAlignment="1">
      <alignment horizontal="center" vertical="center"/>
    </xf>
    <xf numFmtId="0" fontId="5" fillId="0" borderId="23" xfId="2" applyFont="1" applyBorder="1" applyAlignment="1">
      <alignment horizontal="center" vertical="center"/>
    </xf>
    <xf numFmtId="0" fontId="9" fillId="0" borderId="17" xfId="2" applyFont="1" applyBorder="1" applyAlignment="1">
      <alignment horizontal="center" vertical="center"/>
    </xf>
    <xf numFmtId="0" fontId="9" fillId="18" borderId="17" xfId="2" applyFont="1" applyFill="1" applyBorder="1" applyAlignment="1">
      <alignment horizontal="center" vertical="center"/>
    </xf>
    <xf numFmtId="0" fontId="9" fillId="14" borderId="17" xfId="2" applyFont="1" applyFill="1" applyBorder="1" applyAlignment="1">
      <alignment horizontal="center" vertical="center"/>
    </xf>
    <xf numFmtId="0" fontId="5" fillId="0" borderId="17" xfId="2" applyFont="1" applyBorder="1" applyAlignment="1">
      <alignment horizontal="center"/>
    </xf>
    <xf numFmtId="0" fontId="14" fillId="0" borderId="17" xfId="2" applyFont="1" applyBorder="1" applyAlignment="1">
      <alignment horizontal="center"/>
    </xf>
    <xf numFmtId="0" fontId="11" fillId="11" borderId="17" xfId="2" applyFont="1" applyFill="1" applyBorder="1" applyAlignment="1">
      <alignment horizontal="center" vertical="center"/>
    </xf>
    <xf numFmtId="0" fontId="9" fillId="14" borderId="17" xfId="2" applyFont="1" applyFill="1" applyBorder="1" applyAlignment="1">
      <alignment horizontal="center" vertical="center" wrapText="1"/>
    </xf>
    <xf numFmtId="0" fontId="9" fillId="23" borderId="17" xfId="2" applyFont="1" applyFill="1" applyBorder="1" applyAlignment="1">
      <alignment horizontal="center" vertical="center"/>
    </xf>
    <xf numFmtId="0" fontId="9" fillId="14" borderId="0" xfId="2" applyFont="1" applyFill="1" applyAlignment="1">
      <alignment horizontal="center" vertical="center"/>
    </xf>
    <xf numFmtId="0" fontId="9" fillId="14" borderId="20" xfId="2" applyFont="1" applyFill="1" applyBorder="1" applyAlignment="1">
      <alignment horizontal="center" vertical="center"/>
    </xf>
    <xf numFmtId="0" fontId="5" fillId="0" borderId="21" xfId="2" applyFont="1" applyBorder="1" applyAlignment="1">
      <alignment horizontal="left" vertical="center" wrapText="1"/>
    </xf>
    <xf numFmtId="0" fontId="5" fillId="0" borderId="24" xfId="2" applyFont="1" applyBorder="1" applyAlignment="1">
      <alignment horizontal="left" vertical="center" wrapText="1"/>
    </xf>
    <xf numFmtId="0" fontId="15" fillId="0" borderId="18" xfId="2" applyFont="1" applyBorder="1" applyAlignment="1">
      <alignment horizontal="left" vertical="center" wrapText="1"/>
    </xf>
    <xf numFmtId="0" fontId="5" fillId="21" borderId="21" xfId="2" applyFont="1" applyFill="1" applyBorder="1" applyAlignment="1">
      <alignment horizontal="left" vertical="center" wrapText="1"/>
    </xf>
    <xf numFmtId="0" fontId="15" fillId="0" borderId="21" xfId="2" applyFont="1" applyBorder="1" applyAlignment="1">
      <alignment horizontal="left" vertical="center" wrapText="1"/>
    </xf>
    <xf numFmtId="0" fontId="5" fillId="21" borderId="24" xfId="2" applyFont="1" applyFill="1" applyBorder="1" applyAlignment="1">
      <alignment horizontal="left" vertical="center" wrapText="1"/>
    </xf>
    <xf numFmtId="0" fontId="20" fillId="28" borderId="26" xfId="0" applyFont="1" applyFill="1" applyBorder="1" applyAlignment="1">
      <alignment horizontal="center" vertical="center" wrapText="1"/>
    </xf>
    <xf numFmtId="0" fontId="20" fillId="28" borderId="27" xfId="0" applyFont="1" applyFill="1" applyBorder="1" applyAlignment="1">
      <alignment horizontal="center" vertical="center" wrapText="1"/>
    </xf>
    <xf numFmtId="0" fontId="0" fillId="0" borderId="4" xfId="0" applyBorder="1" applyAlignment="1">
      <alignment horizontal="center" vertical="center"/>
    </xf>
    <xf numFmtId="0" fontId="0" fillId="0" borderId="29" xfId="0" applyBorder="1" applyAlignment="1">
      <alignment horizontal="center" vertical="center"/>
    </xf>
    <xf numFmtId="0" fontId="0" fillId="0" borderId="31" xfId="0" applyBorder="1" applyAlignment="1">
      <alignment horizontal="center" vertical="center"/>
    </xf>
    <xf numFmtId="43" fontId="5" fillId="0" borderId="4" xfId="1" applyFont="1" applyBorder="1" applyAlignment="1">
      <alignment horizontal="center" vertical="center"/>
    </xf>
    <xf numFmtId="43" fontId="5" fillId="0" borderId="4" xfId="1" applyFont="1" applyBorder="1" applyAlignment="1">
      <alignment horizontal="left" vertical="center" wrapText="1"/>
    </xf>
    <xf numFmtId="43" fontId="5" fillId="0" borderId="4" xfId="1" applyFont="1" applyBorder="1" applyAlignment="1">
      <alignment horizontal="left" vertical="center"/>
    </xf>
    <xf numFmtId="39" fontId="5" fillId="0" borderId="4" xfId="1" applyNumberFormat="1" applyFont="1" applyBorder="1" applyAlignment="1">
      <alignment horizontal="right" vertical="center" wrapText="1"/>
    </xf>
    <xf numFmtId="39" fontId="5" fillId="0" borderId="4" xfId="1" applyNumberFormat="1" applyFont="1" applyBorder="1" applyAlignment="1">
      <alignment horizontal="right" vertical="center"/>
    </xf>
    <xf numFmtId="39" fontId="5" fillId="8" borderId="4" xfId="1" applyNumberFormat="1" applyFont="1" applyFill="1" applyBorder="1" applyAlignment="1">
      <alignment horizontal="right" vertical="center" wrapText="1"/>
    </xf>
    <xf numFmtId="43" fontId="5" fillId="0" borderId="4" xfId="1" applyFont="1" applyBorder="1" applyAlignment="1">
      <alignment horizontal="right" vertical="center"/>
    </xf>
    <xf numFmtId="43" fontId="5" fillId="0" borderId="4" xfId="1" applyFont="1" applyBorder="1" applyAlignment="1">
      <alignment horizontal="right" vertical="center" wrapText="1"/>
    </xf>
    <xf numFmtId="4" fontId="10" fillId="0" borderId="15" xfId="2" applyNumberFormat="1" applyFont="1" applyBorder="1" applyAlignment="1">
      <alignment horizontal="right" vertical="center"/>
    </xf>
    <xf numFmtId="4" fontId="13" fillId="13" borderId="15" xfId="2" applyNumberFormat="1" applyFont="1" applyFill="1" applyBorder="1" applyAlignment="1">
      <alignment horizontal="right" vertical="center"/>
    </xf>
    <xf numFmtId="4" fontId="13" fillId="14" borderId="15" xfId="2" applyNumberFormat="1" applyFont="1" applyFill="1" applyBorder="1" applyAlignment="1">
      <alignment horizontal="right" vertical="center"/>
    </xf>
    <xf numFmtId="4" fontId="22" fillId="14" borderId="15" xfId="2" applyNumberFormat="1" applyFont="1" applyFill="1" applyBorder="1" applyAlignment="1">
      <alignment horizontal="right" vertical="center"/>
    </xf>
    <xf numFmtId="4" fontId="13" fillId="12" borderId="15" xfId="2" applyNumberFormat="1" applyFont="1" applyFill="1" applyBorder="1" applyAlignment="1">
      <alignment horizontal="right" vertical="center"/>
    </xf>
    <xf numFmtId="4" fontId="21" fillId="2" borderId="15" xfId="2" applyNumberFormat="1" applyFont="1" applyFill="1" applyBorder="1" applyAlignment="1">
      <alignment horizontal="right" vertical="center"/>
    </xf>
    <xf numFmtId="4" fontId="13" fillId="17" borderId="15" xfId="2" applyNumberFormat="1" applyFont="1" applyFill="1" applyBorder="1" applyAlignment="1">
      <alignment horizontal="right" vertical="center"/>
    </xf>
    <xf numFmtId="4" fontId="10" fillId="17" borderId="15" xfId="2" applyNumberFormat="1" applyFont="1" applyFill="1" applyBorder="1" applyAlignment="1">
      <alignment horizontal="right" vertical="center"/>
    </xf>
    <xf numFmtId="4" fontId="17" fillId="0" borderId="15" xfId="2" applyNumberFormat="1" applyFont="1" applyBorder="1" applyAlignment="1">
      <alignment horizontal="right" vertical="center"/>
    </xf>
    <xf numFmtId="4" fontId="13" fillId="14" borderId="15" xfId="4" applyNumberFormat="1" applyFont="1" applyFill="1" applyBorder="1" applyAlignment="1">
      <alignment horizontal="right" vertical="center"/>
    </xf>
    <xf numFmtId="4" fontId="23" fillId="14" borderId="15" xfId="2" applyNumberFormat="1" applyFont="1" applyFill="1" applyBorder="1" applyAlignment="1">
      <alignment horizontal="right" vertical="center"/>
    </xf>
    <xf numFmtId="4" fontId="13" fillId="12" borderId="15" xfId="3" applyNumberFormat="1" applyFont="1" applyFill="1" applyBorder="1" applyAlignment="1">
      <alignment horizontal="right" vertical="center"/>
    </xf>
    <xf numFmtId="4" fontId="13" fillId="14" borderId="15" xfId="3" applyNumberFormat="1" applyFont="1" applyFill="1" applyBorder="1" applyAlignment="1">
      <alignment horizontal="right" vertical="center"/>
    </xf>
    <xf numFmtId="4" fontId="24" fillId="11" borderId="15" xfId="3" applyNumberFormat="1" applyFont="1" applyFill="1" applyBorder="1" applyAlignment="1">
      <alignment horizontal="right" vertical="center"/>
    </xf>
    <xf numFmtId="4" fontId="10" fillId="0" borderId="15" xfId="3" applyNumberFormat="1" applyFont="1" applyBorder="1" applyAlignment="1">
      <alignment horizontal="right" vertical="center"/>
    </xf>
    <xf numFmtId="39" fontId="5" fillId="0" borderId="4" xfId="1" applyNumberFormat="1" applyFont="1" applyBorder="1" applyAlignment="1">
      <alignment horizontal="right"/>
    </xf>
    <xf numFmtId="4" fontId="13" fillId="23" borderId="15" xfId="3" applyNumberFormat="1" applyFont="1" applyFill="1" applyBorder="1" applyAlignment="1">
      <alignment horizontal="right" vertical="center"/>
    </xf>
    <xf numFmtId="4" fontId="24" fillId="11" borderId="17" xfId="2" applyNumberFormat="1" applyFont="1" applyFill="1" applyBorder="1" applyAlignment="1">
      <alignment horizontal="right" vertical="center"/>
    </xf>
    <xf numFmtId="4" fontId="13" fillId="12" borderId="17" xfId="3" applyNumberFormat="1" applyFont="1" applyFill="1" applyBorder="1" applyAlignment="1">
      <alignment horizontal="right" vertical="center" wrapText="1"/>
    </xf>
    <xf numFmtId="4" fontId="10" fillId="8" borderId="15" xfId="2" applyNumberFormat="1" applyFont="1" applyFill="1" applyBorder="1" applyAlignment="1">
      <alignment horizontal="right" vertical="center"/>
    </xf>
    <xf numFmtId="4" fontId="24" fillId="11" borderId="15" xfId="2" applyNumberFormat="1" applyFont="1" applyFill="1" applyBorder="1" applyAlignment="1">
      <alignment horizontal="right" vertical="center"/>
    </xf>
    <xf numFmtId="4" fontId="13" fillId="14" borderId="18" xfId="2" applyNumberFormat="1" applyFont="1" applyFill="1" applyBorder="1" applyAlignment="1">
      <alignment horizontal="right" vertical="center"/>
    </xf>
    <xf numFmtId="4" fontId="5" fillId="0" borderId="5" xfId="2" applyNumberFormat="1" applyFont="1" applyBorder="1" applyAlignment="1">
      <alignment wrapText="1"/>
    </xf>
    <xf numFmtId="0" fontId="10" fillId="0" borderId="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center" vertical="center"/>
    </xf>
    <xf numFmtId="4" fontId="17" fillId="0" borderId="4" xfId="2" applyNumberFormat="1" applyFont="1" applyBorder="1" applyAlignment="1">
      <alignment horizontal="right" vertical="center" wrapText="1"/>
    </xf>
    <xf numFmtId="0" fontId="10" fillId="0" borderId="0" xfId="2" applyFont="1" applyAlignment="1">
      <alignment horizontal="center" vertical="center" wrapText="1"/>
    </xf>
    <xf numFmtId="0" fontId="10" fillId="0" borderId="4" xfId="2" applyFont="1" applyBorder="1" applyAlignment="1">
      <alignment horizontal="center" vertical="center" wrapText="1"/>
    </xf>
    <xf numFmtId="0" fontId="10" fillId="0" borderId="18" xfId="2" applyFont="1" applyBorder="1" applyAlignment="1">
      <alignment horizontal="center" vertical="center" wrapText="1"/>
    </xf>
    <xf numFmtId="0" fontId="10" fillId="0" borderId="18" xfId="2" applyFont="1" applyBorder="1" applyAlignment="1">
      <alignment horizontal="left" vertical="center"/>
    </xf>
    <xf numFmtId="0" fontId="10" fillId="0" borderId="24" xfId="2" applyFont="1" applyBorder="1" applyAlignment="1">
      <alignment horizontal="center" vertical="center" wrapText="1"/>
    </xf>
    <xf numFmtId="0" fontId="10" fillId="0" borderId="24" xfId="2" applyFont="1" applyBorder="1" applyAlignment="1">
      <alignment horizontal="left" vertical="center"/>
    </xf>
    <xf numFmtId="0" fontId="10" fillId="0" borderId="13" xfId="2" applyFont="1" applyBorder="1" applyAlignment="1">
      <alignment horizontal="center" vertical="center"/>
    </xf>
    <xf numFmtId="14" fontId="5" fillId="0" borderId="4" xfId="2" applyNumberFormat="1" applyFont="1" applyBorder="1" applyAlignment="1">
      <alignment horizontal="center" vertical="center" wrapText="1"/>
    </xf>
    <xf numFmtId="0" fontId="10" fillId="0" borderId="12" xfId="2" applyFont="1" applyBorder="1" applyAlignment="1">
      <alignment horizontal="center" vertical="center" wrapText="1"/>
    </xf>
    <xf numFmtId="14" fontId="10" fillId="0" borderId="4" xfId="2" applyNumberFormat="1" applyFont="1" applyBorder="1" applyAlignment="1">
      <alignment horizontal="center" vertical="center" wrapText="1"/>
    </xf>
    <xf numFmtId="0" fontId="10" fillId="0" borderId="12" xfId="2" applyFont="1" applyBorder="1" applyAlignment="1">
      <alignment horizontal="center" vertical="center"/>
    </xf>
    <xf numFmtId="0" fontId="10" fillId="0" borderId="0" xfId="2" applyFont="1" applyAlignment="1">
      <alignment horizontal="center" vertical="center"/>
    </xf>
    <xf numFmtId="0" fontId="4" fillId="2" borderId="10" xfId="2" applyFont="1" applyFill="1" applyBorder="1" applyAlignment="1">
      <alignment horizontal="left" vertical="center"/>
    </xf>
    <xf numFmtId="0" fontId="5" fillId="8" borderId="32" xfId="2" applyFont="1" applyFill="1" applyBorder="1" applyAlignment="1">
      <alignment horizontal="left" vertical="center"/>
    </xf>
    <xf numFmtId="0" fontId="9" fillId="8" borderId="4" xfId="2" applyFont="1" applyFill="1" applyBorder="1" applyAlignment="1">
      <alignment horizontal="center" vertical="center"/>
    </xf>
    <xf numFmtId="4" fontId="10" fillId="0" borderId="4" xfId="2" applyNumberFormat="1" applyFont="1" applyBorder="1" applyAlignment="1">
      <alignment horizontal="right" vertical="center"/>
    </xf>
    <xf numFmtId="14" fontId="5" fillId="0" borderId="15" xfId="2" applyNumberFormat="1" applyFont="1" applyBorder="1" applyAlignment="1">
      <alignment horizontal="center" vertical="center"/>
    </xf>
    <xf numFmtId="14" fontId="10" fillId="0" borderId="4" xfId="2" applyNumberFormat="1" applyFont="1" applyBorder="1" applyAlignment="1">
      <alignment horizontal="center" vertical="center"/>
    </xf>
    <xf numFmtId="4" fontId="17" fillId="0" borderId="4" xfId="2" applyNumberFormat="1" applyFont="1" applyBorder="1" applyAlignment="1">
      <alignment horizontal="right" vertical="center"/>
    </xf>
    <xf numFmtId="0" fontId="14" fillId="0" borderId="5" xfId="2" applyFont="1" applyBorder="1" applyAlignment="1">
      <alignment horizontal="left" vertical="center" wrapText="1"/>
    </xf>
    <xf numFmtId="0" fontId="10" fillId="0" borderId="9" xfId="2" applyFont="1" applyBorder="1" applyAlignment="1">
      <alignment horizontal="center" vertical="center"/>
    </xf>
    <xf numFmtId="14" fontId="10" fillId="0" borderId="9" xfId="2" applyNumberFormat="1" applyFont="1" applyBorder="1" applyAlignment="1">
      <alignment horizontal="center" vertical="center"/>
    </xf>
    <xf numFmtId="14" fontId="10" fillId="0" borderId="20" xfId="2" applyNumberFormat="1" applyFont="1" applyBorder="1" applyAlignment="1">
      <alignment horizontal="center" vertical="center"/>
    </xf>
    <xf numFmtId="0" fontId="14" fillId="0" borderId="15" xfId="2" applyFont="1" applyBorder="1" applyAlignment="1">
      <alignment horizontal="left" vertical="center" wrapText="1"/>
    </xf>
    <xf numFmtId="0" fontId="17" fillId="0" borderId="15" xfId="2" applyFont="1" applyBorder="1" applyAlignment="1">
      <alignment horizontal="left" vertical="center" wrapText="1"/>
    </xf>
    <xf numFmtId="14" fontId="5" fillId="0" borderId="20" xfId="2" applyNumberFormat="1" applyFont="1" applyBorder="1" applyAlignment="1">
      <alignment horizontal="center" vertical="center"/>
    </xf>
    <xf numFmtId="4" fontId="10" fillId="0" borderId="4" xfId="2" applyNumberFormat="1" applyFont="1" applyBorder="1" applyAlignment="1">
      <alignment horizontal="right"/>
    </xf>
    <xf numFmtId="4" fontId="14" fillId="8" borderId="15" xfId="2" applyNumberFormat="1" applyFont="1" applyFill="1" applyBorder="1" applyAlignment="1">
      <alignment horizontal="right" vertical="center"/>
    </xf>
    <xf numFmtId="4" fontId="14" fillId="8" borderId="4" xfId="2" applyNumberFormat="1" applyFont="1" applyFill="1" applyBorder="1" applyAlignment="1">
      <alignment horizontal="right" vertical="center"/>
    </xf>
    <xf numFmtId="0" fontId="0" fillId="0" borderId="33" xfId="0" applyBorder="1" applyAlignment="1">
      <alignment horizontal="center" vertical="center"/>
    </xf>
    <xf numFmtId="0" fontId="9" fillId="13" borderId="4" xfId="2" applyFont="1" applyFill="1" applyBorder="1" applyAlignment="1">
      <alignment horizontal="left" vertical="center" wrapText="1"/>
    </xf>
    <xf numFmtId="0" fontId="9" fillId="13" borderId="23" xfId="2" applyFont="1" applyFill="1" applyBorder="1" applyAlignment="1">
      <alignment horizontal="center" vertical="center"/>
    </xf>
    <xf numFmtId="0" fontId="9" fillId="13" borderId="22" xfId="2" applyFont="1" applyFill="1" applyBorder="1" applyAlignment="1">
      <alignment horizontal="center" vertical="center"/>
    </xf>
    <xf numFmtId="0" fontId="9" fillId="13" borderId="13" xfId="2" applyFont="1" applyFill="1" applyBorder="1" applyAlignment="1">
      <alignment horizontal="center" vertical="center"/>
    </xf>
    <xf numFmtId="0" fontId="14" fillId="0" borderId="9" xfId="2" applyFont="1" applyBorder="1" applyAlignment="1">
      <alignment horizontal="center" vertical="center"/>
    </xf>
    <xf numFmtId="0" fontId="5" fillId="8" borderId="0" xfId="2" applyFont="1" applyFill="1" applyAlignment="1">
      <alignment horizontal="left" vertical="center"/>
    </xf>
    <xf numFmtId="0" fontId="5" fillId="0" borderId="9" xfId="2" applyFont="1" applyBorder="1"/>
    <xf numFmtId="4" fontId="9" fillId="12" borderId="14" xfId="2" applyNumberFormat="1" applyFont="1" applyFill="1" applyBorder="1" applyAlignment="1">
      <alignment horizontal="right" vertical="center"/>
    </xf>
    <xf numFmtId="4" fontId="11" fillId="11" borderId="6" xfId="3" applyNumberFormat="1" applyFont="1" applyFill="1" applyBorder="1" applyAlignment="1">
      <alignment horizontal="right" vertical="center"/>
    </xf>
    <xf numFmtId="4" fontId="9" fillId="13" borderId="24" xfId="2" applyNumberFormat="1" applyFont="1" applyFill="1" applyBorder="1" applyAlignment="1">
      <alignment horizontal="right" vertical="center"/>
    </xf>
    <xf numFmtId="4" fontId="15" fillId="0" borderId="9" xfId="1" applyNumberFormat="1" applyFont="1" applyFill="1" applyBorder="1" applyAlignment="1">
      <alignment horizontal="right" vertical="center"/>
    </xf>
    <xf numFmtId="4" fontId="15" fillId="0" borderId="16" xfId="1" applyNumberFormat="1" applyFont="1" applyFill="1" applyBorder="1" applyAlignment="1">
      <alignment horizontal="right" vertical="center"/>
    </xf>
    <xf numFmtId="4" fontId="15" fillId="0" borderId="13" xfId="1" applyNumberFormat="1" applyFont="1" applyFill="1" applyBorder="1" applyAlignment="1">
      <alignment horizontal="right" vertical="center"/>
    </xf>
    <xf numFmtId="4" fontId="5" fillId="8" borderId="9" xfId="1" applyNumberFormat="1" applyFont="1" applyFill="1" applyBorder="1" applyAlignment="1">
      <alignment horizontal="right" vertical="center"/>
    </xf>
    <xf numFmtId="0" fontId="17" fillId="0" borderId="4" xfId="2" applyFont="1" applyBorder="1" applyAlignment="1">
      <alignment horizontal="center" vertical="center"/>
    </xf>
    <xf numFmtId="0" fontId="5" fillId="0" borderId="9" xfId="2" applyFont="1" applyBorder="1" applyAlignment="1">
      <alignment horizontal="center" vertical="top" wrapText="1"/>
    </xf>
    <xf numFmtId="0" fontId="0" fillId="0" borderId="0" xfId="0" applyAlignment="1">
      <alignment wrapText="1"/>
    </xf>
    <xf numFmtId="43" fontId="0" fillId="0" borderId="4" xfId="1" applyFont="1" applyBorder="1" applyAlignment="1">
      <alignment vertical="center"/>
    </xf>
    <xf numFmtId="4" fontId="5" fillId="0" borderId="0" xfId="2" applyNumberFormat="1" applyFont="1" applyAlignment="1">
      <alignment horizontal="right" vertical="center"/>
    </xf>
    <xf numFmtId="4" fontId="9" fillId="13" borderId="8" xfId="1" applyNumberFormat="1" applyFont="1" applyFill="1" applyBorder="1" applyAlignment="1">
      <alignment horizontal="right" vertical="center"/>
    </xf>
    <xf numFmtId="4" fontId="9" fillId="0" borderId="8" xfId="2" applyNumberFormat="1" applyFont="1" applyBorder="1" applyAlignment="1">
      <alignment horizontal="right" vertical="center"/>
    </xf>
    <xf numFmtId="0" fontId="9" fillId="0" borderId="8" xfId="2" applyFont="1" applyBorder="1" applyAlignment="1">
      <alignment horizontal="right" vertical="center"/>
    </xf>
    <xf numFmtId="0" fontId="5" fillId="0" borderId="8" xfId="2" applyFont="1" applyBorder="1" applyAlignment="1">
      <alignment horizontal="right" vertical="center"/>
    </xf>
    <xf numFmtId="4" fontId="9" fillId="13" borderId="8" xfId="2" applyNumberFormat="1" applyFont="1" applyFill="1" applyBorder="1" applyAlignment="1">
      <alignment horizontal="right" vertical="center"/>
    </xf>
    <xf numFmtId="4" fontId="5" fillId="0" borderId="14" xfId="2" applyNumberFormat="1" applyFont="1" applyBorder="1" applyAlignment="1">
      <alignment horizontal="right"/>
    </xf>
    <xf numFmtId="4" fontId="5" fillId="0" borderId="14" xfId="2" applyNumberFormat="1" applyFont="1" applyBorder="1" applyAlignment="1">
      <alignment horizontal="right" vertical="center"/>
    </xf>
    <xf numFmtId="4" fontId="5" fillId="8" borderId="14" xfId="2" applyNumberFormat="1" applyFont="1" applyFill="1" applyBorder="1" applyAlignment="1">
      <alignment horizontal="right" vertical="center"/>
    </xf>
    <xf numFmtId="4" fontId="9" fillId="13" borderId="14" xfId="2" applyNumberFormat="1" applyFont="1" applyFill="1" applyBorder="1" applyAlignment="1">
      <alignment horizontal="right" vertical="center"/>
    </xf>
    <xf numFmtId="4" fontId="5" fillId="0" borderId="19" xfId="2" applyNumberFormat="1" applyFont="1" applyBorder="1" applyAlignment="1">
      <alignment horizontal="right" vertical="center"/>
    </xf>
    <xf numFmtId="4" fontId="15" fillId="0" borderId="14" xfId="2" applyNumberFormat="1" applyFont="1" applyBorder="1" applyAlignment="1">
      <alignment horizontal="right" vertical="center"/>
    </xf>
    <xf numFmtId="4" fontId="9" fillId="14" borderId="14" xfId="2" applyNumberFormat="1" applyFont="1" applyFill="1" applyBorder="1" applyAlignment="1">
      <alignment horizontal="right" vertical="center"/>
    </xf>
    <xf numFmtId="4" fontId="14" fillId="0" borderId="14" xfId="2" applyNumberFormat="1" applyFont="1" applyBorder="1" applyAlignment="1">
      <alignment horizontal="right" vertical="center"/>
    </xf>
    <xf numFmtId="4" fontId="5" fillId="0" borderId="14" xfId="1" applyNumberFormat="1" applyFont="1" applyFill="1" applyBorder="1" applyAlignment="1">
      <alignment horizontal="right" vertical="center"/>
    </xf>
    <xf numFmtId="4" fontId="14" fillId="0" borderId="14" xfId="1" applyNumberFormat="1" applyFont="1" applyFill="1" applyBorder="1" applyAlignment="1">
      <alignment horizontal="right" vertical="center"/>
    </xf>
    <xf numFmtId="4" fontId="9" fillId="18" borderId="14" xfId="2" applyNumberFormat="1" applyFont="1" applyFill="1" applyBorder="1" applyAlignment="1">
      <alignment horizontal="right" vertical="center"/>
    </xf>
    <xf numFmtId="4" fontId="15" fillId="2" borderId="14" xfId="2" applyNumberFormat="1" applyFont="1" applyFill="1" applyBorder="1" applyAlignment="1">
      <alignment horizontal="right" vertical="center"/>
    </xf>
    <xf numFmtId="4" fontId="9" fillId="14" borderId="14" xfId="1" applyNumberFormat="1" applyFont="1" applyFill="1" applyBorder="1" applyAlignment="1">
      <alignment horizontal="right" vertical="center"/>
    </xf>
    <xf numFmtId="4" fontId="4" fillId="8" borderId="14" xfId="2" applyNumberFormat="1" applyFont="1" applyFill="1" applyBorder="1" applyAlignment="1">
      <alignment horizontal="right" vertical="center"/>
    </xf>
    <xf numFmtId="4" fontId="15" fillId="0" borderId="19" xfId="1" applyNumberFormat="1" applyFont="1" applyFill="1" applyBorder="1" applyAlignment="1">
      <alignment horizontal="right" vertical="center"/>
    </xf>
    <xf numFmtId="4" fontId="15" fillId="0" borderId="12" xfId="1" applyNumberFormat="1" applyFont="1" applyFill="1" applyBorder="1" applyAlignment="1">
      <alignment horizontal="right" vertical="center"/>
    </xf>
    <xf numFmtId="4" fontId="15" fillId="0" borderId="22" xfId="1" applyNumberFormat="1" applyFont="1" applyFill="1" applyBorder="1" applyAlignment="1">
      <alignment horizontal="right" vertical="center"/>
    </xf>
    <xf numFmtId="4" fontId="5" fillId="19" borderId="14" xfId="1" applyNumberFormat="1" applyFont="1" applyFill="1" applyBorder="1" applyAlignment="1">
      <alignment horizontal="right" vertical="center"/>
    </xf>
    <xf numFmtId="4" fontId="5" fillId="8" borderId="19" xfId="2" applyNumberFormat="1" applyFont="1" applyFill="1" applyBorder="1" applyAlignment="1">
      <alignment horizontal="right" vertical="center"/>
    </xf>
    <xf numFmtId="4" fontId="5" fillId="8" borderId="22" xfId="2" applyNumberFormat="1" applyFont="1" applyFill="1" applyBorder="1" applyAlignment="1">
      <alignment horizontal="right"/>
    </xf>
    <xf numFmtId="4" fontId="9" fillId="14" borderId="14" xfId="2" applyNumberFormat="1" applyFont="1" applyFill="1" applyBorder="1" applyAlignment="1">
      <alignment horizontal="right"/>
    </xf>
    <xf numFmtId="4" fontId="5" fillId="0" borderId="14" xfId="1" applyNumberFormat="1" applyFont="1" applyFill="1" applyBorder="1" applyAlignment="1">
      <alignment horizontal="right"/>
    </xf>
    <xf numFmtId="4" fontId="5" fillId="19" borderId="14" xfId="2" applyNumberFormat="1" applyFont="1" applyFill="1" applyBorder="1" applyAlignment="1">
      <alignment horizontal="right" vertical="center"/>
    </xf>
    <xf numFmtId="4" fontId="5" fillId="19" borderId="14" xfId="2" applyNumberFormat="1" applyFont="1" applyFill="1" applyBorder="1" applyAlignment="1">
      <alignment horizontal="right"/>
    </xf>
    <xf numFmtId="4" fontId="15" fillId="0" borderId="14" xfId="2" applyNumberFormat="1" applyFont="1" applyBorder="1" applyAlignment="1">
      <alignment horizontal="right"/>
    </xf>
    <xf numFmtId="4" fontId="5" fillId="0" borderId="14" xfId="1" applyNumberFormat="1" applyFont="1" applyBorder="1" applyAlignment="1">
      <alignment horizontal="right" vertical="center"/>
    </xf>
    <xf numFmtId="4" fontId="9" fillId="12" borderId="14" xfId="2" applyNumberFormat="1" applyFont="1" applyFill="1" applyBorder="1" applyAlignment="1">
      <alignment horizontal="right"/>
    </xf>
    <xf numFmtId="4" fontId="4" fillId="0" borderId="14" xfId="2" applyNumberFormat="1" applyFont="1" applyBorder="1" applyAlignment="1">
      <alignment horizontal="right"/>
    </xf>
    <xf numFmtId="4" fontId="9" fillId="14" borderId="19" xfId="2" applyNumberFormat="1" applyFont="1" applyFill="1" applyBorder="1" applyAlignment="1">
      <alignment horizontal="right"/>
    </xf>
    <xf numFmtId="4" fontId="11" fillId="0" borderId="14" xfId="2" applyNumberFormat="1" applyFont="1" applyBorder="1" applyAlignment="1">
      <alignment horizontal="right"/>
    </xf>
    <xf numFmtId="164" fontId="25" fillId="0" borderId="2" xfId="2" applyNumberFormat="1" applyFont="1" applyBorder="1" applyAlignment="1">
      <alignment horizontal="center" vertical="center" wrapText="1"/>
    </xf>
    <xf numFmtId="4" fontId="9" fillId="14" borderId="4" xfId="2" applyNumberFormat="1" applyFont="1" applyFill="1" applyBorder="1" applyAlignment="1">
      <alignment horizontal="center" vertical="center"/>
    </xf>
    <xf numFmtId="4" fontId="5" fillId="8" borderId="4" xfId="1" applyNumberFormat="1" applyFont="1" applyFill="1" applyBorder="1" applyAlignment="1">
      <alignment horizontal="right" vertical="center"/>
    </xf>
    <xf numFmtId="4" fontId="5" fillId="8" borderId="0" xfId="2" applyNumberFormat="1" applyFont="1" applyFill="1" applyAlignment="1">
      <alignment horizontal="right" vertical="center"/>
    </xf>
    <xf numFmtId="4" fontId="14" fillId="8" borderId="0" xfId="2" applyNumberFormat="1" applyFont="1" applyFill="1" applyAlignment="1">
      <alignment horizontal="right" vertical="center"/>
    </xf>
    <xf numFmtId="43" fontId="5" fillId="0" borderId="0" xfId="1" applyFont="1"/>
    <xf numFmtId="43" fontId="5" fillId="0" borderId="0" xfId="1" applyFont="1" applyAlignment="1">
      <alignment horizontal="center"/>
    </xf>
    <xf numFmtId="43" fontId="5" fillId="0" borderId="0" xfId="2" applyNumberFormat="1" applyFont="1" applyAlignment="1">
      <alignment horizontal="center"/>
    </xf>
    <xf numFmtId="4" fontId="5" fillId="8" borderId="0" xfId="2" applyNumberFormat="1" applyFont="1" applyFill="1"/>
    <xf numFmtId="0" fontId="14" fillId="8" borderId="4" xfId="2" applyFont="1" applyFill="1" applyBorder="1" applyAlignment="1">
      <alignment vertical="center"/>
    </xf>
    <xf numFmtId="0" fontId="14" fillId="8" borderId="4" xfId="2" applyFont="1" applyFill="1" applyBorder="1" applyAlignment="1">
      <alignment horizontal="center" vertical="center"/>
    </xf>
    <xf numFmtId="0" fontId="14" fillId="8" borderId="4" xfId="2" applyFont="1" applyFill="1" applyBorder="1" applyAlignment="1">
      <alignment horizontal="left" vertical="center"/>
    </xf>
    <xf numFmtId="167" fontId="14" fillId="8" borderId="4" xfId="2" applyNumberFormat="1" applyFont="1" applyFill="1" applyBorder="1" applyAlignment="1">
      <alignment horizontal="left" vertical="center"/>
    </xf>
    <xf numFmtId="0" fontId="14" fillId="8" borderId="4" xfId="2" applyFont="1" applyFill="1" applyBorder="1" applyAlignment="1">
      <alignment horizontal="left" vertical="center" wrapText="1"/>
    </xf>
    <xf numFmtId="0" fontId="16" fillId="0" borderId="15" xfId="2" applyFont="1" applyBorder="1" applyAlignment="1">
      <alignment horizontal="center" vertical="center"/>
    </xf>
    <xf numFmtId="4" fontId="15" fillId="0" borderId="4" xfId="1" applyNumberFormat="1" applyFont="1" applyFill="1" applyBorder="1" applyAlignment="1">
      <alignment horizontal="right" vertical="center"/>
    </xf>
    <xf numFmtId="0" fontId="10" fillId="0" borderId="16" xfId="2" applyFont="1" applyBorder="1" applyAlignment="1">
      <alignment horizontal="center" vertical="center"/>
    </xf>
    <xf numFmtId="0" fontId="10" fillId="0" borderId="4" xfId="2" applyFont="1" applyBorder="1" applyAlignment="1">
      <alignment vertical="center" wrapText="1"/>
    </xf>
    <xf numFmtId="0" fontId="5" fillId="0" borderId="18" xfId="2" applyFont="1" applyBorder="1" applyAlignment="1">
      <alignment horizontal="left" vertical="center"/>
    </xf>
    <xf numFmtId="0" fontId="5" fillId="0" borderId="24" xfId="2" applyFont="1" applyBorder="1" applyAlignment="1">
      <alignment horizontal="left" vertical="center"/>
    </xf>
    <xf numFmtId="0" fontId="10" fillId="0" borderId="35" xfId="2" applyFont="1" applyBorder="1" applyAlignment="1">
      <alignment vertical="center"/>
    </xf>
    <xf numFmtId="14" fontId="10" fillId="0" borderId="35" xfId="2" applyNumberFormat="1" applyFont="1" applyBorder="1" applyAlignment="1">
      <alignment vertical="center"/>
    </xf>
    <xf numFmtId="0" fontId="5" fillId="0" borderId="35" xfId="2" applyFont="1" applyBorder="1" applyAlignment="1">
      <alignment horizontal="left" vertical="center" wrapText="1"/>
    </xf>
    <xf numFmtId="0" fontId="10" fillId="0" borderId="35" xfId="2" applyFont="1" applyBorder="1" applyAlignment="1">
      <alignment horizontal="center" vertical="center"/>
    </xf>
    <xf numFmtId="14" fontId="10" fillId="0" borderId="35" xfId="2" applyNumberFormat="1" applyFont="1" applyBorder="1" applyAlignment="1">
      <alignment horizontal="center" vertical="center"/>
    </xf>
    <xf numFmtId="0" fontId="25" fillId="0" borderId="4" xfId="2" applyFont="1" applyBorder="1" applyAlignment="1">
      <alignment horizontal="center" vertical="center"/>
    </xf>
    <xf numFmtId="0" fontId="26" fillId="0" borderId="35" xfId="2" applyFont="1" applyBorder="1" applyAlignment="1">
      <alignment vertical="center"/>
    </xf>
    <xf numFmtId="0" fontId="25" fillId="0" borderId="14" xfId="2" applyFont="1" applyBorder="1" applyAlignment="1">
      <alignment horizontal="center" vertical="center"/>
    </xf>
    <xf numFmtId="0" fontId="26" fillId="0" borderId="4" xfId="2" applyFont="1" applyBorder="1" applyAlignment="1">
      <alignment horizontal="center" vertical="center"/>
    </xf>
    <xf numFmtId="0" fontId="26" fillId="0" borderId="14" xfId="2" applyFont="1" applyBorder="1" applyAlignment="1">
      <alignment horizontal="center" vertical="center"/>
    </xf>
    <xf numFmtId="0" fontId="25" fillId="0" borderId="4" xfId="2" applyFont="1" applyBorder="1" applyAlignment="1">
      <alignment horizontal="center" vertical="center" wrapText="1"/>
    </xf>
    <xf numFmtId="0" fontId="26" fillId="0" borderId="16" xfId="2" applyFont="1" applyBorder="1" applyAlignment="1">
      <alignment horizontal="center" vertical="center"/>
    </xf>
    <xf numFmtId="0" fontId="26" fillId="0" borderId="13" xfId="2" applyFont="1" applyBorder="1" applyAlignment="1">
      <alignment horizontal="center" vertical="center"/>
    </xf>
    <xf numFmtId="0" fontId="25" fillId="0" borderId="4" xfId="2" applyFont="1" applyBorder="1" applyAlignment="1">
      <alignment horizontal="center"/>
    </xf>
    <xf numFmtId="0" fontId="25" fillId="0" borderId="4" xfId="2" applyFont="1" applyBorder="1" applyAlignment="1">
      <alignment horizontal="center" wrapText="1"/>
    </xf>
    <xf numFmtId="164" fontId="25" fillId="0" borderId="4" xfId="2" applyNumberFormat="1" applyFont="1" applyBorder="1" applyAlignment="1">
      <alignment horizontal="center" vertical="center" wrapText="1"/>
    </xf>
    <xf numFmtId="0" fontId="25" fillId="8" borderId="4" xfId="2" applyFont="1" applyFill="1" applyBorder="1" applyAlignment="1">
      <alignment horizontal="center"/>
    </xf>
    <xf numFmtId="0" fontId="25" fillId="11" borderId="4" xfId="2" applyFont="1" applyFill="1" applyBorder="1" applyAlignment="1">
      <alignment horizontal="center" vertical="center"/>
    </xf>
    <xf numFmtId="0" fontId="25" fillId="12" borderId="4" xfId="2" applyFont="1" applyFill="1" applyBorder="1" applyAlignment="1">
      <alignment horizontal="center" vertical="center"/>
    </xf>
    <xf numFmtId="44" fontId="25" fillId="13" borderId="4" xfId="2" applyNumberFormat="1" applyFont="1" applyFill="1" applyBorder="1" applyAlignment="1">
      <alignment horizontal="center" vertical="center"/>
    </xf>
    <xf numFmtId="44" fontId="25" fillId="0" borderId="4" xfId="2" applyNumberFormat="1" applyFont="1" applyBorder="1" applyAlignment="1">
      <alignment horizontal="center" vertical="center"/>
    </xf>
    <xf numFmtId="0" fontId="25" fillId="16" borderId="4" xfId="2" applyFont="1" applyFill="1" applyBorder="1" applyAlignment="1">
      <alignment horizontal="center" vertical="center"/>
    </xf>
    <xf numFmtId="0" fontId="25" fillId="13" borderId="4" xfId="2" applyFont="1" applyFill="1" applyBorder="1" applyAlignment="1">
      <alignment horizontal="center" vertical="center"/>
    </xf>
    <xf numFmtId="3" fontId="25" fillId="0" borderId="4" xfId="2" applyNumberFormat="1" applyFont="1" applyBorder="1" applyAlignment="1">
      <alignment horizontal="center" vertical="center"/>
    </xf>
    <xf numFmtId="0" fontId="25" fillId="18" borderId="4" xfId="2" applyFont="1" applyFill="1" applyBorder="1" applyAlignment="1">
      <alignment horizontal="center" vertical="center"/>
    </xf>
    <xf numFmtId="0" fontId="25" fillId="14" borderId="4" xfId="2" applyFont="1" applyFill="1" applyBorder="1" applyAlignment="1">
      <alignment horizontal="center" vertical="center"/>
    </xf>
    <xf numFmtId="0" fontId="25" fillId="14" borderId="4" xfId="2" applyFont="1" applyFill="1" applyBorder="1" applyAlignment="1">
      <alignment horizontal="center" vertical="center" wrapText="1"/>
    </xf>
    <xf numFmtId="0" fontId="25" fillId="0" borderId="9" xfId="2" applyFont="1" applyBorder="1" applyAlignment="1">
      <alignment horizontal="center" vertical="center"/>
    </xf>
    <xf numFmtId="0" fontId="25" fillId="23" borderId="4" xfId="2" applyFont="1" applyFill="1" applyBorder="1" applyAlignment="1">
      <alignment horizontal="center" vertical="center"/>
    </xf>
    <xf numFmtId="0" fontId="25" fillId="8" borderId="0" xfId="2" applyFont="1" applyFill="1" applyAlignment="1">
      <alignment horizontal="center"/>
    </xf>
    <xf numFmtId="4" fontId="25" fillId="0" borderId="7" xfId="2" applyNumberFormat="1" applyFont="1" applyBorder="1" applyAlignment="1">
      <alignment horizontal="right" vertical="center"/>
    </xf>
    <xf numFmtId="4" fontId="25" fillId="13" borderId="7" xfId="1" applyNumberFormat="1" applyFont="1" applyFill="1" applyBorder="1" applyAlignment="1">
      <alignment horizontal="right" vertical="center"/>
    </xf>
    <xf numFmtId="4" fontId="25" fillId="13" borderId="7" xfId="2" applyNumberFormat="1" applyFont="1" applyFill="1" applyBorder="1" applyAlignment="1">
      <alignment horizontal="right" vertical="center"/>
    </xf>
    <xf numFmtId="4" fontId="25" fillId="0" borderId="4" xfId="2" applyNumberFormat="1" applyFont="1" applyBorder="1" applyAlignment="1">
      <alignment horizontal="right" vertical="center"/>
    </xf>
    <xf numFmtId="4" fontId="25" fillId="13" borderId="4" xfId="2" applyNumberFormat="1" applyFont="1" applyFill="1" applyBorder="1" applyAlignment="1">
      <alignment horizontal="right" vertical="center"/>
    </xf>
    <xf numFmtId="4" fontId="25" fillId="13" borderId="4" xfId="1" applyNumberFormat="1" applyFont="1" applyFill="1" applyBorder="1" applyAlignment="1">
      <alignment horizontal="right" vertical="center"/>
    </xf>
    <xf numFmtId="4" fontId="25" fillId="13" borderId="15" xfId="2" applyNumberFormat="1" applyFont="1" applyFill="1" applyBorder="1" applyAlignment="1">
      <alignment horizontal="right" vertical="center"/>
    </xf>
    <xf numFmtId="4" fontId="25" fillId="18" borderId="4" xfId="1" applyNumberFormat="1" applyFont="1" applyFill="1" applyBorder="1" applyAlignment="1">
      <alignment horizontal="right" vertical="center"/>
    </xf>
    <xf numFmtId="4" fontId="25" fillId="0" borderId="4" xfId="1" applyNumberFormat="1" applyFont="1" applyFill="1" applyBorder="1" applyAlignment="1">
      <alignment horizontal="right" vertical="center"/>
    </xf>
    <xf numFmtId="4" fontId="25" fillId="12" borderId="4" xfId="2" applyNumberFormat="1" applyFont="1" applyFill="1" applyBorder="1" applyAlignment="1">
      <alignment horizontal="right" vertical="center"/>
    </xf>
    <xf numFmtId="4" fontId="25" fillId="14" borderId="4" xfId="2" applyNumberFormat="1" applyFont="1" applyFill="1" applyBorder="1" applyAlignment="1">
      <alignment horizontal="right" vertical="center"/>
    </xf>
    <xf numFmtId="4" fontId="25" fillId="14" borderId="15" xfId="2" applyNumberFormat="1" applyFont="1" applyFill="1" applyBorder="1" applyAlignment="1">
      <alignment horizontal="right" vertical="center"/>
    </xf>
    <xf numFmtId="4" fontId="25" fillId="14" borderId="4" xfId="1" applyNumberFormat="1" applyFont="1" applyFill="1" applyBorder="1" applyAlignment="1">
      <alignment horizontal="right" vertical="center"/>
    </xf>
    <xf numFmtId="4" fontId="25" fillId="0" borderId="4" xfId="2" applyNumberFormat="1" applyFont="1" applyBorder="1" applyAlignment="1">
      <alignment horizontal="right"/>
    </xf>
    <xf numFmtId="4" fontId="25" fillId="14" borderId="15" xfId="3" applyNumberFormat="1" applyFont="1" applyFill="1" applyBorder="1" applyAlignment="1">
      <alignment horizontal="right" vertical="center"/>
    </xf>
    <xf numFmtId="4" fontId="25" fillId="12" borderId="15" xfId="2" applyNumberFormat="1" applyFont="1" applyFill="1" applyBorder="1" applyAlignment="1">
      <alignment horizontal="right" vertical="center"/>
    </xf>
    <xf numFmtId="4" fontId="25" fillId="0" borderId="15" xfId="2" applyNumberFormat="1" applyFont="1" applyBorder="1" applyAlignment="1">
      <alignment horizontal="right" vertical="center"/>
    </xf>
    <xf numFmtId="4" fontId="25" fillId="11" borderId="15" xfId="3" applyNumberFormat="1" applyFont="1" applyFill="1" applyBorder="1" applyAlignment="1">
      <alignment horizontal="right" vertical="center"/>
    </xf>
    <xf numFmtId="4" fontId="25" fillId="12" borderId="15" xfId="3" applyNumberFormat="1" applyFont="1" applyFill="1" applyBorder="1" applyAlignment="1">
      <alignment horizontal="right" vertical="center"/>
    </xf>
    <xf numFmtId="4" fontId="25" fillId="23" borderId="15" xfId="3" applyNumberFormat="1" applyFont="1" applyFill="1" applyBorder="1" applyAlignment="1">
      <alignment horizontal="right" vertical="center"/>
    </xf>
    <xf numFmtId="4" fontId="25" fillId="11" borderId="17" xfId="2" applyNumberFormat="1" applyFont="1" applyFill="1" applyBorder="1" applyAlignment="1">
      <alignment horizontal="right" vertical="center"/>
    </xf>
    <xf numFmtId="4" fontId="25" fillId="12" borderId="17" xfId="3" applyNumberFormat="1" applyFont="1" applyFill="1" applyBorder="1" applyAlignment="1">
      <alignment horizontal="right" vertical="center" wrapText="1"/>
    </xf>
    <xf numFmtId="4" fontId="26" fillId="14" borderId="15" xfId="2" applyNumberFormat="1" applyFont="1" applyFill="1" applyBorder="1" applyAlignment="1">
      <alignment horizontal="right" vertical="center"/>
    </xf>
    <xf numFmtId="4" fontId="25" fillId="11" borderId="15" xfId="2" applyNumberFormat="1" applyFont="1" applyFill="1" applyBorder="1" applyAlignment="1">
      <alignment horizontal="right" vertical="center"/>
    </xf>
    <xf numFmtId="4" fontId="26" fillId="12" borderId="15" xfId="2" applyNumberFormat="1" applyFont="1" applyFill="1" applyBorder="1" applyAlignment="1">
      <alignment horizontal="right" vertical="center"/>
    </xf>
    <xf numFmtId="4" fontId="26" fillId="0" borderId="15" xfId="2" applyNumberFormat="1" applyFont="1" applyBorder="1" applyAlignment="1">
      <alignment horizontal="right" vertical="center"/>
    </xf>
    <xf numFmtId="4" fontId="25" fillId="14" borderId="18" xfId="2" applyNumberFormat="1" applyFont="1" applyFill="1" applyBorder="1" applyAlignment="1">
      <alignment horizontal="right" vertical="center"/>
    </xf>
    <xf numFmtId="4" fontId="25" fillId="0" borderId="15" xfId="2" applyNumberFormat="1" applyFont="1" applyBorder="1" applyAlignment="1">
      <alignment horizontal="right"/>
    </xf>
    <xf numFmtId="4" fontId="9" fillId="12" borderId="4" xfId="2" applyNumberFormat="1" applyFont="1" applyFill="1" applyBorder="1" applyAlignment="1">
      <alignment horizontal="center" vertical="center"/>
    </xf>
    <xf numFmtId="43" fontId="5" fillId="8" borderId="2" xfId="1" applyFont="1" applyFill="1" applyBorder="1" applyAlignment="1">
      <alignment horizontal="center" wrapText="1"/>
    </xf>
    <xf numFmtId="43" fontId="0" fillId="29" borderId="4" xfId="1" applyFont="1" applyFill="1" applyBorder="1" applyAlignment="1">
      <alignment vertical="center"/>
    </xf>
    <xf numFmtId="4" fontId="25" fillId="29" borderId="4" xfId="2" applyNumberFormat="1" applyFont="1" applyFill="1" applyBorder="1" applyAlignment="1">
      <alignment horizontal="right" vertical="center"/>
    </xf>
    <xf numFmtId="4" fontId="25" fillId="29" borderId="4" xfId="1" applyNumberFormat="1" applyFont="1" applyFill="1" applyBorder="1" applyAlignment="1">
      <alignment horizontal="right" vertical="center"/>
    </xf>
    <xf numFmtId="4" fontId="25" fillId="29" borderId="4" xfId="2" applyNumberFormat="1" applyFont="1" applyFill="1" applyBorder="1" applyAlignment="1">
      <alignment horizontal="right"/>
    </xf>
    <xf numFmtId="4" fontId="25" fillId="18" borderId="15" xfId="2" applyNumberFormat="1" applyFont="1" applyFill="1" applyBorder="1" applyAlignment="1">
      <alignment horizontal="right" vertical="center"/>
    </xf>
    <xf numFmtId="4" fontId="5" fillId="0" borderId="18" xfId="2" applyNumberFormat="1" applyFont="1" applyBorder="1" applyAlignment="1">
      <alignment horizontal="right" vertical="center"/>
    </xf>
    <xf numFmtId="4" fontId="10" fillId="0" borderId="18" xfId="2" applyNumberFormat="1" applyFont="1" applyBorder="1" applyAlignment="1">
      <alignment horizontal="right" vertical="center"/>
    </xf>
    <xf numFmtId="4" fontId="10" fillId="0" borderId="9" xfId="2" applyNumberFormat="1" applyFont="1" applyBorder="1" applyAlignment="1">
      <alignment vertical="center"/>
    </xf>
    <xf numFmtId="0" fontId="5" fillId="8" borderId="18" xfId="2" applyFont="1" applyFill="1" applyBorder="1" applyAlignment="1">
      <alignment horizontal="left" vertical="center" wrapText="1"/>
    </xf>
    <xf numFmtId="0" fontId="5" fillId="8" borderId="9" xfId="2" applyFont="1" applyFill="1" applyBorder="1" applyAlignment="1">
      <alignment horizontal="center" vertical="center"/>
    </xf>
    <xf numFmtId="0" fontId="30" fillId="30" borderId="4" xfId="0" applyFont="1" applyFill="1" applyBorder="1" applyAlignment="1">
      <alignment horizontal="center" vertical="center"/>
    </xf>
    <xf numFmtId="0" fontId="30" fillId="30" borderId="16" xfId="0" applyFont="1" applyFill="1" applyBorder="1" applyAlignment="1">
      <alignment horizontal="center" vertical="center"/>
    </xf>
    <xf numFmtId="0" fontId="20" fillId="31" borderId="4" xfId="0" applyFont="1" applyFill="1" applyBorder="1" applyAlignment="1">
      <alignment horizontal="center" vertical="center"/>
    </xf>
    <xf numFmtId="0" fontId="20" fillId="31" borderId="4" xfId="0" applyFont="1" applyFill="1" applyBorder="1" applyAlignment="1">
      <alignment horizontal="center" vertical="center" wrapText="1"/>
    </xf>
    <xf numFmtId="44" fontId="20" fillId="31" borderId="4" xfId="0" applyNumberFormat="1" applyFont="1" applyFill="1" applyBorder="1" applyAlignment="1">
      <alignment vertical="center"/>
    </xf>
    <xf numFmtId="170" fontId="20" fillId="31" borderId="4" xfId="5" applyNumberFormat="1" applyFont="1" applyFill="1" applyBorder="1" applyAlignment="1">
      <alignment horizontal="center" vertical="center"/>
    </xf>
    <xf numFmtId="0" fontId="0" fillId="0" borderId="0" xfId="0" applyAlignment="1">
      <alignment vertical="center"/>
    </xf>
    <xf numFmtId="0" fontId="22" fillId="0" borderId="4" xfId="0" applyFont="1" applyBorder="1" applyAlignment="1">
      <alignment horizontal="center" vertical="center"/>
    </xf>
    <xf numFmtId="0" fontId="22" fillId="0" borderId="4" xfId="0" applyFont="1" applyBorder="1" applyAlignment="1">
      <alignment wrapText="1"/>
    </xf>
    <xf numFmtId="44" fontId="22" fillId="0" borderId="4" xfId="0" applyNumberFormat="1" applyFont="1" applyBorder="1"/>
    <xf numFmtId="170" fontId="22" fillId="0" borderId="4" xfId="5" applyNumberFormat="1" applyFont="1" applyBorder="1" applyAlignment="1">
      <alignment horizontal="center" vertical="center"/>
    </xf>
    <xf numFmtId="43" fontId="22" fillId="0" borderId="4" xfId="0" applyNumberFormat="1" applyFont="1" applyBorder="1"/>
    <xf numFmtId="44" fontId="26" fillId="32" borderId="4" xfId="0" applyNumberFormat="1" applyFont="1" applyFill="1" applyBorder="1"/>
    <xf numFmtId="170" fontId="26" fillId="32" borderId="4" xfId="0" applyNumberFormat="1" applyFont="1" applyFill="1" applyBorder="1"/>
    <xf numFmtId="43" fontId="26" fillId="32" borderId="4" xfId="0" applyNumberFormat="1" applyFont="1" applyFill="1" applyBorder="1"/>
    <xf numFmtId="43" fontId="26" fillId="9" borderId="4" xfId="0" applyNumberFormat="1" applyFont="1" applyFill="1" applyBorder="1"/>
    <xf numFmtId="170" fontId="22" fillId="0" borderId="4" xfId="5" applyNumberFormat="1" applyFont="1" applyBorder="1" applyAlignment="1">
      <alignment horizontal="center"/>
    </xf>
    <xf numFmtId="43" fontId="0" fillId="0" borderId="4" xfId="0" applyNumberFormat="1" applyBorder="1"/>
    <xf numFmtId="0" fontId="22" fillId="0" borderId="4" xfId="0" applyFont="1" applyBorder="1"/>
    <xf numFmtId="9" fontId="20" fillId="31" borderId="4" xfId="5" applyFont="1" applyFill="1" applyBorder="1" applyAlignment="1">
      <alignment horizontal="center" vertical="center"/>
    </xf>
    <xf numFmtId="0" fontId="0" fillId="0" borderId="4" xfId="0" applyBorder="1" applyAlignment="1">
      <alignment wrapText="1"/>
    </xf>
    <xf numFmtId="44" fontId="0" fillId="0" borderId="4" xfId="0" applyNumberFormat="1" applyBorder="1"/>
    <xf numFmtId="170" fontId="0" fillId="0" borderId="4" xfId="5" applyNumberFormat="1" applyFont="1" applyBorder="1" applyAlignment="1">
      <alignment horizontal="center" vertical="center"/>
    </xf>
    <xf numFmtId="9" fontId="0" fillId="0" borderId="4" xfId="5" applyFont="1" applyBorder="1" applyAlignment="1">
      <alignment horizontal="center" vertical="center"/>
    </xf>
    <xf numFmtId="0" fontId="0" fillId="0" borderId="4" xfId="0" applyBorder="1"/>
    <xf numFmtId="44" fontId="27" fillId="0" borderId="4" xfId="0" applyNumberFormat="1" applyFont="1" applyBorder="1"/>
    <xf numFmtId="44" fontId="22" fillId="33" borderId="0" xfId="0" applyNumberFormat="1" applyFont="1" applyFill="1"/>
    <xf numFmtId="43" fontId="0" fillId="0" borderId="0" xfId="0" applyNumberFormat="1"/>
    <xf numFmtId="44" fontId="0" fillId="0" borderId="0" xfId="0" applyNumberFormat="1"/>
    <xf numFmtId="44" fontId="0" fillId="0" borderId="0" xfId="0" applyNumberFormat="1" applyAlignment="1">
      <alignment vertical="center"/>
    </xf>
    <xf numFmtId="0" fontId="30" fillId="30" borderId="14" xfId="0" applyFont="1" applyFill="1" applyBorder="1" applyAlignment="1">
      <alignment horizontal="center" vertical="center"/>
    </xf>
    <xf numFmtId="4" fontId="5" fillId="8" borderId="9" xfId="2" applyNumberFormat="1" applyFont="1" applyFill="1" applyBorder="1" applyAlignment="1">
      <alignment vertical="center"/>
    </xf>
    <xf numFmtId="0" fontId="32" fillId="12" borderId="4" xfId="2" applyFont="1" applyFill="1" applyBorder="1" applyAlignment="1">
      <alignment vertical="center"/>
    </xf>
    <xf numFmtId="0" fontId="32" fillId="14" borderId="4" xfId="2" applyFont="1" applyFill="1" applyBorder="1" applyAlignment="1">
      <alignment vertical="center"/>
    </xf>
    <xf numFmtId="0" fontId="33" fillId="0" borderId="4" xfId="2" applyFont="1" applyBorder="1" applyAlignment="1">
      <alignment vertical="center"/>
    </xf>
    <xf numFmtId="0" fontId="34" fillId="0" borderId="4" xfId="2" applyFont="1" applyBorder="1" applyAlignment="1">
      <alignment vertical="center"/>
    </xf>
    <xf numFmtId="0" fontId="34" fillId="0" borderId="2" xfId="2" applyFont="1" applyBorder="1" applyAlignment="1">
      <alignment vertical="center"/>
    </xf>
    <xf numFmtId="0" fontId="32" fillId="12" borderId="4" xfId="2" applyFont="1" applyFill="1" applyBorder="1" applyAlignment="1">
      <alignment horizontal="left" vertical="center"/>
    </xf>
    <xf numFmtId="0" fontId="32" fillId="14" borderId="4" xfId="2" applyFont="1" applyFill="1" applyBorder="1" applyAlignment="1">
      <alignment horizontal="left" vertical="center"/>
    </xf>
    <xf numFmtId="0" fontId="33" fillId="0" borderId="4" xfId="2" applyFont="1" applyBorder="1" applyAlignment="1">
      <alignment horizontal="left" vertical="center"/>
    </xf>
    <xf numFmtId="167" fontId="33" fillId="0" borderId="4" xfId="2" applyNumberFormat="1" applyFont="1" applyBorder="1" applyAlignment="1">
      <alignment horizontal="left" vertical="center"/>
    </xf>
    <xf numFmtId="0" fontId="33" fillId="0" borderId="4" xfId="2" applyFont="1" applyBorder="1" applyAlignment="1">
      <alignment horizontal="left" vertical="center" wrapText="1"/>
    </xf>
    <xf numFmtId="0" fontId="34" fillId="0" borderId="4" xfId="2" applyFont="1" applyBorder="1" applyAlignment="1">
      <alignment horizontal="left" vertical="center"/>
    </xf>
    <xf numFmtId="0" fontId="34" fillId="0" borderId="4" xfId="2" applyFont="1" applyBorder="1" applyAlignment="1">
      <alignment horizontal="left" vertical="center" wrapText="1"/>
    </xf>
    <xf numFmtId="167" fontId="34" fillId="0" borderId="4" xfId="2" applyNumberFormat="1" applyFont="1" applyBorder="1" applyAlignment="1">
      <alignment horizontal="left" vertical="center"/>
    </xf>
    <xf numFmtId="0" fontId="36" fillId="8" borderId="4" xfId="2" applyFont="1" applyFill="1" applyBorder="1" applyAlignment="1">
      <alignment horizontal="left" vertical="center"/>
    </xf>
    <xf numFmtId="0" fontId="34" fillId="0" borderId="2" xfId="2" applyFont="1" applyBorder="1" applyAlignment="1">
      <alignment horizontal="left" vertical="center"/>
    </xf>
    <xf numFmtId="0" fontId="34" fillId="0" borderId="1" xfId="2" applyFont="1" applyBorder="1" applyAlignment="1">
      <alignment horizontal="left" vertical="center"/>
    </xf>
    <xf numFmtId="0" fontId="34" fillId="0" borderId="5" xfId="2" applyFont="1" applyBorder="1" applyAlignment="1">
      <alignment horizontal="left" vertical="center"/>
    </xf>
    <xf numFmtId="4" fontId="37" fillId="12" borderId="15" xfId="3" applyNumberFormat="1" applyFont="1" applyFill="1" applyBorder="1" applyAlignment="1">
      <alignment horizontal="right" vertical="center"/>
    </xf>
    <xf numFmtId="4" fontId="32" fillId="12" borderId="15" xfId="3" applyNumberFormat="1" applyFont="1" applyFill="1" applyBorder="1" applyAlignment="1">
      <alignment horizontal="right" vertical="center"/>
    </xf>
    <xf numFmtId="4" fontId="32" fillId="14" borderId="15" xfId="3" applyNumberFormat="1" applyFont="1" applyFill="1" applyBorder="1" applyAlignment="1">
      <alignment horizontal="right" vertical="center"/>
    </xf>
    <xf numFmtId="4" fontId="38" fillId="0" borderId="15" xfId="2" applyNumberFormat="1" applyFont="1" applyBorder="1" applyAlignment="1">
      <alignment horizontal="right" vertical="center"/>
    </xf>
    <xf numFmtId="4" fontId="33" fillId="0" borderId="15" xfId="2" applyNumberFormat="1" applyFont="1" applyBorder="1" applyAlignment="1">
      <alignment horizontal="right" vertical="center"/>
    </xf>
    <xf numFmtId="4" fontId="37" fillId="14" borderId="15" xfId="3" applyNumberFormat="1" applyFont="1" applyFill="1" applyBorder="1" applyAlignment="1">
      <alignment horizontal="right" vertical="center"/>
    </xf>
    <xf numFmtId="4" fontId="32" fillId="14" borderId="15" xfId="2" applyNumberFormat="1" applyFont="1" applyFill="1" applyBorder="1" applyAlignment="1">
      <alignment horizontal="right" vertical="center"/>
    </xf>
    <xf numFmtId="4" fontId="32" fillId="14" borderId="4" xfId="1" applyNumberFormat="1" applyFont="1" applyFill="1" applyBorder="1" applyAlignment="1">
      <alignment horizontal="right" vertical="center"/>
    </xf>
    <xf numFmtId="4" fontId="39" fillId="8" borderId="15" xfId="2" applyNumberFormat="1" applyFont="1" applyFill="1" applyBorder="1" applyAlignment="1">
      <alignment horizontal="right" vertical="center"/>
    </xf>
    <xf numFmtId="4" fontId="36" fillId="8" borderId="15" xfId="2" applyNumberFormat="1" applyFont="1" applyFill="1" applyBorder="1" applyAlignment="1">
      <alignment horizontal="right" vertical="center"/>
    </xf>
    <xf numFmtId="4" fontId="37" fillId="12" borderId="15" xfId="2" applyNumberFormat="1" applyFont="1" applyFill="1" applyBorder="1" applyAlignment="1">
      <alignment horizontal="right" vertical="center"/>
    </xf>
    <xf numFmtId="4" fontId="32" fillId="12" borderId="15" xfId="2" applyNumberFormat="1" applyFont="1" applyFill="1" applyBorder="1" applyAlignment="1">
      <alignment horizontal="right" vertical="center"/>
    </xf>
    <xf numFmtId="4" fontId="37" fillId="14" borderId="15" xfId="2" applyNumberFormat="1" applyFont="1" applyFill="1" applyBorder="1" applyAlignment="1">
      <alignment horizontal="right" vertical="center"/>
    </xf>
    <xf numFmtId="4" fontId="40" fillId="14" borderId="15" xfId="3" applyNumberFormat="1" applyFont="1" applyFill="1" applyBorder="1" applyAlignment="1">
      <alignment horizontal="right" vertical="center"/>
    </xf>
    <xf numFmtId="4" fontId="41" fillId="0" borderId="15" xfId="2" applyNumberFormat="1" applyFont="1" applyBorder="1" applyAlignment="1">
      <alignment horizontal="right" vertical="center"/>
    </xf>
    <xf numFmtId="4" fontId="34" fillId="0" borderId="15" xfId="2" applyNumberFormat="1" applyFont="1" applyBorder="1" applyAlignment="1">
      <alignment horizontal="right" vertical="center"/>
    </xf>
    <xf numFmtId="4" fontId="32" fillId="14" borderId="4" xfId="3" applyNumberFormat="1" applyFont="1" applyFill="1" applyBorder="1" applyAlignment="1">
      <alignment horizontal="right" vertical="center"/>
    </xf>
    <xf numFmtId="4" fontId="33" fillId="0" borderId="4" xfId="2" applyNumberFormat="1" applyFont="1" applyBorder="1" applyAlignment="1">
      <alignment horizontal="right" vertical="center"/>
    </xf>
    <xf numFmtId="4" fontId="38" fillId="0" borderId="9" xfId="2" applyNumberFormat="1" applyFont="1" applyBorder="1" applyAlignment="1">
      <alignment horizontal="center" vertical="center"/>
    </xf>
    <xf numFmtId="4" fontId="38" fillId="0" borderId="16" xfId="2" applyNumberFormat="1" applyFont="1" applyBorder="1" applyAlignment="1">
      <alignment horizontal="center" vertical="center"/>
    </xf>
    <xf numFmtId="4" fontId="38" fillId="0" borderId="13" xfId="2" applyNumberFormat="1" applyFont="1" applyBorder="1" applyAlignment="1">
      <alignment horizontal="center" vertical="center"/>
    </xf>
    <xf numFmtId="4" fontId="36" fillId="8" borderId="4" xfId="2" applyNumberFormat="1" applyFont="1" applyFill="1" applyBorder="1" applyAlignment="1">
      <alignment horizontal="right" vertical="center"/>
    </xf>
    <xf numFmtId="4" fontId="32" fillId="0" borderId="4" xfId="2" applyNumberFormat="1" applyFont="1" applyBorder="1" applyAlignment="1">
      <alignment horizontal="right" vertical="center"/>
    </xf>
    <xf numFmtId="4" fontId="32" fillId="0" borderId="0" xfId="2" applyNumberFormat="1" applyFont="1" applyAlignment="1">
      <alignment horizontal="right" vertical="center"/>
    </xf>
    <xf numFmtId="4" fontId="34" fillId="0" borderId="4" xfId="2" applyNumberFormat="1" applyFont="1" applyBorder="1" applyAlignment="1">
      <alignment horizontal="right" vertical="center"/>
    </xf>
    <xf numFmtId="0" fontId="32" fillId="12" borderId="4" xfId="2" applyFont="1" applyFill="1" applyBorder="1" applyAlignment="1">
      <alignment horizontal="center" vertical="center"/>
    </xf>
    <xf numFmtId="0" fontId="32" fillId="14" borderId="4" xfId="2" applyFont="1" applyFill="1" applyBorder="1" applyAlignment="1">
      <alignment horizontal="center" vertical="center"/>
    </xf>
    <xf numFmtId="0" fontId="33" fillId="0" borderId="4" xfId="2" applyFont="1" applyBorder="1" applyAlignment="1">
      <alignment horizontal="center" vertical="center"/>
    </xf>
    <xf numFmtId="0" fontId="34" fillId="0" borderId="4" xfId="2" applyFont="1" applyBorder="1" applyAlignment="1">
      <alignment horizontal="center"/>
    </xf>
    <xf numFmtId="0" fontId="34" fillId="0" borderId="4" xfId="2" applyFont="1" applyBorder="1" applyAlignment="1">
      <alignment horizontal="center" vertical="center"/>
    </xf>
    <xf numFmtId="0" fontId="34" fillId="0" borderId="0" xfId="2" applyFont="1" applyAlignment="1">
      <alignment horizontal="center"/>
    </xf>
    <xf numFmtId="0" fontId="10" fillId="0" borderId="0" xfId="2" applyFont="1" applyAlignment="1">
      <alignment horizontal="left" vertical="center" wrapText="1"/>
    </xf>
    <xf numFmtId="0" fontId="10" fillId="0" borderId="4" xfId="2" applyFont="1" applyBorder="1" applyAlignment="1">
      <alignment horizontal="left" vertical="center" wrapText="1"/>
    </xf>
    <xf numFmtId="0" fontId="9" fillId="0" borderId="8" xfId="2" applyFont="1" applyBorder="1" applyAlignment="1">
      <alignment horizontal="center" vertical="center"/>
    </xf>
    <xf numFmtId="4" fontId="25" fillId="0" borderId="10" xfId="2" applyNumberFormat="1" applyFont="1" applyBorder="1" applyAlignment="1">
      <alignment horizontal="right" vertical="center"/>
    </xf>
    <xf numFmtId="4" fontId="9" fillId="0" borderId="11" xfId="2" applyNumberFormat="1" applyFont="1" applyBorder="1" applyAlignment="1">
      <alignment horizontal="right" vertical="center"/>
    </xf>
    <xf numFmtId="4" fontId="4" fillId="0" borderId="11" xfId="2" applyNumberFormat="1" applyFont="1" applyBorder="1" applyAlignment="1">
      <alignment horizontal="right" vertical="center"/>
    </xf>
    <xf numFmtId="4" fontId="9" fillId="0" borderId="10" xfId="2" applyNumberFormat="1" applyFont="1" applyBorder="1" applyAlignment="1">
      <alignment horizontal="right" vertical="center"/>
    </xf>
    <xf numFmtId="0" fontId="9" fillId="0" borderId="10" xfId="2" applyFont="1" applyBorder="1" applyAlignment="1">
      <alignment horizontal="right" vertical="center"/>
    </xf>
    <xf numFmtId="4" fontId="9" fillId="13" borderId="10" xfId="1" applyNumberFormat="1" applyFont="1" applyFill="1" applyBorder="1" applyAlignment="1">
      <alignment horizontal="right" vertical="center"/>
    </xf>
    <xf numFmtId="0" fontId="13" fillId="0" borderId="8" xfId="2" applyFont="1" applyBorder="1" applyAlignment="1">
      <alignment horizontal="right" vertical="center"/>
    </xf>
    <xf numFmtId="0" fontId="13" fillId="0" borderId="10" xfId="2" applyFont="1" applyBorder="1" applyAlignment="1">
      <alignment horizontal="right" vertical="center"/>
    </xf>
    <xf numFmtId="4" fontId="9" fillId="0" borderId="14" xfId="2" applyNumberFormat="1" applyFont="1" applyBorder="1" applyAlignment="1">
      <alignment horizontal="right" vertical="center"/>
    </xf>
    <xf numFmtId="0" fontId="5" fillId="0" borderId="14" xfId="2" applyFont="1" applyBorder="1"/>
    <xf numFmtId="4" fontId="9" fillId="0" borderId="34" xfId="2" applyNumberFormat="1" applyFont="1" applyBorder="1" applyAlignment="1">
      <alignment horizontal="right" vertical="center"/>
    </xf>
    <xf numFmtId="4" fontId="9" fillId="13" borderId="34" xfId="1" applyNumberFormat="1" applyFont="1" applyFill="1" applyBorder="1" applyAlignment="1">
      <alignment horizontal="right" vertical="center"/>
    </xf>
    <xf numFmtId="0" fontId="9" fillId="13" borderId="34" xfId="2" applyFont="1" applyFill="1" applyBorder="1" applyAlignment="1">
      <alignment horizontal="center" vertical="center"/>
    </xf>
    <xf numFmtId="0" fontId="9" fillId="0" borderId="4" xfId="2" applyFont="1" applyBorder="1" applyAlignment="1">
      <alignment horizontal="right" vertical="center"/>
    </xf>
    <xf numFmtId="0" fontId="5" fillId="0" borderId="10" xfId="2" applyFont="1" applyBorder="1" applyAlignment="1">
      <alignment horizontal="right" vertical="center"/>
    </xf>
    <xf numFmtId="0" fontId="5" fillId="0" borderId="11" xfId="2" applyFont="1" applyBorder="1" applyAlignment="1">
      <alignment horizontal="right" vertical="center"/>
    </xf>
    <xf numFmtId="0" fontId="5" fillId="0" borderId="34" xfId="2" applyFont="1" applyBorder="1" applyAlignment="1">
      <alignment horizontal="right" vertical="center"/>
    </xf>
    <xf numFmtId="0" fontId="5" fillId="0" borderId="6" xfId="2" applyFont="1" applyBorder="1" applyAlignment="1">
      <alignment horizontal="right" vertical="center"/>
    </xf>
    <xf numFmtId="0" fontId="5" fillId="0" borderId="11" xfId="2" applyFont="1" applyBorder="1" applyAlignment="1">
      <alignment horizontal="center" vertical="center"/>
    </xf>
    <xf numFmtId="4" fontId="25" fillId="0" borderId="6" xfId="2" applyNumberFormat="1" applyFont="1" applyBorder="1" applyAlignment="1">
      <alignment horizontal="right" vertical="center"/>
    </xf>
    <xf numFmtId="0" fontId="5" fillId="8" borderId="19" xfId="2" applyFont="1" applyFill="1" applyBorder="1" applyAlignment="1">
      <alignment horizontal="center" vertical="center" wrapText="1"/>
    </xf>
    <xf numFmtId="14" fontId="5" fillId="8" borderId="9" xfId="2" applyNumberFormat="1" applyFont="1" applyFill="1" applyBorder="1" applyAlignment="1">
      <alignment horizontal="center" vertical="center"/>
    </xf>
    <xf numFmtId="0" fontId="42" fillId="0" borderId="0" xfId="2" applyFont="1" applyAlignment="1">
      <alignment horizontal="center" wrapText="1"/>
    </xf>
    <xf numFmtId="164" fontId="25" fillId="0" borderId="1" xfId="2" applyNumberFormat="1" applyFont="1" applyBorder="1" applyAlignment="1">
      <alignment horizontal="center" vertical="center" wrapText="1"/>
    </xf>
    <xf numFmtId="164" fontId="25" fillId="9" borderId="2" xfId="2" applyNumberFormat="1" applyFont="1" applyFill="1" applyBorder="1" applyAlignment="1">
      <alignment horizontal="center" vertical="center" wrapText="1"/>
    </xf>
    <xf numFmtId="43" fontId="42" fillId="8" borderId="2" xfId="1" applyFont="1" applyFill="1" applyBorder="1" applyAlignment="1">
      <alignment horizontal="center" wrapText="1"/>
    </xf>
    <xf numFmtId="4" fontId="42" fillId="8" borderId="3" xfId="2" applyNumberFormat="1" applyFont="1" applyFill="1" applyBorder="1" applyAlignment="1">
      <alignment horizontal="right"/>
    </xf>
    <xf numFmtId="4" fontId="42" fillId="0" borderId="4" xfId="2" applyNumberFormat="1" applyFont="1" applyBorder="1" applyAlignment="1">
      <alignment horizontal="right" vertical="center"/>
    </xf>
    <xf numFmtId="0" fontId="42" fillId="0" borderId="0" xfId="2" applyFont="1"/>
    <xf numFmtId="4" fontId="42" fillId="0" borderId="0" xfId="2" applyNumberFormat="1" applyFont="1"/>
    <xf numFmtId="4" fontId="8" fillId="11" borderId="6" xfId="3" applyNumberFormat="1" applyFont="1" applyFill="1" applyBorder="1" applyAlignment="1">
      <alignment horizontal="right" vertical="center"/>
    </xf>
    <xf numFmtId="4" fontId="25" fillId="23" borderId="4" xfId="1" applyNumberFormat="1" applyFont="1" applyFill="1" applyBorder="1" applyAlignment="1">
      <alignment horizontal="right" vertical="center"/>
    </xf>
    <xf numFmtId="0" fontId="43" fillId="0" borderId="0" xfId="2" applyFont="1"/>
    <xf numFmtId="0" fontId="43" fillId="0" borderId="0" xfId="2" applyFont="1" applyAlignment="1">
      <alignment horizontal="center" wrapText="1"/>
    </xf>
    <xf numFmtId="164" fontId="31" fillId="0" borderId="1" xfId="2" applyNumberFormat="1" applyFont="1" applyBorder="1" applyAlignment="1">
      <alignment horizontal="center" vertical="center" wrapText="1"/>
    </xf>
    <xf numFmtId="164" fontId="31" fillId="0" borderId="2" xfId="2" applyNumberFormat="1" applyFont="1" applyBorder="1" applyAlignment="1">
      <alignment horizontal="center" vertical="center" wrapText="1"/>
    </xf>
    <xf numFmtId="164" fontId="31" fillId="9" borderId="2" xfId="2" applyNumberFormat="1" applyFont="1" applyFill="1" applyBorder="1" applyAlignment="1">
      <alignment horizontal="center" vertical="center" wrapText="1"/>
    </xf>
    <xf numFmtId="4" fontId="43" fillId="8" borderId="3" xfId="2" applyNumberFormat="1" applyFont="1" applyFill="1" applyBorder="1" applyAlignment="1">
      <alignment horizontal="right"/>
    </xf>
    <xf numFmtId="4" fontId="31" fillId="12" borderId="4" xfId="2" applyNumberFormat="1" applyFont="1" applyFill="1" applyBorder="1" applyAlignment="1">
      <alignment horizontal="right" vertical="center"/>
    </xf>
    <xf numFmtId="4" fontId="31" fillId="13" borderId="7" xfId="1" applyNumberFormat="1" applyFont="1" applyFill="1" applyBorder="1" applyAlignment="1">
      <alignment horizontal="right" vertical="center"/>
    </xf>
    <xf numFmtId="4" fontId="31" fillId="0" borderId="10" xfId="2" applyNumberFormat="1" applyFont="1" applyBorder="1" applyAlignment="1">
      <alignment horizontal="right" vertical="center"/>
    </xf>
    <xf numFmtId="0" fontId="43" fillId="0" borderId="0" xfId="2" applyFont="1" applyAlignment="1">
      <alignment horizontal="center"/>
    </xf>
    <xf numFmtId="4" fontId="43" fillId="0" borderId="0" xfId="2" applyNumberFormat="1" applyFont="1"/>
    <xf numFmtId="4" fontId="31" fillId="12" borderId="15" xfId="2" applyNumberFormat="1" applyFont="1" applyFill="1" applyBorder="1" applyAlignment="1">
      <alignment horizontal="right" vertical="center"/>
    </xf>
    <xf numFmtId="4" fontId="31" fillId="13" borderId="4" xfId="2" applyNumberFormat="1" applyFont="1" applyFill="1" applyBorder="1" applyAlignment="1">
      <alignment horizontal="right" vertical="center"/>
    </xf>
    <xf numFmtId="4" fontId="31" fillId="13" borderId="7" xfId="2" applyNumberFormat="1" applyFont="1" applyFill="1" applyBorder="1" applyAlignment="1">
      <alignment horizontal="right" vertical="center"/>
    </xf>
    <xf numFmtId="4" fontId="31" fillId="13" borderId="15" xfId="2" applyNumberFormat="1" applyFont="1" applyFill="1" applyBorder="1" applyAlignment="1">
      <alignment horizontal="right" vertical="center"/>
    </xf>
    <xf numFmtId="4" fontId="31" fillId="13" borderId="4" xfId="1" applyNumberFormat="1" applyFont="1" applyFill="1" applyBorder="1" applyAlignment="1">
      <alignment horizontal="right" vertical="center"/>
    </xf>
    <xf numFmtId="4" fontId="31" fillId="18" borderId="15" xfId="2" applyNumberFormat="1" applyFont="1" applyFill="1" applyBorder="1" applyAlignment="1">
      <alignment horizontal="right" vertical="center"/>
    </xf>
    <xf numFmtId="4" fontId="31" fillId="18" borderId="4" xfId="1" applyNumberFormat="1" applyFont="1" applyFill="1" applyBorder="1" applyAlignment="1">
      <alignment horizontal="right" vertical="center"/>
    </xf>
    <xf numFmtId="4" fontId="31" fillId="14" borderId="4" xfId="2" applyNumberFormat="1" applyFont="1" applyFill="1" applyBorder="1" applyAlignment="1">
      <alignment horizontal="right" vertical="center"/>
    </xf>
    <xf numFmtId="4" fontId="31" fillId="14" borderId="15" xfId="2" applyNumberFormat="1" applyFont="1" applyFill="1" applyBorder="1" applyAlignment="1">
      <alignment horizontal="right" vertical="center"/>
    </xf>
    <xf numFmtId="4" fontId="31" fillId="14" borderId="4" xfId="1" applyNumberFormat="1" applyFont="1" applyFill="1" applyBorder="1" applyAlignment="1">
      <alignment horizontal="right" vertical="center"/>
    </xf>
    <xf numFmtId="4" fontId="31" fillId="14" borderId="15" xfId="3" applyNumberFormat="1" applyFont="1" applyFill="1" applyBorder="1" applyAlignment="1">
      <alignment horizontal="right" vertical="center"/>
    </xf>
    <xf numFmtId="4" fontId="16" fillId="14" borderId="15" xfId="3" applyNumberFormat="1" applyFont="1" applyFill="1" applyBorder="1" applyAlignment="1">
      <alignment horizontal="right" vertical="center"/>
    </xf>
    <xf numFmtId="4" fontId="35" fillId="14" borderId="15" xfId="3" applyNumberFormat="1" applyFont="1" applyFill="1" applyBorder="1" applyAlignment="1">
      <alignment horizontal="right" vertical="center"/>
    </xf>
    <xf numFmtId="4" fontId="23" fillId="14" borderId="15" xfId="3" applyNumberFormat="1" applyFont="1" applyFill="1" applyBorder="1" applyAlignment="1">
      <alignment horizontal="right" vertical="center"/>
    </xf>
    <xf numFmtId="4" fontId="44" fillId="14" borderId="15" xfId="3" applyNumberFormat="1" applyFont="1" applyFill="1" applyBorder="1" applyAlignment="1">
      <alignment horizontal="right" vertical="center"/>
    </xf>
    <xf numFmtId="4" fontId="16" fillId="14" borderId="4" xfId="3" applyNumberFormat="1" applyFont="1" applyFill="1" applyBorder="1" applyAlignment="1">
      <alignment horizontal="right" vertical="center"/>
    </xf>
    <xf numFmtId="0" fontId="35" fillId="14" borderId="4" xfId="2" applyFont="1" applyFill="1" applyBorder="1" applyAlignment="1">
      <alignment horizontal="center" vertical="center"/>
    </xf>
    <xf numFmtId="4" fontId="31" fillId="12" borderId="15" xfId="3" applyNumberFormat="1" applyFont="1" applyFill="1" applyBorder="1" applyAlignment="1">
      <alignment horizontal="right" vertical="center"/>
    </xf>
    <xf numFmtId="4" fontId="31" fillId="23" borderId="15" xfId="3" applyNumberFormat="1" applyFont="1" applyFill="1" applyBorder="1" applyAlignment="1">
      <alignment horizontal="right" vertical="center"/>
    </xf>
    <xf numFmtId="4" fontId="31" fillId="12" borderId="17" xfId="3" applyNumberFormat="1" applyFont="1" applyFill="1" applyBorder="1" applyAlignment="1">
      <alignment horizontal="right" vertical="center" wrapText="1"/>
    </xf>
    <xf numFmtId="4" fontId="45" fillId="14" borderId="15" xfId="2" applyNumberFormat="1" applyFont="1" applyFill="1" applyBorder="1" applyAlignment="1">
      <alignment horizontal="right" vertical="center"/>
    </xf>
    <xf numFmtId="4" fontId="31" fillId="0" borderId="36" xfId="2" applyNumberFormat="1" applyFont="1" applyBorder="1" applyAlignment="1">
      <alignment horizontal="right" vertical="center"/>
    </xf>
    <xf numFmtId="4" fontId="31" fillId="0" borderId="4" xfId="2" applyNumberFormat="1" applyFont="1" applyBorder="1" applyAlignment="1">
      <alignment horizontal="right" vertical="center"/>
    </xf>
    <xf numFmtId="0" fontId="31" fillId="0" borderId="4" xfId="2" applyFont="1" applyBorder="1" applyAlignment="1">
      <alignment horizontal="center" vertical="center"/>
    </xf>
    <xf numFmtId="14" fontId="10" fillId="0" borderId="13" xfId="2" applyNumberFormat="1" applyFont="1" applyBorder="1" applyAlignment="1">
      <alignment horizontal="center" vertical="center"/>
    </xf>
    <xf numFmtId="4" fontId="45" fillId="14" borderId="24" xfId="2" applyNumberFormat="1" applyFont="1" applyFill="1" applyBorder="1" applyAlignment="1">
      <alignment horizontal="right" vertical="center"/>
    </xf>
    <xf numFmtId="0" fontId="5" fillId="0" borderId="16" xfId="2" applyFont="1" applyBorder="1" applyAlignment="1">
      <alignment vertical="center"/>
    </xf>
    <xf numFmtId="0" fontId="5" fillId="0" borderId="13" xfId="2" applyFont="1" applyBorder="1" applyAlignment="1">
      <alignment vertical="center"/>
    </xf>
    <xf numFmtId="14" fontId="5" fillId="0" borderId="17" xfId="2" applyNumberFormat="1" applyFont="1" applyBorder="1" applyAlignment="1">
      <alignment horizontal="center" vertical="center"/>
    </xf>
    <xf numFmtId="4" fontId="48" fillId="8" borderId="2" xfId="2" applyNumberFormat="1" applyFont="1" applyFill="1" applyBorder="1" applyAlignment="1">
      <alignment horizontal="center"/>
    </xf>
    <xf numFmtId="4" fontId="49" fillId="8" borderId="2" xfId="2" applyNumberFormat="1" applyFont="1" applyFill="1" applyBorder="1" applyAlignment="1">
      <alignment horizontal="right"/>
    </xf>
    <xf numFmtId="4" fontId="50" fillId="8" borderId="2" xfId="2" applyNumberFormat="1" applyFont="1" applyFill="1" applyBorder="1" applyAlignment="1">
      <alignment horizontal="center"/>
    </xf>
    <xf numFmtId="4" fontId="48" fillId="8" borderId="4" xfId="2" applyNumberFormat="1" applyFont="1" applyFill="1" applyBorder="1" applyAlignment="1">
      <alignment horizontal="center" wrapText="1"/>
    </xf>
    <xf numFmtId="14" fontId="9" fillId="13" borderId="11" xfId="2" applyNumberFormat="1" applyFont="1" applyFill="1" applyBorder="1" applyAlignment="1">
      <alignment horizontal="center" vertical="center"/>
    </xf>
    <xf numFmtId="14" fontId="5" fillId="0" borderId="17" xfId="2" applyNumberFormat="1" applyFont="1" applyBorder="1" applyAlignment="1">
      <alignment horizontal="center"/>
    </xf>
    <xf numFmtId="0" fontId="5" fillId="0" borderId="4" xfId="2" applyFont="1" applyBorder="1" applyAlignment="1">
      <alignment horizontal="center" wrapText="1"/>
    </xf>
    <xf numFmtId="0" fontId="5" fillId="0" borderId="14" xfId="2" applyFont="1" applyBorder="1" applyAlignment="1">
      <alignment horizontal="center" vertical="center" wrapText="1"/>
    </xf>
    <xf numFmtId="0" fontId="5" fillId="0" borderId="19" xfId="2" applyFont="1" applyBorder="1" applyAlignment="1">
      <alignment horizontal="center" vertical="center" wrapText="1"/>
    </xf>
    <xf numFmtId="0" fontId="25" fillId="34" borderId="4" xfId="2" applyFont="1" applyFill="1" applyBorder="1" applyAlignment="1">
      <alignment horizontal="center" vertical="center" wrapText="1"/>
    </xf>
    <xf numFmtId="0" fontId="26" fillId="34" borderId="4" xfId="2" applyFont="1" applyFill="1" applyBorder="1" applyAlignment="1">
      <alignment horizontal="center" vertical="center" wrapText="1"/>
    </xf>
    <xf numFmtId="0" fontId="25" fillId="34" borderId="4" xfId="2" applyFont="1" applyFill="1" applyBorder="1" applyAlignment="1">
      <alignment horizontal="center" vertical="center"/>
    </xf>
    <xf numFmtId="0" fontId="26" fillId="34" borderId="35" xfId="2" applyFont="1" applyFill="1" applyBorder="1" applyAlignment="1">
      <alignment vertical="center" wrapText="1"/>
    </xf>
    <xf numFmtId="0" fontId="31" fillId="34" borderId="4" xfId="2" applyFont="1" applyFill="1" applyBorder="1" applyAlignment="1">
      <alignment horizontal="center" vertical="center"/>
    </xf>
    <xf numFmtId="14" fontId="5" fillId="0" borderId="17" xfId="2" applyNumberFormat="1" applyFont="1" applyBorder="1" applyAlignment="1">
      <alignment horizontal="center" vertical="center" wrapText="1"/>
    </xf>
    <xf numFmtId="0" fontId="31" fillId="34" borderId="4" xfId="2" applyFont="1" applyFill="1" applyBorder="1" applyAlignment="1">
      <alignment horizontal="center" vertical="center" wrapText="1"/>
    </xf>
    <xf numFmtId="0" fontId="5" fillId="0" borderId="9" xfId="2" applyFont="1" applyBorder="1" applyAlignment="1">
      <alignment vertical="center" wrapText="1"/>
    </xf>
    <xf numFmtId="44" fontId="31" fillId="34" borderId="4" xfId="2" applyNumberFormat="1" applyFont="1" applyFill="1" applyBorder="1" applyAlignment="1">
      <alignment horizontal="center" vertical="center"/>
    </xf>
    <xf numFmtId="0" fontId="25" fillId="34" borderId="4" xfId="2" applyFont="1" applyFill="1" applyBorder="1" applyAlignment="1">
      <alignment horizontal="center"/>
    </xf>
    <xf numFmtId="0" fontId="5" fillId="0" borderId="14" xfId="2" applyFont="1" applyBorder="1" applyAlignment="1">
      <alignment horizontal="center" wrapText="1"/>
    </xf>
    <xf numFmtId="14" fontId="5" fillId="0" borderId="4" xfId="2" applyNumberFormat="1" applyFont="1" applyBorder="1" applyAlignment="1">
      <alignment horizontal="center" wrapText="1"/>
    </xf>
    <xf numFmtId="14" fontId="5" fillId="0" borderId="17" xfId="2" applyNumberFormat="1" applyFont="1" applyBorder="1" applyAlignment="1">
      <alignment horizontal="center" wrapText="1"/>
    </xf>
    <xf numFmtId="0" fontId="26" fillId="34" borderId="4" xfId="2" applyFont="1" applyFill="1" applyBorder="1" applyAlignment="1">
      <alignment horizontal="center" vertical="center"/>
    </xf>
    <xf numFmtId="0" fontId="31" fillId="34" borderId="4" xfId="2" applyFont="1" applyFill="1" applyBorder="1" applyAlignment="1">
      <alignment horizontal="center"/>
    </xf>
    <xf numFmtId="14" fontId="14" fillId="0" borderId="4" xfId="2" applyNumberFormat="1" applyFont="1" applyBorder="1" applyAlignment="1">
      <alignment horizontal="center"/>
    </xf>
    <xf numFmtId="0" fontId="25" fillId="34" borderId="14" xfId="2" applyFont="1" applyFill="1" applyBorder="1" applyAlignment="1">
      <alignment horizontal="center" vertical="center"/>
    </xf>
    <xf numFmtId="49" fontId="39" fillId="30" borderId="4" xfId="0" applyNumberFormat="1" applyFont="1" applyFill="1" applyBorder="1" applyAlignment="1">
      <alignment horizontal="center"/>
    </xf>
    <xf numFmtId="0" fontId="0" fillId="0" borderId="0" xfId="0" applyAlignment="1">
      <alignment horizontal="center"/>
    </xf>
    <xf numFmtId="49" fontId="39" fillId="34" borderId="4" xfId="0" applyNumberFormat="1" applyFont="1" applyFill="1" applyBorder="1" applyAlignment="1">
      <alignment horizontal="center"/>
    </xf>
    <xf numFmtId="0" fontId="0" fillId="0" borderId="4" xfId="0" applyBorder="1" applyAlignment="1">
      <alignment horizontal="center"/>
    </xf>
    <xf numFmtId="0" fontId="39" fillId="30" borderId="4" xfId="0" applyFont="1" applyFill="1" applyBorder="1" applyAlignment="1">
      <alignment horizontal="center"/>
    </xf>
    <xf numFmtId="49" fontId="39" fillId="35" borderId="4" xfId="0" applyNumberFormat="1" applyFont="1" applyFill="1" applyBorder="1" applyAlignment="1">
      <alignment horizontal="center"/>
    </xf>
    <xf numFmtId="0" fontId="39" fillId="34" borderId="4" xfId="0" applyFont="1" applyFill="1" applyBorder="1" applyAlignment="1">
      <alignment horizontal="center"/>
    </xf>
    <xf numFmtId="0" fontId="0" fillId="34" borderId="4" xfId="0" applyFill="1" applyBorder="1" applyAlignment="1">
      <alignment horizontal="center"/>
    </xf>
    <xf numFmtId="0" fontId="0" fillId="30" borderId="4" xfId="0" applyFill="1" applyBorder="1" applyAlignment="1">
      <alignment horizontal="center"/>
    </xf>
    <xf numFmtId="49" fontId="0" fillId="34" borderId="4" xfId="0" applyNumberFormat="1" applyFill="1" applyBorder="1" applyAlignment="1">
      <alignment horizontal="center"/>
    </xf>
    <xf numFmtId="0" fontId="39" fillId="34" borderId="4" xfId="0" applyFont="1" applyFill="1" applyBorder="1" applyAlignment="1">
      <alignment horizontal="left"/>
    </xf>
    <xf numFmtId="49" fontId="39" fillId="36" borderId="4" xfId="0" applyNumberFormat="1" applyFont="1" applyFill="1" applyBorder="1"/>
    <xf numFmtId="0" fontId="39" fillId="35" borderId="4" xfId="0" applyFont="1" applyFill="1" applyBorder="1" applyAlignment="1">
      <alignment horizontal="center"/>
    </xf>
    <xf numFmtId="49" fontId="39" fillId="30" borderId="4" xfId="0" applyNumberFormat="1" applyFont="1" applyFill="1" applyBorder="1"/>
    <xf numFmtId="49" fontId="39" fillId="0" borderId="4" xfId="0" applyNumberFormat="1" applyFont="1" applyBorder="1"/>
    <xf numFmtId="49" fontId="39" fillId="2" borderId="4" xfId="0" applyNumberFormat="1" applyFont="1" applyFill="1" applyBorder="1"/>
    <xf numFmtId="49" fontId="39" fillId="35" borderId="4" xfId="0" applyNumberFormat="1" applyFont="1" applyFill="1" applyBorder="1"/>
    <xf numFmtId="49" fontId="39" fillId="37" borderId="4" xfId="0" applyNumberFormat="1" applyFont="1" applyFill="1" applyBorder="1" applyAlignment="1">
      <alignment horizontal="center"/>
    </xf>
    <xf numFmtId="0" fontId="0" fillId="0" borderId="16" xfId="0" applyBorder="1" applyAlignment="1">
      <alignment horizontal="center"/>
    </xf>
    <xf numFmtId="49" fontId="39" fillId="37" borderId="4" xfId="0" applyNumberFormat="1" applyFont="1" applyFill="1" applyBorder="1"/>
    <xf numFmtId="0" fontId="51" fillId="0" borderId="4" xfId="0" applyFont="1" applyBorder="1" applyAlignment="1">
      <alignment horizontal="left"/>
    </xf>
    <xf numFmtId="49" fontId="39" fillId="34" borderId="4" xfId="0" applyNumberFormat="1" applyFont="1" applyFill="1" applyBorder="1"/>
    <xf numFmtId="49" fontId="39" fillId="36" borderId="4" xfId="0" applyNumberFormat="1" applyFont="1" applyFill="1" applyBorder="1" applyAlignment="1">
      <alignment horizontal="center"/>
    </xf>
    <xf numFmtId="0" fontId="21" fillId="0" borderId="4" xfId="0" applyFont="1" applyBorder="1" applyAlignment="1">
      <alignment horizontal="center"/>
    </xf>
    <xf numFmtId="0" fontId="39" fillId="37" borderId="4" xfId="0" applyFont="1" applyFill="1" applyBorder="1"/>
    <xf numFmtId="0" fontId="39" fillId="36" borderId="4" xfId="0" applyFont="1" applyFill="1" applyBorder="1" applyAlignment="1">
      <alignment horizontal="left"/>
    </xf>
    <xf numFmtId="0" fontId="0" fillId="37" borderId="4" xfId="0" applyFill="1" applyBorder="1" applyAlignment="1">
      <alignment horizontal="center"/>
    </xf>
    <xf numFmtId="49" fontId="51" fillId="0" borderId="4" xfId="0" applyNumberFormat="1" applyFont="1" applyBorder="1"/>
    <xf numFmtId="0" fontId="0" fillId="36" borderId="4" xfId="0" applyFill="1" applyBorder="1" applyAlignment="1">
      <alignment horizontal="center"/>
    </xf>
    <xf numFmtId="49" fontId="0" fillId="30" borderId="4" xfId="0" applyNumberFormat="1" applyFill="1" applyBorder="1" applyAlignment="1">
      <alignment horizontal="center"/>
    </xf>
    <xf numFmtId="0" fontId="39" fillId="21" borderId="4" xfId="0" applyFont="1" applyFill="1" applyBorder="1" applyAlignment="1">
      <alignment horizontal="left"/>
    </xf>
    <xf numFmtId="49" fontId="0" fillId="35" borderId="4" xfId="0" applyNumberFormat="1" applyFill="1" applyBorder="1" applyAlignment="1">
      <alignment horizontal="center"/>
    </xf>
    <xf numFmtId="0" fontId="39" fillId="37" borderId="4" xfId="0" applyFont="1" applyFill="1" applyBorder="1" applyAlignment="1">
      <alignment horizontal="center"/>
    </xf>
    <xf numFmtId="0" fontId="0" fillId="35" borderId="4" xfId="0" applyFill="1" applyBorder="1" applyAlignment="1">
      <alignment horizontal="center"/>
    </xf>
    <xf numFmtId="49" fontId="52" fillId="34" borderId="4" xfId="0" applyNumberFormat="1" applyFont="1" applyFill="1" applyBorder="1" applyAlignment="1">
      <alignment horizontal="center"/>
    </xf>
    <xf numFmtId="49" fontId="0" fillId="37" borderId="4" xfId="0" applyNumberFormat="1" applyFill="1" applyBorder="1" applyAlignment="1">
      <alignment horizontal="center"/>
    </xf>
    <xf numFmtId="0" fontId="39" fillId="2" borderId="4" xfId="0" applyFont="1" applyFill="1" applyBorder="1" applyAlignment="1">
      <alignment horizontal="left"/>
    </xf>
    <xf numFmtId="0" fontId="0" fillId="2" borderId="4" xfId="0" applyFill="1" applyBorder="1" applyAlignment="1">
      <alignment horizontal="center"/>
    </xf>
    <xf numFmtId="49" fontId="0" fillId="36" borderId="4" xfId="0" applyNumberFormat="1" applyFill="1" applyBorder="1" applyAlignment="1">
      <alignment horizontal="center"/>
    </xf>
    <xf numFmtId="0" fontId="39" fillId="37" borderId="4" xfId="0" applyFont="1" applyFill="1" applyBorder="1" applyAlignment="1">
      <alignment horizontal="left"/>
    </xf>
    <xf numFmtId="0" fontId="0" fillId="0" borderId="0" xfId="0" applyAlignment="1">
      <alignment horizontal="left"/>
    </xf>
    <xf numFmtId="0" fontId="39" fillId="36" borderId="4" xfId="0" applyFont="1" applyFill="1" applyBorder="1" applyAlignment="1">
      <alignment horizontal="left" vertical="center"/>
    </xf>
    <xf numFmtId="0" fontId="0" fillId="0" borderId="16" xfId="0" applyBorder="1"/>
    <xf numFmtId="0" fontId="39" fillId="0" borderId="4" xfId="0" applyFont="1" applyBorder="1" applyAlignment="1">
      <alignment horizontal="left"/>
    </xf>
    <xf numFmtId="49" fontId="39" fillId="36" borderId="4" xfId="0" applyNumberFormat="1" applyFont="1" applyFill="1" applyBorder="1" applyAlignment="1">
      <alignment vertical="center"/>
    </xf>
    <xf numFmtId="0" fontId="39" fillId="36" borderId="4" xfId="0" applyFont="1" applyFill="1" applyBorder="1" applyAlignment="1">
      <alignment horizontal="center"/>
    </xf>
    <xf numFmtId="0" fontId="51" fillId="0" borderId="4" xfId="0" applyFont="1" applyBorder="1" applyAlignment="1">
      <alignment horizontal="center"/>
    </xf>
    <xf numFmtId="0" fontId="22" fillId="30" borderId="0" xfId="0" applyFont="1" applyFill="1" applyAlignment="1">
      <alignment vertical="center"/>
    </xf>
    <xf numFmtId="49" fontId="51" fillId="0" borderId="4" xfId="0" applyNumberFormat="1" applyFont="1" applyBorder="1" applyAlignment="1">
      <alignment horizontal="center"/>
    </xf>
    <xf numFmtId="49" fontId="21" fillId="0" borderId="4" xfId="0" applyNumberFormat="1" applyFont="1" applyBorder="1" applyAlignment="1">
      <alignment horizontal="center"/>
    </xf>
    <xf numFmtId="0" fontId="22" fillId="36" borderId="0" xfId="0" applyFont="1" applyFill="1" applyAlignment="1">
      <alignment vertical="center"/>
    </xf>
    <xf numFmtId="0" fontId="22" fillId="35" borderId="0" xfId="0" applyFont="1" applyFill="1" applyAlignment="1">
      <alignment vertical="center"/>
    </xf>
    <xf numFmtId="0" fontId="53" fillId="37" borderId="0" xfId="0" applyFont="1" applyFill="1" applyAlignment="1">
      <alignment vertical="center"/>
    </xf>
    <xf numFmtId="0" fontId="22" fillId="2" borderId="0" xfId="0" applyFont="1" applyFill="1" applyAlignment="1">
      <alignment horizontal="center"/>
    </xf>
    <xf numFmtId="4" fontId="5" fillId="8" borderId="2" xfId="2" applyNumberFormat="1" applyFont="1" applyFill="1" applyBorder="1" applyAlignment="1">
      <alignment horizontal="center"/>
    </xf>
    <xf numFmtId="44" fontId="11" fillId="11" borderId="2" xfId="2" applyNumberFormat="1" applyFont="1" applyFill="1" applyBorder="1" applyAlignment="1">
      <alignment horizontal="center" vertical="center"/>
    </xf>
    <xf numFmtId="4" fontId="3" fillId="0" borderId="2" xfId="2" applyNumberFormat="1" applyFont="1" applyBorder="1" applyAlignment="1">
      <alignment horizontal="center" vertical="center" wrapText="1"/>
    </xf>
    <xf numFmtId="4" fontId="5" fillId="0" borderId="9" xfId="2" applyNumberFormat="1" applyFont="1" applyBorder="1" applyAlignment="1">
      <alignment vertical="center"/>
    </xf>
    <xf numFmtId="4" fontId="5" fillId="8" borderId="14" xfId="1" applyNumberFormat="1" applyFont="1" applyFill="1" applyBorder="1" applyAlignment="1">
      <alignment horizontal="right" vertical="center"/>
    </xf>
    <xf numFmtId="0" fontId="4" fillId="8" borderId="4" xfId="2" applyFont="1" applyFill="1" applyBorder="1" applyAlignment="1">
      <alignment horizontal="left" vertical="center"/>
    </xf>
    <xf numFmtId="4" fontId="1" fillId="8" borderId="4" xfId="2" applyNumberFormat="1" applyFont="1" applyFill="1" applyBorder="1" applyAlignment="1">
      <alignment horizontal="right" vertical="center"/>
    </xf>
    <xf numFmtId="0" fontId="5" fillId="0" borderId="19" xfId="2" applyFont="1" applyBorder="1"/>
    <xf numFmtId="0" fontId="5" fillId="0" borderId="6" xfId="2" applyFont="1" applyBorder="1" applyAlignment="1">
      <alignment horizontal="center" vertical="center"/>
    </xf>
    <xf numFmtId="0" fontId="9" fillId="13" borderId="6" xfId="2" applyFont="1" applyFill="1" applyBorder="1" applyAlignment="1">
      <alignment horizontal="center" vertical="center"/>
    </xf>
    <xf numFmtId="0" fontId="5" fillId="0" borderId="17" xfId="2" applyFont="1" applyBorder="1" applyAlignment="1">
      <alignment horizontal="left" vertical="center" wrapText="1"/>
    </xf>
    <xf numFmtId="4" fontId="5" fillId="8" borderId="1" xfId="2" applyNumberFormat="1" applyFont="1" applyFill="1" applyBorder="1" applyAlignment="1">
      <alignment horizontal="center"/>
    </xf>
    <xf numFmtId="0" fontId="4" fillId="8" borderId="4" xfId="2" applyFont="1" applyFill="1" applyBorder="1" applyAlignment="1">
      <alignment vertical="center"/>
    </xf>
    <xf numFmtId="167" fontId="4" fillId="8" borderId="4" xfId="2" applyNumberFormat="1" applyFont="1" applyFill="1" applyBorder="1" applyAlignment="1">
      <alignment horizontal="left" vertical="center"/>
    </xf>
    <xf numFmtId="0" fontId="5" fillId="8" borderId="4" xfId="2" applyFont="1" applyFill="1" applyBorder="1" applyAlignment="1">
      <alignment horizontal="center" vertical="center" wrapText="1"/>
    </xf>
    <xf numFmtId="0" fontId="5" fillId="8" borderId="4" xfId="2" applyFont="1" applyFill="1" applyBorder="1" applyAlignment="1">
      <alignment vertical="center" wrapText="1"/>
    </xf>
    <xf numFmtId="4" fontId="10" fillId="0" borderId="4" xfId="2" applyNumberFormat="1" applyFont="1" applyBorder="1" applyAlignment="1">
      <alignment vertical="center"/>
    </xf>
    <xf numFmtId="4" fontId="4" fillId="0" borderId="4" xfId="1" applyNumberFormat="1" applyFont="1" applyFill="1" applyBorder="1" applyAlignment="1">
      <alignment horizontal="right" vertical="center"/>
    </xf>
    <xf numFmtId="0" fontId="31" fillId="8" borderId="4" xfId="2" applyFont="1" applyFill="1" applyBorder="1" applyAlignment="1">
      <alignment horizontal="center" vertical="center"/>
    </xf>
    <xf numFmtId="0" fontId="25" fillId="8" borderId="4" xfId="2" applyFont="1" applyFill="1" applyBorder="1" applyAlignment="1">
      <alignment horizontal="left" vertical="center" wrapText="1"/>
    </xf>
    <xf numFmtId="4" fontId="54" fillId="12" borderId="4" xfId="2" applyNumberFormat="1" applyFont="1" applyFill="1" applyBorder="1" applyAlignment="1">
      <alignment horizontal="right" vertical="center"/>
    </xf>
    <xf numFmtId="4" fontId="54" fillId="13" borderId="7" xfId="2" applyNumberFormat="1" applyFont="1" applyFill="1" applyBorder="1" applyAlignment="1">
      <alignment horizontal="right" vertical="center"/>
    </xf>
    <xf numFmtId="4" fontId="54" fillId="13" borderId="15" xfId="2" applyNumberFormat="1" applyFont="1" applyFill="1" applyBorder="1" applyAlignment="1">
      <alignment horizontal="right" vertical="center"/>
    </xf>
    <xf numFmtId="4" fontId="55" fillId="0" borderId="4" xfId="2" applyNumberFormat="1" applyFont="1" applyBorder="1" applyAlignment="1">
      <alignment horizontal="right" vertical="center"/>
    </xf>
    <xf numFmtId="4" fontId="54" fillId="14" borderId="4" xfId="2" applyNumberFormat="1" applyFont="1" applyFill="1" applyBorder="1" applyAlignment="1">
      <alignment horizontal="right" vertical="center"/>
    </xf>
    <xf numFmtId="4" fontId="54" fillId="14" borderId="15" xfId="2" applyNumberFormat="1" applyFont="1" applyFill="1" applyBorder="1" applyAlignment="1">
      <alignment horizontal="right" vertical="center"/>
    </xf>
    <xf numFmtId="0" fontId="10" fillId="0" borderId="14" xfId="2" applyFont="1" applyBorder="1" applyAlignment="1">
      <alignment horizontal="center" vertical="center"/>
    </xf>
    <xf numFmtId="14" fontId="10" fillId="0" borderId="17" xfId="2" applyNumberFormat="1" applyFont="1" applyBorder="1" applyAlignment="1">
      <alignment horizontal="center" vertical="center"/>
    </xf>
    <xf numFmtId="0" fontId="5" fillId="0" borderId="17" xfId="2" applyFont="1" applyBorder="1" applyAlignment="1">
      <alignment horizontal="left" vertical="center"/>
    </xf>
    <xf numFmtId="0" fontId="17" fillId="0" borderId="4" xfId="2" applyFont="1" applyBorder="1" applyAlignment="1">
      <alignment horizontal="left" vertical="center"/>
    </xf>
    <xf numFmtId="167" fontId="17" fillId="0" borderId="4" xfId="2" applyNumberFormat="1" applyFont="1" applyBorder="1" applyAlignment="1">
      <alignment horizontal="left" vertical="center"/>
    </xf>
    <xf numFmtId="0" fontId="39" fillId="0" borderId="4" xfId="0" applyFont="1" applyBorder="1" applyAlignment="1">
      <alignment horizontal="center" vertical="center" wrapText="1"/>
    </xf>
    <xf numFmtId="0" fontId="9" fillId="12" borderId="22" xfId="2" applyFont="1" applyFill="1" applyBorder="1" applyAlignment="1">
      <alignment horizontal="left" vertical="center"/>
    </xf>
    <xf numFmtId="0" fontId="14" fillId="0" borderId="9" xfId="2" applyFont="1" applyBorder="1" applyAlignment="1">
      <alignment horizontal="left" vertical="center" wrapText="1"/>
    </xf>
    <xf numFmtId="0" fontId="14" fillId="0" borderId="13" xfId="2" applyFont="1" applyBorder="1" applyAlignment="1">
      <alignment horizontal="left" vertical="center" wrapText="1"/>
    </xf>
    <xf numFmtId="44" fontId="31" fillId="8" borderId="4" xfId="2" applyNumberFormat="1" applyFont="1" applyFill="1" applyBorder="1" applyAlignment="1">
      <alignment horizontal="center" vertical="center"/>
    </xf>
    <xf numFmtId="0" fontId="4" fillId="0" borderId="4" xfId="2" applyFont="1" applyBorder="1" applyAlignment="1">
      <alignment vertical="center" wrapText="1"/>
    </xf>
    <xf numFmtId="0" fontId="25" fillId="8" borderId="4" xfId="2" applyFont="1" applyFill="1" applyBorder="1" applyAlignment="1">
      <alignment horizontal="center" vertical="center"/>
    </xf>
    <xf numFmtId="4" fontId="4" fillId="0" borderId="13" xfId="2" applyNumberFormat="1" applyFont="1" applyBorder="1" applyAlignment="1">
      <alignment horizontal="right" vertical="center"/>
    </xf>
    <xf numFmtId="4" fontId="42" fillId="0" borderId="7" xfId="2" applyNumberFormat="1" applyFont="1" applyBorder="1" applyAlignment="1">
      <alignment horizontal="right" vertical="center"/>
    </xf>
    <xf numFmtId="4" fontId="43" fillId="0" borderId="10" xfId="2" applyNumberFormat="1" applyFont="1" applyBorder="1" applyAlignment="1">
      <alignment horizontal="right" vertical="center"/>
    </xf>
    <xf numFmtId="4" fontId="42" fillId="0" borderId="10" xfId="2" applyNumberFormat="1" applyFont="1" applyBorder="1" applyAlignment="1">
      <alignment horizontal="right" vertical="center"/>
    </xf>
    <xf numFmtId="4" fontId="42" fillId="0" borderId="36" xfId="2" applyNumberFormat="1" applyFont="1" applyBorder="1" applyAlignment="1">
      <alignment horizontal="right" vertical="center"/>
    </xf>
    <xf numFmtId="4" fontId="42" fillId="0" borderId="11" xfId="2" applyNumberFormat="1" applyFont="1" applyBorder="1" applyAlignment="1">
      <alignment horizontal="right" vertical="center"/>
    </xf>
    <xf numFmtId="4" fontId="55" fillId="0" borderId="10" xfId="2" applyNumberFormat="1" applyFont="1" applyBorder="1" applyAlignment="1">
      <alignment horizontal="right" vertical="center"/>
    </xf>
    <xf numFmtId="0" fontId="39" fillId="0" borderId="4" xfId="0" applyFont="1" applyBorder="1" applyAlignment="1">
      <alignment vertical="center" wrapText="1"/>
    </xf>
    <xf numFmtId="0" fontId="39" fillId="0" borderId="13" xfId="0" applyFont="1" applyBorder="1" applyAlignment="1">
      <alignment vertical="center" wrapText="1"/>
    </xf>
    <xf numFmtId="0" fontId="5" fillId="8" borderId="14" xfId="2" applyFont="1" applyFill="1" applyBorder="1" applyAlignment="1">
      <alignment horizontal="center" vertical="center"/>
    </xf>
    <xf numFmtId="0" fontId="5" fillId="8" borderId="17" xfId="2" applyFont="1" applyFill="1" applyBorder="1" applyAlignment="1">
      <alignment horizontal="center" vertical="center"/>
    </xf>
    <xf numFmtId="44" fontId="5" fillId="8" borderId="9" xfId="2" applyNumberFormat="1" applyFont="1" applyFill="1" applyBorder="1" applyAlignment="1">
      <alignment horizontal="center" vertical="center"/>
    </xf>
    <xf numFmtId="44" fontId="5" fillId="8" borderId="19" xfId="2" applyNumberFormat="1" applyFont="1" applyFill="1" applyBorder="1" applyAlignment="1">
      <alignment horizontal="center" vertical="center"/>
    </xf>
    <xf numFmtId="14" fontId="5" fillId="8" borderId="20" xfId="2" applyNumberFormat="1" applyFont="1" applyFill="1" applyBorder="1" applyAlignment="1">
      <alignment horizontal="center" vertical="center"/>
    </xf>
    <xf numFmtId="44" fontId="5" fillId="8" borderId="4" xfId="2" applyNumberFormat="1" applyFont="1" applyFill="1" applyBorder="1" applyAlignment="1">
      <alignment horizontal="center" vertical="center"/>
    </xf>
    <xf numFmtId="0" fontId="25" fillId="0" borderId="0" xfId="2" applyFont="1" applyAlignment="1">
      <alignment horizontal="center"/>
    </xf>
    <xf numFmtId="0" fontId="25" fillId="0" borderId="0" xfId="2" applyFont="1" applyAlignment="1">
      <alignment horizontal="center" wrapText="1"/>
    </xf>
    <xf numFmtId="0" fontId="25" fillId="0" borderId="0" xfId="2" applyFont="1" applyAlignment="1">
      <alignment horizontal="center" vertical="center"/>
    </xf>
    <xf numFmtId="164" fontId="25" fillId="0" borderId="0" xfId="2" applyNumberFormat="1" applyFont="1" applyAlignment="1">
      <alignment horizontal="center" vertical="center" wrapText="1"/>
    </xf>
    <xf numFmtId="0" fontId="5" fillId="0" borderId="9" xfId="2" applyFont="1" applyBorder="1" applyAlignment="1">
      <alignment horizontal="left" vertical="center" wrapText="1"/>
    </xf>
    <xf numFmtId="0" fontId="9" fillId="13" borderId="0" xfId="2" applyFont="1" applyFill="1" applyAlignment="1">
      <alignment horizontal="left" vertical="center" wrapText="1"/>
    </xf>
    <xf numFmtId="0" fontId="5" fillId="0" borderId="6" xfId="2" applyFont="1" applyBorder="1" applyAlignment="1">
      <alignment horizontal="center" vertical="center" wrapText="1"/>
    </xf>
    <xf numFmtId="4" fontId="42" fillId="0" borderId="4" xfId="2" applyNumberFormat="1" applyFont="1" applyBorder="1" applyAlignment="1">
      <alignment horizontal="right"/>
    </xf>
    <xf numFmtId="4" fontId="5" fillId="0" borderId="9" xfId="1" applyNumberFormat="1" applyFont="1" applyFill="1" applyBorder="1" applyAlignment="1">
      <alignment horizontal="right" vertical="center"/>
    </xf>
    <xf numFmtId="4" fontId="42" fillId="0" borderId="9" xfId="2" applyNumberFormat="1" applyFont="1" applyBorder="1" applyAlignment="1">
      <alignment horizontal="right"/>
    </xf>
    <xf numFmtId="0" fontId="5" fillId="0" borderId="19" xfId="2" applyFont="1" applyBorder="1" applyAlignment="1">
      <alignment horizontal="left" vertical="center"/>
    </xf>
    <xf numFmtId="0" fontId="5" fillId="0" borderId="4" xfId="2" applyFont="1" applyBorder="1" applyAlignment="1">
      <alignment horizontal="left"/>
    </xf>
    <xf numFmtId="164" fontId="5" fillId="0" borderId="9" xfId="2" applyNumberFormat="1" applyFont="1" applyBorder="1" applyAlignment="1">
      <alignment horizontal="center" vertical="center"/>
    </xf>
    <xf numFmtId="3" fontId="5" fillId="0" borderId="9" xfId="2" applyNumberFormat="1" applyFont="1" applyBorder="1" applyAlignment="1">
      <alignment horizontal="center" vertical="center"/>
    </xf>
    <xf numFmtId="3" fontId="5" fillId="0" borderId="9" xfId="2" applyNumberFormat="1" applyFont="1" applyBorder="1" applyAlignment="1">
      <alignment horizontal="left" vertical="center"/>
    </xf>
    <xf numFmtId="3" fontId="5" fillId="0" borderId="19" xfId="2" applyNumberFormat="1" applyFont="1" applyBorder="1" applyAlignment="1">
      <alignment horizontal="left" vertical="center"/>
    </xf>
    <xf numFmtId="4" fontId="9" fillId="14" borderId="18" xfId="3" applyNumberFormat="1" applyFont="1" applyFill="1" applyBorder="1" applyAlignment="1">
      <alignment horizontal="right" vertical="center"/>
    </xf>
    <xf numFmtId="0" fontId="25" fillId="14" borderId="9" xfId="2" applyFont="1" applyFill="1" applyBorder="1" applyAlignment="1">
      <alignment horizontal="center" vertical="center"/>
    </xf>
    <xf numFmtId="0" fontId="9" fillId="14" borderId="18" xfId="2" applyFont="1" applyFill="1" applyBorder="1" applyAlignment="1">
      <alignment horizontal="center" vertical="center" wrapText="1"/>
    </xf>
    <xf numFmtId="0" fontId="5" fillId="0" borderId="13" xfId="2" applyFont="1" applyBorder="1" applyAlignment="1">
      <alignment horizontal="left" vertical="center"/>
    </xf>
    <xf numFmtId="167" fontId="5" fillId="0" borderId="13" xfId="2" applyNumberFormat="1" applyFont="1" applyBorder="1" applyAlignment="1">
      <alignment horizontal="left" vertical="center"/>
    </xf>
    <xf numFmtId="14" fontId="5" fillId="0" borderId="13" xfId="2" applyNumberFormat="1" applyFont="1" applyBorder="1" applyAlignment="1">
      <alignment horizontal="center" vertical="center"/>
    </xf>
    <xf numFmtId="164" fontId="5" fillId="0" borderId="13" xfId="2" applyNumberFormat="1" applyFont="1" applyBorder="1" applyAlignment="1">
      <alignment horizontal="center" vertical="center"/>
    </xf>
    <xf numFmtId="3" fontId="5" fillId="0" borderId="13" xfId="2" applyNumberFormat="1" applyFont="1" applyBorder="1" applyAlignment="1">
      <alignment horizontal="center" vertical="center"/>
    </xf>
    <xf numFmtId="3" fontId="5" fillId="0" borderId="13" xfId="2" applyNumberFormat="1" applyFont="1" applyBorder="1" applyAlignment="1">
      <alignment horizontal="left" vertical="center"/>
    </xf>
    <xf numFmtId="0" fontId="5" fillId="0" borderId="22" xfId="2" applyFont="1" applyBorder="1" applyAlignment="1">
      <alignment horizontal="left" vertical="center"/>
    </xf>
    <xf numFmtId="3" fontId="5" fillId="0" borderId="22" xfId="2" applyNumberFormat="1" applyFont="1" applyBorder="1" applyAlignment="1">
      <alignment horizontal="left" vertical="center"/>
    </xf>
    <xf numFmtId="4" fontId="5" fillId="0" borderId="13" xfId="1" applyNumberFormat="1" applyFont="1" applyFill="1" applyBorder="1" applyAlignment="1">
      <alignment horizontal="right" vertical="center"/>
    </xf>
    <xf numFmtId="4" fontId="42" fillId="0" borderId="13" xfId="2" applyNumberFormat="1" applyFont="1" applyBorder="1" applyAlignment="1">
      <alignment horizontal="right"/>
    </xf>
    <xf numFmtId="0" fontId="5" fillId="8" borderId="13" xfId="2" applyFont="1" applyFill="1" applyBorder="1" applyAlignment="1">
      <alignment horizontal="center" vertical="center"/>
    </xf>
    <xf numFmtId="0" fontId="5" fillId="8" borderId="22" xfId="2" applyFont="1" applyFill="1" applyBorder="1" applyAlignment="1">
      <alignment horizontal="center" vertical="center"/>
    </xf>
    <xf numFmtId="0" fontId="5" fillId="8" borderId="23" xfId="2" applyFont="1" applyFill="1" applyBorder="1" applyAlignment="1">
      <alignment horizontal="center" vertical="center"/>
    </xf>
    <xf numFmtId="0" fontId="25" fillId="8" borderId="13" xfId="2" applyFont="1" applyFill="1" applyBorder="1" applyAlignment="1">
      <alignment horizontal="center" vertical="center"/>
    </xf>
    <xf numFmtId="4" fontId="43" fillId="0" borderId="4" xfId="2" applyNumberFormat="1" applyFont="1" applyBorder="1" applyAlignment="1">
      <alignment horizontal="right" vertical="center"/>
    </xf>
    <xf numFmtId="4" fontId="32" fillId="14" borderId="9" xfId="3" applyNumberFormat="1" applyFont="1" applyFill="1" applyBorder="1" applyAlignment="1">
      <alignment horizontal="right" vertical="center"/>
    </xf>
    <xf numFmtId="0" fontId="32" fillId="14" borderId="9" xfId="2" applyFont="1" applyFill="1" applyBorder="1" applyAlignment="1">
      <alignment horizontal="center" vertical="center"/>
    </xf>
    <xf numFmtId="0" fontId="33" fillId="0" borderId="13" xfId="2" applyFont="1" applyBorder="1" applyAlignment="1">
      <alignment horizontal="center" vertical="center"/>
    </xf>
    <xf numFmtId="4" fontId="5" fillId="0" borderId="16" xfId="1" applyNumberFormat="1" applyFont="1" applyFill="1" applyBorder="1" applyAlignment="1">
      <alignment horizontal="right" vertical="center"/>
    </xf>
    <xf numFmtId="4" fontId="42" fillId="0" borderId="16" xfId="2" applyNumberFormat="1" applyFont="1" applyBorder="1" applyAlignment="1">
      <alignment horizontal="right"/>
    </xf>
    <xf numFmtId="0" fontId="43" fillId="8" borderId="4" xfId="2" applyFont="1" applyFill="1" applyBorder="1" applyAlignment="1">
      <alignment horizontal="center" vertical="center"/>
    </xf>
    <xf numFmtId="4" fontId="43" fillId="0" borderId="13" xfId="2" applyNumberFormat="1" applyFont="1" applyBorder="1" applyAlignment="1">
      <alignment horizontal="right" vertical="center"/>
    </xf>
    <xf numFmtId="4" fontId="43" fillId="0" borderId="15" xfId="2" applyNumberFormat="1" applyFont="1" applyBorder="1" applyAlignment="1">
      <alignment horizontal="right" vertical="center"/>
    </xf>
    <xf numFmtId="4" fontId="43" fillId="0" borderId="36" xfId="2" applyNumberFormat="1" applyFont="1" applyBorder="1" applyAlignment="1">
      <alignment horizontal="right" vertical="center"/>
    </xf>
    <xf numFmtId="4" fontId="43" fillId="0" borderId="9" xfId="2" applyNumberFormat="1" applyFont="1" applyBorder="1" applyAlignment="1">
      <alignment horizontal="right" vertical="center"/>
    </xf>
    <xf numFmtId="0" fontId="25" fillId="8" borderId="4" xfId="2" applyFont="1" applyFill="1" applyBorder="1" applyAlignment="1">
      <alignment horizontal="center" vertical="center" wrapText="1"/>
    </xf>
    <xf numFmtId="0" fontId="25" fillId="8" borderId="9" xfId="2" applyFont="1" applyFill="1" applyBorder="1" applyAlignment="1">
      <alignment horizontal="center" vertical="center"/>
    </xf>
    <xf numFmtId="4" fontId="5" fillId="14" borderId="4" xfId="1" applyNumberFormat="1" applyFont="1" applyFill="1" applyBorder="1" applyAlignment="1">
      <alignment horizontal="right" vertical="center"/>
    </xf>
    <xf numFmtId="4" fontId="5" fillId="14" borderId="15" xfId="3" applyNumberFormat="1" applyFont="1" applyFill="1" applyBorder="1" applyAlignment="1">
      <alignment horizontal="right" vertical="center"/>
    </xf>
    <xf numFmtId="4" fontId="10" fillId="14" borderId="15" xfId="3" applyNumberFormat="1" applyFont="1" applyFill="1" applyBorder="1" applyAlignment="1">
      <alignment horizontal="right" vertical="center"/>
    </xf>
    <xf numFmtId="4" fontId="5" fillId="14" borderId="4" xfId="3" applyNumberFormat="1" applyFont="1" applyFill="1" applyBorder="1" applyAlignment="1">
      <alignment horizontal="right" vertical="center"/>
    </xf>
    <xf numFmtId="0" fontId="5" fillId="14" borderId="4" xfId="2" applyFont="1" applyFill="1" applyBorder="1" applyAlignment="1">
      <alignment horizontal="center" vertical="center"/>
    </xf>
    <xf numFmtId="0" fontId="10" fillId="8" borderId="4" xfId="2" applyFont="1" applyFill="1" applyBorder="1" applyAlignment="1">
      <alignment horizontal="center" vertical="center"/>
    </xf>
    <xf numFmtId="14" fontId="10" fillId="8" borderId="4" xfId="2" applyNumberFormat="1" applyFont="1" applyFill="1" applyBorder="1" applyAlignment="1">
      <alignment horizontal="center" vertical="center"/>
    </xf>
    <xf numFmtId="0" fontId="5" fillId="8" borderId="19" xfId="2" applyFont="1" applyFill="1" applyBorder="1" applyAlignment="1">
      <alignment horizontal="center" vertical="center"/>
    </xf>
    <xf numFmtId="0" fontId="5" fillId="8" borderId="20" xfId="2" applyFont="1" applyFill="1" applyBorder="1" applyAlignment="1">
      <alignment horizontal="center" vertical="center"/>
    </xf>
    <xf numFmtId="14" fontId="5" fillId="8" borderId="4" xfId="2" applyNumberFormat="1" applyFont="1" applyFill="1" applyBorder="1" applyAlignment="1">
      <alignment horizontal="center" vertical="center" wrapText="1"/>
    </xf>
    <xf numFmtId="0" fontId="25" fillId="8" borderId="14" xfId="2" applyFont="1" applyFill="1" applyBorder="1" applyAlignment="1">
      <alignment horizontal="center" vertical="center"/>
    </xf>
    <xf numFmtId="0" fontId="5" fillId="8" borderId="15" xfId="2" applyFont="1" applyFill="1" applyBorder="1" applyAlignment="1">
      <alignment horizontal="center" vertical="center"/>
    </xf>
    <xf numFmtId="0" fontId="10" fillId="8" borderId="4" xfId="2" applyFont="1" applyFill="1" applyBorder="1" applyAlignment="1">
      <alignment horizontal="center" vertical="center" wrapText="1"/>
    </xf>
    <xf numFmtId="0" fontId="9" fillId="17" borderId="4" xfId="2" applyFont="1" applyFill="1" applyBorder="1" applyAlignment="1">
      <alignment horizontal="center" vertical="center"/>
    </xf>
    <xf numFmtId="0" fontId="9" fillId="17" borderId="14" xfId="2" applyFont="1" applyFill="1" applyBorder="1" applyAlignment="1">
      <alignment horizontal="center" vertical="center"/>
    </xf>
    <xf numFmtId="0" fontId="9" fillId="17" borderId="17" xfId="2" applyFont="1" applyFill="1" applyBorder="1" applyAlignment="1">
      <alignment horizontal="center" vertical="center"/>
    </xf>
    <xf numFmtId="0" fontId="25" fillId="17" borderId="4" xfId="2" applyFont="1" applyFill="1" applyBorder="1" applyAlignment="1">
      <alignment horizontal="center" vertical="center"/>
    </xf>
    <xf numFmtId="14" fontId="10" fillId="8" borderId="4" xfId="2" applyNumberFormat="1" applyFont="1" applyFill="1" applyBorder="1" applyAlignment="1">
      <alignment horizontal="center" vertical="center" wrapText="1"/>
    </xf>
    <xf numFmtId="0" fontId="17" fillId="0" borderId="4" xfId="2" applyFont="1" applyBorder="1" applyAlignment="1">
      <alignment horizontal="left" vertical="center" wrapText="1"/>
    </xf>
    <xf numFmtId="3" fontId="5" fillId="0" borderId="4" xfId="2" applyNumberFormat="1" applyFont="1" applyBorder="1" applyAlignment="1">
      <alignment horizontal="left" vertical="center" wrapText="1"/>
    </xf>
    <xf numFmtId="3" fontId="5" fillId="8" borderId="4" xfId="2" applyNumberFormat="1" applyFont="1" applyFill="1" applyBorder="1" applyAlignment="1">
      <alignment horizontal="left" vertical="center"/>
    </xf>
    <xf numFmtId="0" fontId="14" fillId="8" borderId="14" xfId="2" applyFont="1" applyFill="1" applyBorder="1" applyAlignment="1">
      <alignment horizontal="center" vertical="center"/>
    </xf>
    <xf numFmtId="0" fontId="14" fillId="8" borderId="17" xfId="2" applyFont="1" applyFill="1" applyBorder="1" applyAlignment="1">
      <alignment horizontal="center" vertical="center"/>
    </xf>
    <xf numFmtId="0" fontId="26" fillId="8" borderId="4" xfId="2" applyFont="1" applyFill="1" applyBorder="1" applyAlignment="1">
      <alignment horizontal="center" vertical="center" wrapText="1"/>
    </xf>
    <xf numFmtId="0" fontId="26" fillId="8" borderId="4" xfId="2" applyFont="1" applyFill="1" applyBorder="1" applyAlignment="1">
      <alignment horizontal="center" vertical="center"/>
    </xf>
    <xf numFmtId="0" fontId="14" fillId="8" borderId="15" xfId="2" applyFont="1" applyFill="1" applyBorder="1" applyAlignment="1">
      <alignment horizontal="center" vertical="center"/>
    </xf>
    <xf numFmtId="0" fontId="14" fillId="8" borderId="13" xfId="2" applyFont="1" applyFill="1" applyBorder="1" applyAlignment="1">
      <alignment horizontal="center" vertical="center"/>
    </xf>
    <xf numFmtId="0" fontId="14" fillId="8" borderId="9" xfId="2" applyFont="1" applyFill="1" applyBorder="1" applyAlignment="1">
      <alignment horizontal="center" vertical="center"/>
    </xf>
    <xf numFmtId="0" fontId="14" fillId="8" borderId="9" xfId="2" applyFont="1" applyFill="1" applyBorder="1" applyAlignment="1">
      <alignment horizontal="left" vertical="center"/>
    </xf>
    <xf numFmtId="0" fontId="14" fillId="8" borderId="13" xfId="2" applyFont="1" applyFill="1" applyBorder="1" applyAlignment="1">
      <alignment horizontal="left" vertical="center"/>
    </xf>
    <xf numFmtId="0" fontId="5" fillId="8" borderId="16" xfId="2" applyFont="1" applyFill="1" applyBorder="1" applyAlignment="1">
      <alignment horizontal="center" vertical="center"/>
    </xf>
    <xf numFmtId="3" fontId="5" fillId="8" borderId="4" xfId="2" applyNumberFormat="1" applyFont="1" applyFill="1" applyBorder="1" applyAlignment="1">
      <alignment horizontal="left" vertical="center" wrapText="1"/>
    </xf>
    <xf numFmtId="3" fontId="5" fillId="8" borderId="4" xfId="2" applyNumberFormat="1" applyFont="1" applyFill="1" applyBorder="1" applyAlignment="1">
      <alignment horizontal="center" vertical="center"/>
    </xf>
    <xf numFmtId="3" fontId="5" fillId="8" borderId="14" xfId="2" applyNumberFormat="1" applyFont="1" applyFill="1" applyBorder="1" applyAlignment="1">
      <alignment horizontal="center" vertical="center"/>
    </xf>
    <xf numFmtId="3" fontId="5" fillId="8" borderId="17" xfId="2" applyNumberFormat="1" applyFont="1" applyFill="1" applyBorder="1" applyAlignment="1">
      <alignment horizontal="center" vertical="center"/>
    </xf>
    <xf numFmtId="3" fontId="25" fillId="8" borderId="4" xfId="2" applyNumberFormat="1" applyFont="1" applyFill="1" applyBorder="1" applyAlignment="1">
      <alignment horizontal="center" vertical="center"/>
    </xf>
    <xf numFmtId="0" fontId="10" fillId="8" borderId="12" xfId="2" applyFont="1" applyFill="1" applyBorder="1" applyAlignment="1">
      <alignment horizontal="center" vertical="center"/>
    </xf>
    <xf numFmtId="0" fontId="10" fillId="8" borderId="0" xfId="2" applyFont="1" applyFill="1" applyAlignment="1">
      <alignment horizontal="center" vertical="center"/>
    </xf>
    <xf numFmtId="0" fontId="31" fillId="8" borderId="4" xfId="2" applyFont="1" applyFill="1" applyBorder="1" applyAlignment="1">
      <alignment horizontal="center"/>
    </xf>
    <xf numFmtId="0" fontId="5" fillId="8" borderId="15" xfId="2" applyFont="1" applyFill="1" applyBorder="1" applyAlignment="1">
      <alignment vertical="center" wrapText="1"/>
    </xf>
    <xf numFmtId="14" fontId="10" fillId="8" borderId="4" xfId="2" applyNumberFormat="1" applyFont="1" applyFill="1" applyBorder="1" applyAlignment="1">
      <alignment vertical="center"/>
    </xf>
    <xf numFmtId="0" fontId="10" fillId="8" borderId="4" xfId="2" applyFont="1" applyFill="1" applyBorder="1" applyAlignment="1">
      <alignment vertical="center"/>
    </xf>
    <xf numFmtId="0" fontId="26" fillId="8" borderId="4" xfId="2" applyFont="1" applyFill="1" applyBorder="1" applyAlignment="1">
      <alignment vertical="center" wrapText="1"/>
    </xf>
    <xf numFmtId="4" fontId="42" fillId="0" borderId="13" xfId="2" applyNumberFormat="1" applyFont="1" applyBorder="1" applyAlignment="1">
      <alignment horizontal="right" vertical="center"/>
    </xf>
    <xf numFmtId="4" fontId="5" fillId="0" borderId="4" xfId="1" applyNumberFormat="1" applyFont="1" applyFill="1" applyBorder="1" applyAlignment="1">
      <alignment vertical="center"/>
    </xf>
    <xf numFmtId="4" fontId="42" fillId="0" borderId="4" xfId="2" applyNumberFormat="1" applyFont="1" applyBorder="1" applyAlignment="1">
      <alignment vertical="center"/>
    </xf>
    <xf numFmtId="0" fontId="14" fillId="8" borderId="14" xfId="2" applyFont="1" applyFill="1" applyBorder="1" applyAlignment="1">
      <alignment horizontal="left" vertical="center"/>
    </xf>
    <xf numFmtId="0" fontId="5" fillId="8" borderId="14" xfId="2" applyFont="1" applyFill="1" applyBorder="1" applyAlignment="1">
      <alignment horizontal="left" vertical="center"/>
    </xf>
    <xf numFmtId="0" fontId="16" fillId="0" borderId="4" xfId="2" applyFont="1" applyBorder="1" applyAlignment="1">
      <alignment horizontal="center" vertical="center"/>
    </xf>
    <xf numFmtId="3" fontId="5" fillId="0" borderId="4" xfId="2" applyNumberFormat="1" applyFont="1" applyBorder="1" applyAlignment="1">
      <alignment vertical="center" wrapText="1"/>
    </xf>
    <xf numFmtId="14" fontId="5" fillId="8" borderId="17" xfId="2" applyNumberFormat="1" applyFont="1" applyFill="1" applyBorder="1" applyAlignment="1">
      <alignment horizontal="center" vertical="center"/>
    </xf>
    <xf numFmtId="0" fontId="5" fillId="8" borderId="15" xfId="2" applyFont="1" applyFill="1" applyBorder="1" applyAlignment="1">
      <alignment horizontal="left" vertical="center"/>
    </xf>
    <xf numFmtId="0" fontId="5" fillId="0" borderId="17" xfId="2" applyFont="1" applyBorder="1" applyAlignment="1">
      <alignment horizontal="left"/>
    </xf>
    <xf numFmtId="3" fontId="5" fillId="8" borderId="14" xfId="2" applyNumberFormat="1" applyFont="1" applyFill="1" applyBorder="1" applyAlignment="1">
      <alignment horizontal="left" vertical="center"/>
    </xf>
    <xf numFmtId="0" fontId="31" fillId="8" borderId="9" xfId="2" applyFont="1" applyFill="1" applyBorder="1" applyAlignment="1">
      <alignment horizontal="center" vertical="center"/>
    </xf>
    <xf numFmtId="0" fontId="31" fillId="8" borderId="4" xfId="2" applyFont="1" applyFill="1" applyBorder="1" applyAlignment="1">
      <alignment horizontal="center" vertical="center" wrapText="1"/>
    </xf>
    <xf numFmtId="4" fontId="13" fillId="12" borderId="4" xfId="2" applyNumberFormat="1" applyFont="1" applyFill="1" applyBorder="1" applyAlignment="1">
      <alignment horizontal="right" vertical="center"/>
    </xf>
    <xf numFmtId="4" fontId="13" fillId="14" borderId="4" xfId="2" applyNumberFormat="1" applyFont="1" applyFill="1" applyBorder="1" applyAlignment="1">
      <alignment horizontal="right" vertical="center"/>
    </xf>
    <xf numFmtId="43" fontId="3" fillId="9" borderId="4" xfId="1" applyFont="1" applyFill="1" applyBorder="1" applyAlignment="1">
      <alignment horizontal="center" vertical="center" wrapText="1"/>
    </xf>
    <xf numFmtId="4" fontId="10" fillId="0" borderId="15" xfId="2" applyNumberFormat="1" applyFont="1" applyBorder="1" applyAlignment="1">
      <alignment horizontal="right"/>
    </xf>
    <xf numFmtId="0" fontId="50" fillId="0" borderId="0" xfId="2" applyFont="1" applyAlignment="1">
      <alignment horizontal="center"/>
    </xf>
    <xf numFmtId="0" fontId="50" fillId="0" borderId="0" xfId="2" applyFont="1"/>
    <xf numFmtId="0" fontId="50" fillId="8" borderId="0" xfId="2" applyFont="1" applyFill="1"/>
    <xf numFmtId="0" fontId="57" fillId="0" borderId="0" xfId="2" applyFont="1"/>
    <xf numFmtId="4" fontId="50" fillId="0" borderId="0" xfId="2" applyNumberFormat="1" applyFont="1" applyAlignment="1">
      <alignment horizontal="center"/>
    </xf>
    <xf numFmtId="0" fontId="58" fillId="0" borderId="0" xfId="2" applyFont="1" applyAlignment="1">
      <alignment horizontal="center"/>
    </xf>
    <xf numFmtId="4" fontId="50" fillId="0" borderId="0" xfId="2" applyNumberFormat="1" applyFont="1"/>
    <xf numFmtId="4" fontId="57" fillId="0" borderId="0" xfId="2" applyNumberFormat="1" applyFont="1"/>
    <xf numFmtId="4" fontId="58" fillId="0" borderId="0" xfId="2" applyNumberFormat="1" applyFont="1"/>
    <xf numFmtId="43" fontId="50" fillId="0" borderId="0" xfId="1" applyFont="1" applyAlignment="1">
      <alignment horizontal="center"/>
    </xf>
    <xf numFmtId="1" fontId="11" fillId="11" borderId="2" xfId="2" applyNumberFormat="1" applyFont="1" applyFill="1" applyBorder="1" applyAlignment="1">
      <alignment horizontal="center"/>
    </xf>
    <xf numFmtId="1" fontId="9" fillId="12" borderId="4" xfId="2" applyNumberFormat="1" applyFont="1" applyFill="1" applyBorder="1" applyAlignment="1">
      <alignment horizontal="right" vertical="center"/>
    </xf>
    <xf numFmtId="1" fontId="9" fillId="13" borderId="7" xfId="1" applyNumberFormat="1" applyFont="1" applyFill="1" applyBorder="1" applyAlignment="1">
      <alignment horizontal="right" vertical="center"/>
    </xf>
    <xf numFmtId="1" fontId="42" fillId="0" borderId="7" xfId="2" applyNumberFormat="1" applyFont="1" applyBorder="1" applyAlignment="1">
      <alignment horizontal="right" vertical="center"/>
    </xf>
    <xf numFmtId="1" fontId="42" fillId="0" borderId="10" xfId="2" applyNumberFormat="1" applyFont="1" applyBorder="1" applyAlignment="1">
      <alignment horizontal="right" vertical="center"/>
    </xf>
    <xf numFmtId="1" fontId="5" fillId="0" borderId="7" xfId="2" applyNumberFormat="1" applyFont="1" applyBorder="1" applyAlignment="1">
      <alignment horizontal="right" vertical="center"/>
    </xf>
    <xf numFmtId="1" fontId="9" fillId="13" borderId="7" xfId="2" applyNumberFormat="1" applyFont="1" applyFill="1" applyBorder="1" applyAlignment="1">
      <alignment horizontal="right" vertical="center"/>
    </xf>
    <xf numFmtId="1" fontId="5" fillId="0" borderId="4" xfId="2" applyNumberFormat="1" applyFont="1" applyBorder="1" applyAlignment="1">
      <alignment horizontal="right" vertical="center"/>
    </xf>
    <xf numFmtId="1" fontId="9" fillId="13" borderId="4" xfId="2" applyNumberFormat="1" applyFont="1" applyFill="1" applyBorder="1" applyAlignment="1">
      <alignment horizontal="right" vertical="center"/>
    </xf>
    <xf numFmtId="1" fontId="9" fillId="13" borderId="15" xfId="2" applyNumberFormat="1" applyFont="1" applyFill="1" applyBorder="1" applyAlignment="1">
      <alignment horizontal="right" vertical="center"/>
    </xf>
    <xf numFmtId="1" fontId="9" fillId="13" borderId="4" xfId="1" applyNumberFormat="1" applyFont="1" applyFill="1" applyBorder="1" applyAlignment="1">
      <alignment horizontal="right" vertical="center"/>
    </xf>
    <xf numFmtId="1" fontId="9" fillId="18" borderId="15" xfId="2" applyNumberFormat="1" applyFont="1" applyFill="1" applyBorder="1" applyAlignment="1">
      <alignment horizontal="right" vertical="center"/>
    </xf>
    <xf numFmtId="1" fontId="9" fillId="18" borderId="4" xfId="1" applyNumberFormat="1" applyFont="1" applyFill="1" applyBorder="1" applyAlignment="1">
      <alignment horizontal="right" vertical="center"/>
    </xf>
    <xf numFmtId="1" fontId="5" fillId="8" borderId="4" xfId="2" applyNumberFormat="1" applyFont="1" applyFill="1" applyBorder="1" applyAlignment="1">
      <alignment horizontal="right" vertical="center"/>
    </xf>
    <xf numFmtId="1" fontId="5" fillId="0" borderId="15" xfId="2" applyNumberFormat="1" applyFont="1" applyBorder="1" applyAlignment="1">
      <alignment horizontal="right" vertical="center"/>
    </xf>
    <xf numFmtId="1" fontId="9" fillId="14" borderId="15" xfId="2" applyNumberFormat="1" applyFont="1" applyFill="1" applyBorder="1" applyAlignment="1">
      <alignment horizontal="right" vertical="center"/>
    </xf>
    <xf numFmtId="1" fontId="9" fillId="14" borderId="4" xfId="2" applyNumberFormat="1" applyFont="1" applyFill="1" applyBorder="1" applyAlignment="1">
      <alignment horizontal="right" vertical="center"/>
    </xf>
    <xf numFmtId="1" fontId="5" fillId="0" borderId="4" xfId="1" applyNumberFormat="1" applyFont="1" applyFill="1" applyBorder="1" applyAlignment="1">
      <alignment horizontal="right" vertical="center"/>
    </xf>
    <xf numFmtId="1" fontId="9" fillId="14" borderId="4" xfId="1" applyNumberFormat="1" applyFont="1" applyFill="1" applyBorder="1" applyAlignment="1">
      <alignment horizontal="right" vertical="center"/>
    </xf>
    <xf numFmtId="1" fontId="5" fillId="0" borderId="4" xfId="2" applyNumberFormat="1" applyFont="1" applyBorder="1" applyAlignment="1">
      <alignment horizontal="right"/>
    </xf>
    <xf numFmtId="1" fontId="31" fillId="14" borderId="4" xfId="2" applyNumberFormat="1" applyFont="1" applyFill="1" applyBorder="1" applyAlignment="1">
      <alignment horizontal="right" vertical="center"/>
    </xf>
    <xf numFmtId="1" fontId="25" fillId="14" borderId="4" xfId="2" applyNumberFormat="1" applyFont="1" applyFill="1" applyBorder="1" applyAlignment="1">
      <alignment horizontal="right" vertical="center"/>
    </xf>
    <xf numFmtId="1" fontId="5" fillId="0" borderId="15" xfId="1" applyNumberFormat="1" applyFont="1" applyFill="1" applyBorder="1" applyAlignment="1">
      <alignment horizontal="right" vertical="center"/>
    </xf>
    <xf numFmtId="1" fontId="14" fillId="0" borderId="4" xfId="2" applyNumberFormat="1" applyFont="1" applyBorder="1" applyAlignment="1">
      <alignment horizontal="right" vertical="center"/>
    </xf>
    <xf numFmtId="1" fontId="9" fillId="14" borderId="18" xfId="3" applyNumberFormat="1" applyFont="1" applyFill="1" applyBorder="1" applyAlignment="1">
      <alignment horizontal="right" vertical="center"/>
    </xf>
    <xf numFmtId="1" fontId="5" fillId="0" borderId="13" xfId="2" applyNumberFormat="1" applyFont="1" applyBorder="1" applyAlignment="1">
      <alignment horizontal="right" vertical="center"/>
    </xf>
    <xf numFmtId="1" fontId="14" fillId="0" borderId="4" xfId="2" applyNumberFormat="1" applyFont="1" applyBorder="1" applyAlignment="1">
      <alignment horizontal="right"/>
    </xf>
    <xf numFmtId="1" fontId="4" fillId="8" borderId="4" xfId="2" applyNumberFormat="1" applyFont="1" applyFill="1" applyBorder="1" applyAlignment="1">
      <alignment horizontal="right" vertical="center"/>
    </xf>
    <xf numFmtId="1" fontId="4" fillId="0" borderId="4" xfId="2" applyNumberFormat="1" applyFont="1" applyBorder="1" applyAlignment="1">
      <alignment horizontal="right" vertical="center"/>
    </xf>
    <xf numFmtId="1" fontId="9" fillId="12" borderId="15" xfId="2" applyNumberFormat="1" applyFont="1" applyFill="1" applyBorder="1" applyAlignment="1">
      <alignment horizontal="right" vertical="center"/>
    </xf>
    <xf numFmtId="1" fontId="16" fillId="14" borderId="15" xfId="2" applyNumberFormat="1" applyFont="1" applyFill="1" applyBorder="1" applyAlignment="1">
      <alignment horizontal="right" vertical="center"/>
    </xf>
    <xf numFmtId="1" fontId="11" fillId="11" borderId="15" xfId="3" applyNumberFormat="1" applyFont="1" applyFill="1" applyBorder="1" applyAlignment="1">
      <alignment horizontal="right" vertical="center"/>
    </xf>
    <xf numFmtId="1" fontId="11" fillId="11" borderId="4" xfId="2" applyNumberFormat="1" applyFont="1" applyFill="1" applyBorder="1" applyAlignment="1">
      <alignment horizontal="right" vertical="center"/>
    </xf>
    <xf numFmtId="1" fontId="9" fillId="14" borderId="15" xfId="3" applyNumberFormat="1" applyFont="1" applyFill="1" applyBorder="1" applyAlignment="1">
      <alignment horizontal="right" vertical="center"/>
    </xf>
    <xf numFmtId="1" fontId="5" fillId="14" borderId="4" xfId="1" applyNumberFormat="1" applyFont="1" applyFill="1" applyBorder="1" applyAlignment="1">
      <alignment horizontal="right" vertical="center"/>
    </xf>
    <xf numFmtId="1" fontId="5" fillId="8" borderId="9" xfId="2" applyNumberFormat="1" applyFont="1" applyFill="1" applyBorder="1" applyAlignment="1">
      <alignment horizontal="right" vertical="center"/>
    </xf>
    <xf numFmtId="1" fontId="5" fillId="8" borderId="9" xfId="2" applyNumberFormat="1" applyFont="1" applyFill="1" applyBorder="1" applyAlignment="1">
      <alignment vertical="center"/>
    </xf>
    <xf numFmtId="1" fontId="5" fillId="14" borderId="15" xfId="3" applyNumberFormat="1" applyFont="1" applyFill="1" applyBorder="1" applyAlignment="1">
      <alignment horizontal="right" vertical="center"/>
    </xf>
    <xf numFmtId="1" fontId="5" fillId="0" borderId="13" xfId="1" applyNumberFormat="1" applyFont="1" applyFill="1" applyBorder="1" applyAlignment="1">
      <alignment horizontal="right" vertical="center"/>
    </xf>
    <xf numFmtId="1" fontId="5" fillId="0" borderId="9" xfId="1" applyNumberFormat="1" applyFont="1" applyFill="1" applyBorder="1" applyAlignment="1">
      <alignment horizontal="right" vertical="center"/>
    </xf>
    <xf numFmtId="1" fontId="5" fillId="0" borderId="16" xfId="1" applyNumberFormat="1" applyFont="1" applyFill="1" applyBorder="1" applyAlignment="1">
      <alignment horizontal="right" vertical="center"/>
    </xf>
    <xf numFmtId="1" fontId="9" fillId="23" borderId="4" xfId="1" applyNumberFormat="1" applyFont="1" applyFill="1" applyBorder="1" applyAlignment="1">
      <alignment horizontal="right" vertical="center"/>
    </xf>
    <xf numFmtId="1" fontId="11" fillId="11" borderId="17" xfId="2" applyNumberFormat="1" applyFont="1" applyFill="1" applyBorder="1" applyAlignment="1">
      <alignment horizontal="right" vertical="center"/>
    </xf>
    <xf numFmtId="1" fontId="22" fillId="14" borderId="15" xfId="2" applyNumberFormat="1" applyFont="1" applyFill="1" applyBorder="1" applyAlignment="1">
      <alignment horizontal="right" vertical="center"/>
    </xf>
    <xf numFmtId="1" fontId="5" fillId="0" borderId="4" xfId="1" applyNumberFormat="1" applyFont="1" applyBorder="1" applyAlignment="1">
      <alignment horizontal="right" vertical="center"/>
    </xf>
    <xf numFmtId="1" fontId="3" fillId="14" borderId="15" xfId="2" applyNumberFormat="1" applyFont="1" applyFill="1" applyBorder="1" applyAlignment="1">
      <alignment horizontal="right" vertical="center"/>
    </xf>
    <xf numFmtId="1" fontId="13" fillId="12" borderId="4" xfId="2" applyNumberFormat="1" applyFont="1" applyFill="1" applyBorder="1" applyAlignment="1">
      <alignment horizontal="right" vertical="center"/>
    </xf>
    <xf numFmtId="1" fontId="13" fillId="14" borderId="4" xfId="2" applyNumberFormat="1" applyFont="1" applyFill="1" applyBorder="1" applyAlignment="1">
      <alignment horizontal="right" vertical="center"/>
    </xf>
    <xf numFmtId="1" fontId="11" fillId="11" borderId="15" xfId="2" applyNumberFormat="1" applyFont="1" applyFill="1" applyBorder="1" applyAlignment="1">
      <alignment horizontal="right" vertical="center"/>
    </xf>
    <xf numFmtId="1" fontId="13" fillId="12" borderId="15" xfId="2" applyNumberFormat="1" applyFont="1" applyFill="1" applyBorder="1" applyAlignment="1">
      <alignment horizontal="right" vertical="center"/>
    </xf>
    <xf numFmtId="1" fontId="13" fillId="14" borderId="15" xfId="2" applyNumberFormat="1" applyFont="1" applyFill="1" applyBorder="1" applyAlignment="1">
      <alignment horizontal="right" vertical="center"/>
    </xf>
    <xf numFmtId="1" fontId="10" fillId="0" borderId="15" xfId="2" applyNumberFormat="1" applyFont="1" applyBorder="1" applyAlignment="1">
      <alignment horizontal="right" vertical="center"/>
    </xf>
    <xf numFmtId="1" fontId="24" fillId="11" borderId="15" xfId="2" applyNumberFormat="1" applyFont="1" applyFill="1" applyBorder="1" applyAlignment="1">
      <alignment horizontal="right" vertical="center"/>
    </xf>
    <xf numFmtId="1" fontId="13" fillId="14" borderId="18" xfId="2" applyNumberFormat="1" applyFont="1" applyFill="1" applyBorder="1" applyAlignment="1">
      <alignment horizontal="right" vertical="center"/>
    </xf>
    <xf numFmtId="1" fontId="5" fillId="0" borderId="15" xfId="2" applyNumberFormat="1" applyFont="1" applyBorder="1" applyAlignment="1">
      <alignment horizontal="right"/>
    </xf>
    <xf numFmtId="2" fontId="4" fillId="0" borderId="0" xfId="2" applyNumberFormat="1" applyFont="1" applyAlignment="1">
      <alignment horizontal="center" wrapText="1"/>
    </xf>
    <xf numFmtId="2" fontId="3" fillId="0" borderId="1" xfId="2" applyNumberFormat="1" applyFont="1" applyBorder="1" applyAlignment="1">
      <alignment horizontal="center" vertical="center" wrapText="1"/>
    </xf>
    <xf numFmtId="2" fontId="3" fillId="0" borderId="2" xfId="2" applyNumberFormat="1" applyFont="1" applyBorder="1" applyAlignment="1">
      <alignment horizontal="center" vertical="center" wrapText="1"/>
    </xf>
    <xf numFmtId="2" fontId="3" fillId="9" borderId="2" xfId="2" applyNumberFormat="1" applyFont="1" applyFill="1" applyBorder="1" applyAlignment="1">
      <alignment horizontal="center" vertical="center" wrapText="1"/>
    </xf>
    <xf numFmtId="2" fontId="5" fillId="0" borderId="0" xfId="2" applyNumberFormat="1" applyFont="1"/>
    <xf numFmtId="1" fontId="9" fillId="12" borderId="2" xfId="2" applyNumberFormat="1" applyFont="1" applyFill="1" applyBorder="1" applyAlignment="1">
      <alignment horizontal="center" vertical="center"/>
    </xf>
    <xf numFmtId="1" fontId="9" fillId="13" borderId="7" xfId="2" applyNumberFormat="1" applyFont="1" applyFill="1" applyBorder="1" applyAlignment="1">
      <alignment horizontal="center" vertical="center"/>
    </xf>
    <xf numFmtId="1" fontId="9" fillId="0" borderId="7" xfId="2" applyNumberFormat="1" applyFont="1" applyBorder="1" applyAlignment="1">
      <alignment horizontal="center" vertical="center"/>
    </xf>
    <xf numFmtId="1" fontId="9" fillId="0" borderId="8" xfId="2" applyNumberFormat="1" applyFont="1" applyBorder="1" applyAlignment="1">
      <alignment horizontal="center" vertical="center"/>
    </xf>
    <xf numFmtId="1" fontId="5" fillId="0" borderId="7" xfId="2" applyNumberFormat="1" applyFont="1" applyBorder="1" applyAlignment="1">
      <alignment horizontal="center" vertical="center"/>
    </xf>
    <xf numFmtId="1" fontId="5" fillId="0" borderId="10" xfId="2" applyNumberFormat="1" applyFont="1" applyBorder="1" applyAlignment="1">
      <alignment horizontal="center" vertical="center"/>
    </xf>
    <xf numFmtId="1" fontId="5" fillId="0" borderId="11" xfId="2" applyNumberFormat="1" applyFont="1" applyBorder="1" applyAlignment="1">
      <alignment horizontal="center" vertical="center"/>
    </xf>
    <xf numFmtId="1" fontId="5" fillId="8" borderId="4" xfId="2" applyNumberFormat="1" applyFont="1" applyFill="1" applyBorder="1" applyAlignment="1">
      <alignment horizontal="center" vertical="center"/>
    </xf>
    <xf numFmtId="1" fontId="9" fillId="12" borderId="4" xfId="2" applyNumberFormat="1" applyFont="1" applyFill="1" applyBorder="1" applyAlignment="1">
      <alignment horizontal="center" vertical="center"/>
    </xf>
    <xf numFmtId="1" fontId="9" fillId="13" borderId="4" xfId="2" applyNumberFormat="1" applyFont="1" applyFill="1" applyBorder="1" applyAlignment="1">
      <alignment horizontal="center" vertical="center"/>
    </xf>
    <xf numFmtId="1" fontId="5" fillId="0" borderId="9" xfId="2" applyNumberFormat="1" applyFont="1" applyBorder="1" applyAlignment="1">
      <alignment horizontal="center" vertical="center"/>
    </xf>
    <xf numFmtId="1" fontId="5" fillId="0" borderId="13" xfId="2" applyNumberFormat="1" applyFont="1" applyBorder="1" applyAlignment="1">
      <alignment horizontal="center" vertical="center"/>
    </xf>
    <xf numFmtId="1" fontId="7" fillId="0" borderId="4" xfId="2" applyNumberFormat="1" applyFont="1" applyBorder="1" applyAlignment="1">
      <alignment horizontal="center" vertical="center"/>
    </xf>
    <xf numFmtId="1" fontId="5" fillId="0" borderId="4" xfId="2" applyNumberFormat="1" applyFont="1" applyBorder="1"/>
    <xf numFmtId="1" fontId="9" fillId="18" borderId="4" xfId="2" applyNumberFormat="1" applyFont="1" applyFill="1" applyBorder="1"/>
    <xf numFmtId="1" fontId="5" fillId="21" borderId="4" xfId="2" applyNumberFormat="1" applyFont="1" applyFill="1" applyBorder="1" applyAlignment="1">
      <alignment horizontal="center" vertical="center"/>
    </xf>
    <xf numFmtId="1" fontId="5" fillId="0" borderId="4" xfId="2" applyNumberFormat="1" applyFont="1" applyBorder="1" applyAlignment="1">
      <alignment vertical="center"/>
    </xf>
    <xf numFmtId="1" fontId="5" fillId="21" borderId="4" xfId="2" applyNumberFormat="1" applyFont="1" applyFill="1" applyBorder="1" applyAlignment="1">
      <alignment vertical="center"/>
    </xf>
    <xf numFmtId="1" fontId="9" fillId="13" borderId="4" xfId="3" applyNumberFormat="1" applyFont="1" applyFill="1" applyBorder="1" applyAlignment="1">
      <alignment horizontal="center" vertical="center"/>
    </xf>
    <xf numFmtId="1" fontId="5" fillId="0" borderId="4" xfId="3" applyNumberFormat="1" applyFont="1" applyFill="1" applyBorder="1" applyAlignment="1"/>
    <xf numFmtId="1" fontId="14" fillId="0" borderId="4" xfId="2" applyNumberFormat="1" applyFont="1" applyBorder="1" applyAlignment="1">
      <alignment horizontal="center" vertical="center"/>
    </xf>
    <xf numFmtId="1" fontId="14" fillId="38" borderId="4" xfId="2" applyNumberFormat="1" applyFont="1" applyFill="1" applyBorder="1" applyAlignment="1">
      <alignment horizontal="center" vertical="center"/>
    </xf>
    <xf numFmtId="1" fontId="14" fillId="0" borderId="4" xfId="2" applyNumberFormat="1" applyFont="1" applyBorder="1"/>
    <xf numFmtId="1" fontId="15" fillId="8" borderId="4" xfId="2" applyNumberFormat="1" applyFont="1" applyFill="1" applyBorder="1" applyAlignment="1">
      <alignment horizontal="center" vertical="center"/>
    </xf>
    <xf numFmtId="1" fontId="14" fillId="0" borderId="2" xfId="2" applyNumberFormat="1" applyFont="1" applyBorder="1" applyAlignment="1">
      <alignment horizontal="center"/>
    </xf>
    <xf numFmtId="1" fontId="11" fillId="11" borderId="4" xfId="2" applyNumberFormat="1" applyFont="1" applyFill="1" applyBorder="1" applyAlignment="1">
      <alignment horizontal="center" vertical="center"/>
    </xf>
    <xf numFmtId="1" fontId="5" fillId="8" borderId="9" xfId="2" applyNumberFormat="1" applyFont="1" applyFill="1" applyBorder="1" applyAlignment="1">
      <alignment horizontal="center" vertical="center"/>
    </xf>
    <xf numFmtId="1" fontId="9" fillId="14" borderId="9" xfId="2" applyNumberFormat="1" applyFont="1" applyFill="1" applyBorder="1" applyAlignment="1">
      <alignment horizontal="center" vertical="center"/>
    </xf>
    <xf numFmtId="1" fontId="5" fillId="0" borderId="4" xfId="2" applyNumberFormat="1" applyFont="1" applyBorder="1" applyAlignment="1">
      <alignment horizontal="center"/>
    </xf>
    <xf numFmtId="1" fontId="9" fillId="23" borderId="4" xfId="2" applyNumberFormat="1" applyFont="1" applyFill="1" applyBorder="1" applyAlignment="1">
      <alignment horizontal="center" vertical="center"/>
    </xf>
    <xf numFmtId="1" fontId="9" fillId="14" borderId="4" xfId="2" applyNumberFormat="1" applyFont="1" applyFill="1" applyBorder="1" applyAlignment="1">
      <alignment vertical="center"/>
    </xf>
    <xf numFmtId="1" fontId="5" fillId="18" borderId="4" xfId="2" applyNumberFormat="1" applyFont="1" applyFill="1" applyBorder="1"/>
    <xf numFmtId="1" fontId="9" fillId="0" borderId="4" xfId="2" applyNumberFormat="1" applyFont="1" applyBorder="1" applyAlignment="1">
      <alignment horizontal="center" vertical="center"/>
    </xf>
    <xf numFmtId="1" fontId="5" fillId="0" borderId="4" xfId="4" applyNumberFormat="1" applyFont="1" applyFill="1" applyBorder="1" applyAlignment="1">
      <alignment horizontal="center" vertical="center"/>
    </xf>
    <xf numFmtId="1" fontId="14" fillId="0" borderId="4" xfId="2" applyNumberFormat="1" applyFont="1" applyBorder="1" applyAlignment="1">
      <alignment vertical="center"/>
    </xf>
    <xf numFmtId="1" fontId="15" fillId="0" borderId="4" xfId="2" applyNumberFormat="1" applyFont="1" applyBorder="1" applyAlignment="1">
      <alignment horizontal="center" vertical="center"/>
    </xf>
    <xf numFmtId="1" fontId="5" fillId="0" borderId="0" xfId="2" applyNumberFormat="1" applyFont="1"/>
    <xf numFmtId="1" fontId="4" fillId="0" borderId="4" xfId="2" applyNumberFormat="1" applyFont="1" applyBorder="1" applyAlignment="1">
      <alignment horizontal="center" vertical="center"/>
    </xf>
    <xf numFmtId="1" fontId="11" fillId="0" borderId="4" xfId="2" applyNumberFormat="1" applyFont="1" applyBorder="1" applyAlignment="1">
      <alignment horizontal="center" vertical="center"/>
    </xf>
    <xf numFmtId="1" fontId="5" fillId="0" borderId="15" xfId="1" applyNumberFormat="1" applyFont="1" applyFill="1" applyBorder="1" applyAlignment="1">
      <alignment vertical="center"/>
    </xf>
    <xf numFmtId="1" fontId="55" fillId="0" borderId="10" xfId="2" applyNumberFormat="1" applyFont="1" applyBorder="1" applyAlignment="1">
      <alignment horizontal="right" vertical="center"/>
    </xf>
    <xf numFmtId="1" fontId="54" fillId="13" borderId="15" xfId="2" applyNumberFormat="1" applyFont="1" applyFill="1" applyBorder="1" applyAlignment="1">
      <alignment horizontal="right" vertical="center"/>
    </xf>
    <xf numFmtId="1" fontId="55" fillId="0" borderId="4" xfId="2" applyNumberFormat="1" applyFont="1" applyBorder="1" applyAlignment="1">
      <alignment horizontal="right" vertical="center"/>
    </xf>
    <xf numFmtId="1" fontId="5" fillId="0" borderId="4" xfId="1" applyNumberFormat="1" applyFont="1" applyFill="1" applyBorder="1" applyAlignment="1">
      <alignment horizontal="right"/>
    </xf>
    <xf numFmtId="1" fontId="9" fillId="14" borderId="4" xfId="2" applyNumberFormat="1" applyFont="1" applyFill="1" applyBorder="1" applyAlignment="1">
      <alignment horizontal="right"/>
    </xf>
    <xf numFmtId="1" fontId="9" fillId="13" borderId="7" xfId="4" applyNumberFormat="1" applyFont="1" applyFill="1" applyBorder="1" applyAlignment="1">
      <alignment horizontal="center" vertical="center"/>
    </xf>
    <xf numFmtId="0" fontId="5" fillId="8" borderId="13" xfId="2" applyFont="1" applyFill="1" applyBorder="1" applyAlignment="1">
      <alignment horizontal="left" vertical="center"/>
    </xf>
    <xf numFmtId="0" fontId="5" fillId="8" borderId="5" xfId="2" applyFont="1" applyFill="1" applyBorder="1" applyAlignment="1">
      <alignment horizontal="left" vertical="center" wrapText="1"/>
    </xf>
    <xf numFmtId="14" fontId="4" fillId="8" borderId="4" xfId="2" applyNumberFormat="1" applyFont="1" applyFill="1" applyBorder="1" applyAlignment="1">
      <alignment horizontal="center" vertical="center"/>
    </xf>
    <xf numFmtId="14" fontId="5" fillId="8" borderId="17" xfId="2" applyNumberFormat="1" applyFont="1" applyFill="1" applyBorder="1" applyAlignment="1">
      <alignment horizontal="center" vertical="center" wrapText="1"/>
    </xf>
    <xf numFmtId="0" fontId="5" fillId="8" borderId="14" xfId="2" applyFont="1" applyFill="1" applyBorder="1" applyAlignment="1">
      <alignment horizontal="center" vertical="center" wrapText="1"/>
    </xf>
    <xf numFmtId="0" fontId="10" fillId="19" borderId="4" xfId="2" applyFont="1" applyFill="1" applyBorder="1" applyAlignment="1">
      <alignment horizontal="center" vertical="center"/>
    </xf>
    <xf numFmtId="14" fontId="10" fillId="19" borderId="4" xfId="2" applyNumberFormat="1" applyFont="1" applyFill="1" applyBorder="1" applyAlignment="1">
      <alignment horizontal="center" vertical="center"/>
    </xf>
    <xf numFmtId="0" fontId="10" fillId="19" borderId="7" xfId="2" applyFont="1" applyFill="1" applyBorder="1" applyAlignment="1">
      <alignment horizontal="center" vertical="center"/>
    </xf>
    <xf numFmtId="1" fontId="10" fillId="19" borderId="7" xfId="2" applyNumberFormat="1" applyFont="1" applyFill="1" applyBorder="1" applyAlignment="1">
      <alignment horizontal="center" vertical="center"/>
    </xf>
    <xf numFmtId="4" fontId="10" fillId="19" borderId="4" xfId="2" applyNumberFormat="1" applyFont="1" applyFill="1" applyBorder="1" applyAlignment="1">
      <alignment horizontal="right" vertical="center"/>
    </xf>
    <xf numFmtId="4" fontId="9" fillId="12" borderId="0" xfId="2" applyNumberFormat="1" applyFont="1" applyFill="1" applyAlignment="1">
      <alignment horizontal="right" vertical="center"/>
    </xf>
    <xf numFmtId="4" fontId="4" fillId="0" borderId="0" xfId="2" applyNumberFormat="1" applyFont="1" applyAlignment="1">
      <alignment horizontal="right" vertical="center"/>
    </xf>
    <xf numFmtId="4" fontId="42" fillId="0" borderId="0" xfId="2" applyNumberFormat="1" applyFont="1" applyAlignment="1">
      <alignment horizontal="right" vertical="center"/>
    </xf>
    <xf numFmtId="0" fontId="10" fillId="8" borderId="4" xfId="2" applyFont="1" applyFill="1" applyBorder="1" applyAlignment="1">
      <alignment vertical="center" wrapText="1"/>
    </xf>
    <xf numFmtId="0" fontId="17" fillId="8" borderId="4" xfId="2" applyFont="1" applyFill="1" applyBorder="1" applyAlignment="1">
      <alignment vertical="center" wrapText="1"/>
    </xf>
    <xf numFmtId="4" fontId="10" fillId="8" borderId="7" xfId="2" applyNumberFormat="1" applyFont="1" applyFill="1" applyBorder="1" applyAlignment="1">
      <alignment horizontal="right" vertical="center"/>
    </xf>
    <xf numFmtId="4" fontId="61" fillId="8" borderId="7" xfId="2" applyNumberFormat="1" applyFont="1" applyFill="1" applyBorder="1" applyAlignment="1">
      <alignment horizontal="right" vertical="center"/>
    </xf>
    <xf numFmtId="1" fontId="10" fillId="8" borderId="7" xfId="2" applyNumberFormat="1" applyFont="1" applyFill="1" applyBorder="1" applyAlignment="1">
      <alignment horizontal="right" vertical="center"/>
    </xf>
    <xf numFmtId="4" fontId="60" fillId="8" borderId="10" xfId="2" applyNumberFormat="1" applyFont="1" applyFill="1" applyBorder="1" applyAlignment="1">
      <alignment horizontal="right" vertical="center"/>
    </xf>
    <xf numFmtId="4" fontId="59" fillId="8" borderId="10" xfId="2" applyNumberFormat="1" applyFont="1" applyFill="1" applyBorder="1" applyAlignment="1">
      <alignment horizontal="right" vertical="center"/>
    </xf>
    <xf numFmtId="1" fontId="59" fillId="8" borderId="10" xfId="2" applyNumberFormat="1" applyFont="1" applyFill="1" applyBorder="1" applyAlignment="1">
      <alignment horizontal="right" vertical="center"/>
    </xf>
    <xf numFmtId="4" fontId="10" fillId="8" borderId="8" xfId="2" applyNumberFormat="1" applyFont="1" applyFill="1" applyBorder="1" applyAlignment="1">
      <alignment horizontal="right" vertical="center"/>
    </xf>
    <xf numFmtId="4" fontId="10" fillId="8" borderId="4" xfId="2" applyNumberFormat="1" applyFont="1" applyFill="1" applyBorder="1" applyAlignment="1">
      <alignment horizontal="right" vertical="center"/>
    </xf>
    <xf numFmtId="44" fontId="10" fillId="8" borderId="4" xfId="2" applyNumberFormat="1" applyFont="1" applyFill="1" applyBorder="1" applyAlignment="1">
      <alignment horizontal="center" vertical="center"/>
    </xf>
    <xf numFmtId="44" fontId="10" fillId="8" borderId="14" xfId="2" applyNumberFormat="1" applyFont="1" applyFill="1" applyBorder="1" applyAlignment="1">
      <alignment horizontal="center" vertical="center"/>
    </xf>
    <xf numFmtId="44" fontId="10" fillId="8" borderId="17" xfId="2" applyNumberFormat="1" applyFont="1" applyFill="1" applyBorder="1" applyAlignment="1">
      <alignment horizontal="center" vertical="center"/>
    </xf>
    <xf numFmtId="44" fontId="26" fillId="8" borderId="4" xfId="2" applyNumberFormat="1" applyFont="1" applyFill="1" applyBorder="1" applyAlignment="1">
      <alignment horizontal="center" vertical="center"/>
    </xf>
    <xf numFmtId="0" fontId="10" fillId="8" borderId="6" xfId="2" applyFont="1" applyFill="1" applyBorder="1" applyAlignment="1">
      <alignment horizontal="center" vertical="center"/>
    </xf>
    <xf numFmtId="0" fontId="10" fillId="8" borderId="0" xfId="2" applyFont="1" applyFill="1"/>
    <xf numFmtId="0" fontId="5" fillId="2" borderId="4" xfId="2" applyFont="1" applyFill="1" applyBorder="1" applyAlignment="1">
      <alignment vertical="center"/>
    </xf>
    <xf numFmtId="169" fontId="5" fillId="0" borderId="0" xfId="2" applyNumberFormat="1" applyFont="1"/>
    <xf numFmtId="0" fontId="56" fillId="0" borderId="19" xfId="0" applyFont="1" applyBorder="1" applyAlignment="1">
      <alignment horizontal="center" wrapText="1"/>
    </xf>
    <xf numFmtId="0" fontId="56" fillId="0" borderId="20" xfId="0" applyFont="1" applyBorder="1" applyAlignment="1">
      <alignment horizontal="center" wrapText="1"/>
    </xf>
    <xf numFmtId="0" fontId="56" fillId="0" borderId="18" xfId="0" applyFont="1" applyBorder="1" applyAlignment="1">
      <alignment horizontal="center" wrapText="1"/>
    </xf>
    <xf numFmtId="0" fontId="28" fillId="0" borderId="22" xfId="0" applyFont="1" applyBorder="1" applyAlignment="1">
      <alignment horizontal="center" wrapText="1"/>
    </xf>
    <xf numFmtId="0" fontId="28" fillId="0" borderId="23" xfId="0" applyFont="1" applyBorder="1" applyAlignment="1">
      <alignment horizontal="center"/>
    </xf>
    <xf numFmtId="0" fontId="28" fillId="0" borderId="24" xfId="0" applyFont="1" applyBorder="1" applyAlignment="1">
      <alignment horizontal="center"/>
    </xf>
    <xf numFmtId="0" fontId="9" fillId="12" borderId="4" xfId="2" applyFont="1" applyFill="1" applyBorder="1" applyAlignment="1">
      <alignment horizontal="left" vertical="center"/>
    </xf>
    <xf numFmtId="0" fontId="16" fillId="0" borderId="4" xfId="2" applyFont="1" applyBorder="1" applyAlignment="1">
      <alignment horizontal="left" vertical="center"/>
    </xf>
    <xf numFmtId="0" fontId="9" fillId="14" borderId="4" xfId="2" applyFont="1" applyFill="1" applyBorder="1" applyAlignment="1">
      <alignment horizontal="left" vertical="center"/>
    </xf>
    <xf numFmtId="0" fontId="9" fillId="14" borderId="9" xfId="2" applyFont="1" applyFill="1" applyBorder="1" applyAlignment="1">
      <alignment horizontal="left" vertical="center"/>
    </xf>
    <xf numFmtId="0" fontId="16" fillId="0" borderId="9" xfId="2" applyFont="1" applyBorder="1" applyAlignment="1">
      <alignment horizontal="left" vertical="center"/>
    </xf>
    <xf numFmtId="0" fontId="9" fillId="14" borderId="4" xfId="2" applyFont="1" applyFill="1" applyBorder="1" applyAlignment="1">
      <alignment vertical="center" wrapText="1"/>
    </xf>
    <xf numFmtId="0" fontId="16" fillId="0" borderId="4" xfId="2" applyFont="1" applyBorder="1" applyAlignment="1">
      <alignment vertical="center" wrapText="1"/>
    </xf>
    <xf numFmtId="0" fontId="9" fillId="12" borderId="14" xfId="2" applyFont="1" applyFill="1" applyBorder="1" applyAlignment="1">
      <alignment horizontal="left" vertical="center" wrapText="1"/>
    </xf>
    <xf numFmtId="0" fontId="9" fillId="12" borderId="17" xfId="2" applyFont="1" applyFill="1" applyBorder="1" applyAlignment="1">
      <alignment horizontal="left" vertical="center" wrapText="1"/>
    </xf>
    <xf numFmtId="0" fontId="9" fillId="12" borderId="15" xfId="2" applyFont="1" applyFill="1" applyBorder="1" applyAlignment="1">
      <alignment horizontal="left" vertical="center" wrapText="1"/>
    </xf>
    <xf numFmtId="0" fontId="5" fillId="0" borderId="4" xfId="2" applyFont="1" applyBorder="1" applyAlignment="1">
      <alignment horizontal="left" vertical="center" wrapText="1"/>
    </xf>
    <xf numFmtId="0" fontId="11" fillId="11" borderId="14" xfId="2" applyFont="1" applyFill="1" applyBorder="1" applyAlignment="1">
      <alignment horizontal="left" vertical="center"/>
    </xf>
    <xf numFmtId="0" fontId="11" fillId="11" borderId="17" xfId="2" applyFont="1" applyFill="1" applyBorder="1" applyAlignment="1">
      <alignment horizontal="left" vertical="center"/>
    </xf>
    <xf numFmtId="0" fontId="11" fillId="11" borderId="15" xfId="2" applyFont="1" applyFill="1" applyBorder="1" applyAlignment="1">
      <alignment horizontal="left" vertical="center"/>
    </xf>
    <xf numFmtId="0" fontId="9" fillId="14" borderId="14" xfId="2" applyFont="1" applyFill="1" applyBorder="1" applyAlignment="1">
      <alignment horizontal="left" vertical="center"/>
    </xf>
    <xf numFmtId="0" fontId="9" fillId="14" borderId="15" xfId="2" applyFont="1" applyFill="1" applyBorder="1" applyAlignment="1">
      <alignment horizontal="left" vertical="center"/>
    </xf>
    <xf numFmtId="0" fontId="5" fillId="0" borderId="18" xfId="2" applyFont="1" applyBorder="1" applyAlignment="1">
      <alignment horizontal="left" vertical="center" wrapText="1"/>
    </xf>
    <xf numFmtId="0" fontId="5" fillId="0" borderId="21" xfId="2" applyFont="1" applyBorder="1" applyAlignment="1">
      <alignment horizontal="left" vertical="center" wrapText="1"/>
    </xf>
    <xf numFmtId="0" fontId="5" fillId="0" borderId="24" xfId="2" applyFont="1" applyBorder="1" applyAlignment="1">
      <alignment horizontal="left" vertical="center" wrapText="1"/>
    </xf>
    <xf numFmtId="0" fontId="9" fillId="12" borderId="14" xfId="2" applyFont="1" applyFill="1" applyBorder="1" applyAlignment="1">
      <alignment horizontal="left" vertical="center"/>
    </xf>
    <xf numFmtId="0" fontId="9" fillId="12" borderId="17" xfId="2" applyFont="1" applyFill="1" applyBorder="1" applyAlignment="1">
      <alignment horizontal="left" vertical="center"/>
    </xf>
    <xf numFmtId="0" fontId="9" fillId="12" borderId="15" xfId="2" applyFont="1" applyFill="1" applyBorder="1" applyAlignment="1">
      <alignment horizontal="left" vertical="center"/>
    </xf>
    <xf numFmtId="0" fontId="5" fillId="27" borderId="0" xfId="2" applyFont="1" applyFill="1"/>
    <xf numFmtId="0" fontId="16" fillId="27" borderId="0" xfId="2" applyFont="1" applyFill="1"/>
    <xf numFmtId="0" fontId="10" fillId="8" borderId="9" xfId="2" applyFont="1" applyFill="1" applyBorder="1" applyAlignment="1">
      <alignment horizontal="center" vertical="center"/>
    </xf>
    <xf numFmtId="0" fontId="10" fillId="8" borderId="16" xfId="2" applyFont="1" applyFill="1" applyBorder="1" applyAlignment="1">
      <alignment horizontal="center" vertical="center"/>
    </xf>
    <xf numFmtId="0" fontId="10" fillId="8" borderId="13" xfId="2" applyFont="1" applyFill="1" applyBorder="1" applyAlignment="1">
      <alignment horizontal="center" vertical="center"/>
    </xf>
    <xf numFmtId="14" fontId="10" fillId="8" borderId="9" xfId="2" applyNumberFormat="1" applyFont="1" applyFill="1" applyBorder="1" applyAlignment="1">
      <alignment horizontal="center" vertical="center"/>
    </xf>
    <xf numFmtId="0" fontId="25" fillId="8" borderId="9" xfId="2" applyFont="1" applyFill="1" applyBorder="1" applyAlignment="1">
      <alignment horizontal="center" vertical="center" wrapText="1"/>
    </xf>
    <xf numFmtId="0" fontId="25" fillId="8" borderId="16" xfId="2" applyFont="1" applyFill="1" applyBorder="1" applyAlignment="1">
      <alignment horizontal="center" vertical="center" wrapText="1"/>
    </xf>
    <xf numFmtId="0" fontId="25" fillId="8" borderId="13" xfId="2" applyFont="1" applyFill="1" applyBorder="1" applyAlignment="1">
      <alignment horizontal="center" vertical="center" wrapText="1"/>
    </xf>
    <xf numFmtId="0" fontId="9" fillId="14" borderId="4" xfId="2" applyFont="1" applyFill="1" applyBorder="1" applyAlignment="1">
      <alignment horizontal="left" vertical="center" wrapText="1"/>
    </xf>
    <xf numFmtId="0" fontId="16" fillId="0" borderId="4" xfId="2" applyFont="1" applyBorder="1" applyAlignment="1">
      <alignment horizontal="left" vertical="center" wrapText="1"/>
    </xf>
    <xf numFmtId="0" fontId="9" fillId="14" borderId="14" xfId="2" applyFont="1" applyFill="1" applyBorder="1" applyAlignment="1">
      <alignment horizontal="left" vertical="center" wrapText="1"/>
    </xf>
    <xf numFmtId="0" fontId="9" fillId="14" borderId="15" xfId="2" applyFont="1" applyFill="1" applyBorder="1" applyAlignment="1">
      <alignment horizontal="left" vertical="center" wrapText="1"/>
    </xf>
    <xf numFmtId="0" fontId="5" fillId="0" borderId="14" xfId="2" applyFont="1" applyBorder="1" applyAlignment="1">
      <alignment horizontal="center"/>
    </xf>
    <xf numFmtId="0" fontId="5" fillId="0" borderId="15" xfId="2" applyFont="1" applyBorder="1" applyAlignment="1">
      <alignment horizontal="center"/>
    </xf>
    <xf numFmtId="0" fontId="9" fillId="24" borderId="14" xfId="2" applyFont="1" applyFill="1" applyBorder="1" applyAlignment="1">
      <alignment horizontal="left" vertical="center"/>
    </xf>
    <xf numFmtId="0" fontId="9" fillId="24" borderId="17" xfId="2" applyFont="1" applyFill="1" applyBorder="1" applyAlignment="1">
      <alignment horizontal="left" vertical="center"/>
    </xf>
    <xf numFmtId="0" fontId="9" fillId="24" borderId="15" xfId="2" applyFont="1" applyFill="1" applyBorder="1" applyAlignment="1">
      <alignment horizontal="left" vertical="center"/>
    </xf>
    <xf numFmtId="0" fontId="9" fillId="14" borderId="9" xfId="2" applyFont="1" applyFill="1" applyBorder="1" applyAlignment="1">
      <alignment horizontal="left" vertical="center" wrapText="1"/>
    </xf>
    <xf numFmtId="0" fontId="16" fillId="0" borderId="9" xfId="2" applyFont="1" applyBorder="1" applyAlignment="1">
      <alignment horizontal="left" vertical="center" wrapText="1"/>
    </xf>
    <xf numFmtId="44" fontId="16" fillId="14" borderId="22" xfId="2" applyNumberFormat="1" applyFont="1" applyFill="1" applyBorder="1" applyAlignment="1">
      <alignment horizontal="left" vertical="center" wrapText="1"/>
    </xf>
    <xf numFmtId="44" fontId="16" fillId="14" borderId="24" xfId="2" applyNumberFormat="1" applyFont="1" applyFill="1" applyBorder="1" applyAlignment="1">
      <alignment horizontal="left" vertical="center" wrapText="1"/>
    </xf>
    <xf numFmtId="0" fontId="32" fillId="12" borderId="4" xfId="2" applyFont="1" applyFill="1" applyBorder="1" applyAlignment="1">
      <alignment horizontal="left" vertical="center"/>
    </xf>
    <xf numFmtId="0" fontId="35" fillId="0" borderId="4" xfId="2" applyFont="1" applyBorder="1" applyAlignment="1">
      <alignment horizontal="left" vertical="center"/>
    </xf>
    <xf numFmtId="0" fontId="32" fillId="14" borderId="4" xfId="2" applyFont="1" applyFill="1" applyBorder="1" applyAlignment="1">
      <alignment horizontal="left" vertical="center"/>
    </xf>
    <xf numFmtId="4" fontId="5" fillId="0" borderId="9" xfId="2" applyNumberFormat="1" applyFont="1" applyBorder="1" applyAlignment="1">
      <alignment horizontal="center" vertical="center"/>
    </xf>
    <xf numFmtId="4" fontId="5" fillId="0" borderId="16" xfId="2" applyNumberFormat="1" applyFont="1" applyBorder="1" applyAlignment="1">
      <alignment horizontal="center" vertical="center"/>
    </xf>
    <xf numFmtId="4" fontId="5" fillId="0" borderId="13" xfId="2" applyNumberFormat="1" applyFont="1" applyBorder="1" applyAlignment="1">
      <alignment horizontal="center" vertical="center"/>
    </xf>
    <xf numFmtId="3" fontId="25" fillId="0" borderId="9" xfId="2" applyNumberFormat="1" applyFont="1" applyBorder="1" applyAlignment="1">
      <alignment horizontal="center" vertical="center"/>
    </xf>
    <xf numFmtId="3" fontId="25" fillId="0" borderId="16" xfId="2" applyNumberFormat="1" applyFont="1" applyBorder="1" applyAlignment="1">
      <alignment horizontal="center" vertical="center"/>
    </xf>
    <xf numFmtId="3" fontId="25" fillId="0" borderId="13" xfId="2" applyNumberFormat="1" applyFont="1" applyBorder="1" applyAlignment="1">
      <alignment horizontal="center" vertical="center"/>
    </xf>
    <xf numFmtId="0" fontId="5" fillId="0" borderId="19" xfId="2" applyFont="1" applyBorder="1" applyAlignment="1">
      <alignment horizontal="center" vertical="center" wrapText="1"/>
    </xf>
    <xf numFmtId="0" fontId="5" fillId="0" borderId="12" xfId="2" applyFont="1" applyBorder="1" applyAlignment="1">
      <alignment horizontal="center" vertical="center"/>
    </xf>
    <xf numFmtId="0" fontId="5" fillId="0" borderId="22" xfId="2" applyFont="1" applyBorder="1" applyAlignment="1">
      <alignment horizontal="center" vertical="center"/>
    </xf>
    <xf numFmtId="4" fontId="33" fillId="0" borderId="9" xfId="2" applyNumberFormat="1" applyFont="1" applyBorder="1" applyAlignment="1">
      <alignment horizontal="center" vertical="center"/>
    </xf>
    <xf numFmtId="4" fontId="33" fillId="0" borderId="16" xfId="2" applyNumberFormat="1" applyFont="1" applyBorder="1" applyAlignment="1">
      <alignment horizontal="center" vertical="center"/>
    </xf>
    <xf numFmtId="4" fontId="33" fillId="0" borderId="13" xfId="2" applyNumberFormat="1" applyFont="1" applyBorder="1" applyAlignment="1">
      <alignment horizontal="center" vertical="center"/>
    </xf>
    <xf numFmtId="0" fontId="14" fillId="0" borderId="18" xfId="2" applyFont="1" applyBorder="1" applyAlignment="1">
      <alignment horizontal="left" vertical="center"/>
    </xf>
    <xf numFmtId="0" fontId="14" fillId="0" borderId="21" xfId="2" applyFont="1" applyBorder="1" applyAlignment="1">
      <alignment horizontal="left" vertical="center"/>
    </xf>
    <xf numFmtId="0" fontId="14" fillId="0" borderId="24" xfId="2" applyFont="1" applyBorder="1" applyAlignment="1">
      <alignment horizontal="left" vertical="center"/>
    </xf>
    <xf numFmtId="0" fontId="17" fillId="0" borderId="18" xfId="2" applyFont="1" applyBorder="1" applyAlignment="1">
      <alignment horizontal="left" vertical="center"/>
    </xf>
    <xf numFmtId="0" fontId="17" fillId="0" borderId="21" xfId="2" applyFont="1" applyBorder="1" applyAlignment="1">
      <alignment horizontal="left" vertical="center"/>
    </xf>
    <xf numFmtId="0" fontId="17" fillId="0" borderId="24" xfId="2" applyFont="1" applyBorder="1" applyAlignment="1">
      <alignment horizontal="left" vertical="center"/>
    </xf>
    <xf numFmtId="0" fontId="14" fillId="0" borderId="18" xfId="2" applyFont="1" applyBorder="1" applyAlignment="1">
      <alignment horizontal="left" vertical="center" wrapText="1"/>
    </xf>
    <xf numFmtId="0" fontId="14" fillId="0" borderId="21" xfId="2" applyFont="1" applyBorder="1" applyAlignment="1">
      <alignment horizontal="left" vertical="center" wrapText="1"/>
    </xf>
    <xf numFmtId="0" fontId="14" fillId="0" borderId="24" xfId="2" applyFont="1" applyBorder="1" applyAlignment="1">
      <alignment horizontal="left" vertical="center" wrapText="1"/>
    </xf>
    <xf numFmtId="0" fontId="32" fillId="14" borderId="4" xfId="2" applyFont="1" applyFill="1" applyBorder="1" applyAlignment="1">
      <alignment horizontal="left" vertical="center" wrapText="1"/>
    </xf>
    <xf numFmtId="0" fontId="35" fillId="0" borderId="4" xfId="2" applyFont="1" applyBorder="1" applyAlignment="1">
      <alignment horizontal="left" vertical="center" wrapText="1"/>
    </xf>
    <xf numFmtId="0" fontId="32" fillId="12" borderId="14" xfId="2" applyFont="1" applyFill="1" applyBorder="1" applyAlignment="1">
      <alignment horizontal="left" vertical="center" wrapText="1"/>
    </xf>
    <xf numFmtId="0" fontId="32" fillId="12" borderId="17" xfId="2" applyFont="1" applyFill="1" applyBorder="1" applyAlignment="1">
      <alignment horizontal="left" vertical="center" wrapText="1"/>
    </xf>
    <xf numFmtId="0" fontId="32" fillId="12" borderId="15" xfId="2" applyFont="1" applyFill="1" applyBorder="1" applyAlignment="1">
      <alignment horizontal="left" vertical="center" wrapText="1"/>
    </xf>
    <xf numFmtId="0" fontId="5" fillId="0" borderId="9"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16" xfId="2" applyFont="1" applyBorder="1" applyAlignment="1">
      <alignment horizontal="center" vertical="center"/>
    </xf>
    <xf numFmtId="0" fontId="5" fillId="0" borderId="13" xfId="2" applyFont="1" applyBorder="1" applyAlignment="1">
      <alignment horizontal="center" vertical="center"/>
    </xf>
    <xf numFmtId="0" fontId="5" fillId="0" borderId="4" xfId="2" applyFont="1" applyBorder="1" applyAlignment="1">
      <alignment vertical="center"/>
    </xf>
    <xf numFmtId="0" fontId="5" fillId="2" borderId="18" xfId="2" applyFont="1" applyFill="1" applyBorder="1" applyAlignment="1">
      <alignment horizontal="left" vertical="center" wrapText="1"/>
    </xf>
    <xf numFmtId="0" fontId="5" fillId="0" borderId="14" xfId="2" applyFont="1" applyBorder="1" applyAlignment="1">
      <alignment horizontal="left"/>
    </xf>
    <xf numFmtId="0" fontId="5" fillId="19" borderId="18" xfId="2" applyFont="1" applyFill="1" applyBorder="1" applyAlignment="1">
      <alignment horizontal="left" vertical="center" wrapText="1"/>
    </xf>
    <xf numFmtId="4" fontId="14" fillId="0" borderId="18" xfId="2" applyNumberFormat="1" applyFont="1" applyBorder="1" applyAlignment="1">
      <alignment horizontal="left" vertical="center" wrapText="1"/>
    </xf>
    <xf numFmtId="0" fontId="15" fillId="0" borderId="18" xfId="2" applyFont="1" applyBorder="1" applyAlignment="1">
      <alignment horizontal="left" vertical="center" wrapText="1"/>
    </xf>
    <xf numFmtId="0" fontId="5" fillId="0" borderId="9" xfId="2" applyFont="1" applyBorder="1" applyAlignment="1">
      <alignment horizontal="center" vertical="center"/>
    </xf>
    <xf numFmtId="14" fontId="5" fillId="0" borderId="9" xfId="2" applyNumberFormat="1" applyFont="1" applyBorder="1" applyAlignment="1">
      <alignment horizontal="center" vertical="center" wrapText="1"/>
    </xf>
    <xf numFmtId="14" fontId="5" fillId="0" borderId="16" xfId="2" applyNumberFormat="1" applyFont="1" applyBorder="1" applyAlignment="1">
      <alignment horizontal="center" vertical="center" wrapText="1"/>
    </xf>
    <xf numFmtId="14" fontId="5" fillId="0" borderId="13" xfId="2" applyNumberFormat="1" applyFont="1" applyBorder="1" applyAlignment="1">
      <alignment horizontal="center" vertical="center" wrapText="1"/>
    </xf>
    <xf numFmtId="0" fontId="9" fillId="13" borderId="4" xfId="2" applyFont="1" applyFill="1" applyBorder="1" applyAlignment="1">
      <alignment horizontal="left" vertical="center"/>
    </xf>
    <xf numFmtId="0" fontId="9" fillId="13" borderId="4" xfId="2" applyFont="1" applyFill="1" applyBorder="1" applyAlignment="1">
      <alignment horizontal="left" vertical="center" wrapText="1"/>
    </xf>
    <xf numFmtId="0" fontId="5" fillId="0" borderId="19" xfId="2" applyFont="1" applyBorder="1" applyAlignment="1">
      <alignment horizontal="left" vertical="center" wrapText="1"/>
    </xf>
    <xf numFmtId="0" fontId="5" fillId="0" borderId="4" xfId="2" applyFont="1" applyBorder="1" applyAlignment="1">
      <alignment horizontal="left" vertical="center"/>
    </xf>
    <xf numFmtId="0" fontId="5" fillId="8" borderId="4" xfId="2" applyFont="1" applyFill="1" applyBorder="1" applyAlignment="1">
      <alignment horizontal="left" vertical="center" wrapText="1"/>
    </xf>
    <xf numFmtId="0" fontId="9" fillId="13" borderId="8" xfId="2" applyFont="1" applyFill="1" applyBorder="1" applyAlignment="1">
      <alignment horizontal="left" vertical="center" wrapText="1"/>
    </xf>
    <xf numFmtId="0" fontId="9" fillId="0" borderId="18" xfId="2" applyFont="1" applyBorder="1" applyAlignment="1">
      <alignment horizontal="left" vertical="center" wrapText="1"/>
    </xf>
    <xf numFmtId="0" fontId="5" fillId="0" borderId="9" xfId="2" applyFont="1" applyBorder="1" applyAlignment="1">
      <alignment horizontal="left" vertical="center" wrapText="1"/>
    </xf>
    <xf numFmtId="0" fontId="5" fillId="0" borderId="16" xfId="2" applyFont="1" applyBorder="1" applyAlignment="1">
      <alignment horizontal="left" vertical="center" wrapText="1"/>
    </xf>
    <xf numFmtId="0" fontId="5" fillId="0" borderId="13" xfId="2" applyFont="1" applyBorder="1" applyAlignment="1">
      <alignment horizontal="left" vertical="center" wrapText="1"/>
    </xf>
    <xf numFmtId="0" fontId="9" fillId="0" borderId="4" xfId="2" applyFont="1" applyBorder="1" applyAlignment="1">
      <alignment horizontal="center" vertical="center" wrapText="1"/>
    </xf>
    <xf numFmtId="0" fontId="3" fillId="0" borderId="0" xfId="2" applyFont="1" applyAlignment="1">
      <alignment horizontal="center" vertical="center" wrapText="1"/>
    </xf>
    <xf numFmtId="0" fontId="6" fillId="3" borderId="1" xfId="2" applyFont="1" applyFill="1" applyBorder="1" applyAlignment="1">
      <alignment horizontal="center" vertical="center"/>
    </xf>
    <xf numFmtId="0" fontId="7" fillId="4" borderId="1" xfId="2" applyFont="1" applyFill="1" applyBorder="1" applyAlignment="1">
      <alignment horizontal="center"/>
    </xf>
    <xf numFmtId="164" fontId="3" fillId="0" borderId="1" xfId="2" applyNumberFormat="1" applyFont="1" applyBorder="1" applyAlignment="1">
      <alignment horizontal="center" vertical="center" wrapText="1"/>
    </xf>
    <xf numFmtId="164" fontId="3" fillId="0" borderId="5" xfId="2" applyNumberFormat="1" applyFont="1" applyBorder="1" applyAlignment="1">
      <alignment horizontal="center" vertical="center" wrapText="1"/>
    </xf>
    <xf numFmtId="0" fontId="11" fillId="11" borderId="1" xfId="2" applyFont="1" applyFill="1" applyBorder="1"/>
    <xf numFmtId="0" fontId="9" fillId="12" borderId="1" xfId="2" applyFont="1" applyFill="1" applyBorder="1" applyAlignment="1">
      <alignment horizontal="left" vertical="center"/>
    </xf>
    <xf numFmtId="4" fontId="4" fillId="0" borderId="15" xfId="2" applyNumberFormat="1" applyFont="1" applyBorder="1" applyAlignment="1">
      <alignment horizontal="right" vertical="center"/>
    </xf>
    <xf numFmtId="4" fontId="4" fillId="0" borderId="4" xfId="2" applyNumberFormat="1" applyFont="1" applyBorder="1" applyAlignment="1">
      <alignment horizontal="right" vertical="center"/>
    </xf>
    <xf numFmtId="4" fontId="0" fillId="0" borderId="15" xfId="2" applyNumberFormat="1" applyFont="1" applyBorder="1" applyAlignment="1">
      <alignment horizontal="right" vertical="center"/>
    </xf>
    <xf numFmtId="4" fontId="0" fillId="0" borderId="9" xfId="2" applyNumberFormat="1" applyFont="1" applyBorder="1" applyAlignment="1">
      <alignment horizontal="right" vertical="center"/>
    </xf>
    <xf numFmtId="4" fontId="0" fillId="0" borderId="16" xfId="2" applyNumberFormat="1" applyFont="1" applyBorder="1" applyAlignment="1">
      <alignment horizontal="right" vertical="center"/>
    </xf>
    <xf numFmtId="4" fontId="0" fillId="0" borderId="13" xfId="2" applyNumberFormat="1" applyFont="1" applyBorder="1" applyAlignment="1">
      <alignment horizontal="right" vertical="center"/>
    </xf>
    <xf numFmtId="0" fontId="10" fillId="0" borderId="9" xfId="2" applyFont="1" applyBorder="1" applyAlignment="1">
      <alignment horizontal="center" vertical="center"/>
    </xf>
    <xf numFmtId="0" fontId="10" fillId="0" borderId="16" xfId="2" applyFont="1" applyBorder="1" applyAlignment="1">
      <alignment horizontal="center" vertical="center"/>
    </xf>
    <xf numFmtId="0" fontId="10" fillId="0" borderId="13" xfId="2" applyFont="1" applyBorder="1" applyAlignment="1">
      <alignment horizontal="center" vertical="center"/>
    </xf>
    <xf numFmtId="14" fontId="10" fillId="0" borderId="9" xfId="2" applyNumberFormat="1" applyFont="1" applyBorder="1" applyAlignment="1">
      <alignment horizontal="center" vertical="center"/>
    </xf>
    <xf numFmtId="0" fontId="25" fillId="0" borderId="9" xfId="2" applyFont="1" applyBorder="1" applyAlignment="1">
      <alignment horizontal="center" vertical="center"/>
    </xf>
    <xf numFmtId="0" fontId="25" fillId="0" borderId="16" xfId="2" applyFont="1" applyBorder="1" applyAlignment="1">
      <alignment horizontal="center" vertical="center"/>
    </xf>
    <xf numFmtId="0" fontId="25" fillId="0" borderId="13" xfId="2" applyFont="1" applyBorder="1" applyAlignment="1">
      <alignment horizontal="center" vertical="center"/>
    </xf>
    <xf numFmtId="0" fontId="5" fillId="8" borderId="19" xfId="2" applyFont="1" applyFill="1" applyBorder="1" applyAlignment="1">
      <alignment horizontal="center" vertical="center" wrapText="1"/>
    </xf>
    <xf numFmtId="0" fontId="5" fillId="8" borderId="9" xfId="2" applyFont="1" applyFill="1" applyBorder="1" applyAlignment="1">
      <alignment horizontal="center" vertical="center"/>
    </xf>
    <xf numFmtId="4" fontId="5" fillId="8" borderId="9" xfId="2" applyNumberFormat="1" applyFont="1" applyFill="1" applyBorder="1" applyAlignment="1">
      <alignment horizontal="right" vertical="center"/>
    </xf>
    <xf numFmtId="4" fontId="5" fillId="8" borderId="9" xfId="1" applyNumberFormat="1" applyFont="1" applyFill="1" applyBorder="1" applyAlignment="1">
      <alignment horizontal="right" vertical="center"/>
    </xf>
    <xf numFmtId="14" fontId="5" fillId="8" borderId="9" xfId="2" applyNumberFormat="1" applyFont="1" applyFill="1" applyBorder="1" applyAlignment="1">
      <alignment horizontal="center" vertical="center"/>
    </xf>
    <xf numFmtId="4" fontId="15" fillId="0" borderId="9" xfId="1" applyNumberFormat="1" applyFont="1" applyFill="1" applyBorder="1" applyAlignment="1">
      <alignment horizontal="right" vertical="center"/>
    </xf>
    <xf numFmtId="4" fontId="15" fillId="0" borderId="16" xfId="1" applyNumberFormat="1" applyFont="1" applyFill="1" applyBorder="1" applyAlignment="1">
      <alignment horizontal="right" vertical="center"/>
    </xf>
    <xf numFmtId="4" fontId="15" fillId="0" borderId="13" xfId="1" applyNumberFormat="1" applyFont="1" applyFill="1" applyBorder="1" applyAlignment="1">
      <alignment horizontal="right" vertical="center"/>
    </xf>
    <xf numFmtId="4" fontId="33" fillId="0" borderId="18" xfId="2" applyNumberFormat="1" applyFont="1" applyBorder="1" applyAlignment="1">
      <alignment horizontal="right" vertical="center"/>
    </xf>
    <xf numFmtId="4" fontId="33" fillId="0" borderId="21" xfId="2" applyNumberFormat="1" applyFont="1" applyBorder="1" applyAlignment="1">
      <alignment horizontal="right" vertical="center"/>
    </xf>
    <xf numFmtId="4" fontId="33" fillId="0" borderId="24" xfId="2" applyNumberFormat="1" applyFont="1" applyBorder="1" applyAlignment="1">
      <alignment horizontal="right" vertical="center"/>
    </xf>
    <xf numFmtId="4" fontId="25" fillId="0" borderId="9" xfId="2" applyNumberFormat="1" applyFont="1" applyBorder="1" applyAlignment="1">
      <alignment horizontal="center" vertical="center"/>
    </xf>
    <xf numFmtId="4" fontId="25" fillId="0" borderId="16" xfId="2" applyNumberFormat="1" applyFont="1" applyBorder="1" applyAlignment="1">
      <alignment horizontal="center" vertical="center"/>
    </xf>
    <xf numFmtId="4" fontId="25" fillId="0" borderId="13" xfId="2" applyNumberFormat="1" applyFont="1" applyBorder="1" applyAlignment="1">
      <alignment horizontal="center" vertical="center"/>
    </xf>
    <xf numFmtId="4" fontId="40" fillId="0" borderId="9" xfId="2" applyNumberFormat="1" applyFont="1" applyBorder="1" applyAlignment="1">
      <alignment horizontal="center" vertical="center"/>
    </xf>
    <xf numFmtId="4" fontId="40" fillId="0" borderId="16" xfId="2" applyNumberFormat="1" applyFont="1" applyBorder="1" applyAlignment="1">
      <alignment horizontal="center" vertical="center"/>
    </xf>
    <xf numFmtId="4" fontId="40" fillId="0" borderId="13" xfId="2" applyNumberFormat="1" applyFont="1" applyBorder="1" applyAlignment="1">
      <alignment horizontal="center" vertical="center"/>
    </xf>
    <xf numFmtId="4" fontId="38" fillId="0" borderId="18" xfId="2" applyNumberFormat="1" applyFont="1" applyBorder="1" applyAlignment="1">
      <alignment horizontal="center" vertical="center"/>
    </xf>
    <xf numFmtId="4" fontId="38" fillId="0" borderId="21" xfId="2" applyNumberFormat="1" applyFont="1" applyBorder="1" applyAlignment="1">
      <alignment horizontal="center" vertical="center"/>
    </xf>
    <xf numFmtId="4" fontId="38" fillId="0" borderId="24" xfId="2" applyNumberFormat="1" applyFont="1" applyBorder="1" applyAlignment="1">
      <alignment horizontal="center" vertical="center"/>
    </xf>
    <xf numFmtId="0" fontId="17" fillId="0" borderId="18" xfId="2" applyFont="1" applyBorder="1" applyAlignment="1">
      <alignment horizontal="center" vertical="center"/>
    </xf>
    <xf numFmtId="0" fontId="17" fillId="0" borderId="21" xfId="2" applyFont="1" applyBorder="1" applyAlignment="1">
      <alignment horizontal="center" vertical="center"/>
    </xf>
    <xf numFmtId="0" fontId="17" fillId="0" borderId="24" xfId="2" applyFont="1" applyBorder="1" applyAlignment="1">
      <alignment horizontal="center" vertical="center"/>
    </xf>
    <xf numFmtId="4" fontId="5" fillId="0" borderId="9" xfId="2" applyNumberFormat="1" applyFont="1" applyBorder="1" applyAlignment="1">
      <alignment horizontal="right" vertical="center"/>
    </xf>
    <xf numFmtId="0" fontId="11" fillId="11" borderId="1" xfId="2" applyFont="1" applyFill="1" applyBorder="1" applyAlignment="1">
      <alignment vertical="center"/>
    </xf>
    <xf numFmtId="0" fontId="25" fillId="34" borderId="9" xfId="2" applyFont="1" applyFill="1" applyBorder="1" applyAlignment="1">
      <alignment horizontal="center" vertical="center" wrapText="1"/>
    </xf>
    <xf numFmtId="0" fontId="25" fillId="0" borderId="16" xfId="2" applyFont="1" applyBorder="1" applyAlignment="1">
      <alignment horizontal="center" vertical="center" wrapText="1"/>
    </xf>
    <xf numFmtId="0" fontId="25" fillId="0" borderId="13" xfId="2" applyFont="1" applyBorder="1" applyAlignment="1">
      <alignment horizontal="center" vertical="center" wrapText="1"/>
    </xf>
    <xf numFmtId="4" fontId="25" fillId="29" borderId="9" xfId="2" applyNumberFormat="1" applyFont="1" applyFill="1" applyBorder="1" applyAlignment="1">
      <alignment horizontal="center" vertical="center"/>
    </xf>
    <xf numFmtId="4" fontId="25" fillId="29" borderId="16" xfId="2" applyNumberFormat="1" applyFont="1" applyFill="1" applyBorder="1" applyAlignment="1">
      <alignment horizontal="center" vertical="center"/>
    </xf>
    <xf numFmtId="4" fontId="25" fillId="29" borderId="13" xfId="2" applyNumberFormat="1" applyFont="1" applyFill="1" applyBorder="1" applyAlignment="1">
      <alignment horizontal="center" vertical="center"/>
    </xf>
    <xf numFmtId="4" fontId="31" fillId="0" borderId="37" xfId="2" applyNumberFormat="1" applyFont="1" applyBorder="1" applyAlignment="1">
      <alignment horizontal="center" vertical="center"/>
    </xf>
    <xf numFmtId="4" fontId="31" fillId="0" borderId="16" xfId="2" applyNumberFormat="1" applyFont="1" applyBorder="1" applyAlignment="1">
      <alignment horizontal="center" vertical="center"/>
    </xf>
    <xf numFmtId="4" fontId="31" fillId="0" borderId="38" xfId="2" applyNumberFormat="1" applyFont="1" applyBorder="1" applyAlignment="1">
      <alignment horizontal="center" vertical="center"/>
    </xf>
    <xf numFmtId="3" fontId="25" fillId="34" borderId="9" xfId="2" applyNumberFormat="1" applyFont="1" applyFill="1" applyBorder="1" applyAlignment="1">
      <alignment horizontal="center" vertical="center"/>
    </xf>
    <xf numFmtId="3" fontId="25" fillId="34" borderId="16" xfId="2" applyNumberFormat="1" applyFont="1" applyFill="1" applyBorder="1" applyAlignment="1">
      <alignment horizontal="center" vertical="center"/>
    </xf>
    <xf numFmtId="3" fontId="25" fillId="34" borderId="13" xfId="2" applyNumberFormat="1" applyFont="1" applyFill="1" applyBorder="1" applyAlignment="1">
      <alignment horizontal="center" vertical="center"/>
    </xf>
    <xf numFmtId="0" fontId="0" fillId="0" borderId="28" xfId="0" applyBorder="1" applyAlignment="1">
      <alignment horizontal="left" vertical="center"/>
    </xf>
    <xf numFmtId="0" fontId="0" fillId="0" borderId="4"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20" fillId="28" borderId="25" xfId="0" applyFont="1" applyFill="1" applyBorder="1" applyAlignment="1">
      <alignment horizontal="center" vertical="center"/>
    </xf>
    <xf numFmtId="0" fontId="20" fillId="28" borderId="26" xfId="0" applyFont="1" applyFill="1" applyBorder="1" applyAlignment="1">
      <alignment horizontal="center" vertical="center"/>
    </xf>
    <xf numFmtId="0" fontId="22" fillId="34" borderId="20" xfId="0" applyFont="1" applyFill="1" applyBorder="1" applyAlignment="1">
      <alignment horizontal="center" vertical="center"/>
    </xf>
    <xf numFmtId="0" fontId="22" fillId="34" borderId="0" xfId="0" applyFont="1" applyFill="1" applyAlignment="1">
      <alignment horizontal="center" vertical="center"/>
    </xf>
    <xf numFmtId="0" fontId="22" fillId="2" borderId="0" xfId="0" applyFont="1" applyFill="1" applyAlignment="1">
      <alignment horizontal="center"/>
    </xf>
    <xf numFmtId="0" fontId="22" fillId="21" borderId="0" xfId="0" applyFont="1" applyFill="1" applyAlignment="1">
      <alignment horizontal="center"/>
    </xf>
    <xf numFmtId="0" fontId="26" fillId="32" borderId="14" xfId="0" applyFont="1" applyFill="1" applyBorder="1" applyAlignment="1">
      <alignment horizontal="center" wrapText="1"/>
    </xf>
    <xf numFmtId="0" fontId="26" fillId="32" borderId="15" xfId="0" applyFont="1" applyFill="1" applyBorder="1" applyAlignment="1">
      <alignment horizontal="center" wrapText="1"/>
    </xf>
    <xf numFmtId="0" fontId="28" fillId="0" borderId="23" xfId="0" applyFont="1" applyBorder="1" applyAlignment="1">
      <alignment horizontal="center" wrapText="1"/>
    </xf>
    <xf numFmtId="44" fontId="29" fillId="24" borderId="14" xfId="0" applyNumberFormat="1" applyFont="1" applyFill="1" applyBorder="1" applyAlignment="1">
      <alignment horizontal="center" vertical="center"/>
    </xf>
    <xf numFmtId="44" fontId="29" fillId="24" borderId="17" xfId="0" applyNumberFormat="1" applyFont="1" applyFill="1" applyBorder="1" applyAlignment="1">
      <alignment horizontal="center" vertical="center"/>
    </xf>
    <xf numFmtId="44" fontId="29" fillId="24" borderId="15" xfId="0" applyNumberFormat="1" applyFont="1" applyFill="1" applyBorder="1" applyAlignment="1">
      <alignment horizontal="center" vertical="center"/>
    </xf>
    <xf numFmtId="0" fontId="30" fillId="30" borderId="14" xfId="0" applyFont="1" applyFill="1" applyBorder="1" applyAlignment="1">
      <alignment horizontal="center" vertical="center"/>
    </xf>
    <xf numFmtId="0" fontId="30" fillId="30" borderId="15" xfId="0" applyFont="1" applyFill="1" applyBorder="1" applyAlignment="1">
      <alignment horizontal="center" vertical="center"/>
    </xf>
    <xf numFmtId="171" fontId="5" fillId="0" borderId="0" xfId="2" applyNumberFormat="1" applyFont="1" applyAlignment="1">
      <alignment vertical="center"/>
    </xf>
  </cellXfs>
  <cellStyles count="6">
    <cellStyle name="Comma 2" xfId="4" xr:uid="{307CF6AF-6AA2-4156-8727-B0AC7EE3FDF0}"/>
    <cellStyle name="Currency 2" xfId="3" xr:uid="{D550B56B-28DF-4ED8-94DE-9FB85AD39EF3}"/>
    <cellStyle name="Millares" xfId="1" builtinId="3"/>
    <cellStyle name="Normal" xfId="0" builtinId="0"/>
    <cellStyle name="Normal 2" xfId="2" xr:uid="{2E882C1D-7BE0-441C-9E34-90CB8251496B}"/>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428626</xdr:rowOff>
    </xdr:from>
    <xdr:to>
      <xdr:col>1</xdr:col>
      <xdr:colOff>171450</xdr:colOff>
      <xdr:row>1</xdr:row>
      <xdr:rowOff>323850</xdr:rowOff>
    </xdr:to>
    <xdr:pic>
      <xdr:nvPicPr>
        <xdr:cNvPr id="2" name="image1.png">
          <a:extLst>
            <a:ext uri="{FF2B5EF4-FFF2-40B4-BE49-F238E27FC236}">
              <a16:creationId xmlns:a16="http://schemas.microsoft.com/office/drawing/2014/main" id="{4F147C2E-EF86-4AE8-A077-417234EA2F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428626"/>
          <a:ext cx="1066800" cy="619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308984</xdr:colOff>
      <xdr:row>10</xdr:row>
      <xdr:rowOff>277090</xdr:rowOff>
    </xdr:from>
    <xdr:ext cx="782062" cy="680357"/>
    <xdr:pic>
      <xdr:nvPicPr>
        <xdr:cNvPr id="2" name="image2.png">
          <a:extLst>
            <a:ext uri="{FF2B5EF4-FFF2-40B4-BE49-F238E27FC236}">
              <a16:creationId xmlns:a16="http://schemas.microsoft.com/office/drawing/2014/main" id="{AB21A345-2548-43F2-8F63-76FE77F7601A}"/>
            </a:ext>
          </a:extLst>
        </xdr:cNvPr>
        <xdr:cNvPicPr preferRelativeResize="0"/>
      </xdr:nvPicPr>
      <xdr:blipFill>
        <a:blip xmlns:r="http://schemas.openxmlformats.org/officeDocument/2006/relationships" r:embed="rId1" cstate="print"/>
        <a:stretch>
          <a:fillRect/>
        </a:stretch>
      </xdr:blipFill>
      <xdr:spPr>
        <a:xfrm>
          <a:off x="7351134" y="277090"/>
          <a:ext cx="782062" cy="680357"/>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10</xdr:col>
      <xdr:colOff>308984</xdr:colOff>
      <xdr:row>10</xdr:row>
      <xdr:rowOff>277090</xdr:rowOff>
    </xdr:from>
    <xdr:ext cx="782062" cy="680357"/>
    <xdr:pic>
      <xdr:nvPicPr>
        <xdr:cNvPr id="2" name="image2.png">
          <a:extLst>
            <a:ext uri="{FF2B5EF4-FFF2-40B4-BE49-F238E27FC236}">
              <a16:creationId xmlns:a16="http://schemas.microsoft.com/office/drawing/2014/main" id="{3A6918D5-D004-49D8-B388-FB125DBCFB4E}"/>
            </a:ext>
          </a:extLst>
        </xdr:cNvPr>
        <xdr:cNvPicPr preferRelativeResize="0"/>
      </xdr:nvPicPr>
      <xdr:blipFill>
        <a:blip xmlns:r="http://schemas.openxmlformats.org/officeDocument/2006/relationships" r:embed="rId1" cstate="print"/>
        <a:stretch>
          <a:fillRect/>
        </a:stretch>
      </xdr:blipFill>
      <xdr:spPr>
        <a:xfrm>
          <a:off x="2802802" y="277090"/>
          <a:ext cx="782062" cy="680357"/>
        </a:xfrm>
        <a:prstGeom prst="rect">
          <a:avLst/>
        </a:prstGeom>
        <a:noFill/>
      </xdr:spPr>
    </xdr:pic>
    <xdr:clientData fLocksWithSheet="0"/>
  </xdr:oneCellAnchor>
  <xdr:twoCellAnchor editAs="oneCell">
    <xdr:from>
      <xdr:col>10</xdr:col>
      <xdr:colOff>2657819</xdr:colOff>
      <xdr:row>10</xdr:row>
      <xdr:rowOff>207818</xdr:rowOff>
    </xdr:from>
    <xdr:to>
      <xdr:col>10</xdr:col>
      <xdr:colOff>3889259</xdr:colOff>
      <xdr:row>10</xdr:row>
      <xdr:rowOff>803130</xdr:rowOff>
    </xdr:to>
    <xdr:pic>
      <xdr:nvPicPr>
        <xdr:cNvPr id="3" name="Imagen 4">
          <a:extLst>
            <a:ext uri="{FF2B5EF4-FFF2-40B4-BE49-F238E27FC236}">
              <a16:creationId xmlns:a16="http://schemas.microsoft.com/office/drawing/2014/main" id="{C9559148-9A4E-4FC5-BF37-305C5346A05B}"/>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266" b="8719"/>
        <a:stretch/>
      </xdr:blipFill>
      <xdr:spPr bwMode="auto">
        <a:xfrm>
          <a:off x="8453539" y="207818"/>
          <a:ext cx="1235250" cy="59531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308984</xdr:colOff>
      <xdr:row>10</xdr:row>
      <xdr:rowOff>277090</xdr:rowOff>
    </xdr:from>
    <xdr:ext cx="782062" cy="680357"/>
    <xdr:pic>
      <xdr:nvPicPr>
        <xdr:cNvPr id="2" name="image2.png">
          <a:extLst>
            <a:ext uri="{FF2B5EF4-FFF2-40B4-BE49-F238E27FC236}">
              <a16:creationId xmlns:a16="http://schemas.microsoft.com/office/drawing/2014/main" id="{A53CE8FA-9A3F-485A-852B-3B1DD2F99EF7}"/>
            </a:ext>
          </a:extLst>
        </xdr:cNvPr>
        <xdr:cNvPicPr preferRelativeResize="0"/>
      </xdr:nvPicPr>
      <xdr:blipFill>
        <a:blip xmlns:r="http://schemas.openxmlformats.org/officeDocument/2006/relationships" r:embed="rId1" cstate="print"/>
        <a:stretch>
          <a:fillRect/>
        </a:stretch>
      </xdr:blipFill>
      <xdr:spPr>
        <a:xfrm>
          <a:off x="6062084" y="277090"/>
          <a:ext cx="782062" cy="68035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operaciones/Documentos%20compartidos/Planificacion/A&#209;O%202023/POA%202023/POA%202022/POA%20Versiones%20anteriores/Analisis/Analisis%20para%20el%20BID%20POA%202022%20%20AA%20CC%20tecni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operaciones/Documentos%20compartidos/Planificacion/A&#209;O%202023/POA%202023/POA%202022/Libramientos%202022/POA%20Versiones%20anteriores/Analisis/Analisis%20para%20el%20BID%20POA%202022%20%20AA%20CC%20tecn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2022 ANALISIS"/>
      <sheetName val="POA 2022 METAS"/>
      <sheetName val="1.0MM Trimestral"/>
      <sheetName val="POA 2022 ESTRATEGIA"/>
      <sheetName val="1.0MM Trimestral ESTRATEGIA"/>
      <sheetName val="1.0MM"/>
      <sheetName val="2.3MM"/>
      <sheetName val="AMBAS"/>
      <sheetName val="P.A."/>
      <sheetName val="Analitica"/>
      <sheetName val="Estrategia"/>
      <sheetName val="POA 2022 MODIFICACIONES"/>
      <sheetName val="BS"/>
      <sheetName val="Sheet1"/>
    </sheetNames>
    <sheetDataSet>
      <sheetData sheetId="0">
        <row r="16">
          <cell r="Y16">
            <v>1742053.35</v>
          </cell>
        </row>
        <row r="1022">
          <cell r="Y1022">
            <v>0</v>
          </cell>
        </row>
        <row r="1486">
          <cell r="Y148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2022 ANALISIS"/>
      <sheetName val="POA 2022 METAS"/>
      <sheetName val="1.0MM Trimestral"/>
      <sheetName val="POA 2022 ESTRATEGIA"/>
      <sheetName val="1.0MM Trimestral ESTRATEGIA"/>
      <sheetName val="1.0MM"/>
      <sheetName val="2.3MM"/>
      <sheetName val="AMBAS"/>
      <sheetName val="P.A."/>
      <sheetName val="Analitica"/>
      <sheetName val="Estrategia"/>
      <sheetName val="POA 2022 MODIFICACIONES"/>
      <sheetName val="BS"/>
      <sheetName val="Sheet1"/>
    </sheetNames>
    <sheetDataSet>
      <sheetData sheetId="0">
        <row r="16">
          <cell r="Y16">
            <v>1742053.35</v>
          </cell>
        </row>
        <row r="17">
          <cell r="Y17">
            <v>170000</v>
          </cell>
        </row>
        <row r="75">
          <cell r="Y75">
            <v>740583.49000000011</v>
          </cell>
        </row>
        <row r="147">
          <cell r="Y147">
            <v>831469.86</v>
          </cell>
        </row>
        <row r="149">
          <cell r="Y149">
            <v>0</v>
          </cell>
        </row>
        <row r="170">
          <cell r="Y170">
            <v>1000000</v>
          </cell>
        </row>
        <row r="179">
          <cell r="Y179">
            <v>5786000</v>
          </cell>
        </row>
        <row r="182">
          <cell r="Y182">
            <v>1446500</v>
          </cell>
        </row>
        <row r="183">
          <cell r="Y183">
            <v>437500</v>
          </cell>
        </row>
        <row r="184">
          <cell r="Y184">
            <v>8333175</v>
          </cell>
        </row>
        <row r="185">
          <cell r="Y185">
            <v>250000</v>
          </cell>
        </row>
        <row r="186">
          <cell r="Y186">
            <v>200000</v>
          </cell>
        </row>
        <row r="187">
          <cell r="Y187">
            <v>30000</v>
          </cell>
        </row>
        <row r="188">
          <cell r="Y188">
            <v>30000</v>
          </cell>
        </row>
        <row r="189">
          <cell r="Y189">
            <v>30000</v>
          </cell>
        </row>
        <row r="190">
          <cell r="Y190">
            <v>10000</v>
          </cell>
        </row>
        <row r="193">
          <cell r="Y193">
            <v>300000</v>
          </cell>
        </row>
        <row r="194">
          <cell r="Y194">
            <v>1750000</v>
          </cell>
        </row>
        <row r="195">
          <cell r="Y195">
            <v>200000</v>
          </cell>
        </row>
        <row r="199">
          <cell r="Y199">
            <v>831850</v>
          </cell>
        </row>
        <row r="202">
          <cell r="Y202">
            <v>139100</v>
          </cell>
        </row>
        <row r="203">
          <cell r="Y203">
            <v>437500</v>
          </cell>
        </row>
        <row r="204">
          <cell r="Y204">
            <v>8670375</v>
          </cell>
        </row>
        <row r="206">
          <cell r="Y206">
            <v>250000</v>
          </cell>
        </row>
        <row r="207">
          <cell r="Y207">
            <v>200000</v>
          </cell>
        </row>
        <row r="208">
          <cell r="Y208">
            <v>30000</v>
          </cell>
        </row>
        <row r="209">
          <cell r="Y209">
            <v>10000</v>
          </cell>
        </row>
        <row r="210">
          <cell r="Y210">
            <v>30000</v>
          </cell>
        </row>
        <row r="211">
          <cell r="Y211">
            <v>10000</v>
          </cell>
        </row>
        <row r="214">
          <cell r="Y214">
            <v>300000</v>
          </cell>
        </row>
        <row r="215">
          <cell r="Y215">
            <v>1497216.06</v>
          </cell>
        </row>
        <row r="216">
          <cell r="Y216">
            <v>200000</v>
          </cell>
        </row>
        <row r="220">
          <cell r="Y220">
            <v>4221900</v>
          </cell>
        </row>
        <row r="223">
          <cell r="Y223">
            <v>711900</v>
          </cell>
        </row>
        <row r="224">
          <cell r="Y224">
            <v>437500</v>
          </cell>
        </row>
        <row r="225">
          <cell r="Y225">
            <v>10527300</v>
          </cell>
        </row>
        <row r="226">
          <cell r="Y226">
            <v>250000</v>
          </cell>
        </row>
        <row r="227">
          <cell r="Y227">
            <v>200000</v>
          </cell>
        </row>
        <row r="228">
          <cell r="Y228">
            <v>30000</v>
          </cell>
        </row>
        <row r="229">
          <cell r="Y229">
            <v>10000</v>
          </cell>
        </row>
        <row r="230">
          <cell r="Y230">
            <v>30000</v>
          </cell>
        </row>
        <row r="233">
          <cell r="Y233">
            <v>200000</v>
          </cell>
        </row>
        <row r="234">
          <cell r="Y234">
            <v>1750000</v>
          </cell>
        </row>
        <row r="235">
          <cell r="Y235">
            <v>200000</v>
          </cell>
        </row>
        <row r="240">
          <cell r="Y240">
            <v>911133.33333333337</v>
          </cell>
        </row>
        <row r="244">
          <cell r="Y244">
            <v>228700</v>
          </cell>
        </row>
        <row r="247">
          <cell r="Y247">
            <v>437500</v>
          </cell>
        </row>
        <row r="248">
          <cell r="Y248">
            <v>10590300</v>
          </cell>
        </row>
        <row r="249">
          <cell r="Y249">
            <v>250000</v>
          </cell>
        </row>
        <row r="250">
          <cell r="Y250">
            <v>200000</v>
          </cell>
        </row>
        <row r="251">
          <cell r="Y251">
            <v>30000</v>
          </cell>
        </row>
        <row r="252">
          <cell r="Y252">
            <v>10000</v>
          </cell>
        </row>
        <row r="253">
          <cell r="Y253">
            <v>30000</v>
          </cell>
        </row>
        <row r="256">
          <cell r="Y256">
            <v>200000</v>
          </cell>
        </row>
        <row r="258">
          <cell r="Y258">
            <v>1750000</v>
          </cell>
        </row>
        <row r="259">
          <cell r="Y259">
            <v>200000</v>
          </cell>
        </row>
        <row r="265">
          <cell r="Y265">
            <v>1666666.6666666667</v>
          </cell>
        </row>
        <row r="270">
          <cell r="Y270">
            <v>192500</v>
          </cell>
        </row>
        <row r="271">
          <cell r="Y271">
            <v>437500</v>
          </cell>
        </row>
        <row r="274">
          <cell r="Y274">
            <v>125000</v>
          </cell>
        </row>
        <row r="275">
          <cell r="Y275">
            <v>200000</v>
          </cell>
        </row>
        <row r="282">
          <cell r="Y282">
            <v>200000</v>
          </cell>
        </row>
        <row r="284">
          <cell r="Y284">
            <v>1750000</v>
          </cell>
        </row>
        <row r="285">
          <cell r="Y285">
            <v>200000</v>
          </cell>
        </row>
        <row r="289">
          <cell r="Y289">
            <v>1233666.6666666667</v>
          </cell>
        </row>
        <row r="292">
          <cell r="Y292">
            <v>175750</v>
          </cell>
        </row>
        <row r="293">
          <cell r="Y293">
            <v>437500</v>
          </cell>
        </row>
        <row r="295">
          <cell r="Y295">
            <v>8094570</v>
          </cell>
        </row>
        <row r="298">
          <cell r="Y298">
            <v>250000</v>
          </cell>
        </row>
        <row r="299">
          <cell r="Y299">
            <v>200000</v>
          </cell>
        </row>
        <row r="303">
          <cell r="Y303">
            <v>30000</v>
          </cell>
        </row>
        <row r="304">
          <cell r="Y304">
            <v>10000</v>
          </cell>
        </row>
        <row r="305">
          <cell r="Y305">
            <v>30000</v>
          </cell>
        </row>
        <row r="309">
          <cell r="Y309">
            <v>0</v>
          </cell>
        </row>
        <row r="310">
          <cell r="Y310">
            <v>200000</v>
          </cell>
        </row>
        <row r="312">
          <cell r="Y312">
            <v>1750000</v>
          </cell>
        </row>
        <row r="313">
          <cell r="Y313">
            <v>200000</v>
          </cell>
        </row>
        <row r="318">
          <cell r="Y318">
            <v>6575266.666666667</v>
          </cell>
        </row>
        <row r="322">
          <cell r="Y322">
            <v>641600</v>
          </cell>
        </row>
        <row r="323">
          <cell r="Y323">
            <v>437500</v>
          </cell>
        </row>
        <row r="324">
          <cell r="Y324">
            <v>7821450</v>
          </cell>
        </row>
        <row r="326">
          <cell r="Y326">
            <v>250000</v>
          </cell>
        </row>
        <row r="327">
          <cell r="Y327">
            <v>200000</v>
          </cell>
        </row>
        <row r="328">
          <cell r="Y328">
            <v>30000</v>
          </cell>
        </row>
        <row r="329">
          <cell r="Y329">
            <v>10000</v>
          </cell>
        </row>
        <row r="330">
          <cell r="Y330">
            <v>30000</v>
          </cell>
        </row>
        <row r="332">
          <cell r="Y332">
            <v>0</v>
          </cell>
        </row>
        <row r="333">
          <cell r="Y333">
            <v>200000</v>
          </cell>
        </row>
        <row r="335">
          <cell r="Y335">
            <v>1750000</v>
          </cell>
        </row>
        <row r="336">
          <cell r="Y336">
            <v>200000</v>
          </cell>
        </row>
        <row r="339">
          <cell r="Y339">
            <v>364126182.46999979</v>
          </cell>
        </row>
        <row r="593">
          <cell r="Y593">
            <v>35000</v>
          </cell>
        </row>
        <row r="601">
          <cell r="Y601">
            <v>35000</v>
          </cell>
        </row>
        <row r="614">
          <cell r="Y614">
            <v>169639255.68000001</v>
          </cell>
        </row>
        <row r="622">
          <cell r="Y622">
            <v>0</v>
          </cell>
        </row>
        <row r="628">
          <cell r="Y628">
            <v>0</v>
          </cell>
        </row>
        <row r="634">
          <cell r="Y634">
            <v>0</v>
          </cell>
        </row>
        <row r="640">
          <cell r="Y640">
            <v>0</v>
          </cell>
        </row>
        <row r="646">
          <cell r="Y646">
            <v>0</v>
          </cell>
        </row>
        <row r="651">
          <cell r="Y651">
            <v>0</v>
          </cell>
        </row>
        <row r="656">
          <cell r="Y656">
            <v>0</v>
          </cell>
        </row>
        <row r="661">
          <cell r="Y661">
            <v>0</v>
          </cell>
        </row>
        <row r="668">
          <cell r="Y668">
            <v>1500000</v>
          </cell>
        </row>
        <row r="669">
          <cell r="Y669">
            <v>1500000</v>
          </cell>
        </row>
        <row r="670">
          <cell r="Y670">
            <v>1400171.43</v>
          </cell>
        </row>
        <row r="671">
          <cell r="Y671">
            <v>1400171.43</v>
          </cell>
        </row>
        <row r="672">
          <cell r="Y672">
            <v>1400171.43</v>
          </cell>
        </row>
        <row r="673">
          <cell r="Y673">
            <v>1400171.43</v>
          </cell>
        </row>
        <row r="674">
          <cell r="Y674">
            <v>1400171.43</v>
          </cell>
        </row>
        <row r="675">
          <cell r="Y675">
            <v>0</v>
          </cell>
        </row>
        <row r="676">
          <cell r="Y676">
            <v>0</v>
          </cell>
        </row>
        <row r="677">
          <cell r="Y677">
            <v>0</v>
          </cell>
        </row>
        <row r="706">
          <cell r="Y706">
            <v>2550000</v>
          </cell>
        </row>
        <row r="709">
          <cell r="Y709">
            <v>2040000</v>
          </cell>
        </row>
        <row r="712">
          <cell r="Y712">
            <v>2550000</v>
          </cell>
        </row>
        <row r="715">
          <cell r="Y715">
            <v>1770000</v>
          </cell>
        </row>
        <row r="718">
          <cell r="Y718">
            <v>1500000</v>
          </cell>
        </row>
        <row r="721">
          <cell r="Y721">
            <v>2340000</v>
          </cell>
        </row>
        <row r="724">
          <cell r="Y724">
            <v>1140000</v>
          </cell>
        </row>
        <row r="727">
          <cell r="Y727">
            <v>0</v>
          </cell>
        </row>
        <row r="730">
          <cell r="Y730">
            <v>0</v>
          </cell>
        </row>
        <row r="733">
          <cell r="Y733">
            <v>0</v>
          </cell>
        </row>
        <row r="736">
          <cell r="Y736">
            <v>0</v>
          </cell>
        </row>
        <row r="739">
          <cell r="Y739">
            <v>0</v>
          </cell>
        </row>
        <row r="742">
          <cell r="Y742">
            <v>0</v>
          </cell>
        </row>
        <row r="745">
          <cell r="Y745">
            <v>0</v>
          </cell>
        </row>
        <row r="748">
          <cell r="Y748">
            <v>0</v>
          </cell>
        </row>
        <row r="751">
          <cell r="Y751">
            <v>0</v>
          </cell>
        </row>
        <row r="755">
          <cell r="Y755">
            <v>15000000</v>
          </cell>
        </row>
        <row r="766">
          <cell r="Y766">
            <v>0</v>
          </cell>
        </row>
        <row r="768">
          <cell r="Y768">
            <v>0</v>
          </cell>
        </row>
        <row r="770">
          <cell r="Y770">
            <v>5437499.9850000031</v>
          </cell>
        </row>
        <row r="792">
          <cell r="Y792">
            <v>0</v>
          </cell>
        </row>
        <row r="800">
          <cell r="Y800">
            <v>0</v>
          </cell>
        </row>
        <row r="803">
          <cell r="Y803">
            <v>0</v>
          </cell>
        </row>
        <row r="806">
          <cell r="Y806">
            <v>1312139.55</v>
          </cell>
        </row>
        <row r="866">
          <cell r="Y866">
            <v>0</v>
          </cell>
        </row>
        <row r="870">
          <cell r="Y870">
            <v>5598544.6060591321</v>
          </cell>
        </row>
        <row r="875">
          <cell r="Y875">
            <v>0</v>
          </cell>
        </row>
        <row r="891">
          <cell r="Y891">
            <v>3551216.5</v>
          </cell>
        </row>
        <row r="910">
          <cell r="Y910">
            <v>1710000</v>
          </cell>
        </row>
        <row r="915">
          <cell r="Y915">
            <v>950000</v>
          </cell>
        </row>
        <row r="932">
          <cell r="Y932">
            <v>0</v>
          </cell>
        </row>
        <row r="965">
          <cell r="Y965">
            <v>0</v>
          </cell>
        </row>
        <row r="970">
          <cell r="Y970">
            <v>77887254.920000002</v>
          </cell>
        </row>
        <row r="988">
          <cell r="Y988">
            <v>0</v>
          </cell>
        </row>
        <row r="1000">
          <cell r="Y1000">
            <v>0</v>
          </cell>
        </row>
        <row r="1055">
          <cell r="Y1055">
            <v>0</v>
          </cell>
        </row>
        <row r="1056">
          <cell r="Y1056">
            <v>20065566.664999999</v>
          </cell>
        </row>
        <row r="1057">
          <cell r="Y1057">
            <v>2985000</v>
          </cell>
        </row>
        <row r="1058">
          <cell r="Y1058">
            <v>0</v>
          </cell>
        </row>
        <row r="1059">
          <cell r="Y1059">
            <v>958200</v>
          </cell>
        </row>
        <row r="1060">
          <cell r="Y1060">
            <v>285000</v>
          </cell>
        </row>
        <row r="1066">
          <cell r="Y1066">
            <v>0</v>
          </cell>
        </row>
        <row r="1067">
          <cell r="Y1067">
            <v>4500000</v>
          </cell>
        </row>
        <row r="1068">
          <cell r="Y1068">
            <v>342000</v>
          </cell>
        </row>
        <row r="1069">
          <cell r="Y1069">
            <v>30250</v>
          </cell>
        </row>
        <row r="1070">
          <cell r="Y1070">
            <v>7655162.5199999996</v>
          </cell>
        </row>
        <row r="1071">
          <cell r="Y1071">
            <v>0</v>
          </cell>
        </row>
        <row r="1089">
          <cell r="Y1089">
            <v>27255363.57</v>
          </cell>
        </row>
        <row r="1104">
          <cell r="Y1104">
            <v>0</v>
          </cell>
        </row>
        <row r="1106">
          <cell r="Y1106">
            <v>0</v>
          </cell>
        </row>
        <row r="1109">
          <cell r="Y1109">
            <v>0</v>
          </cell>
        </row>
        <row r="1110">
          <cell r="Y1110">
            <v>1638726.22</v>
          </cell>
        </row>
        <row r="1111">
          <cell r="Y1111">
            <v>1836000</v>
          </cell>
        </row>
        <row r="1112">
          <cell r="Y1112">
            <v>437500</v>
          </cell>
        </row>
        <row r="1113">
          <cell r="Y1113">
            <v>0</v>
          </cell>
        </row>
        <row r="1114">
          <cell r="Y1114">
            <v>5052107.49</v>
          </cell>
        </row>
        <row r="1115">
          <cell r="Y1115">
            <v>437500</v>
          </cell>
        </row>
        <row r="1116">
          <cell r="Y1116">
            <v>1400000</v>
          </cell>
        </row>
        <row r="1121">
          <cell r="Y1121">
            <v>180000</v>
          </cell>
        </row>
        <row r="1134">
          <cell r="Y1134">
            <v>0</v>
          </cell>
        </row>
        <row r="1135">
          <cell r="Y1135">
            <v>0</v>
          </cell>
        </row>
        <row r="1136">
          <cell r="Y1136">
            <v>0</v>
          </cell>
        </row>
        <row r="1137">
          <cell r="Y1137">
            <v>100000</v>
          </cell>
        </row>
        <row r="1138">
          <cell r="Y1138">
            <v>1400000</v>
          </cell>
        </row>
        <row r="1139">
          <cell r="Y1139">
            <v>0</v>
          </cell>
        </row>
        <row r="1140">
          <cell r="Y1140">
            <v>0</v>
          </cell>
        </row>
        <row r="1141">
          <cell r="Y1141">
            <v>0</v>
          </cell>
        </row>
        <row r="1142">
          <cell r="Y1142">
            <v>50000</v>
          </cell>
        </row>
        <row r="1143">
          <cell r="Y1143">
            <v>3000000</v>
          </cell>
        </row>
        <row r="1144">
          <cell r="Y1144">
            <v>0</v>
          </cell>
        </row>
        <row r="1145">
          <cell r="Y1145">
            <v>159149.97</v>
          </cell>
        </row>
        <row r="1147">
          <cell r="Y1147">
            <v>0</v>
          </cell>
        </row>
        <row r="1148">
          <cell r="Y1148">
            <v>0</v>
          </cell>
        </row>
        <row r="1149">
          <cell r="Y1149">
            <v>580000</v>
          </cell>
        </row>
        <row r="1150">
          <cell r="Y1150">
            <v>0</v>
          </cell>
        </row>
        <row r="1151">
          <cell r="Y1151">
            <v>100000</v>
          </cell>
        </row>
        <row r="1152">
          <cell r="Y1152">
            <v>0</v>
          </cell>
        </row>
        <row r="1154">
          <cell r="Y1154">
            <v>0</v>
          </cell>
        </row>
        <row r="1160">
          <cell r="Y1160">
            <v>100000</v>
          </cell>
        </row>
        <row r="1173">
          <cell r="Y1173">
            <v>0</v>
          </cell>
        </row>
        <row r="1176">
          <cell r="Y1176">
            <v>0</v>
          </cell>
        </row>
        <row r="1180">
          <cell r="Y1180">
            <v>250000</v>
          </cell>
        </row>
        <row r="1197">
          <cell r="Y1197">
            <v>0</v>
          </cell>
        </row>
        <row r="1200">
          <cell r="Y1200">
            <v>7235000</v>
          </cell>
        </row>
        <row r="1214">
          <cell r="Y1214">
            <v>3000000</v>
          </cell>
        </row>
        <row r="1230">
          <cell r="Y1230">
            <v>17647566.666666664</v>
          </cell>
        </row>
        <row r="1239">
          <cell r="Y1239">
            <v>20203150</v>
          </cell>
        </row>
        <row r="1248">
          <cell r="Y1248">
            <v>17330100</v>
          </cell>
        </row>
        <row r="1257">
          <cell r="Y1257">
            <v>19802250</v>
          </cell>
        </row>
        <row r="1266">
          <cell r="Y1266">
            <v>19352166.666666664</v>
          </cell>
        </row>
        <row r="1275">
          <cell r="Y1275">
            <v>27169066.666666664</v>
          </cell>
        </row>
        <row r="1284">
          <cell r="Y1284">
            <v>8682150</v>
          </cell>
        </row>
        <row r="1293">
          <cell r="Y1293">
            <v>0</v>
          </cell>
        </row>
        <row r="1343">
          <cell r="Y1343">
            <v>0</v>
          </cell>
        </row>
        <row r="1348">
          <cell r="Y1348">
            <v>0</v>
          </cell>
        </row>
        <row r="1354">
          <cell r="Y1354">
            <v>0</v>
          </cell>
        </row>
        <row r="1359">
          <cell r="Y1359">
            <v>0</v>
          </cell>
        </row>
        <row r="1364">
          <cell r="Y1364">
            <v>0</v>
          </cell>
        </row>
        <row r="1369">
          <cell r="Y1369">
            <v>0</v>
          </cell>
        </row>
        <row r="1375">
          <cell r="Y1375">
            <v>0</v>
          </cell>
        </row>
        <row r="1398">
          <cell r="Y1398">
            <v>2352600</v>
          </cell>
        </row>
        <row r="1417">
          <cell r="Y1417">
            <v>295000</v>
          </cell>
        </row>
        <row r="1426">
          <cell r="Y1426">
            <v>309000</v>
          </cell>
        </row>
        <row r="1435">
          <cell r="Y1435">
            <v>295000</v>
          </cell>
        </row>
        <row r="1444">
          <cell r="Y1444">
            <v>295000</v>
          </cell>
        </row>
        <row r="1453">
          <cell r="Y1453">
            <v>295000</v>
          </cell>
        </row>
        <row r="1462">
          <cell r="Y1462">
            <v>309000</v>
          </cell>
        </row>
        <row r="1471">
          <cell r="Y1471">
            <v>281000</v>
          </cell>
        </row>
        <row r="1480">
          <cell r="Y1480">
            <v>90000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Juana Luz Almánzar" id="{503AC707-DB03-4611-98E6-E342823AC077}" userId="Juana Luz Almánzar" providerId="None"/>
  <person displayName="Carmen Carolina Cordero Caraballo" id="{DFAE4B3F-4D85-4B9F-8277-FD71D449849F}" userId="S::carmen.cordero@utepdard.gob.do::b232205d-e125-4061-a164-736a9d52221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72" dT="2022-01-12T20:04:46.07" personId="{DFAE4B3F-4D85-4B9F-8277-FD71D449849F}" id="{1C415A6B-7012-476F-ACC9-7865BDEE8FDF}">
    <text>Redistribuir la carga economica conforme la temporada de lluvia, esto para todos los PDA.</text>
  </threadedComment>
  <threadedComment ref="K349" dT="2022-01-12T20:16:55.75" personId="{DFAE4B3F-4D85-4B9F-8277-FD71D449849F}" id="{28C9434A-1957-4556-A34E-FA3AF22F6465}">
    <text>afinar con Catano especifcamente una estimacion de los pagos.</text>
  </threadedComment>
  <threadedComment ref="K356" dT="2022-01-12T20:19:27.56" personId="{DFAE4B3F-4D85-4B9F-8277-FD71D449849F}" id="{F75854B5-8F38-49CC-A1DC-D6113CDBE9B5}">
    <text>Esto se refiere a Kit de herramientas y/o Plan de Cultivo</text>
  </threadedComment>
  <threadedComment ref="K391" dT="2022-01-12T20:38:48.65" personId="{DFAE4B3F-4D85-4B9F-8277-FD71D449849F}" id="{FD2ED71E-D517-4047-AB92-FF39918019B9}">
    <text>Debemos programar solo barahona para pagos de plantas, luego entre el 2do y 3er trimestre los pagos a materializar de la meta planificada en la proxima temporada de lluvia</text>
  </threadedComment>
  <threadedComment ref="U477" dT="2022-01-12T21:08:04.57" personId="{DFAE4B3F-4D85-4B9F-8277-FD71D449849F}" id="{861AA457-A1A7-4909-9936-1AB8F7388A09}">
    <text>Se debe afinar la programacion con Paulino, para proramar el pago.</text>
  </threadedComment>
  <threadedComment ref="K498" dT="2022-01-12T20:45:17.19" personId="{DFAE4B3F-4D85-4B9F-8277-FD71D449849F}" id="{ED15D6D0-D8C8-4E90-BC7C-49222B9F8BF5}">
    <text>Afinar con el contratista la entrega, es decir, estar seguros de que se materializara asi.</text>
  </threadedComment>
  <threadedComment ref="AW695" dT="2021-07-12T03:22:31.81" personId="{503AC707-DB03-4611-98E6-E342823AC077}" id="{CF5F3A58-9156-4952-80BE-5B5AC4785812}">
    <text>falta los meses anero-abril y juni/2021</text>
  </threadedComment>
  <threadedComment ref="Y1245" dT="2022-01-12T22:13:12.77" personId="{DFAE4B3F-4D85-4B9F-8277-FD71D449849F}" id="{BEDF9032-86B1-41AC-81C2-84D1BE66CF0A}">
    <text>Reubicar este recurso a  Aguacate</text>
  </threadedComment>
</ThreadedComments>
</file>

<file path=xl/threadedComments/threadedComment2.xml><?xml version="1.0" encoding="utf-8"?>
<ThreadedComments xmlns="http://schemas.microsoft.com/office/spreadsheetml/2018/threadedcomments" xmlns:x="http://schemas.openxmlformats.org/spreadsheetml/2006/main">
  <threadedComment ref="K161" dT="2022-01-12T20:04:46.07" personId="{DFAE4B3F-4D85-4B9F-8277-FD71D449849F}" id="{400CAAF1-8FAE-4DAB-BB6C-9A560E5C2DCE}">
    <text>Redistribuir la carga economica conforme la temporada de lluvia, esto para todos los PDA.</text>
  </threadedComment>
  <threadedComment ref="K165" dT="2022-01-12T20:07:29.10" personId="{DFAE4B3F-4D85-4B9F-8277-FD71D449849F}" id="{2A455C5C-DF43-4D63-8ECB-421E7428CD29}">
    <text>Necesitamos estar seguros de la materializacion de estas actividades, por lo tanto debemos validar con Ramon P.</text>
  </threadedComment>
  <threadedComment ref="K176" dT="2022-01-12T20:11:39.21" personId="{DFAE4B3F-4D85-4B9F-8277-FD71D449849F}" id="{30BDE01D-AAD0-4F93-BAF7-E4E4D52296EE}">
    <text>Mantener el proceso y en caso de tener una solucion con Inespre, entonces se define en el transcurso.</text>
  </threadedComment>
  <threadedComment ref="K333" dT="2022-01-12T20:16:55.75" personId="{DFAE4B3F-4D85-4B9F-8277-FD71D449849F}" id="{52289ECF-062B-4E6C-8AA0-15A09D6A03C2}">
    <text>afinar con Catano especifcamente una estimacion de los pagos.</text>
  </threadedComment>
  <threadedComment ref="K340" dT="2022-01-12T20:19:27.56" personId="{DFAE4B3F-4D85-4B9F-8277-FD71D449849F}" id="{552CDB69-E100-44DF-B3D5-DEC426082E12}">
    <text>Esto se refiere a Kit de herramientas y/o Plan de Cultivo</text>
  </threadedComment>
  <threadedComment ref="K375" dT="2022-01-12T20:38:48.65" personId="{DFAE4B3F-4D85-4B9F-8277-FD71D449849F}" id="{542A3137-1102-4C96-9529-AB0AD2097429}">
    <text>Debemos programar solo barahona para pagos de plantas, luego entre el 2do y 3er trimestre los pagos a materializar de la meta planificada en la proxima temporada de lluvia</text>
  </threadedComment>
  <threadedComment ref="U461" dT="2022-01-12T21:08:04.57" personId="{DFAE4B3F-4D85-4B9F-8277-FD71D449849F}" id="{9FCC26BE-821B-4D51-A90D-CEF9B327D0B3}">
    <text>Se debe afinar la programacion con Paulino, para proramar el pago.</text>
  </threadedComment>
  <threadedComment ref="K482" dT="2022-01-12T20:45:17.19" personId="{DFAE4B3F-4D85-4B9F-8277-FD71D449849F}" id="{DDDCC332-524E-4B80-B81E-B84C9833BC22}">
    <text>Afinar con el contratista la entrega, es decir, estar seguros de que se materializara asi.</text>
  </threadedComment>
  <threadedComment ref="K633" dT="2022-01-12T21:30:21.52" personId="{DFAE4B3F-4D85-4B9F-8277-FD71D449849F}" id="{D972B720-D9DA-4F4F-8502-176CEE689D8B}">
    <text>Validar la diferencia entre estos viaticos vs lo indicados en las fila mas abajo</text>
  </threadedComment>
  <threadedComment ref="AV674" dT="2021-07-12T03:22:31.81" personId="{503AC707-DB03-4611-98E6-E342823AC077}" id="{B2F5B886-9DB5-42E8-8261-A457BD7EE857}">
    <text>falta los meses anero-abril y juni/2021</text>
  </threadedComment>
  <threadedComment ref="X1174" dT="2022-01-12T22:13:12.77" personId="{DFAE4B3F-4D85-4B9F-8277-FD71D449849F}" id="{561D1055-1AFB-4526-80DB-18A3659DDCD4}">
    <text>Reubicar este recurso a  Aguacate</text>
  </threadedComment>
</ThreadedComments>
</file>

<file path=xl/threadedComments/threadedComment3.xml><?xml version="1.0" encoding="utf-8"?>
<ThreadedComments xmlns="http://schemas.microsoft.com/office/spreadsheetml/2018/threadedcomments" xmlns:x="http://schemas.openxmlformats.org/spreadsheetml/2006/main">
  <threadedComment ref="K162" dT="2022-01-12T20:04:46.07" personId="{DFAE4B3F-4D85-4B9F-8277-FD71D449849F}" id="{B680ED80-C83D-4B1A-A6C1-6FC876072834}">
    <text>Redistribuir la carga economica conforme la temporada de lluvia, esto para todos los PDA.</text>
  </threadedComment>
  <threadedComment ref="K167" dT="2022-01-12T20:07:29.10" personId="{DFAE4B3F-4D85-4B9F-8277-FD71D449849F}" id="{E000E006-AD0D-4C13-BF3D-E41E7DB9D516}">
    <text>Necesitamos estar seguros de la materializacion de estas actividades, por lo tanto debemos validar con Ramon P.</text>
  </threadedComment>
  <threadedComment ref="K178" dT="2022-01-12T20:11:39.21" personId="{DFAE4B3F-4D85-4B9F-8277-FD71D449849F}" id="{5EB5C0D6-99D6-4213-AB41-DB58AFD9DB3F}">
    <text>Mantener el proceso y en caso de tener una solucion con Inespre, entonces se define en el transcurso.</text>
  </threadedComment>
  <threadedComment ref="K339" dT="2022-01-12T20:16:55.75" personId="{DFAE4B3F-4D85-4B9F-8277-FD71D449849F}" id="{9B5774C7-E1EC-41E8-A6DE-103B74B32DB8}">
    <text>afinar con Catano especifcamente una estimacion de los pagos.</text>
  </threadedComment>
  <threadedComment ref="K346" dT="2022-01-12T20:19:27.56" personId="{DFAE4B3F-4D85-4B9F-8277-FD71D449849F}" id="{013908A5-DE30-4655-B5B6-2D9655C9F026}">
    <text>Esto se refiere a Kit de herramientas y/o Plan de Cultivo</text>
  </threadedComment>
  <threadedComment ref="K381" dT="2022-01-12T20:38:48.65" personId="{DFAE4B3F-4D85-4B9F-8277-FD71D449849F}" id="{415366CE-E8CB-4D0F-91D5-9A5AB652ED41}">
    <text>Debemos programar solo barahona para pagos de plantas, luego entre el 2do y 3er trimestre los pagos a materializar de la meta planificada en la proxima temporada de lluvia</text>
  </threadedComment>
  <threadedComment ref="U467" dT="2022-01-12T21:08:04.57" personId="{DFAE4B3F-4D85-4B9F-8277-FD71D449849F}" id="{82CB0B69-BE6F-4ED0-88E1-A417DB569170}">
    <text>Se debe afinar la programacion con Paulino, para proramar el pago.</text>
  </threadedComment>
  <threadedComment ref="K488" dT="2022-01-12T20:45:17.19" personId="{DFAE4B3F-4D85-4B9F-8277-FD71D449849F}" id="{42AEB585-0F7C-4020-A9BD-DCA07A8D72BD}">
    <text>Afinar con el contratista la entrega, es decir, estar seguros de que se materializara asi.</text>
  </threadedComment>
  <threadedComment ref="AV679" dT="2021-07-12T03:22:31.81" personId="{503AC707-DB03-4611-98E6-E342823AC077}" id="{DB101E22-261C-4F7D-A9B6-9C44EB98637C}">
    <text>falta los meses anero-abril y juni/2021</text>
  </threadedComment>
  <threadedComment ref="X1179" dT="2022-01-12T22:13:12.77" personId="{DFAE4B3F-4D85-4B9F-8277-FD71D449849F}" id="{DE7B1443-CB7F-4B6F-9E57-A5D13FBFC1DA}">
    <text>Reubicar este recurso a  Aguacate</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1C8FC-C6D9-4C71-922E-AF89E1FE62BB}">
  <dimension ref="A1:G30"/>
  <sheetViews>
    <sheetView workbookViewId="0">
      <selection activeCell="H12" sqref="H12"/>
    </sheetView>
  </sheetViews>
  <sheetFormatPr baseColWidth="10" defaultColWidth="11.5703125" defaultRowHeight="15" x14ac:dyDescent="0.25"/>
  <cols>
    <col min="1" max="1" width="15.42578125" customWidth="1"/>
    <col min="2" max="2" width="51.5703125" customWidth="1"/>
    <col min="3" max="3" width="28.5703125" customWidth="1"/>
    <col min="4" max="5" width="6.140625" bestFit="1" customWidth="1"/>
    <col min="7" max="7" width="17.85546875" bestFit="1" customWidth="1"/>
  </cols>
  <sheetData>
    <row r="1" spans="1:7" ht="57" customHeight="1" x14ac:dyDescent="0.35">
      <c r="A1" s="1252" t="s">
        <v>2841</v>
      </c>
      <c r="B1" s="1253"/>
      <c r="C1" s="1253"/>
      <c r="D1" s="1253"/>
      <c r="E1" s="1254"/>
    </row>
    <row r="2" spans="1:7" ht="45" customHeight="1" x14ac:dyDescent="0.35">
      <c r="A2" s="1255" t="s">
        <v>2857</v>
      </c>
      <c r="B2" s="1256"/>
      <c r="C2" s="1256"/>
      <c r="D2" s="1256"/>
      <c r="E2" s="1257"/>
    </row>
    <row r="3" spans="1:7" ht="15.75" x14ac:dyDescent="0.25">
      <c r="A3" s="711" t="s">
        <v>1952</v>
      </c>
      <c r="B3" s="711" t="s">
        <v>1953</v>
      </c>
      <c r="C3" s="711" t="s">
        <v>1954</v>
      </c>
      <c r="D3" s="711" t="s">
        <v>39</v>
      </c>
      <c r="E3" s="711" t="s">
        <v>181</v>
      </c>
    </row>
    <row r="4" spans="1:7" s="717" customFormat="1" ht="23.25" customHeight="1" x14ac:dyDescent="0.25">
      <c r="A4" s="713" t="s">
        <v>2842</v>
      </c>
      <c r="B4" s="714" t="s">
        <v>36</v>
      </c>
      <c r="C4" s="715" t="e">
        <f>+SUM(C5:C14)</f>
        <v>#REF!</v>
      </c>
      <c r="D4" s="715">
        <f t="shared" ref="D4:E4" si="0">+SUM(D5:D15)</f>
        <v>0</v>
      </c>
      <c r="E4" s="715">
        <f t="shared" si="0"/>
        <v>0</v>
      </c>
      <c r="G4" s="740"/>
    </row>
    <row r="5" spans="1:7" x14ac:dyDescent="0.25">
      <c r="A5" s="499" t="s">
        <v>2843</v>
      </c>
      <c r="B5" s="731" t="s">
        <v>40</v>
      </c>
      <c r="C5" s="732" t="e">
        <f>+#REF!</f>
        <v>#REF!</v>
      </c>
      <c r="D5" s="732"/>
      <c r="E5" s="732"/>
      <c r="G5" s="739"/>
    </row>
    <row r="6" spans="1:7" x14ac:dyDescent="0.25">
      <c r="A6" s="499" t="s">
        <v>2844</v>
      </c>
      <c r="B6" s="731" t="s">
        <v>1962</v>
      </c>
      <c r="C6" s="732" t="e">
        <f>+#REF!</f>
        <v>#REF!</v>
      </c>
      <c r="D6" s="732"/>
      <c r="E6" s="732"/>
      <c r="G6" s="739"/>
    </row>
    <row r="7" spans="1:7" x14ac:dyDescent="0.25">
      <c r="A7" s="499" t="s">
        <v>2845</v>
      </c>
      <c r="B7" s="731" t="s">
        <v>235</v>
      </c>
      <c r="C7" s="732" t="e">
        <f>+#REF!</f>
        <v>#REF!</v>
      </c>
      <c r="D7" s="732"/>
      <c r="E7" s="732"/>
      <c r="G7" s="739"/>
    </row>
    <row r="8" spans="1:7" ht="30" x14ac:dyDescent="0.25">
      <c r="A8" s="499" t="s">
        <v>2846</v>
      </c>
      <c r="B8" s="731" t="s">
        <v>676</v>
      </c>
      <c r="C8" s="732" t="e">
        <f>+#REF!</f>
        <v>#REF!</v>
      </c>
      <c r="D8" s="732"/>
      <c r="E8" s="732"/>
      <c r="G8" s="739"/>
    </row>
    <row r="9" spans="1:7" ht="30" x14ac:dyDescent="0.25">
      <c r="A9" s="499" t="s">
        <v>2847</v>
      </c>
      <c r="B9" s="731" t="s">
        <v>726</v>
      </c>
      <c r="C9" s="732" t="e">
        <f>+#REF!</f>
        <v>#REF!</v>
      </c>
      <c r="D9" s="732"/>
      <c r="E9" s="735"/>
      <c r="G9" s="739"/>
    </row>
    <row r="10" spans="1:7" ht="45" x14ac:dyDescent="0.25">
      <c r="A10" s="499" t="s">
        <v>2848</v>
      </c>
      <c r="B10" s="731" t="s">
        <v>815</v>
      </c>
      <c r="C10" s="732" t="e">
        <f>+#REF!</f>
        <v>#REF!</v>
      </c>
      <c r="D10" s="732"/>
      <c r="E10" s="732"/>
      <c r="G10" s="739"/>
    </row>
    <row r="11" spans="1:7" x14ac:dyDescent="0.25">
      <c r="A11" s="499" t="s">
        <v>2849</v>
      </c>
      <c r="B11" s="731" t="s">
        <v>903</v>
      </c>
      <c r="C11" s="732" t="e">
        <f>+#REF!</f>
        <v>#REF!</v>
      </c>
      <c r="D11" s="732"/>
      <c r="E11" s="732"/>
    </row>
    <row r="12" spans="1:7" x14ac:dyDescent="0.25">
      <c r="A12" s="499" t="s">
        <v>2850</v>
      </c>
      <c r="B12" s="731" t="s">
        <v>981</v>
      </c>
      <c r="C12" s="732" t="e">
        <f>+#REF!</f>
        <v>#REF!</v>
      </c>
      <c r="D12" s="732"/>
      <c r="E12" s="732"/>
    </row>
    <row r="13" spans="1:7" ht="15" customHeight="1" x14ac:dyDescent="0.25">
      <c r="A13" s="499" t="s">
        <v>2851</v>
      </c>
      <c r="B13" s="731" t="s">
        <v>1037</v>
      </c>
      <c r="C13" s="732" t="e">
        <f>+#REF!</f>
        <v>#REF!</v>
      </c>
      <c r="D13" s="732"/>
      <c r="E13" s="732"/>
    </row>
    <row r="14" spans="1:7" x14ac:dyDescent="0.25">
      <c r="A14" s="499" t="s">
        <v>2852</v>
      </c>
      <c r="B14" s="731" t="s">
        <v>1044</v>
      </c>
      <c r="C14" s="732" t="e">
        <f>+#REF!</f>
        <v>#REF!</v>
      </c>
      <c r="D14" s="732"/>
      <c r="E14" s="732"/>
    </row>
    <row r="15" spans="1:7" ht="30" x14ac:dyDescent="0.25">
      <c r="A15" s="713" t="s">
        <v>2853</v>
      </c>
      <c r="B15" s="714" t="s">
        <v>1123</v>
      </c>
      <c r="C15" s="715">
        <f>+'[1]POA 2022 ANALISIS'!Y1022</f>
        <v>0</v>
      </c>
      <c r="D15" s="715">
        <v>0</v>
      </c>
      <c r="E15" s="715">
        <v>0</v>
      </c>
    </row>
    <row r="16" spans="1:7" s="717" customFormat="1" ht="24.75" customHeight="1" x14ac:dyDescent="0.25">
      <c r="A16" s="713" t="s">
        <v>2854</v>
      </c>
      <c r="B16" s="714" t="s">
        <v>1156</v>
      </c>
      <c r="C16" s="715" t="e">
        <f>SUM(C17:C19)</f>
        <v>#REF!</v>
      </c>
      <c r="D16" s="715"/>
      <c r="E16" s="715"/>
    </row>
    <row r="17" spans="1:5" x14ac:dyDescent="0.25">
      <c r="A17" s="499" t="s">
        <v>2843</v>
      </c>
      <c r="B17" s="731" t="s">
        <v>1158</v>
      </c>
      <c r="C17" s="732" t="e">
        <f>+#REF!</f>
        <v>#REF!</v>
      </c>
      <c r="D17" s="732"/>
      <c r="E17" s="732"/>
    </row>
    <row r="18" spans="1:5" x14ac:dyDescent="0.25">
      <c r="A18" s="499" t="s">
        <v>2844</v>
      </c>
      <c r="B18" s="731" t="s">
        <v>1295</v>
      </c>
      <c r="C18" s="732" t="e">
        <f>+#REF!</f>
        <v>#REF!</v>
      </c>
      <c r="D18" s="732"/>
      <c r="E18" s="732"/>
    </row>
    <row r="19" spans="1:5" x14ac:dyDescent="0.25">
      <c r="A19" s="895" t="s">
        <v>2845</v>
      </c>
      <c r="B19" s="731" t="s">
        <v>1409</v>
      </c>
      <c r="C19" s="732" t="e">
        <f>+#REF!</f>
        <v>#REF!</v>
      </c>
      <c r="D19" s="732"/>
      <c r="E19" s="732"/>
    </row>
    <row r="20" spans="1:5" ht="25.5" customHeight="1" x14ac:dyDescent="0.25">
      <c r="A20" s="713" t="s">
        <v>2855</v>
      </c>
      <c r="B20" s="714" t="s">
        <v>1442</v>
      </c>
      <c r="C20" s="715" t="e">
        <f>SUM(C21:C23)</f>
        <v>#REF!</v>
      </c>
      <c r="D20" s="715"/>
      <c r="E20" s="715"/>
    </row>
    <row r="21" spans="1:5" ht="33" customHeight="1" x14ac:dyDescent="0.25">
      <c r="A21" s="499" t="s">
        <v>2843</v>
      </c>
      <c r="B21" s="731" t="s">
        <v>1446</v>
      </c>
      <c r="C21" s="732" t="e">
        <f>+#REF!</f>
        <v>#REF!</v>
      </c>
      <c r="D21" s="732"/>
      <c r="E21" s="732"/>
    </row>
    <row r="22" spans="1:5" ht="30" x14ac:dyDescent="0.25">
      <c r="A22" s="499" t="s">
        <v>2844</v>
      </c>
      <c r="B22" s="731" t="s">
        <v>1539</v>
      </c>
      <c r="C22" s="732" t="e">
        <f>+#REF!</f>
        <v>#REF!</v>
      </c>
      <c r="D22" s="732"/>
      <c r="E22" s="732"/>
    </row>
    <row r="23" spans="1:5" x14ac:dyDescent="0.25">
      <c r="A23" s="895" t="s">
        <v>2845</v>
      </c>
      <c r="B23" s="731" t="s">
        <v>1575</v>
      </c>
      <c r="C23" s="732" t="e">
        <f>+#REF!</f>
        <v>#REF!</v>
      </c>
      <c r="D23" s="732"/>
      <c r="E23" s="732"/>
    </row>
    <row r="24" spans="1:5" x14ac:dyDescent="0.25">
      <c r="A24" s="713" t="s">
        <v>2856</v>
      </c>
      <c r="B24" s="714" t="s">
        <v>1608</v>
      </c>
      <c r="C24" s="715">
        <f>+'[1]POA 2022 ANALISIS'!Y1486</f>
        <v>0</v>
      </c>
      <c r="D24" s="715"/>
      <c r="E24" s="715"/>
    </row>
    <row r="25" spans="1:5" ht="30" x14ac:dyDescent="0.25">
      <c r="A25" s="499" t="s">
        <v>2843</v>
      </c>
      <c r="B25" s="731" t="s">
        <v>1610</v>
      </c>
      <c r="C25" s="732" t="e">
        <f>+#REF!</f>
        <v>#REF!</v>
      </c>
      <c r="D25" s="732"/>
      <c r="E25" s="732"/>
    </row>
    <row r="26" spans="1:5" ht="30" x14ac:dyDescent="0.25">
      <c r="A26" s="499" t="s">
        <v>2844</v>
      </c>
      <c r="B26" s="731" t="s">
        <v>1646</v>
      </c>
      <c r="C26" s="732" t="e">
        <f>+#REF!</f>
        <v>#REF!</v>
      </c>
      <c r="D26" s="732"/>
      <c r="E26" s="732"/>
    </row>
    <row r="27" spans="1:5" x14ac:dyDescent="0.25">
      <c r="A27" s="713" t="s">
        <v>2856</v>
      </c>
      <c r="B27" s="714" t="s">
        <v>1650</v>
      </c>
      <c r="C27" s="715" t="e">
        <f>+C28</f>
        <v>#REF!</v>
      </c>
      <c r="D27" s="715"/>
      <c r="E27" s="715"/>
    </row>
    <row r="28" spans="1:5" x14ac:dyDescent="0.25">
      <c r="A28" s="499" t="s">
        <v>2843</v>
      </c>
      <c r="B28" s="735" t="s">
        <v>1653</v>
      </c>
      <c r="C28" s="732" t="e">
        <f>+#REF!</f>
        <v>#REF!</v>
      </c>
      <c r="D28" s="735"/>
      <c r="E28" s="735"/>
    </row>
    <row r="29" spans="1:5" x14ac:dyDescent="0.25">
      <c r="A29" s="713" t="s">
        <v>1979</v>
      </c>
      <c r="B29" s="735"/>
      <c r="C29" s="732" t="e">
        <f>+C27+C24+C20+C16+C15+C4</f>
        <v>#REF!</v>
      </c>
      <c r="D29" s="732"/>
      <c r="E29" s="732"/>
    </row>
    <row r="30" spans="1:5" x14ac:dyDescent="0.25">
      <c r="C30" s="739"/>
    </row>
  </sheetData>
  <mergeCells count="2">
    <mergeCell ref="A1:E1"/>
    <mergeCell ref="A2:E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9C279-EDB7-47EF-AD19-558BB96F8F13}">
  <sheetPr>
    <outlinePr summaryBelow="0" summaryRight="0"/>
    <pageSetUpPr fitToPage="1"/>
  </sheetPr>
  <dimension ref="A1:DK1952"/>
  <sheetViews>
    <sheetView tabSelected="1" topLeftCell="H11" zoomScale="85" zoomScaleNormal="85" workbookViewId="0">
      <selection activeCell="AH12" sqref="AH12"/>
    </sheetView>
  </sheetViews>
  <sheetFormatPr baseColWidth="10" defaultColWidth="14.42578125" defaultRowHeight="15" customHeight="1" outlineLevelRow="5" outlineLevelCol="2" x14ac:dyDescent="0.25"/>
  <cols>
    <col min="1" max="1" width="28.5703125" style="2" customWidth="1"/>
    <col min="2" max="2" width="6.42578125" style="3" customWidth="1"/>
    <col min="3" max="6" width="6.42578125" style="2" customWidth="1"/>
    <col min="7" max="7" width="21.5703125" style="2" customWidth="1"/>
    <col min="8" max="8" width="6.42578125" style="2" customWidth="1"/>
    <col min="9" max="9" width="5.42578125" style="2" customWidth="1"/>
    <col min="10" max="10" width="6.42578125" style="2" customWidth="1"/>
    <col min="11" max="11" width="61.85546875" style="2" customWidth="1"/>
    <col min="12" max="12" width="33.140625" style="2" hidden="1" customWidth="1"/>
    <col min="13" max="13" width="39.85546875" style="2" hidden="1" customWidth="1" outlineLevel="1"/>
    <col min="14" max="14" width="41.5703125" style="2" hidden="1" customWidth="1" outlineLevel="1"/>
    <col min="15" max="15" width="30.5703125" style="2" hidden="1" customWidth="1" outlineLevel="1"/>
    <col min="16" max="16" width="31.140625" style="2" hidden="1" customWidth="1" outlineLevel="1"/>
    <col min="17" max="17" width="39.42578125" style="2" hidden="1" customWidth="1" outlineLevel="1"/>
    <col min="18" max="18" width="28.42578125" style="2" hidden="1" customWidth="1" outlineLevel="1"/>
    <col min="19" max="19" width="34" style="2" hidden="1" customWidth="1" outlineLevel="2"/>
    <col min="20" max="20" width="23.42578125" style="1174" hidden="1" customWidth="1" outlineLevel="2"/>
    <col min="21" max="21" width="28.42578125" style="2" customWidth="1" outlineLevel="2"/>
    <col min="22" max="22" width="28.42578125" style="2" hidden="1" customWidth="1" outlineLevel="2"/>
    <col min="23" max="23" width="26.5703125" style="822" hidden="1" customWidth="1" outlineLevel="2"/>
    <col min="24" max="24" width="22.5703125" style="2" hidden="1" customWidth="1" outlineLevel="2"/>
    <col min="25" max="25" width="25.140625" style="2" customWidth="1" outlineLevel="2"/>
    <col min="26" max="26" width="27" style="826" hidden="1" customWidth="1" outlineLevel="2"/>
    <col min="27" max="27" width="19.42578125" style="2" hidden="1" customWidth="1" outlineLevel="2"/>
    <col min="28" max="28" width="25.140625" style="2" customWidth="1" outlineLevel="2"/>
    <col min="29" max="29" width="26.5703125" style="2" hidden="1" customWidth="1" outlineLevel="2"/>
    <col min="30" max="30" width="19.5703125" style="2" hidden="1" customWidth="1" outlineLevel="2"/>
    <col min="31" max="31" width="25.140625" style="2" customWidth="1" outlineLevel="2"/>
    <col min="32" max="33" width="26.5703125" style="2" hidden="1" customWidth="1" outlineLevel="2"/>
    <col min="34" max="34" width="35.42578125" style="170" customWidth="1" outlineLevel="2"/>
    <col min="35" max="35" width="28.42578125" style="2" customWidth="1"/>
    <col min="36" max="39" width="25.5703125" style="2" customWidth="1"/>
    <col min="40" max="40" width="25" style="3" customWidth="1" outlineLevel="1"/>
    <col min="41" max="41" width="19.42578125" style="3" customWidth="1" outlineLevel="1"/>
    <col min="42" max="42" width="33.85546875" style="3" customWidth="1" outlineLevel="1"/>
    <col min="43" max="43" width="32" style="3" customWidth="1" outlineLevel="1"/>
    <col min="44" max="44" width="11.85546875" style="171" customWidth="1" outlineLevel="1"/>
    <col min="45" max="45" width="12.5703125" style="3" customWidth="1" outlineLevel="1"/>
    <col min="46" max="46" width="19.85546875" style="171" customWidth="1" outlineLevel="1"/>
    <col min="47" max="47" width="31.5703125" style="654" customWidth="1" outlineLevel="1"/>
    <col min="48" max="48" width="40.140625" style="999" customWidth="1" outlineLevel="1"/>
    <col min="49" max="49" width="82" style="4" customWidth="1"/>
    <col min="50" max="62" width="14.42578125" style="2" customWidth="1"/>
    <col min="63" max="16384" width="14.42578125" style="2"/>
  </cols>
  <sheetData>
    <row r="1" spans="1:49" ht="15" hidden="1" customHeight="1" x14ac:dyDescent="0.25">
      <c r="A1" s="1357" t="s">
        <v>2582</v>
      </c>
      <c r="B1" s="1357"/>
      <c r="C1" s="1357"/>
      <c r="D1" s="1357"/>
      <c r="E1" s="1357"/>
      <c r="F1" s="1357"/>
      <c r="G1" s="1357"/>
      <c r="H1" s="1357"/>
      <c r="I1" s="1357"/>
      <c r="J1" s="1357"/>
      <c r="K1" s="1357"/>
      <c r="L1" s="1357"/>
      <c r="M1" s="1"/>
      <c r="N1" s="1"/>
      <c r="O1" s="1"/>
      <c r="P1" s="1"/>
      <c r="Q1" s="1"/>
      <c r="R1" s="1"/>
      <c r="S1" s="1"/>
      <c r="T1" s="1170"/>
      <c r="U1" s="1"/>
      <c r="V1" s="1"/>
      <c r="W1" s="816"/>
    </row>
    <row r="2" spans="1:49" ht="15" hidden="1" customHeight="1" x14ac:dyDescent="0.25">
      <c r="A2" s="1357"/>
      <c r="B2" s="1357"/>
      <c r="C2" s="1357"/>
      <c r="D2" s="1357"/>
      <c r="E2" s="1357"/>
      <c r="F2" s="1357"/>
      <c r="G2" s="1357"/>
      <c r="H2" s="1357"/>
      <c r="I2" s="1357"/>
      <c r="J2" s="1357"/>
      <c r="K2" s="1357"/>
      <c r="L2" s="1357"/>
      <c r="M2" s="1"/>
      <c r="N2" s="1"/>
      <c r="O2" s="1"/>
      <c r="P2" s="1"/>
      <c r="Q2" s="1"/>
      <c r="R2" s="1"/>
      <c r="S2" s="1"/>
      <c r="T2" s="1170"/>
      <c r="U2" s="1"/>
      <c r="V2" s="1"/>
      <c r="W2" s="816"/>
    </row>
    <row r="3" spans="1:49" ht="15" hidden="1" customHeight="1" x14ac:dyDescent="0.25">
      <c r="A3" s="1357"/>
      <c r="B3" s="1357"/>
      <c r="C3" s="1357"/>
      <c r="D3" s="1357"/>
      <c r="E3" s="1357"/>
      <c r="F3" s="1357"/>
      <c r="G3" s="1357"/>
      <c r="H3" s="1357"/>
      <c r="I3" s="1357"/>
      <c r="J3" s="1357"/>
      <c r="K3" s="1357"/>
      <c r="L3" s="1357"/>
      <c r="M3" s="1"/>
      <c r="N3" s="1"/>
      <c r="O3" s="1"/>
      <c r="P3" s="1"/>
      <c r="Q3" s="1"/>
      <c r="R3" s="1"/>
      <c r="S3" s="1"/>
      <c r="T3" s="1170"/>
      <c r="U3" s="1"/>
      <c r="V3" s="1"/>
      <c r="W3" s="816"/>
    </row>
    <row r="4" spans="1:49" ht="15" hidden="1" customHeight="1" x14ac:dyDescent="0.25">
      <c r="A4" s="1357"/>
      <c r="B4" s="1357"/>
      <c r="C4" s="1357"/>
      <c r="D4" s="1357"/>
      <c r="E4" s="1357"/>
      <c r="F4" s="1357"/>
      <c r="G4" s="1357"/>
      <c r="H4" s="1357"/>
      <c r="I4" s="1357"/>
      <c r="J4" s="1357"/>
      <c r="K4" s="1357"/>
      <c r="L4" s="1357"/>
      <c r="M4" s="1"/>
      <c r="N4" s="1"/>
      <c r="O4" s="1"/>
      <c r="P4" s="1"/>
      <c r="Q4" s="1"/>
      <c r="R4" s="1"/>
      <c r="S4" s="1"/>
      <c r="T4" s="1170"/>
      <c r="U4" s="1"/>
      <c r="V4" s="1"/>
      <c r="W4" s="816"/>
    </row>
    <row r="5" spans="1:49" ht="15" hidden="1" customHeight="1" x14ac:dyDescent="0.25">
      <c r="A5" s="1357"/>
      <c r="B5" s="1357"/>
      <c r="C5" s="1357"/>
      <c r="D5" s="1357"/>
      <c r="E5" s="1357"/>
      <c r="F5" s="1357"/>
      <c r="G5" s="1357"/>
      <c r="H5" s="1357"/>
      <c r="I5" s="1357"/>
      <c r="J5" s="1357"/>
      <c r="K5" s="1357"/>
      <c r="L5" s="1357"/>
      <c r="M5" s="1"/>
      <c r="N5" s="1"/>
      <c r="O5" s="1"/>
      <c r="P5" s="1"/>
      <c r="Q5" s="1"/>
      <c r="R5" s="1"/>
      <c r="S5" s="1"/>
      <c r="T5" s="1170"/>
      <c r="U5" s="1"/>
      <c r="V5" s="1"/>
      <c r="W5" s="816"/>
    </row>
    <row r="6" spans="1:49" ht="15" hidden="1" customHeight="1" x14ac:dyDescent="0.25">
      <c r="A6" s="1357"/>
      <c r="B6" s="1357"/>
      <c r="C6" s="1357"/>
      <c r="D6" s="1357"/>
      <c r="E6" s="1357"/>
      <c r="F6" s="1357"/>
      <c r="G6" s="1357"/>
      <c r="H6" s="1357"/>
      <c r="I6" s="1357"/>
      <c r="J6" s="1357"/>
      <c r="K6" s="1357"/>
      <c r="L6" s="1357"/>
      <c r="M6" s="1"/>
      <c r="N6" s="1"/>
      <c r="O6" s="1"/>
      <c r="P6" s="1"/>
      <c r="Q6" s="1"/>
      <c r="R6" s="1"/>
      <c r="S6" s="1"/>
      <c r="T6" s="1170"/>
      <c r="U6" s="1"/>
      <c r="V6" s="1"/>
      <c r="W6" s="816"/>
      <c r="X6" s="1"/>
      <c r="Y6" s="1"/>
      <c r="Z6" s="827"/>
      <c r="AA6" s="1"/>
      <c r="AB6" s="1"/>
      <c r="AC6" s="1"/>
      <c r="AD6" s="1"/>
      <c r="AE6" s="1"/>
      <c r="AF6" s="1"/>
      <c r="AG6" s="1"/>
      <c r="AH6" s="396"/>
      <c r="AI6" s="5"/>
      <c r="AJ6" s="5"/>
      <c r="AK6" s="5"/>
      <c r="AL6" s="5"/>
      <c r="AM6" s="5"/>
      <c r="AN6" s="1"/>
      <c r="AO6" s="1"/>
      <c r="AP6" s="1"/>
      <c r="AQ6" s="1"/>
      <c r="AR6" s="396"/>
      <c r="AS6" s="1"/>
      <c r="AT6" s="396"/>
      <c r="AU6" s="655"/>
      <c r="AV6" s="1000"/>
      <c r="AW6" s="6"/>
    </row>
    <row r="7" spans="1:49" ht="15" hidden="1" customHeight="1" x14ac:dyDescent="0.25">
      <c r="A7" s="1357"/>
      <c r="B7" s="1357"/>
      <c r="C7" s="1357"/>
      <c r="D7" s="1357"/>
      <c r="E7" s="1357"/>
      <c r="F7" s="1357"/>
      <c r="G7" s="1357"/>
      <c r="H7" s="1357"/>
      <c r="I7" s="1357"/>
      <c r="J7" s="1357"/>
      <c r="K7" s="1357"/>
      <c r="L7" s="1357"/>
      <c r="M7" s="1"/>
      <c r="N7" s="1"/>
      <c r="O7" s="1"/>
      <c r="P7" s="1"/>
      <c r="Q7" s="1"/>
      <c r="R7" s="1"/>
      <c r="S7" s="1"/>
      <c r="T7" s="1170"/>
      <c r="U7" s="1"/>
      <c r="V7" s="1"/>
      <c r="W7" s="816"/>
      <c r="X7" s="1"/>
      <c r="Y7" s="1"/>
      <c r="Z7" s="827"/>
      <c r="AA7" s="1"/>
      <c r="AB7" s="1"/>
      <c r="AC7" s="1"/>
      <c r="AD7" s="1"/>
      <c r="AE7" s="1"/>
      <c r="AF7" s="1"/>
      <c r="AG7" s="1"/>
      <c r="AH7" s="396"/>
      <c r="AI7" s="5"/>
      <c r="AJ7" s="5"/>
      <c r="AK7" s="5"/>
      <c r="AL7" s="5"/>
      <c r="AM7" s="5"/>
      <c r="AN7" s="1"/>
      <c r="AO7" s="1"/>
      <c r="AP7" s="1"/>
      <c r="AQ7" s="1"/>
      <c r="AR7" s="396"/>
      <c r="AS7" s="1"/>
      <c r="AT7" s="396"/>
      <c r="AU7" s="655"/>
      <c r="AV7" s="1000"/>
      <c r="AW7" s="6"/>
    </row>
    <row r="8" spans="1:49" ht="15" hidden="1" customHeight="1" x14ac:dyDescent="0.25">
      <c r="A8" s="1357"/>
      <c r="B8" s="1357"/>
      <c r="C8" s="1357"/>
      <c r="D8" s="1357"/>
      <c r="E8" s="1357"/>
      <c r="F8" s="1357"/>
      <c r="G8" s="1357"/>
      <c r="H8" s="1357"/>
      <c r="I8" s="1357"/>
      <c r="J8" s="1357"/>
      <c r="K8" s="1357"/>
      <c r="L8" s="1357"/>
      <c r="M8" s="1"/>
      <c r="N8" s="1"/>
      <c r="O8" s="1"/>
      <c r="P8" s="1"/>
      <c r="Q8" s="1"/>
      <c r="R8" s="1"/>
      <c r="S8" s="1"/>
      <c r="T8" s="1170"/>
      <c r="U8" s="1"/>
      <c r="V8" s="1"/>
      <c r="W8" s="816"/>
      <c r="X8" s="1"/>
      <c r="Y8" s="1"/>
      <c r="Z8" s="827"/>
      <c r="AA8" s="1"/>
      <c r="AB8" s="1"/>
      <c r="AC8" s="1"/>
      <c r="AD8" s="1"/>
      <c r="AE8" s="1"/>
      <c r="AF8" s="1"/>
      <c r="AG8" s="1"/>
      <c r="AH8" s="396"/>
      <c r="AI8" s="5"/>
      <c r="AJ8" s="5"/>
      <c r="AK8" s="5"/>
      <c r="AL8" s="5"/>
      <c r="AM8" s="5"/>
      <c r="AN8" s="1"/>
      <c r="AO8" s="1"/>
      <c r="AP8" s="1"/>
      <c r="AQ8" s="1"/>
      <c r="AR8" s="396"/>
      <c r="AS8" s="1"/>
      <c r="AT8" s="396"/>
      <c r="AU8" s="655"/>
      <c r="AV8" s="1000"/>
      <c r="AW8" s="6"/>
    </row>
    <row r="9" spans="1:49" ht="15" hidden="1" customHeight="1" x14ac:dyDescent="0.25">
      <c r="A9" s="1357"/>
      <c r="B9" s="1357"/>
      <c r="C9" s="1357"/>
      <c r="D9" s="1357"/>
      <c r="E9" s="1357"/>
      <c r="F9" s="1357"/>
      <c r="G9" s="1357"/>
      <c r="H9" s="1357"/>
      <c r="I9" s="1357"/>
      <c r="J9" s="1357"/>
      <c r="K9" s="1357"/>
      <c r="L9" s="1357"/>
      <c r="M9" s="1"/>
      <c r="N9" s="1"/>
      <c r="O9" s="1"/>
      <c r="P9" s="1"/>
      <c r="Q9" s="1"/>
      <c r="R9" s="1"/>
      <c r="S9" s="1"/>
      <c r="T9" s="1170"/>
      <c r="U9" s="1"/>
      <c r="V9" s="1"/>
      <c r="W9" s="816"/>
      <c r="X9" s="1"/>
      <c r="Y9" s="1"/>
      <c r="Z9" s="827"/>
      <c r="AA9" s="1"/>
      <c r="AB9" s="1"/>
      <c r="AC9" s="1"/>
      <c r="AD9" s="1"/>
      <c r="AE9" s="1"/>
      <c r="AF9" s="1"/>
      <c r="AG9" s="1"/>
      <c r="AH9" s="396"/>
      <c r="AI9" s="5"/>
      <c r="AJ9" s="5"/>
      <c r="AK9" s="5"/>
      <c r="AL9" s="5"/>
      <c r="AM9" s="5"/>
      <c r="AN9" s="1"/>
      <c r="AO9" s="1"/>
      <c r="AP9" s="1"/>
      <c r="AQ9" s="1"/>
      <c r="AR9" s="396"/>
      <c r="AS9" s="1"/>
      <c r="AT9" s="396"/>
      <c r="AU9" s="655"/>
      <c r="AV9" s="1000"/>
      <c r="AW9" s="6"/>
    </row>
    <row r="10" spans="1:49" ht="30" hidden="1" customHeight="1" x14ac:dyDescent="0.25">
      <c r="A10" s="1358" t="s">
        <v>1</v>
      </c>
      <c r="B10" s="1358"/>
      <c r="C10" s="1358"/>
      <c r="D10" s="1358"/>
      <c r="E10" s="1358"/>
      <c r="F10" s="1358"/>
      <c r="G10" s="1358"/>
      <c r="H10" s="1359" t="s">
        <v>2</v>
      </c>
      <c r="I10" s="1359"/>
      <c r="J10" s="1359"/>
      <c r="K10" s="1359"/>
      <c r="L10" s="1359"/>
      <c r="M10" s="7"/>
      <c r="N10" s="7"/>
      <c r="O10" s="8"/>
      <c r="P10" s="9"/>
      <c r="Q10" s="9"/>
      <c r="R10" s="10"/>
      <c r="S10" s="11"/>
      <c r="T10" s="1171" t="s">
        <v>3</v>
      </c>
      <c r="U10" s="12"/>
      <c r="V10" s="12"/>
      <c r="W10" s="817"/>
      <c r="X10" s="12" t="s">
        <v>4</v>
      </c>
      <c r="Y10" s="12"/>
      <c r="Z10" s="828"/>
      <c r="AA10" s="12" t="s">
        <v>5</v>
      </c>
      <c r="AB10" s="12"/>
      <c r="AC10" s="12"/>
      <c r="AD10" s="12" t="s">
        <v>6</v>
      </c>
      <c r="AE10" s="12"/>
      <c r="AF10" s="12"/>
      <c r="AG10" s="12"/>
      <c r="AH10" s="397"/>
      <c r="AI10" s="13"/>
      <c r="AJ10" s="13"/>
      <c r="AK10" s="13"/>
      <c r="AL10" s="13"/>
      <c r="AM10" s="13"/>
      <c r="AN10" s="10"/>
      <c r="AO10" s="10"/>
      <c r="AP10" s="10"/>
      <c r="AQ10" s="401"/>
      <c r="AR10" s="293"/>
      <c r="AS10" s="464"/>
      <c r="AT10" s="293"/>
      <c r="AU10" s="646"/>
      <c r="AV10" s="1001"/>
      <c r="AW10" s="549"/>
    </row>
    <row r="11" spans="1:49" ht="90.75" customHeight="1" x14ac:dyDescent="0.25">
      <c r="A11" s="14" t="s">
        <v>7</v>
      </c>
      <c r="B11" s="14" t="s">
        <v>8</v>
      </c>
      <c r="C11" s="14" t="s">
        <v>9</v>
      </c>
      <c r="D11" s="14" t="s">
        <v>10</v>
      </c>
      <c r="E11" s="14" t="s">
        <v>11</v>
      </c>
      <c r="F11" s="14" t="s">
        <v>12</v>
      </c>
      <c r="G11" s="14" t="s">
        <v>13</v>
      </c>
      <c r="H11" s="15" t="s">
        <v>14</v>
      </c>
      <c r="I11" s="16" t="s">
        <v>15</v>
      </c>
      <c r="J11" s="17" t="s">
        <v>16</v>
      </c>
      <c r="K11" s="18" t="s">
        <v>1994</v>
      </c>
      <c r="L11" s="8" t="s">
        <v>17</v>
      </c>
      <c r="M11" s="7" t="s">
        <v>18</v>
      </c>
      <c r="N11" s="7" t="s">
        <v>19</v>
      </c>
      <c r="O11" s="7" t="s">
        <v>20</v>
      </c>
      <c r="P11" s="19" t="s">
        <v>21</v>
      </c>
      <c r="Q11" s="19" t="s">
        <v>22</v>
      </c>
      <c r="R11" s="19" t="s">
        <v>23</v>
      </c>
      <c r="S11" s="19" t="s">
        <v>24</v>
      </c>
      <c r="T11" s="1172" t="s">
        <v>25</v>
      </c>
      <c r="U11" s="19" t="s">
        <v>26</v>
      </c>
      <c r="V11" s="19"/>
      <c r="W11" s="621" t="s">
        <v>1904</v>
      </c>
      <c r="X11" s="948" t="s">
        <v>25</v>
      </c>
      <c r="Y11" s="19" t="s">
        <v>27</v>
      </c>
      <c r="Z11" s="829" t="s">
        <v>1905</v>
      </c>
      <c r="AA11" s="19" t="s">
        <v>25</v>
      </c>
      <c r="AB11" s="19" t="s">
        <v>28</v>
      </c>
      <c r="AC11" s="19" t="s">
        <v>1906</v>
      </c>
      <c r="AD11" s="19" t="s">
        <v>25</v>
      </c>
      <c r="AE11" s="19" t="s">
        <v>29</v>
      </c>
      <c r="AF11" s="19" t="s">
        <v>1907</v>
      </c>
      <c r="AG11" s="19" t="s">
        <v>25</v>
      </c>
      <c r="AH11" s="398" t="s">
        <v>1689</v>
      </c>
      <c r="AI11" s="20" t="s">
        <v>1810</v>
      </c>
      <c r="AJ11" s="20" t="s">
        <v>1682</v>
      </c>
      <c r="AK11" s="20" t="s">
        <v>1683</v>
      </c>
      <c r="AL11" s="20" t="s">
        <v>1684</v>
      </c>
      <c r="AM11" s="20" t="s">
        <v>1685</v>
      </c>
      <c r="AN11" s="19" t="s">
        <v>31</v>
      </c>
      <c r="AO11" s="19" t="s">
        <v>1686</v>
      </c>
      <c r="AP11" s="19" t="s">
        <v>1687</v>
      </c>
      <c r="AQ11" s="12" t="s">
        <v>1688</v>
      </c>
      <c r="AR11" s="1360" t="s">
        <v>1690</v>
      </c>
      <c r="AS11" s="1361"/>
      <c r="AT11" s="398" t="s">
        <v>1691</v>
      </c>
      <c r="AU11" s="398" t="s">
        <v>1681</v>
      </c>
      <c r="AV11" s="12" t="s">
        <v>30</v>
      </c>
      <c r="AW11" s="551" t="s">
        <v>32</v>
      </c>
    </row>
    <row r="12" spans="1:49" ht="15" customHeight="1" x14ac:dyDescent="0.25">
      <c r="A12" s="14"/>
      <c r="B12" s="14"/>
      <c r="C12" s="14"/>
      <c r="D12" s="14"/>
      <c r="E12" s="14"/>
      <c r="F12" s="14"/>
      <c r="G12" s="14"/>
      <c r="H12" s="15"/>
      <c r="I12" s="16"/>
      <c r="J12" s="17"/>
      <c r="K12" s="18"/>
      <c r="L12" s="21" t="s">
        <v>33</v>
      </c>
      <c r="M12" s="22"/>
      <c r="N12" s="22"/>
      <c r="O12" s="22"/>
      <c r="P12" s="23"/>
      <c r="Q12" s="23"/>
      <c r="R12" s="23"/>
      <c r="S12" s="23"/>
      <c r="T12" s="1173"/>
      <c r="U12" s="23"/>
      <c r="V12" s="23"/>
      <c r="W12" s="818"/>
      <c r="X12" s="23"/>
      <c r="Y12" s="23"/>
      <c r="Z12" s="830"/>
      <c r="AA12" s="23"/>
      <c r="AB12" s="23"/>
      <c r="AC12" s="23"/>
      <c r="AD12" s="23"/>
      <c r="AE12" s="23"/>
      <c r="AF12" s="341"/>
      <c r="AG12" s="341"/>
      <c r="AH12" s="1103">
        <f>+AH13+AH1014+AH1042+AH1241+AH1499+AH1551</f>
        <v>1552988643.0475438</v>
      </c>
      <c r="AI12" s="24"/>
      <c r="AJ12" s="24"/>
      <c r="AK12" s="24"/>
      <c r="AL12" s="24"/>
      <c r="AM12" s="24"/>
      <c r="AN12" s="19" t="s">
        <v>39</v>
      </c>
      <c r="AO12" s="19"/>
      <c r="AP12" s="19"/>
      <c r="AQ12" s="12"/>
      <c r="AR12" s="398"/>
      <c r="AS12" s="329"/>
      <c r="AT12" s="398"/>
      <c r="AU12" s="656"/>
      <c r="AV12" s="1002"/>
      <c r="AW12" s="550"/>
    </row>
    <row r="13" spans="1:49" ht="20.25" customHeight="1" x14ac:dyDescent="0.25">
      <c r="A13" s="38" t="str">
        <f t="shared" ref="A13:A260" si="0">CONCATENATE(B13,".",C13,".",D13,".",E13,".",F13,".",G13)</f>
        <v>1.0.0.0.0.0</v>
      </c>
      <c r="B13" s="39">
        <v>1</v>
      </c>
      <c r="C13" s="39">
        <v>0</v>
      </c>
      <c r="D13" s="39">
        <v>0</v>
      </c>
      <c r="E13" s="39">
        <v>0</v>
      </c>
      <c r="F13" s="39">
        <v>0</v>
      </c>
      <c r="G13" s="39">
        <v>0</v>
      </c>
      <c r="H13" s="1362" t="s">
        <v>36</v>
      </c>
      <c r="I13" s="1362"/>
      <c r="J13" s="1362"/>
      <c r="K13" s="1362"/>
      <c r="L13" s="40" t="s">
        <v>37</v>
      </c>
      <c r="M13" s="40"/>
      <c r="N13" s="40" t="s">
        <v>37</v>
      </c>
      <c r="O13" s="40" t="s">
        <v>38</v>
      </c>
      <c r="P13" s="41">
        <v>44562</v>
      </c>
      <c r="Q13" s="41">
        <v>44926</v>
      </c>
      <c r="R13" s="40"/>
      <c r="S13" s="40"/>
      <c r="T13" s="1115"/>
      <c r="U13" s="42">
        <f>+U14+U140+U146+U653+U741+U792+U880+U921+U960+U964</f>
        <v>415059065.94260031</v>
      </c>
      <c r="V13" s="42"/>
      <c r="W13" s="42">
        <f t="shared" ref="W13:AP13" si="1">+W14+W140+W146+W653+W741+W792+W880+W921+W960+W964</f>
        <v>411757.14</v>
      </c>
      <c r="X13" s="1115">
        <f t="shared" si="1"/>
        <v>0</v>
      </c>
      <c r="Y13" s="42">
        <f t="shared" si="1"/>
        <v>448542138.51117176</v>
      </c>
      <c r="Z13" s="42">
        <f t="shared" si="1"/>
        <v>0</v>
      </c>
      <c r="AA13" s="1115">
        <f t="shared" si="1"/>
        <v>14</v>
      </c>
      <c r="AB13" s="42">
        <f t="shared" si="1"/>
        <v>295922240.68688607</v>
      </c>
      <c r="AC13" s="42">
        <f t="shared" si="1"/>
        <v>411757.14</v>
      </c>
      <c r="AD13" s="1115">
        <f t="shared" si="1"/>
        <v>0</v>
      </c>
      <c r="AE13" s="42">
        <f t="shared" si="1"/>
        <v>227170516.476886</v>
      </c>
      <c r="AF13" s="42">
        <f t="shared" si="1"/>
        <v>0</v>
      </c>
      <c r="AG13" s="1115">
        <f t="shared" si="1"/>
        <v>0</v>
      </c>
      <c r="AH13" s="42">
        <f>+AH14+AH140+AH146+AH653+AH741+AH792+AH880+AH921+AH960+AH964</f>
        <v>1385493961.6175437</v>
      </c>
      <c r="AI13" s="42">
        <f t="shared" si="1"/>
        <v>0</v>
      </c>
      <c r="AJ13" s="42">
        <f t="shared" si="1"/>
        <v>2058785.7</v>
      </c>
      <c r="AK13" s="42">
        <f t="shared" si="1"/>
        <v>0</v>
      </c>
      <c r="AL13" s="42">
        <f t="shared" si="1"/>
        <v>0</v>
      </c>
      <c r="AM13" s="42">
        <f t="shared" si="1"/>
        <v>0</v>
      </c>
      <c r="AN13" s="42" t="s">
        <v>39</v>
      </c>
      <c r="AO13" s="42">
        <f t="shared" si="1"/>
        <v>0</v>
      </c>
      <c r="AP13" s="42">
        <f t="shared" si="1"/>
        <v>0</v>
      </c>
      <c r="AQ13" s="311"/>
      <c r="AR13" s="44"/>
      <c r="AS13" s="311"/>
      <c r="AT13" s="44"/>
      <c r="AU13" s="658"/>
      <c r="AV13" s="575"/>
      <c r="AW13" s="426"/>
    </row>
    <row r="14" spans="1:49" ht="39" customHeight="1" outlineLevel="1" x14ac:dyDescent="0.25">
      <c r="A14" s="45" t="str">
        <f>CONCATENATE(B14,".",C14,".",D14,".",E14,".",F14,".",G14)</f>
        <v>1.1.1.0.0.0</v>
      </c>
      <c r="B14" s="46">
        <v>1</v>
      </c>
      <c r="C14" s="46">
        <v>1</v>
      </c>
      <c r="D14" s="46">
        <v>1</v>
      </c>
      <c r="E14" s="46">
        <v>0</v>
      </c>
      <c r="F14" s="46">
        <v>0</v>
      </c>
      <c r="G14" s="46">
        <v>0</v>
      </c>
      <c r="H14" s="47"/>
      <c r="I14" s="1363" t="s">
        <v>40</v>
      </c>
      <c r="J14" s="1363"/>
      <c r="K14" s="1363"/>
      <c r="L14" s="46" t="s">
        <v>41</v>
      </c>
      <c r="M14" s="48" t="s">
        <v>42</v>
      </c>
      <c r="N14" s="48" t="s">
        <v>2624</v>
      </c>
      <c r="O14" s="46" t="s">
        <v>44</v>
      </c>
      <c r="P14" s="49">
        <v>44571</v>
      </c>
      <c r="Q14" s="49">
        <v>44925</v>
      </c>
      <c r="R14" s="46"/>
      <c r="S14" s="48"/>
      <c r="T14" s="1175"/>
      <c r="U14" s="50">
        <f t="shared" ref="U14:AJ14" si="2">+U15+U41+U119+U120</f>
        <v>139093.71000000002</v>
      </c>
      <c r="V14" s="1231">
        <f>+U14/56</f>
        <v>2483.8162500000003</v>
      </c>
      <c r="W14" s="680">
        <f t="shared" si="2"/>
        <v>0</v>
      </c>
      <c r="X14" s="1116">
        <f t="shared" si="2"/>
        <v>0</v>
      </c>
      <c r="Y14" s="112">
        <f t="shared" si="2"/>
        <v>1878489.3600000006</v>
      </c>
      <c r="Z14" s="832">
        <f t="shared" si="2"/>
        <v>0</v>
      </c>
      <c r="AA14" s="1116">
        <f t="shared" si="2"/>
        <v>14</v>
      </c>
      <c r="AB14" s="112">
        <f t="shared" si="2"/>
        <v>1449637.35</v>
      </c>
      <c r="AC14" s="966">
        <f t="shared" si="2"/>
        <v>0</v>
      </c>
      <c r="AD14" s="1116">
        <f t="shared" si="2"/>
        <v>0</v>
      </c>
      <c r="AE14" s="112">
        <f t="shared" si="2"/>
        <v>1449638.35</v>
      </c>
      <c r="AF14" s="112">
        <f t="shared" si="2"/>
        <v>0</v>
      </c>
      <c r="AG14" s="1116">
        <f t="shared" si="2"/>
        <v>0</v>
      </c>
      <c r="AH14" s="112">
        <f>+AH15+AH41+AH119+AH120</f>
        <v>4916858.7699999977</v>
      </c>
      <c r="AI14" s="112">
        <f t="shared" si="2"/>
        <v>0</v>
      </c>
      <c r="AJ14" s="112">
        <f t="shared" si="2"/>
        <v>0</v>
      </c>
      <c r="AK14" s="51"/>
      <c r="AL14" s="51"/>
      <c r="AM14" s="51"/>
      <c r="AN14" s="52" t="s">
        <v>39</v>
      </c>
      <c r="AO14" s="52"/>
      <c r="AP14" s="52"/>
      <c r="AQ14" s="403"/>
      <c r="AR14" s="109"/>
      <c r="AS14" s="330"/>
      <c r="AT14" s="109"/>
      <c r="AU14" s="659"/>
      <c r="AV14" s="112"/>
      <c r="AW14" s="109"/>
    </row>
    <row r="15" spans="1:49" ht="44.1" customHeight="1" outlineLevel="1" collapsed="1" x14ac:dyDescent="0.25">
      <c r="A15" s="53" t="str">
        <f>CONCATENATE(B15,".",C15,".",D15,".",E15,".",F15,".",G15)</f>
        <v>1.1.1.1.0.0</v>
      </c>
      <c r="B15" s="54">
        <v>1</v>
      </c>
      <c r="C15" s="54">
        <v>1</v>
      </c>
      <c r="D15" s="54">
        <v>1</v>
      </c>
      <c r="E15" s="54">
        <v>1</v>
      </c>
      <c r="F15" s="54">
        <v>0</v>
      </c>
      <c r="G15" s="54">
        <v>0</v>
      </c>
      <c r="H15" s="55"/>
      <c r="I15" s="56"/>
      <c r="J15" s="1351" t="s">
        <v>45</v>
      </c>
      <c r="K15" s="1351"/>
      <c r="L15" s="54" t="s">
        <v>41</v>
      </c>
      <c r="M15" s="57" t="s">
        <v>46</v>
      </c>
      <c r="N15" s="54" t="s">
        <v>47</v>
      </c>
      <c r="O15" s="54" t="s">
        <v>44</v>
      </c>
      <c r="P15" s="58">
        <v>44571</v>
      </c>
      <c r="Q15" s="58">
        <v>44925</v>
      </c>
      <c r="R15" s="1220">
        <f>+SUM(R16:R33)</f>
        <v>20</v>
      </c>
      <c r="S15" s="57" t="s">
        <v>48</v>
      </c>
      <c r="T15" s="1176">
        <f>+SUM(T16:T33)</f>
        <v>0</v>
      </c>
      <c r="U15" s="60">
        <f>SUM(U16:U40)</f>
        <v>38296.86</v>
      </c>
      <c r="V15" s="60"/>
      <c r="W15" s="60">
        <f t="shared" ref="W15:AG15" si="3">SUM(W16:W40)</f>
        <v>0</v>
      </c>
      <c r="X15" s="1117">
        <f t="shared" si="3"/>
        <v>0</v>
      </c>
      <c r="Y15" s="60">
        <f t="shared" si="3"/>
        <v>228172.84000000008</v>
      </c>
      <c r="Z15" s="60">
        <f t="shared" si="3"/>
        <v>0</v>
      </c>
      <c r="AA15" s="1117">
        <f t="shared" si="3"/>
        <v>14</v>
      </c>
      <c r="AB15" s="60">
        <f t="shared" si="3"/>
        <v>228172.84000000008</v>
      </c>
      <c r="AC15" s="60">
        <f t="shared" si="3"/>
        <v>0</v>
      </c>
      <c r="AD15" s="1117">
        <f t="shared" si="3"/>
        <v>0</v>
      </c>
      <c r="AE15" s="60">
        <f t="shared" si="3"/>
        <v>228172.84000000008</v>
      </c>
      <c r="AF15" s="60">
        <f t="shared" si="3"/>
        <v>0</v>
      </c>
      <c r="AG15" s="1117">
        <f t="shared" si="3"/>
        <v>0</v>
      </c>
      <c r="AH15" s="60">
        <f>SUM(AH16:AH40)</f>
        <v>722815.38000000024</v>
      </c>
      <c r="AI15" s="576">
        <f>+SUM(AI16:AI33)</f>
        <v>0</v>
      </c>
      <c r="AJ15" s="576">
        <f>+SUM(AJ16:AJ33)</f>
        <v>0</v>
      </c>
      <c r="AK15" s="61"/>
      <c r="AL15" s="61"/>
      <c r="AM15" s="61"/>
      <c r="AN15" s="62" t="s">
        <v>39</v>
      </c>
      <c r="AO15" s="62"/>
      <c r="AP15" s="62"/>
      <c r="AQ15" s="404"/>
      <c r="AR15" s="62"/>
      <c r="AS15" s="466"/>
      <c r="AT15" s="62"/>
      <c r="AU15" s="660"/>
      <c r="AV15" s="60"/>
      <c r="AW15" s="567"/>
    </row>
    <row r="16" spans="1:49" ht="58.35" hidden="1" customHeight="1" outlineLevel="2" x14ac:dyDescent="0.25">
      <c r="A16" s="63" t="str">
        <f t="shared" si="0"/>
        <v>1.1.1.1.1.58-63-64</v>
      </c>
      <c r="B16" s="64">
        <v>1</v>
      </c>
      <c r="C16" s="64">
        <v>1</v>
      </c>
      <c r="D16" s="64">
        <v>1</v>
      </c>
      <c r="E16" s="64">
        <v>1</v>
      </c>
      <c r="F16" s="64">
        <v>1</v>
      </c>
      <c r="G16" s="64" t="s">
        <v>50</v>
      </c>
      <c r="H16" s="65"/>
      <c r="I16" s="65"/>
      <c r="J16" s="66"/>
      <c r="K16" s="67" t="s">
        <v>2635</v>
      </c>
      <c r="L16" s="64" t="s">
        <v>41</v>
      </c>
      <c r="M16" s="68" t="s">
        <v>52</v>
      </c>
      <c r="N16" s="64" t="s">
        <v>53</v>
      </c>
      <c r="O16" s="64" t="s">
        <v>54</v>
      </c>
      <c r="P16" s="69">
        <v>45035</v>
      </c>
      <c r="Q16" s="69">
        <v>45044</v>
      </c>
      <c r="R16" s="194">
        <v>6</v>
      </c>
      <c r="S16" s="70" t="s">
        <v>48</v>
      </c>
      <c r="T16" s="1177"/>
      <c r="U16" s="985">
        <v>0</v>
      </c>
      <c r="V16" s="985"/>
      <c r="W16" s="985">
        <v>0</v>
      </c>
      <c r="X16" s="1118">
        <v>0</v>
      </c>
      <c r="Y16" s="985">
        <v>0</v>
      </c>
      <c r="Z16" s="986">
        <v>0</v>
      </c>
      <c r="AA16" s="1118">
        <f>+R16</f>
        <v>6</v>
      </c>
      <c r="AB16" s="985">
        <v>0</v>
      </c>
      <c r="AC16" s="985">
        <v>0</v>
      </c>
      <c r="AD16" s="1118">
        <v>0</v>
      </c>
      <c r="AE16" s="985">
        <v>0</v>
      </c>
      <c r="AF16" s="985">
        <v>0</v>
      </c>
      <c r="AG16" s="1118">
        <v>0</v>
      </c>
      <c r="AH16" s="552">
        <f t="shared" ref="AH16:AH40" si="4">+U16+Y16+AB16+AE16</f>
        <v>0</v>
      </c>
      <c r="AI16" s="75"/>
      <c r="AJ16" s="75">
        <f t="shared" ref="AJ16:AJ40" si="5">+W16+Z16+AC16+AF16</f>
        <v>0</v>
      </c>
      <c r="AK16" s="75"/>
      <c r="AL16" s="75"/>
      <c r="AM16" s="75"/>
      <c r="AN16" s="76" t="s">
        <v>39</v>
      </c>
      <c r="AO16" s="76"/>
      <c r="AP16" s="76" t="s">
        <v>649</v>
      </c>
      <c r="AQ16" s="405"/>
      <c r="AR16" s="76"/>
      <c r="AS16" s="467"/>
      <c r="AT16" s="76"/>
      <c r="AU16" s="661"/>
      <c r="AV16" s="64" t="s">
        <v>55</v>
      </c>
      <c r="AW16" s="335"/>
    </row>
    <row r="17" spans="1:49" ht="56.1" hidden="1" customHeight="1" outlineLevel="2" x14ac:dyDescent="0.25">
      <c r="A17" s="63" t="str">
        <f t="shared" si="0"/>
        <v>1.1.1.1.2.59-61-62-60</v>
      </c>
      <c r="B17" s="64">
        <v>1</v>
      </c>
      <c r="C17" s="64">
        <v>1</v>
      </c>
      <c r="D17" s="64">
        <v>1</v>
      </c>
      <c r="E17" s="64">
        <v>1</v>
      </c>
      <c r="F17" s="64">
        <v>2</v>
      </c>
      <c r="G17" s="64" t="s">
        <v>57</v>
      </c>
      <c r="H17" s="65"/>
      <c r="I17" s="65"/>
      <c r="J17" s="66"/>
      <c r="K17" s="67" t="s">
        <v>2637</v>
      </c>
      <c r="L17" s="64" t="s">
        <v>41</v>
      </c>
      <c r="M17" s="68" t="s">
        <v>52</v>
      </c>
      <c r="N17" s="64" t="s">
        <v>53</v>
      </c>
      <c r="O17" s="64" t="s">
        <v>44</v>
      </c>
      <c r="P17" s="69">
        <v>45068</v>
      </c>
      <c r="Q17" s="69">
        <v>45077</v>
      </c>
      <c r="R17" s="194">
        <v>5</v>
      </c>
      <c r="S17" s="70" t="s">
        <v>48</v>
      </c>
      <c r="T17" s="1177"/>
      <c r="U17" s="985">
        <v>0</v>
      </c>
      <c r="V17" s="985"/>
      <c r="W17" s="985">
        <v>0</v>
      </c>
      <c r="X17" s="1118">
        <v>0</v>
      </c>
      <c r="Y17" s="985">
        <v>0</v>
      </c>
      <c r="Z17" s="986">
        <v>0</v>
      </c>
      <c r="AA17" s="1118">
        <f>+R17</f>
        <v>5</v>
      </c>
      <c r="AB17" s="985">
        <v>0</v>
      </c>
      <c r="AC17" s="985">
        <v>0</v>
      </c>
      <c r="AD17" s="1118">
        <v>0</v>
      </c>
      <c r="AE17" s="985">
        <v>0</v>
      </c>
      <c r="AF17" s="985">
        <v>0</v>
      </c>
      <c r="AG17" s="1118">
        <v>0</v>
      </c>
      <c r="AH17" s="552">
        <f t="shared" si="4"/>
        <v>0</v>
      </c>
      <c r="AI17" s="75"/>
      <c r="AJ17" s="75">
        <f t="shared" si="5"/>
        <v>0</v>
      </c>
      <c r="AK17" s="75"/>
      <c r="AL17" s="75"/>
      <c r="AM17" s="75"/>
      <c r="AN17" s="76" t="s">
        <v>39</v>
      </c>
      <c r="AO17" s="76"/>
      <c r="AP17" s="76" t="s">
        <v>649</v>
      </c>
      <c r="AQ17" s="405"/>
      <c r="AR17" s="76"/>
      <c r="AS17" s="467"/>
      <c r="AT17" s="76"/>
      <c r="AU17" s="661"/>
      <c r="AV17" s="64" t="s">
        <v>55</v>
      </c>
      <c r="AW17" s="335"/>
    </row>
    <row r="18" spans="1:49" ht="51.75" hidden="1" customHeight="1" outlineLevel="2" x14ac:dyDescent="0.25">
      <c r="A18" s="63" t="str">
        <f t="shared" si="0"/>
        <v>1.1.1.1.3.58-63-64</v>
      </c>
      <c r="B18" s="64">
        <v>1</v>
      </c>
      <c r="C18" s="64">
        <v>1</v>
      </c>
      <c r="D18" s="64">
        <v>1</v>
      </c>
      <c r="E18" s="64">
        <v>1</v>
      </c>
      <c r="F18" s="64">
        <v>3</v>
      </c>
      <c r="G18" s="64" t="s">
        <v>50</v>
      </c>
      <c r="H18" s="65"/>
      <c r="I18" s="65"/>
      <c r="J18" s="66"/>
      <c r="K18" s="67" t="s">
        <v>2641</v>
      </c>
      <c r="L18" s="64" t="s">
        <v>41</v>
      </c>
      <c r="M18" s="68" t="s">
        <v>52</v>
      </c>
      <c r="N18" s="64" t="s">
        <v>53</v>
      </c>
      <c r="O18" s="64" t="s">
        <v>44</v>
      </c>
      <c r="P18" s="69">
        <v>44936</v>
      </c>
      <c r="Q18" s="69">
        <v>45290</v>
      </c>
      <c r="R18" s="194">
        <v>3</v>
      </c>
      <c r="S18" s="70" t="s">
        <v>48</v>
      </c>
      <c r="T18" s="1177"/>
      <c r="U18" s="985">
        <v>0</v>
      </c>
      <c r="V18" s="985"/>
      <c r="W18" s="985">
        <v>0</v>
      </c>
      <c r="X18" s="1118">
        <v>0</v>
      </c>
      <c r="Y18" s="985">
        <v>0</v>
      </c>
      <c r="Z18" s="986">
        <v>0</v>
      </c>
      <c r="AA18" s="1118">
        <f>+R18</f>
        <v>3</v>
      </c>
      <c r="AB18" s="985">
        <v>0</v>
      </c>
      <c r="AC18" s="985">
        <v>0</v>
      </c>
      <c r="AD18" s="1118">
        <v>0</v>
      </c>
      <c r="AE18" s="985">
        <v>0</v>
      </c>
      <c r="AF18" s="985">
        <v>0</v>
      </c>
      <c r="AG18" s="1118">
        <v>0</v>
      </c>
      <c r="AH18" s="552">
        <f t="shared" si="4"/>
        <v>0</v>
      </c>
      <c r="AI18" s="75"/>
      <c r="AJ18" s="75">
        <f t="shared" si="5"/>
        <v>0</v>
      </c>
      <c r="AK18" s="75"/>
      <c r="AL18" s="75"/>
      <c r="AM18" s="75"/>
      <c r="AN18" s="76" t="s">
        <v>39</v>
      </c>
      <c r="AO18" s="76"/>
      <c r="AP18" s="76" t="s">
        <v>649</v>
      </c>
      <c r="AQ18" s="405"/>
      <c r="AR18" s="76"/>
      <c r="AS18" s="467"/>
      <c r="AT18" s="76"/>
      <c r="AU18" s="661"/>
      <c r="AV18" s="64" t="s">
        <v>55</v>
      </c>
      <c r="AW18" s="335"/>
    </row>
    <row r="19" spans="1:49" ht="53.45" hidden="1" customHeight="1" outlineLevel="2" x14ac:dyDescent="0.25">
      <c r="A19" s="63" t="str">
        <f t="shared" si="0"/>
        <v>1.1.1.1.4.59-61-62-60</v>
      </c>
      <c r="B19" s="64">
        <v>1</v>
      </c>
      <c r="C19" s="64">
        <v>1</v>
      </c>
      <c r="D19" s="64">
        <v>1</v>
      </c>
      <c r="E19" s="64">
        <v>1</v>
      </c>
      <c r="F19" s="64">
        <v>4</v>
      </c>
      <c r="G19" s="64" t="s">
        <v>57</v>
      </c>
      <c r="H19" s="65"/>
      <c r="I19" s="65"/>
      <c r="J19" s="66"/>
      <c r="K19" s="67" t="s">
        <v>2644</v>
      </c>
      <c r="L19" s="64" t="s">
        <v>41</v>
      </c>
      <c r="M19" s="68" t="s">
        <v>52</v>
      </c>
      <c r="N19" s="64" t="s">
        <v>53</v>
      </c>
      <c r="O19" s="64" t="s">
        <v>44</v>
      </c>
      <c r="P19" s="69">
        <v>44936</v>
      </c>
      <c r="Q19" s="69">
        <v>45290</v>
      </c>
      <c r="R19" s="194">
        <v>6</v>
      </c>
      <c r="S19" s="70" t="s">
        <v>48</v>
      </c>
      <c r="T19" s="1178"/>
      <c r="U19" s="821">
        <v>0</v>
      </c>
      <c r="V19" s="821"/>
      <c r="W19" s="821">
        <v>0</v>
      </c>
      <c r="X19" s="1119">
        <v>0</v>
      </c>
      <c r="Y19" s="987">
        <v>0</v>
      </c>
      <c r="Z19" s="986">
        <v>0</v>
      </c>
      <c r="AA19" s="1119">
        <v>0</v>
      </c>
      <c r="AB19" s="987">
        <v>0</v>
      </c>
      <c r="AC19" s="987">
        <v>0</v>
      </c>
      <c r="AD19" s="1119">
        <v>0</v>
      </c>
      <c r="AE19" s="987">
        <v>0</v>
      </c>
      <c r="AF19" s="987">
        <v>0</v>
      </c>
      <c r="AG19" s="1119">
        <v>0</v>
      </c>
      <c r="AH19" s="552">
        <f t="shared" si="4"/>
        <v>0</v>
      </c>
      <c r="AI19" s="75"/>
      <c r="AJ19" s="75">
        <f t="shared" si="5"/>
        <v>0</v>
      </c>
      <c r="AK19" s="75"/>
      <c r="AL19" s="75"/>
      <c r="AM19" s="75"/>
      <c r="AN19" s="76" t="s">
        <v>39</v>
      </c>
      <c r="AO19" s="76"/>
      <c r="AP19" s="76" t="s">
        <v>649</v>
      </c>
      <c r="AQ19" s="405"/>
      <c r="AR19" s="76"/>
      <c r="AS19" s="467"/>
      <c r="AT19" s="76"/>
      <c r="AU19" s="661"/>
      <c r="AV19" s="64" t="s">
        <v>55</v>
      </c>
      <c r="AW19" s="336"/>
    </row>
    <row r="20" spans="1:49" ht="44.1" hidden="1" customHeight="1" outlineLevel="2" x14ac:dyDescent="0.25">
      <c r="A20" s="63" t="str">
        <f t="shared" si="0"/>
        <v>1.1.1.1.8.58</v>
      </c>
      <c r="B20" s="64">
        <v>1</v>
      </c>
      <c r="C20" s="64">
        <v>1</v>
      </c>
      <c r="D20" s="64">
        <v>1</v>
      </c>
      <c r="E20" s="64">
        <v>1</v>
      </c>
      <c r="F20" s="64">
        <v>8</v>
      </c>
      <c r="G20" s="64">
        <v>58</v>
      </c>
      <c r="H20" s="65"/>
      <c r="I20" s="65"/>
      <c r="J20" s="66"/>
      <c r="K20" s="67" t="s">
        <v>71</v>
      </c>
      <c r="L20" s="64" t="s">
        <v>72</v>
      </c>
      <c r="M20" s="64" t="s">
        <v>73</v>
      </c>
      <c r="N20" s="64" t="s">
        <v>74</v>
      </c>
      <c r="O20" s="64" t="s">
        <v>75</v>
      </c>
      <c r="P20" s="69">
        <v>44936</v>
      </c>
      <c r="Q20" s="69">
        <v>45290</v>
      </c>
      <c r="R20" s="64"/>
      <c r="S20" s="70" t="s">
        <v>76</v>
      </c>
      <c r="T20" s="1178"/>
      <c r="U20" s="984">
        <v>2792.41</v>
      </c>
      <c r="V20" s="1232"/>
      <c r="W20" s="988">
        <v>0</v>
      </c>
      <c r="X20" s="1119">
        <v>0</v>
      </c>
      <c r="Y20" s="79">
        <v>2792.41</v>
      </c>
      <c r="Z20" s="79">
        <v>0</v>
      </c>
      <c r="AA20" s="1119">
        <v>0</v>
      </c>
      <c r="AB20" s="79">
        <v>2792.41</v>
      </c>
      <c r="AC20" s="79">
        <v>0</v>
      </c>
      <c r="AD20" s="1119">
        <v>0</v>
      </c>
      <c r="AE20" s="79">
        <v>2792.41</v>
      </c>
      <c r="AF20" s="987">
        <v>0</v>
      </c>
      <c r="AG20" s="1119">
        <v>0</v>
      </c>
      <c r="AH20" s="552">
        <f t="shared" si="4"/>
        <v>11169.64</v>
      </c>
      <c r="AI20" s="78"/>
      <c r="AJ20" s="75">
        <f t="shared" si="5"/>
        <v>0</v>
      </c>
      <c r="AK20" s="78"/>
      <c r="AL20" s="78"/>
      <c r="AM20" s="78"/>
      <c r="AN20" s="76" t="s">
        <v>39</v>
      </c>
      <c r="AO20" s="312"/>
      <c r="AP20" s="312"/>
      <c r="AQ20" s="406"/>
      <c r="AR20" s="76"/>
      <c r="AS20" s="468"/>
      <c r="AT20" s="76"/>
      <c r="AU20" s="661"/>
      <c r="AV20" s="64" t="s">
        <v>77</v>
      </c>
      <c r="AW20" s="1352" t="s">
        <v>2651</v>
      </c>
    </row>
    <row r="21" spans="1:49" ht="33.6" hidden="1" customHeight="1" outlineLevel="2" x14ac:dyDescent="0.25">
      <c r="A21" s="63" t="str">
        <f t="shared" si="0"/>
        <v>1.1.1.1.8.59</v>
      </c>
      <c r="B21" s="64">
        <v>1</v>
      </c>
      <c r="C21" s="64">
        <v>1</v>
      </c>
      <c r="D21" s="64">
        <v>1</v>
      </c>
      <c r="E21" s="64">
        <v>1</v>
      </c>
      <c r="F21" s="64">
        <v>8</v>
      </c>
      <c r="G21" s="64">
        <v>59</v>
      </c>
      <c r="H21" s="65"/>
      <c r="I21" s="65"/>
      <c r="J21" s="66"/>
      <c r="K21" s="67" t="s">
        <v>79</v>
      </c>
      <c r="L21" s="64" t="s">
        <v>72</v>
      </c>
      <c r="M21" s="64" t="s">
        <v>73</v>
      </c>
      <c r="N21" s="64" t="s">
        <v>74</v>
      </c>
      <c r="O21" s="64" t="s">
        <v>75</v>
      </c>
      <c r="P21" s="69">
        <v>44936</v>
      </c>
      <c r="Q21" s="69">
        <v>45290</v>
      </c>
      <c r="R21" s="64"/>
      <c r="S21" s="70" t="s">
        <v>76</v>
      </c>
      <c r="T21" s="1178"/>
      <c r="U21" s="79">
        <v>2792.41</v>
      </c>
      <c r="V21" s="1232"/>
      <c r="W21" s="987">
        <v>0</v>
      </c>
      <c r="X21" s="1119">
        <v>0</v>
      </c>
      <c r="Y21" s="79">
        <v>2792.41</v>
      </c>
      <c r="Z21" s="79">
        <v>0</v>
      </c>
      <c r="AA21" s="1119">
        <v>0</v>
      </c>
      <c r="AB21" s="79">
        <v>2792.41</v>
      </c>
      <c r="AC21" s="79">
        <v>0</v>
      </c>
      <c r="AD21" s="1119">
        <v>0</v>
      </c>
      <c r="AE21" s="79">
        <v>2792.41</v>
      </c>
      <c r="AF21" s="987">
        <v>0</v>
      </c>
      <c r="AG21" s="1119">
        <v>0</v>
      </c>
      <c r="AH21" s="552">
        <f t="shared" si="4"/>
        <v>11169.64</v>
      </c>
      <c r="AI21" s="78"/>
      <c r="AJ21" s="75">
        <f t="shared" si="5"/>
        <v>0</v>
      </c>
      <c r="AK21" s="78"/>
      <c r="AL21" s="78"/>
      <c r="AM21" s="78"/>
      <c r="AN21" s="76" t="s">
        <v>39</v>
      </c>
      <c r="AO21" s="312"/>
      <c r="AP21" s="312"/>
      <c r="AQ21" s="406"/>
      <c r="AR21" s="76"/>
      <c r="AS21" s="468"/>
      <c r="AT21" s="76"/>
      <c r="AU21" s="661"/>
      <c r="AV21" s="64" t="s">
        <v>77</v>
      </c>
      <c r="AW21" s="1352"/>
    </row>
    <row r="22" spans="1:49" ht="33.6" hidden="1" customHeight="1" outlineLevel="2" x14ac:dyDescent="0.25">
      <c r="A22" s="63" t="str">
        <f t="shared" si="0"/>
        <v>1.1.1.1.8.60</v>
      </c>
      <c r="B22" s="64">
        <v>1</v>
      </c>
      <c r="C22" s="64">
        <v>1</v>
      </c>
      <c r="D22" s="64">
        <v>1</v>
      </c>
      <c r="E22" s="64">
        <v>1</v>
      </c>
      <c r="F22" s="64">
        <v>8</v>
      </c>
      <c r="G22" s="64">
        <v>60</v>
      </c>
      <c r="H22" s="65"/>
      <c r="I22" s="65"/>
      <c r="J22" s="66"/>
      <c r="K22" s="67" t="s">
        <v>80</v>
      </c>
      <c r="L22" s="64" t="s">
        <v>72</v>
      </c>
      <c r="M22" s="64" t="s">
        <v>73</v>
      </c>
      <c r="N22" s="64" t="s">
        <v>74</v>
      </c>
      <c r="O22" s="64" t="s">
        <v>75</v>
      </c>
      <c r="P22" s="69">
        <v>44936</v>
      </c>
      <c r="Q22" s="69">
        <v>45290</v>
      </c>
      <c r="R22" s="64"/>
      <c r="S22" s="70" t="s">
        <v>76</v>
      </c>
      <c r="T22" s="1178"/>
      <c r="U22" s="79">
        <v>2792.41</v>
      </c>
      <c r="V22" s="1232"/>
      <c r="W22" s="987">
        <v>0</v>
      </c>
      <c r="X22" s="1119">
        <v>0</v>
      </c>
      <c r="Y22" s="79">
        <v>2792.41</v>
      </c>
      <c r="Z22" s="79">
        <v>0</v>
      </c>
      <c r="AA22" s="1119">
        <v>0</v>
      </c>
      <c r="AB22" s="79">
        <v>2792.41</v>
      </c>
      <c r="AC22" s="79">
        <v>0</v>
      </c>
      <c r="AD22" s="1119">
        <v>0</v>
      </c>
      <c r="AE22" s="79">
        <v>2792.41</v>
      </c>
      <c r="AF22" s="987">
        <v>0</v>
      </c>
      <c r="AG22" s="1119">
        <v>0</v>
      </c>
      <c r="AH22" s="552">
        <f t="shared" si="4"/>
        <v>11169.64</v>
      </c>
      <c r="AI22" s="78"/>
      <c r="AJ22" s="75">
        <f t="shared" si="5"/>
        <v>0</v>
      </c>
      <c r="AK22" s="78"/>
      <c r="AL22" s="78"/>
      <c r="AM22" s="78"/>
      <c r="AN22" s="76" t="s">
        <v>39</v>
      </c>
      <c r="AO22" s="312"/>
      <c r="AP22" s="312"/>
      <c r="AQ22" s="406"/>
      <c r="AR22" s="76"/>
      <c r="AS22" s="468"/>
      <c r="AT22" s="76"/>
      <c r="AU22" s="661"/>
      <c r="AV22" s="64" t="s">
        <v>77</v>
      </c>
      <c r="AW22" s="1352"/>
    </row>
    <row r="23" spans="1:49" ht="33.6" hidden="1" customHeight="1" outlineLevel="2" x14ac:dyDescent="0.25">
      <c r="A23" s="63" t="str">
        <f t="shared" si="0"/>
        <v>1.1.1.1.8.61</v>
      </c>
      <c r="B23" s="64">
        <v>1</v>
      </c>
      <c r="C23" s="64">
        <v>1</v>
      </c>
      <c r="D23" s="64">
        <v>1</v>
      </c>
      <c r="E23" s="64">
        <v>1</v>
      </c>
      <c r="F23" s="64">
        <v>8</v>
      </c>
      <c r="G23" s="64">
        <v>61</v>
      </c>
      <c r="H23" s="65"/>
      <c r="I23" s="65"/>
      <c r="J23" s="66"/>
      <c r="K23" s="67" t="s">
        <v>81</v>
      </c>
      <c r="L23" s="64" t="s">
        <v>72</v>
      </c>
      <c r="M23" s="64" t="s">
        <v>73</v>
      </c>
      <c r="N23" s="64" t="s">
        <v>74</v>
      </c>
      <c r="O23" s="64" t="s">
        <v>75</v>
      </c>
      <c r="P23" s="69">
        <v>44936</v>
      </c>
      <c r="Q23" s="69">
        <v>45290</v>
      </c>
      <c r="R23" s="64"/>
      <c r="S23" s="70" t="s">
        <v>76</v>
      </c>
      <c r="T23" s="1178"/>
      <c r="U23" s="79">
        <v>2792.41</v>
      </c>
      <c r="V23" s="1232"/>
      <c r="W23" s="987">
        <v>0</v>
      </c>
      <c r="X23" s="1119">
        <v>0</v>
      </c>
      <c r="Y23" s="79">
        <v>2792.41</v>
      </c>
      <c r="Z23" s="79">
        <v>0</v>
      </c>
      <c r="AA23" s="1119">
        <v>0</v>
      </c>
      <c r="AB23" s="79">
        <v>2792.41</v>
      </c>
      <c r="AC23" s="79">
        <v>0</v>
      </c>
      <c r="AD23" s="1119">
        <v>0</v>
      </c>
      <c r="AE23" s="79">
        <v>2792.41</v>
      </c>
      <c r="AF23" s="987">
        <v>0</v>
      </c>
      <c r="AG23" s="1119">
        <v>0</v>
      </c>
      <c r="AH23" s="552">
        <f t="shared" si="4"/>
        <v>11169.64</v>
      </c>
      <c r="AI23" s="78"/>
      <c r="AJ23" s="75">
        <f t="shared" si="5"/>
        <v>0</v>
      </c>
      <c r="AK23" s="78"/>
      <c r="AL23" s="78"/>
      <c r="AM23" s="78"/>
      <c r="AN23" s="76" t="s">
        <v>39</v>
      </c>
      <c r="AO23" s="312"/>
      <c r="AP23" s="312"/>
      <c r="AQ23" s="406"/>
      <c r="AR23" s="76"/>
      <c r="AS23" s="468"/>
      <c r="AT23" s="76"/>
      <c r="AU23" s="661"/>
      <c r="AV23" s="64" t="s">
        <v>77</v>
      </c>
      <c r="AW23" s="1352"/>
    </row>
    <row r="24" spans="1:49" ht="33.6" hidden="1" customHeight="1" outlineLevel="2" x14ac:dyDescent="0.25">
      <c r="A24" s="63" t="str">
        <f t="shared" si="0"/>
        <v>1.1.1.1.8.62</v>
      </c>
      <c r="B24" s="64">
        <v>1</v>
      </c>
      <c r="C24" s="64">
        <v>1</v>
      </c>
      <c r="D24" s="64">
        <v>1</v>
      </c>
      <c r="E24" s="64">
        <v>1</v>
      </c>
      <c r="F24" s="64">
        <v>8</v>
      </c>
      <c r="G24" s="64">
        <v>62</v>
      </c>
      <c r="H24" s="65"/>
      <c r="I24" s="65"/>
      <c r="J24" s="66"/>
      <c r="K24" s="67" t="s">
        <v>1720</v>
      </c>
      <c r="L24" s="64" t="s">
        <v>72</v>
      </c>
      <c r="M24" s="64" t="s">
        <v>73</v>
      </c>
      <c r="N24" s="64" t="s">
        <v>74</v>
      </c>
      <c r="O24" s="64" t="s">
        <v>75</v>
      </c>
      <c r="P24" s="69">
        <v>44936</v>
      </c>
      <c r="Q24" s="69">
        <v>45290</v>
      </c>
      <c r="R24" s="64"/>
      <c r="S24" s="70" t="s">
        <v>76</v>
      </c>
      <c r="T24" s="1178"/>
      <c r="U24" s="79">
        <v>2792.41</v>
      </c>
      <c r="V24" s="1232"/>
      <c r="W24" s="987">
        <v>0</v>
      </c>
      <c r="X24" s="1119">
        <v>0</v>
      </c>
      <c r="Y24" s="79">
        <v>2792.41</v>
      </c>
      <c r="Z24" s="79">
        <v>0</v>
      </c>
      <c r="AA24" s="1119">
        <v>0</v>
      </c>
      <c r="AB24" s="79">
        <v>2792.41</v>
      </c>
      <c r="AC24" s="79">
        <v>0</v>
      </c>
      <c r="AD24" s="1119">
        <v>0</v>
      </c>
      <c r="AE24" s="79">
        <v>2792.41</v>
      </c>
      <c r="AF24" s="987">
        <v>0</v>
      </c>
      <c r="AG24" s="1119">
        <v>0</v>
      </c>
      <c r="AH24" s="552">
        <f t="shared" si="4"/>
        <v>11169.64</v>
      </c>
      <c r="AI24" s="78"/>
      <c r="AJ24" s="75">
        <f t="shared" si="5"/>
        <v>0</v>
      </c>
      <c r="AK24" s="78"/>
      <c r="AL24" s="78"/>
      <c r="AM24" s="78"/>
      <c r="AN24" s="76" t="s">
        <v>39</v>
      </c>
      <c r="AO24" s="312"/>
      <c r="AP24" s="312"/>
      <c r="AQ24" s="406"/>
      <c r="AR24" s="76"/>
      <c r="AS24" s="468"/>
      <c r="AT24" s="76"/>
      <c r="AU24" s="661"/>
      <c r="AV24" s="64" t="s">
        <v>77</v>
      </c>
      <c r="AW24" s="1352"/>
    </row>
    <row r="25" spans="1:49" ht="33.6" hidden="1" customHeight="1" outlineLevel="2" x14ac:dyDescent="0.25">
      <c r="A25" s="63" t="str">
        <f t="shared" si="0"/>
        <v>1.1.1.1.8.63</v>
      </c>
      <c r="B25" s="64">
        <v>1</v>
      </c>
      <c r="C25" s="64">
        <v>1</v>
      </c>
      <c r="D25" s="64">
        <v>1</v>
      </c>
      <c r="E25" s="64">
        <v>1</v>
      </c>
      <c r="F25" s="64">
        <v>8</v>
      </c>
      <c r="G25" s="64">
        <v>63</v>
      </c>
      <c r="H25" s="65"/>
      <c r="I25" s="65"/>
      <c r="J25" s="66"/>
      <c r="K25" s="67" t="s">
        <v>82</v>
      </c>
      <c r="L25" s="64" t="s">
        <v>72</v>
      </c>
      <c r="M25" s="64" t="s">
        <v>73</v>
      </c>
      <c r="N25" s="64" t="s">
        <v>74</v>
      </c>
      <c r="O25" s="64" t="s">
        <v>75</v>
      </c>
      <c r="P25" s="69">
        <v>44936</v>
      </c>
      <c r="Q25" s="69">
        <v>45290</v>
      </c>
      <c r="R25" s="64"/>
      <c r="S25" s="70" t="s">
        <v>76</v>
      </c>
      <c r="T25" s="1178"/>
      <c r="U25" s="79">
        <v>2792.41</v>
      </c>
      <c r="V25" s="1232"/>
      <c r="W25" s="987">
        <v>0</v>
      </c>
      <c r="X25" s="1119">
        <v>0</v>
      </c>
      <c r="Y25" s="79">
        <v>2792.41</v>
      </c>
      <c r="Z25" s="79">
        <v>0</v>
      </c>
      <c r="AA25" s="1119">
        <v>0</v>
      </c>
      <c r="AB25" s="79">
        <v>2792.41</v>
      </c>
      <c r="AC25" s="79">
        <v>0</v>
      </c>
      <c r="AD25" s="1119">
        <v>0</v>
      </c>
      <c r="AE25" s="79">
        <v>2792.41</v>
      </c>
      <c r="AF25" s="987">
        <v>0</v>
      </c>
      <c r="AG25" s="1119">
        <v>0</v>
      </c>
      <c r="AH25" s="552">
        <f t="shared" si="4"/>
        <v>11169.64</v>
      </c>
      <c r="AI25" s="78"/>
      <c r="AJ25" s="75">
        <f t="shared" si="5"/>
        <v>0</v>
      </c>
      <c r="AK25" s="78"/>
      <c r="AL25" s="78"/>
      <c r="AM25" s="78"/>
      <c r="AN25" s="76" t="s">
        <v>39</v>
      </c>
      <c r="AO25" s="312"/>
      <c r="AP25" s="312"/>
      <c r="AQ25" s="406"/>
      <c r="AR25" s="76"/>
      <c r="AS25" s="468"/>
      <c r="AT25" s="76"/>
      <c r="AU25" s="661"/>
      <c r="AV25" s="64" t="s">
        <v>77</v>
      </c>
      <c r="AW25" s="1352"/>
    </row>
    <row r="26" spans="1:49" ht="33.6" hidden="1" customHeight="1" outlineLevel="2" x14ac:dyDescent="0.25">
      <c r="A26" s="63" t="str">
        <f t="shared" si="0"/>
        <v>1.1.1.1.8.64</v>
      </c>
      <c r="B26" s="64">
        <v>1</v>
      </c>
      <c r="C26" s="64">
        <v>1</v>
      </c>
      <c r="D26" s="64">
        <v>1</v>
      </c>
      <c r="E26" s="64">
        <v>1</v>
      </c>
      <c r="F26" s="64">
        <v>8</v>
      </c>
      <c r="G26" s="64">
        <v>64</v>
      </c>
      <c r="H26" s="65"/>
      <c r="I26" s="65"/>
      <c r="J26" s="66"/>
      <c r="K26" s="67" t="s">
        <v>83</v>
      </c>
      <c r="L26" s="64" t="s">
        <v>72</v>
      </c>
      <c r="M26" s="64" t="s">
        <v>73</v>
      </c>
      <c r="N26" s="64" t="s">
        <v>74</v>
      </c>
      <c r="O26" s="64" t="s">
        <v>75</v>
      </c>
      <c r="P26" s="69">
        <v>44936</v>
      </c>
      <c r="Q26" s="69">
        <v>45290</v>
      </c>
      <c r="R26" s="64"/>
      <c r="S26" s="70" t="s">
        <v>76</v>
      </c>
      <c r="T26" s="1178"/>
      <c r="U26" s="79">
        <v>2792.41</v>
      </c>
      <c r="V26" s="1232"/>
      <c r="W26" s="987">
        <v>0</v>
      </c>
      <c r="X26" s="1119">
        <v>0</v>
      </c>
      <c r="Y26" s="79">
        <v>2792.41</v>
      </c>
      <c r="Z26" s="79">
        <v>0</v>
      </c>
      <c r="AA26" s="1119">
        <v>0</v>
      </c>
      <c r="AB26" s="79">
        <v>2792.41</v>
      </c>
      <c r="AC26" s="79">
        <v>0</v>
      </c>
      <c r="AD26" s="1119">
        <v>0</v>
      </c>
      <c r="AE26" s="79">
        <v>2792.41</v>
      </c>
      <c r="AF26" s="987">
        <v>0</v>
      </c>
      <c r="AG26" s="1119">
        <v>0</v>
      </c>
      <c r="AH26" s="552">
        <f t="shared" si="4"/>
        <v>11169.64</v>
      </c>
      <c r="AI26" s="78"/>
      <c r="AJ26" s="75">
        <f t="shared" si="5"/>
        <v>0</v>
      </c>
      <c r="AK26" s="78"/>
      <c r="AL26" s="78"/>
      <c r="AM26" s="78"/>
      <c r="AN26" s="76" t="s">
        <v>39</v>
      </c>
      <c r="AO26" s="312"/>
      <c r="AP26" s="312"/>
      <c r="AQ26" s="406"/>
      <c r="AR26" s="76"/>
      <c r="AS26" s="468"/>
      <c r="AT26" s="76"/>
      <c r="AU26" s="661"/>
      <c r="AV26" s="64" t="s">
        <v>77</v>
      </c>
      <c r="AW26" s="1352"/>
    </row>
    <row r="27" spans="1:49" ht="19.350000000000001" hidden="1" customHeight="1" outlineLevel="2" x14ac:dyDescent="0.25">
      <c r="A27" s="63" t="str">
        <f t="shared" si="0"/>
        <v>1.1.1.1.9.58</v>
      </c>
      <c r="B27" s="64">
        <v>1</v>
      </c>
      <c r="C27" s="64">
        <v>1</v>
      </c>
      <c r="D27" s="64">
        <v>1</v>
      </c>
      <c r="E27" s="64">
        <v>1</v>
      </c>
      <c r="F27" s="64">
        <v>9</v>
      </c>
      <c r="G27" s="64">
        <v>58</v>
      </c>
      <c r="H27" s="65"/>
      <c r="I27" s="65"/>
      <c r="J27" s="66"/>
      <c r="K27" s="67" t="s">
        <v>84</v>
      </c>
      <c r="L27" s="64" t="s">
        <v>72</v>
      </c>
      <c r="M27" s="64" t="s">
        <v>73</v>
      </c>
      <c r="N27" s="64" t="s">
        <v>74</v>
      </c>
      <c r="O27" s="64" t="s">
        <v>75</v>
      </c>
      <c r="P27" s="69">
        <v>44936</v>
      </c>
      <c r="Q27" s="69">
        <v>45290</v>
      </c>
      <c r="R27" s="64"/>
      <c r="S27" s="70" t="s">
        <v>76</v>
      </c>
      <c r="T27" s="1178"/>
      <c r="U27" s="821">
        <v>0</v>
      </c>
      <c r="V27" s="1233"/>
      <c r="W27" s="987">
        <v>0</v>
      </c>
      <c r="X27" s="1119">
        <v>0</v>
      </c>
      <c r="Y27" s="821">
        <v>27125.14</v>
      </c>
      <c r="Z27" s="987">
        <v>0</v>
      </c>
      <c r="AA27" s="1119">
        <v>0</v>
      </c>
      <c r="AB27" s="821">
        <v>27125.14</v>
      </c>
      <c r="AC27" s="987">
        <v>0</v>
      </c>
      <c r="AD27" s="1119">
        <v>0</v>
      </c>
      <c r="AE27" s="821">
        <v>27125.14</v>
      </c>
      <c r="AF27" s="987">
        <v>0</v>
      </c>
      <c r="AG27" s="1119">
        <v>0</v>
      </c>
      <c r="AH27" s="552">
        <f t="shared" si="4"/>
        <v>81375.42</v>
      </c>
      <c r="AI27" s="75"/>
      <c r="AJ27" s="75">
        <f t="shared" si="5"/>
        <v>0</v>
      </c>
      <c r="AK27" s="75"/>
      <c r="AL27" s="75"/>
      <c r="AM27" s="75"/>
      <c r="AN27" s="76" t="s">
        <v>39</v>
      </c>
      <c r="AO27" s="76"/>
      <c r="AP27" s="76"/>
      <c r="AQ27" s="405"/>
      <c r="AR27" s="76"/>
      <c r="AS27" s="467"/>
      <c r="AT27" s="76"/>
      <c r="AU27" s="983"/>
      <c r="AV27" s="64" t="s">
        <v>85</v>
      </c>
      <c r="AW27" s="1353" t="s">
        <v>2700</v>
      </c>
    </row>
    <row r="28" spans="1:49" ht="19.350000000000001" hidden="1" customHeight="1" outlineLevel="2" x14ac:dyDescent="0.25">
      <c r="A28" s="63" t="str">
        <f t="shared" si="0"/>
        <v>1.1.1.1.9.59</v>
      </c>
      <c r="B28" s="64">
        <v>1</v>
      </c>
      <c r="C28" s="64">
        <v>1</v>
      </c>
      <c r="D28" s="64">
        <v>1</v>
      </c>
      <c r="E28" s="64">
        <v>1</v>
      </c>
      <c r="F28" s="64">
        <v>9</v>
      </c>
      <c r="G28" s="64">
        <v>59</v>
      </c>
      <c r="H28" s="65"/>
      <c r="I28" s="65"/>
      <c r="J28" s="66"/>
      <c r="K28" s="67" t="s">
        <v>84</v>
      </c>
      <c r="L28" s="64" t="s">
        <v>72</v>
      </c>
      <c r="M28" s="64" t="s">
        <v>73</v>
      </c>
      <c r="N28" s="64" t="s">
        <v>74</v>
      </c>
      <c r="O28" s="64" t="s">
        <v>75</v>
      </c>
      <c r="P28" s="69">
        <v>44936</v>
      </c>
      <c r="Q28" s="69">
        <v>45290</v>
      </c>
      <c r="R28" s="64"/>
      <c r="S28" s="70" t="s">
        <v>76</v>
      </c>
      <c r="T28" s="1178"/>
      <c r="U28" s="821">
        <v>0</v>
      </c>
      <c r="V28" s="1233"/>
      <c r="W28" s="987">
        <v>0</v>
      </c>
      <c r="X28" s="1119">
        <v>0</v>
      </c>
      <c r="Y28" s="821">
        <v>27125.14</v>
      </c>
      <c r="Z28" s="987">
        <v>0</v>
      </c>
      <c r="AA28" s="1119">
        <v>0</v>
      </c>
      <c r="AB28" s="821">
        <v>27125.14</v>
      </c>
      <c r="AC28" s="987">
        <v>0</v>
      </c>
      <c r="AD28" s="1119">
        <v>0</v>
      </c>
      <c r="AE28" s="821">
        <v>27125.14</v>
      </c>
      <c r="AF28" s="987">
        <v>0</v>
      </c>
      <c r="AG28" s="1119">
        <v>0</v>
      </c>
      <c r="AH28" s="552">
        <f t="shared" si="4"/>
        <v>81375.42</v>
      </c>
      <c r="AI28" s="75"/>
      <c r="AJ28" s="75">
        <f t="shared" si="5"/>
        <v>0</v>
      </c>
      <c r="AK28" s="75"/>
      <c r="AL28" s="75"/>
      <c r="AM28" s="75"/>
      <c r="AN28" s="76" t="s">
        <v>39</v>
      </c>
      <c r="AO28" s="76"/>
      <c r="AP28" s="76"/>
      <c r="AQ28" s="405"/>
      <c r="AR28" s="76"/>
      <c r="AS28" s="467"/>
      <c r="AT28" s="76"/>
      <c r="AU28" s="983"/>
      <c r="AV28" s="64" t="s">
        <v>85</v>
      </c>
      <c r="AW28" s="1354"/>
    </row>
    <row r="29" spans="1:49" ht="19.350000000000001" hidden="1" customHeight="1" outlineLevel="2" x14ac:dyDescent="0.25">
      <c r="A29" s="63" t="str">
        <f t="shared" si="0"/>
        <v>1.1.1.1.9.60</v>
      </c>
      <c r="B29" s="64">
        <v>1</v>
      </c>
      <c r="C29" s="64">
        <v>1</v>
      </c>
      <c r="D29" s="64">
        <v>1</v>
      </c>
      <c r="E29" s="64">
        <v>1</v>
      </c>
      <c r="F29" s="64">
        <v>9</v>
      </c>
      <c r="G29" s="64">
        <v>60</v>
      </c>
      <c r="H29" s="65"/>
      <c r="I29" s="65"/>
      <c r="J29" s="66"/>
      <c r="K29" s="67" t="s">
        <v>84</v>
      </c>
      <c r="L29" s="64" t="s">
        <v>72</v>
      </c>
      <c r="M29" s="64" t="s">
        <v>73</v>
      </c>
      <c r="N29" s="64" t="s">
        <v>74</v>
      </c>
      <c r="O29" s="64" t="s">
        <v>75</v>
      </c>
      <c r="P29" s="69">
        <v>44936</v>
      </c>
      <c r="Q29" s="69">
        <v>45290</v>
      </c>
      <c r="R29" s="64"/>
      <c r="S29" s="70" t="s">
        <v>76</v>
      </c>
      <c r="T29" s="1178"/>
      <c r="U29" s="821">
        <v>0</v>
      </c>
      <c r="V29" s="1233"/>
      <c r="W29" s="987">
        <v>0</v>
      </c>
      <c r="X29" s="1119">
        <v>0</v>
      </c>
      <c r="Y29" s="821">
        <v>27125.14</v>
      </c>
      <c r="Z29" s="987">
        <v>0</v>
      </c>
      <c r="AA29" s="1119">
        <v>0</v>
      </c>
      <c r="AB29" s="821">
        <v>27125.14</v>
      </c>
      <c r="AC29" s="987">
        <v>0</v>
      </c>
      <c r="AD29" s="1119">
        <v>0</v>
      </c>
      <c r="AE29" s="821">
        <v>27125.14</v>
      </c>
      <c r="AF29" s="987">
        <v>0</v>
      </c>
      <c r="AG29" s="1119">
        <v>0</v>
      </c>
      <c r="AH29" s="552">
        <f t="shared" si="4"/>
        <v>81375.42</v>
      </c>
      <c r="AI29" s="75"/>
      <c r="AJ29" s="75">
        <f t="shared" si="5"/>
        <v>0</v>
      </c>
      <c r="AK29" s="75"/>
      <c r="AL29" s="75"/>
      <c r="AM29" s="75"/>
      <c r="AN29" s="76" t="s">
        <v>39</v>
      </c>
      <c r="AO29" s="76"/>
      <c r="AP29" s="76"/>
      <c r="AQ29" s="405"/>
      <c r="AR29" s="76"/>
      <c r="AS29" s="467"/>
      <c r="AT29" s="76"/>
      <c r="AU29" s="983"/>
      <c r="AV29" s="64" t="s">
        <v>85</v>
      </c>
      <c r="AW29" s="1354"/>
    </row>
    <row r="30" spans="1:49" ht="19.350000000000001" hidden="1" customHeight="1" outlineLevel="2" x14ac:dyDescent="0.25">
      <c r="A30" s="63" t="str">
        <f t="shared" si="0"/>
        <v>1.1.1.1.9.61</v>
      </c>
      <c r="B30" s="64">
        <v>1</v>
      </c>
      <c r="C30" s="64">
        <v>1</v>
      </c>
      <c r="D30" s="64">
        <v>1</v>
      </c>
      <c r="E30" s="64">
        <v>1</v>
      </c>
      <c r="F30" s="64">
        <v>9</v>
      </c>
      <c r="G30" s="64">
        <v>61</v>
      </c>
      <c r="H30" s="65"/>
      <c r="I30" s="65"/>
      <c r="J30" s="66"/>
      <c r="K30" s="67" t="s">
        <v>84</v>
      </c>
      <c r="L30" s="64" t="s">
        <v>72</v>
      </c>
      <c r="M30" s="64" t="s">
        <v>73</v>
      </c>
      <c r="N30" s="64" t="s">
        <v>74</v>
      </c>
      <c r="O30" s="64" t="s">
        <v>75</v>
      </c>
      <c r="P30" s="69">
        <v>44936</v>
      </c>
      <c r="Q30" s="69">
        <v>45290</v>
      </c>
      <c r="R30" s="64"/>
      <c r="S30" s="70" t="s">
        <v>76</v>
      </c>
      <c r="T30" s="1178"/>
      <c r="U30" s="821">
        <v>0</v>
      </c>
      <c r="V30" s="1233"/>
      <c r="W30" s="987">
        <v>0</v>
      </c>
      <c r="X30" s="1119">
        <v>0</v>
      </c>
      <c r="Y30" s="821">
        <v>27125.14</v>
      </c>
      <c r="Z30" s="987">
        <v>0</v>
      </c>
      <c r="AA30" s="1119">
        <v>0</v>
      </c>
      <c r="AB30" s="821">
        <v>27125.14</v>
      </c>
      <c r="AC30" s="987">
        <v>0</v>
      </c>
      <c r="AD30" s="1119">
        <v>0</v>
      </c>
      <c r="AE30" s="821">
        <v>27125.14</v>
      </c>
      <c r="AF30" s="987">
        <v>0</v>
      </c>
      <c r="AG30" s="1119">
        <v>0</v>
      </c>
      <c r="AH30" s="552">
        <f t="shared" si="4"/>
        <v>81375.42</v>
      </c>
      <c r="AI30" s="75"/>
      <c r="AJ30" s="75">
        <f t="shared" si="5"/>
        <v>0</v>
      </c>
      <c r="AK30" s="75"/>
      <c r="AL30" s="75"/>
      <c r="AM30" s="75"/>
      <c r="AN30" s="76" t="s">
        <v>39</v>
      </c>
      <c r="AO30" s="76"/>
      <c r="AP30" s="76"/>
      <c r="AQ30" s="405"/>
      <c r="AR30" s="76"/>
      <c r="AS30" s="467"/>
      <c r="AT30" s="76"/>
      <c r="AU30" s="983"/>
      <c r="AV30" s="64" t="s">
        <v>85</v>
      </c>
      <c r="AW30" s="1354"/>
    </row>
    <row r="31" spans="1:49" ht="19.350000000000001" hidden="1" customHeight="1" outlineLevel="2" x14ac:dyDescent="0.25">
      <c r="A31" s="63" t="str">
        <f t="shared" si="0"/>
        <v>1.1.1.1.9.62</v>
      </c>
      <c r="B31" s="64">
        <v>1</v>
      </c>
      <c r="C31" s="64">
        <v>1</v>
      </c>
      <c r="D31" s="64">
        <v>1</v>
      </c>
      <c r="E31" s="64">
        <v>1</v>
      </c>
      <c r="F31" s="64">
        <v>9</v>
      </c>
      <c r="G31" s="64">
        <v>62</v>
      </c>
      <c r="H31" s="65"/>
      <c r="I31" s="65"/>
      <c r="J31" s="66"/>
      <c r="K31" s="67" t="s">
        <v>84</v>
      </c>
      <c r="L31" s="64" t="s">
        <v>72</v>
      </c>
      <c r="M31" s="64" t="s">
        <v>73</v>
      </c>
      <c r="N31" s="64" t="s">
        <v>74</v>
      </c>
      <c r="O31" s="64" t="s">
        <v>75</v>
      </c>
      <c r="P31" s="69">
        <v>44936</v>
      </c>
      <c r="Q31" s="69">
        <v>45290</v>
      </c>
      <c r="R31" s="64"/>
      <c r="S31" s="70" t="s">
        <v>76</v>
      </c>
      <c r="T31" s="1178"/>
      <c r="U31" s="821">
        <v>0</v>
      </c>
      <c r="V31" s="1233"/>
      <c r="W31" s="987">
        <v>0</v>
      </c>
      <c r="X31" s="1119">
        <v>0</v>
      </c>
      <c r="Y31" s="821">
        <v>27125.14</v>
      </c>
      <c r="Z31" s="987">
        <v>0</v>
      </c>
      <c r="AA31" s="1119">
        <v>0</v>
      </c>
      <c r="AB31" s="821">
        <v>27125.14</v>
      </c>
      <c r="AC31" s="987">
        <v>0</v>
      </c>
      <c r="AD31" s="1119">
        <v>0</v>
      </c>
      <c r="AE31" s="821">
        <v>27125.14</v>
      </c>
      <c r="AF31" s="987">
        <v>0</v>
      </c>
      <c r="AG31" s="1119">
        <v>0</v>
      </c>
      <c r="AH31" s="552">
        <f t="shared" si="4"/>
        <v>81375.42</v>
      </c>
      <c r="AI31" s="75"/>
      <c r="AJ31" s="75">
        <f t="shared" si="5"/>
        <v>0</v>
      </c>
      <c r="AK31" s="75"/>
      <c r="AL31" s="75"/>
      <c r="AM31" s="75"/>
      <c r="AN31" s="76" t="s">
        <v>39</v>
      </c>
      <c r="AO31" s="76"/>
      <c r="AP31" s="76"/>
      <c r="AQ31" s="405"/>
      <c r="AR31" s="76"/>
      <c r="AS31" s="467"/>
      <c r="AT31" s="76"/>
      <c r="AU31" s="983"/>
      <c r="AV31" s="64" t="s">
        <v>85</v>
      </c>
      <c r="AW31" s="1354"/>
    </row>
    <row r="32" spans="1:49" ht="19.350000000000001" hidden="1" customHeight="1" outlineLevel="2" x14ac:dyDescent="0.25">
      <c r="A32" s="63" t="str">
        <f t="shared" si="0"/>
        <v>1.1.1.1.9.63</v>
      </c>
      <c r="B32" s="64">
        <v>1</v>
      </c>
      <c r="C32" s="64">
        <v>1</v>
      </c>
      <c r="D32" s="64">
        <v>1</v>
      </c>
      <c r="E32" s="64">
        <v>1</v>
      </c>
      <c r="F32" s="64">
        <v>9</v>
      </c>
      <c r="G32" s="64">
        <v>63</v>
      </c>
      <c r="H32" s="65"/>
      <c r="I32" s="65"/>
      <c r="J32" s="66"/>
      <c r="K32" s="67" t="s">
        <v>84</v>
      </c>
      <c r="L32" s="64" t="s">
        <v>72</v>
      </c>
      <c r="M32" s="64" t="s">
        <v>73</v>
      </c>
      <c r="N32" s="64" t="s">
        <v>74</v>
      </c>
      <c r="O32" s="64" t="s">
        <v>75</v>
      </c>
      <c r="P32" s="69">
        <v>44936</v>
      </c>
      <c r="Q32" s="69">
        <v>45290</v>
      </c>
      <c r="R32" s="64"/>
      <c r="S32" s="70" t="s">
        <v>76</v>
      </c>
      <c r="T32" s="1178"/>
      <c r="U32" s="821">
        <v>0</v>
      </c>
      <c r="V32" s="1233"/>
      <c r="W32" s="987">
        <v>0</v>
      </c>
      <c r="X32" s="1119">
        <v>0</v>
      </c>
      <c r="Y32" s="821">
        <v>27125.14</v>
      </c>
      <c r="Z32" s="987">
        <v>0</v>
      </c>
      <c r="AA32" s="1119">
        <v>0</v>
      </c>
      <c r="AB32" s="821">
        <v>27125.14</v>
      </c>
      <c r="AC32" s="987">
        <v>0</v>
      </c>
      <c r="AD32" s="1119">
        <v>0</v>
      </c>
      <c r="AE32" s="821">
        <v>27125.14</v>
      </c>
      <c r="AF32" s="987">
        <v>0</v>
      </c>
      <c r="AG32" s="1119">
        <v>0</v>
      </c>
      <c r="AH32" s="552">
        <f t="shared" si="4"/>
        <v>81375.42</v>
      </c>
      <c r="AI32" s="75"/>
      <c r="AJ32" s="75">
        <f t="shared" si="5"/>
        <v>0</v>
      </c>
      <c r="AK32" s="75"/>
      <c r="AL32" s="75"/>
      <c r="AM32" s="75"/>
      <c r="AN32" s="76" t="s">
        <v>39</v>
      </c>
      <c r="AO32" s="76"/>
      <c r="AP32" s="76"/>
      <c r="AQ32" s="405"/>
      <c r="AR32" s="76"/>
      <c r="AS32" s="467"/>
      <c r="AT32" s="76"/>
      <c r="AU32" s="983"/>
      <c r="AV32" s="64" t="s">
        <v>85</v>
      </c>
      <c r="AW32" s="1354"/>
    </row>
    <row r="33" spans="1:49" ht="19.350000000000001" hidden="1" customHeight="1" outlineLevel="2" x14ac:dyDescent="0.25">
      <c r="A33" s="63" t="str">
        <f t="shared" si="0"/>
        <v>1.1.1.1.9.64</v>
      </c>
      <c r="B33" s="64">
        <v>1</v>
      </c>
      <c r="C33" s="64">
        <v>1</v>
      </c>
      <c r="D33" s="64">
        <v>1</v>
      </c>
      <c r="E33" s="64">
        <v>1</v>
      </c>
      <c r="F33" s="64">
        <v>9</v>
      </c>
      <c r="G33" s="64">
        <v>64</v>
      </c>
      <c r="H33" s="65"/>
      <c r="I33" s="65"/>
      <c r="J33" s="66"/>
      <c r="K33" s="67" t="s">
        <v>84</v>
      </c>
      <c r="L33" s="64" t="s">
        <v>72</v>
      </c>
      <c r="M33" s="64" t="s">
        <v>73</v>
      </c>
      <c r="N33" s="64" t="s">
        <v>74</v>
      </c>
      <c r="O33" s="64" t="s">
        <v>75</v>
      </c>
      <c r="P33" s="69">
        <v>44936</v>
      </c>
      <c r="Q33" s="69">
        <v>45290</v>
      </c>
      <c r="R33" s="64"/>
      <c r="S33" s="70" t="s">
        <v>76</v>
      </c>
      <c r="T33" s="1178"/>
      <c r="U33" s="821">
        <v>0</v>
      </c>
      <c r="V33" s="1233"/>
      <c r="W33" s="987">
        <v>0</v>
      </c>
      <c r="X33" s="1119">
        <v>0</v>
      </c>
      <c r="Y33" s="821">
        <v>27125.14</v>
      </c>
      <c r="Z33" s="987">
        <v>0</v>
      </c>
      <c r="AA33" s="1119">
        <v>0</v>
      </c>
      <c r="AB33" s="821">
        <v>27125.14</v>
      </c>
      <c r="AC33" s="987">
        <v>0</v>
      </c>
      <c r="AD33" s="1119">
        <v>0</v>
      </c>
      <c r="AE33" s="821">
        <v>27125.14</v>
      </c>
      <c r="AF33" s="987">
        <v>0</v>
      </c>
      <c r="AG33" s="1119">
        <v>0</v>
      </c>
      <c r="AH33" s="552">
        <f t="shared" si="4"/>
        <v>81375.42</v>
      </c>
      <c r="AI33" s="75"/>
      <c r="AJ33" s="75">
        <f t="shared" si="5"/>
        <v>0</v>
      </c>
      <c r="AK33" s="75"/>
      <c r="AL33" s="75"/>
      <c r="AM33" s="75"/>
      <c r="AN33" s="76" t="s">
        <v>39</v>
      </c>
      <c r="AO33" s="76"/>
      <c r="AP33" s="76"/>
      <c r="AQ33" s="405"/>
      <c r="AR33" s="76"/>
      <c r="AS33" s="467"/>
      <c r="AT33" s="76"/>
      <c r="AU33" s="983"/>
      <c r="AV33" s="64" t="s">
        <v>85</v>
      </c>
      <c r="AW33" s="1355"/>
    </row>
    <row r="34" spans="1:49" ht="19.350000000000001" hidden="1" customHeight="1" outlineLevel="2" x14ac:dyDescent="0.25">
      <c r="A34" s="63" t="str">
        <f t="shared" si="0"/>
        <v>1.1.1.1.10.58</v>
      </c>
      <c r="B34" s="64">
        <v>1</v>
      </c>
      <c r="C34" s="64">
        <v>1</v>
      </c>
      <c r="D34" s="64">
        <v>1</v>
      </c>
      <c r="E34" s="64">
        <v>1</v>
      </c>
      <c r="F34" s="64">
        <v>10</v>
      </c>
      <c r="G34" s="64">
        <v>58</v>
      </c>
      <c r="H34" s="65"/>
      <c r="I34" s="65"/>
      <c r="J34" s="66"/>
      <c r="K34" s="67" t="s">
        <v>2658</v>
      </c>
      <c r="L34" s="64" t="s">
        <v>72</v>
      </c>
      <c r="M34" s="64" t="s">
        <v>2657</v>
      </c>
      <c r="N34" s="64" t="s">
        <v>74</v>
      </c>
      <c r="O34" s="64" t="s">
        <v>75</v>
      </c>
      <c r="P34" s="69">
        <v>44936</v>
      </c>
      <c r="Q34" s="69">
        <v>45290</v>
      </c>
      <c r="R34" s="64"/>
      <c r="S34" s="70" t="s">
        <v>571</v>
      </c>
      <c r="T34" s="1178"/>
      <c r="U34" s="989">
        <v>2678.57</v>
      </c>
      <c r="V34" s="988"/>
      <c r="W34" s="987">
        <v>0</v>
      </c>
      <c r="X34" s="1119">
        <v>0</v>
      </c>
      <c r="Y34" s="985">
        <v>2678.57</v>
      </c>
      <c r="Z34" s="987">
        <v>0</v>
      </c>
      <c r="AA34" s="1119">
        <v>0</v>
      </c>
      <c r="AB34" s="985">
        <v>2678.57</v>
      </c>
      <c r="AC34" s="987">
        <v>0</v>
      </c>
      <c r="AD34" s="1119">
        <v>0</v>
      </c>
      <c r="AE34" s="985">
        <v>2678.57</v>
      </c>
      <c r="AF34" s="987">
        <v>0</v>
      </c>
      <c r="AG34" s="1119">
        <v>0</v>
      </c>
      <c r="AH34" s="552">
        <f t="shared" si="4"/>
        <v>10714.28</v>
      </c>
      <c r="AI34" s="75"/>
      <c r="AJ34" s="75">
        <f t="shared" si="5"/>
        <v>0</v>
      </c>
      <c r="AK34" s="75"/>
      <c r="AL34" s="75"/>
      <c r="AM34" s="75"/>
      <c r="AN34" s="76" t="s">
        <v>39</v>
      </c>
      <c r="AO34" s="76"/>
      <c r="AP34" s="76"/>
      <c r="AQ34" s="405"/>
      <c r="AR34" s="76"/>
      <c r="AS34" s="467"/>
      <c r="AT34" s="76"/>
      <c r="AU34" s="983"/>
      <c r="AV34" s="64" t="s">
        <v>2701</v>
      </c>
      <c r="AW34" s="1353" t="s">
        <v>2702</v>
      </c>
    </row>
    <row r="35" spans="1:49" ht="19.350000000000001" hidden="1" customHeight="1" outlineLevel="2" x14ac:dyDescent="0.25">
      <c r="A35" s="63" t="str">
        <f t="shared" si="0"/>
        <v>1.1.1.1.10.59</v>
      </c>
      <c r="B35" s="64">
        <v>1</v>
      </c>
      <c r="C35" s="64">
        <v>1</v>
      </c>
      <c r="D35" s="64">
        <v>1</v>
      </c>
      <c r="E35" s="64">
        <v>1</v>
      </c>
      <c r="F35" s="64">
        <v>10</v>
      </c>
      <c r="G35" s="64">
        <v>59</v>
      </c>
      <c r="H35" s="65"/>
      <c r="I35" s="65"/>
      <c r="J35" s="66"/>
      <c r="K35" s="67" t="s">
        <v>2658</v>
      </c>
      <c r="L35" s="64" t="s">
        <v>72</v>
      </c>
      <c r="M35" s="64" t="s">
        <v>2657</v>
      </c>
      <c r="N35" s="64" t="s">
        <v>74</v>
      </c>
      <c r="O35" s="64" t="s">
        <v>75</v>
      </c>
      <c r="P35" s="69">
        <v>44936</v>
      </c>
      <c r="Q35" s="69">
        <v>45290</v>
      </c>
      <c r="R35" s="64"/>
      <c r="S35" s="70" t="s">
        <v>571</v>
      </c>
      <c r="T35" s="1178"/>
      <c r="U35" s="985">
        <v>2678.57</v>
      </c>
      <c r="V35" s="987"/>
      <c r="W35" s="987">
        <v>0</v>
      </c>
      <c r="X35" s="1119">
        <v>0</v>
      </c>
      <c r="Y35" s="985">
        <v>2678.57</v>
      </c>
      <c r="Z35" s="987">
        <v>0</v>
      </c>
      <c r="AA35" s="1119">
        <v>0</v>
      </c>
      <c r="AB35" s="985">
        <v>2678.57</v>
      </c>
      <c r="AC35" s="987">
        <v>0</v>
      </c>
      <c r="AD35" s="1119">
        <v>0</v>
      </c>
      <c r="AE35" s="985">
        <v>2678.57</v>
      </c>
      <c r="AF35" s="987">
        <v>0</v>
      </c>
      <c r="AG35" s="1119">
        <v>0</v>
      </c>
      <c r="AH35" s="552">
        <f t="shared" si="4"/>
        <v>10714.28</v>
      </c>
      <c r="AI35" s="75"/>
      <c r="AJ35" s="75">
        <f t="shared" si="5"/>
        <v>0</v>
      </c>
      <c r="AK35" s="75"/>
      <c r="AL35" s="75"/>
      <c r="AM35" s="75"/>
      <c r="AN35" s="76" t="s">
        <v>39</v>
      </c>
      <c r="AO35" s="76"/>
      <c r="AP35" s="76"/>
      <c r="AQ35" s="405"/>
      <c r="AR35" s="76"/>
      <c r="AS35" s="467"/>
      <c r="AT35" s="76"/>
      <c r="AU35" s="983"/>
      <c r="AV35" s="64" t="s">
        <v>2701</v>
      </c>
      <c r="AW35" s="1354"/>
    </row>
    <row r="36" spans="1:49" ht="19.350000000000001" hidden="1" customHeight="1" outlineLevel="2" x14ac:dyDescent="0.25">
      <c r="A36" s="63" t="str">
        <f t="shared" si="0"/>
        <v>1.1.1.1.10.60</v>
      </c>
      <c r="B36" s="64">
        <v>1</v>
      </c>
      <c r="C36" s="64">
        <v>1</v>
      </c>
      <c r="D36" s="64">
        <v>1</v>
      </c>
      <c r="E36" s="64">
        <v>1</v>
      </c>
      <c r="F36" s="64">
        <v>10</v>
      </c>
      <c r="G36" s="64">
        <v>60</v>
      </c>
      <c r="H36" s="65"/>
      <c r="I36" s="65"/>
      <c r="J36" s="66"/>
      <c r="K36" s="67" t="s">
        <v>2658</v>
      </c>
      <c r="L36" s="64" t="s">
        <v>72</v>
      </c>
      <c r="M36" s="64" t="s">
        <v>2657</v>
      </c>
      <c r="N36" s="64" t="s">
        <v>74</v>
      </c>
      <c r="O36" s="64" t="s">
        <v>75</v>
      </c>
      <c r="P36" s="69">
        <v>44936</v>
      </c>
      <c r="Q36" s="69">
        <v>45290</v>
      </c>
      <c r="R36" s="64"/>
      <c r="S36" s="70" t="s">
        <v>571</v>
      </c>
      <c r="T36" s="1178"/>
      <c r="U36" s="985">
        <v>2678.57</v>
      </c>
      <c r="V36" s="987"/>
      <c r="W36" s="987">
        <v>0</v>
      </c>
      <c r="X36" s="1119">
        <v>0</v>
      </c>
      <c r="Y36" s="985">
        <v>2678.57</v>
      </c>
      <c r="Z36" s="987">
        <v>0</v>
      </c>
      <c r="AA36" s="1119">
        <v>0</v>
      </c>
      <c r="AB36" s="985">
        <v>2678.57</v>
      </c>
      <c r="AC36" s="987">
        <v>0</v>
      </c>
      <c r="AD36" s="1119">
        <v>0</v>
      </c>
      <c r="AE36" s="985">
        <v>2678.57</v>
      </c>
      <c r="AF36" s="987">
        <v>0</v>
      </c>
      <c r="AG36" s="1119">
        <v>0</v>
      </c>
      <c r="AH36" s="552">
        <f t="shared" si="4"/>
        <v>10714.28</v>
      </c>
      <c r="AI36" s="75"/>
      <c r="AJ36" s="75">
        <f t="shared" si="5"/>
        <v>0</v>
      </c>
      <c r="AK36" s="75"/>
      <c r="AL36" s="75"/>
      <c r="AM36" s="75"/>
      <c r="AN36" s="76" t="s">
        <v>39</v>
      </c>
      <c r="AO36" s="76"/>
      <c r="AP36" s="76"/>
      <c r="AQ36" s="405"/>
      <c r="AR36" s="76"/>
      <c r="AS36" s="467"/>
      <c r="AT36" s="76"/>
      <c r="AU36" s="983"/>
      <c r="AV36" s="64" t="s">
        <v>2701</v>
      </c>
      <c r="AW36" s="1354"/>
    </row>
    <row r="37" spans="1:49" ht="19.350000000000001" hidden="1" customHeight="1" outlineLevel="2" x14ac:dyDescent="0.25">
      <c r="A37" s="63" t="str">
        <f t="shared" si="0"/>
        <v>1.1.1.1.10.61</v>
      </c>
      <c r="B37" s="64">
        <v>1</v>
      </c>
      <c r="C37" s="64">
        <v>1</v>
      </c>
      <c r="D37" s="64">
        <v>1</v>
      </c>
      <c r="E37" s="64">
        <v>1</v>
      </c>
      <c r="F37" s="64">
        <v>10</v>
      </c>
      <c r="G37" s="64">
        <v>61</v>
      </c>
      <c r="H37" s="65"/>
      <c r="I37" s="65"/>
      <c r="J37" s="66"/>
      <c r="K37" s="67" t="s">
        <v>2658</v>
      </c>
      <c r="L37" s="64" t="s">
        <v>72</v>
      </c>
      <c r="M37" s="64" t="s">
        <v>2657</v>
      </c>
      <c r="N37" s="64" t="s">
        <v>74</v>
      </c>
      <c r="O37" s="64" t="s">
        <v>75</v>
      </c>
      <c r="P37" s="69">
        <v>44936</v>
      </c>
      <c r="Q37" s="69">
        <v>45290</v>
      </c>
      <c r="R37" s="64"/>
      <c r="S37" s="70" t="s">
        <v>571</v>
      </c>
      <c r="T37" s="1178"/>
      <c r="U37" s="985">
        <v>2678.57</v>
      </c>
      <c r="V37" s="987"/>
      <c r="W37" s="987">
        <v>0</v>
      </c>
      <c r="X37" s="1119">
        <v>0</v>
      </c>
      <c r="Y37" s="985">
        <v>2678.57</v>
      </c>
      <c r="Z37" s="987">
        <v>0</v>
      </c>
      <c r="AA37" s="1119">
        <v>0</v>
      </c>
      <c r="AB37" s="985">
        <v>2678.57</v>
      </c>
      <c r="AC37" s="987">
        <v>0</v>
      </c>
      <c r="AD37" s="1119">
        <v>0</v>
      </c>
      <c r="AE37" s="985">
        <v>2678.57</v>
      </c>
      <c r="AF37" s="987">
        <v>0</v>
      </c>
      <c r="AG37" s="1119">
        <v>0</v>
      </c>
      <c r="AH37" s="552">
        <f t="shared" si="4"/>
        <v>10714.28</v>
      </c>
      <c r="AI37" s="75"/>
      <c r="AJ37" s="75">
        <f t="shared" si="5"/>
        <v>0</v>
      </c>
      <c r="AK37" s="75"/>
      <c r="AL37" s="75"/>
      <c r="AM37" s="75"/>
      <c r="AN37" s="76" t="s">
        <v>39</v>
      </c>
      <c r="AO37" s="76"/>
      <c r="AP37" s="76"/>
      <c r="AQ37" s="405"/>
      <c r="AR37" s="76"/>
      <c r="AS37" s="467"/>
      <c r="AT37" s="76"/>
      <c r="AU37" s="983"/>
      <c r="AV37" s="64" t="s">
        <v>2701</v>
      </c>
      <c r="AW37" s="1354"/>
    </row>
    <row r="38" spans="1:49" ht="19.350000000000001" hidden="1" customHeight="1" outlineLevel="2" x14ac:dyDescent="0.25">
      <c r="A38" s="63" t="str">
        <f t="shared" si="0"/>
        <v>1.1.1.1.10.62</v>
      </c>
      <c r="B38" s="64">
        <v>1</v>
      </c>
      <c r="C38" s="64">
        <v>1</v>
      </c>
      <c r="D38" s="64">
        <v>1</v>
      </c>
      <c r="E38" s="64">
        <v>1</v>
      </c>
      <c r="F38" s="64">
        <v>10</v>
      </c>
      <c r="G38" s="64">
        <v>62</v>
      </c>
      <c r="H38" s="65"/>
      <c r="I38" s="65"/>
      <c r="J38" s="66"/>
      <c r="K38" s="67" t="s">
        <v>2658</v>
      </c>
      <c r="L38" s="64" t="s">
        <v>72</v>
      </c>
      <c r="M38" s="64" t="s">
        <v>2657</v>
      </c>
      <c r="N38" s="64" t="s">
        <v>74</v>
      </c>
      <c r="O38" s="64" t="s">
        <v>75</v>
      </c>
      <c r="P38" s="69">
        <v>44936</v>
      </c>
      <c r="Q38" s="69">
        <v>45290</v>
      </c>
      <c r="R38" s="64"/>
      <c r="S38" s="70" t="s">
        <v>571</v>
      </c>
      <c r="T38" s="1178"/>
      <c r="U38" s="985">
        <v>2678.57</v>
      </c>
      <c r="V38" s="987"/>
      <c r="W38" s="987">
        <v>0</v>
      </c>
      <c r="X38" s="1119">
        <v>0</v>
      </c>
      <c r="Y38" s="985">
        <v>2678.57</v>
      </c>
      <c r="Z38" s="987">
        <v>0</v>
      </c>
      <c r="AA38" s="1119">
        <v>0</v>
      </c>
      <c r="AB38" s="985">
        <v>2678.57</v>
      </c>
      <c r="AC38" s="987">
        <v>0</v>
      </c>
      <c r="AD38" s="1119">
        <v>0</v>
      </c>
      <c r="AE38" s="985">
        <v>2678.57</v>
      </c>
      <c r="AF38" s="987">
        <v>0</v>
      </c>
      <c r="AG38" s="1119">
        <v>0</v>
      </c>
      <c r="AH38" s="552">
        <f t="shared" si="4"/>
        <v>10714.28</v>
      </c>
      <c r="AI38" s="75"/>
      <c r="AJ38" s="75">
        <f t="shared" si="5"/>
        <v>0</v>
      </c>
      <c r="AK38" s="75"/>
      <c r="AL38" s="75"/>
      <c r="AM38" s="75"/>
      <c r="AN38" s="76" t="s">
        <v>39</v>
      </c>
      <c r="AO38" s="76"/>
      <c r="AP38" s="76"/>
      <c r="AQ38" s="405"/>
      <c r="AR38" s="76"/>
      <c r="AS38" s="467"/>
      <c r="AT38" s="76"/>
      <c r="AU38" s="983"/>
      <c r="AV38" s="64" t="s">
        <v>2701</v>
      </c>
      <c r="AW38" s="1354"/>
    </row>
    <row r="39" spans="1:49" ht="19.350000000000001" hidden="1" customHeight="1" outlineLevel="2" x14ac:dyDescent="0.25">
      <c r="A39" s="63" t="str">
        <f t="shared" si="0"/>
        <v>1.1.1.1.10.63</v>
      </c>
      <c r="B39" s="64">
        <v>1</v>
      </c>
      <c r="C39" s="64">
        <v>1</v>
      </c>
      <c r="D39" s="64">
        <v>1</v>
      </c>
      <c r="E39" s="64">
        <v>1</v>
      </c>
      <c r="F39" s="64">
        <v>10</v>
      </c>
      <c r="G39" s="64">
        <v>63</v>
      </c>
      <c r="H39" s="65"/>
      <c r="I39" s="65"/>
      <c r="J39" s="66"/>
      <c r="K39" s="67" t="s">
        <v>2658</v>
      </c>
      <c r="L39" s="64" t="s">
        <v>72</v>
      </c>
      <c r="M39" s="64" t="s">
        <v>2657</v>
      </c>
      <c r="N39" s="64" t="s">
        <v>74</v>
      </c>
      <c r="O39" s="64" t="s">
        <v>75</v>
      </c>
      <c r="P39" s="69">
        <v>44936</v>
      </c>
      <c r="Q39" s="69">
        <v>45290</v>
      </c>
      <c r="R39" s="64"/>
      <c r="S39" s="70" t="s">
        <v>571</v>
      </c>
      <c r="T39" s="1178"/>
      <c r="U39" s="985">
        <v>2678.57</v>
      </c>
      <c r="V39" s="987"/>
      <c r="W39" s="987">
        <v>0</v>
      </c>
      <c r="X39" s="1119">
        <v>0</v>
      </c>
      <c r="Y39" s="985">
        <v>2678.57</v>
      </c>
      <c r="Z39" s="987">
        <v>0</v>
      </c>
      <c r="AA39" s="1119">
        <v>0</v>
      </c>
      <c r="AB39" s="985">
        <v>2678.57</v>
      </c>
      <c r="AC39" s="987">
        <v>0</v>
      </c>
      <c r="AD39" s="1119">
        <v>0</v>
      </c>
      <c r="AE39" s="985">
        <v>2678.57</v>
      </c>
      <c r="AF39" s="987">
        <v>0</v>
      </c>
      <c r="AG39" s="1119">
        <v>0</v>
      </c>
      <c r="AH39" s="552">
        <f t="shared" si="4"/>
        <v>10714.28</v>
      </c>
      <c r="AI39" s="75"/>
      <c r="AJ39" s="75">
        <f t="shared" si="5"/>
        <v>0</v>
      </c>
      <c r="AK39" s="75"/>
      <c r="AL39" s="75"/>
      <c r="AM39" s="75"/>
      <c r="AN39" s="76" t="s">
        <v>39</v>
      </c>
      <c r="AO39" s="76"/>
      <c r="AP39" s="76"/>
      <c r="AQ39" s="405"/>
      <c r="AR39" s="76"/>
      <c r="AS39" s="467"/>
      <c r="AT39" s="76"/>
      <c r="AU39" s="983"/>
      <c r="AV39" s="64" t="s">
        <v>2701</v>
      </c>
      <c r="AW39" s="1354"/>
    </row>
    <row r="40" spans="1:49" ht="19.350000000000001" hidden="1" customHeight="1" outlineLevel="2" x14ac:dyDescent="0.25">
      <c r="A40" s="63" t="str">
        <f t="shared" si="0"/>
        <v>1.1.1.1.10.64</v>
      </c>
      <c r="B40" s="64">
        <v>1</v>
      </c>
      <c r="C40" s="64">
        <v>1</v>
      </c>
      <c r="D40" s="64">
        <v>1</v>
      </c>
      <c r="E40" s="64">
        <v>1</v>
      </c>
      <c r="F40" s="64">
        <v>10</v>
      </c>
      <c r="G40" s="64">
        <v>64</v>
      </c>
      <c r="H40" s="65"/>
      <c r="I40" s="65"/>
      <c r="J40" s="66"/>
      <c r="K40" s="67" t="s">
        <v>2658</v>
      </c>
      <c r="L40" s="64" t="s">
        <v>72</v>
      </c>
      <c r="M40" s="64" t="s">
        <v>2657</v>
      </c>
      <c r="N40" s="64" t="s">
        <v>74</v>
      </c>
      <c r="O40" s="64" t="s">
        <v>75</v>
      </c>
      <c r="P40" s="69">
        <v>44936</v>
      </c>
      <c r="Q40" s="69">
        <v>45290</v>
      </c>
      <c r="R40" s="64"/>
      <c r="S40" s="70" t="s">
        <v>571</v>
      </c>
      <c r="T40" s="1178"/>
      <c r="U40" s="985">
        <v>2678.57</v>
      </c>
      <c r="V40" s="987"/>
      <c r="W40" s="987">
        <v>0</v>
      </c>
      <c r="X40" s="1119">
        <v>0</v>
      </c>
      <c r="Y40" s="985">
        <v>2678.57</v>
      </c>
      <c r="Z40" s="987">
        <v>0</v>
      </c>
      <c r="AA40" s="1119">
        <v>0</v>
      </c>
      <c r="AB40" s="985">
        <v>2678.57</v>
      </c>
      <c r="AC40" s="987">
        <v>0</v>
      </c>
      <c r="AD40" s="1119">
        <v>0</v>
      </c>
      <c r="AE40" s="985">
        <v>2678.57</v>
      </c>
      <c r="AF40" s="987">
        <v>0</v>
      </c>
      <c r="AG40" s="1119">
        <v>0</v>
      </c>
      <c r="AH40" s="552">
        <f t="shared" si="4"/>
        <v>10714.28</v>
      </c>
      <c r="AI40" s="75"/>
      <c r="AJ40" s="75">
        <f t="shared" si="5"/>
        <v>0</v>
      </c>
      <c r="AK40" s="75"/>
      <c r="AL40" s="75"/>
      <c r="AM40" s="75"/>
      <c r="AN40" s="76" t="s">
        <v>39</v>
      </c>
      <c r="AO40" s="76"/>
      <c r="AP40" s="76"/>
      <c r="AQ40" s="405"/>
      <c r="AR40" s="76"/>
      <c r="AS40" s="467"/>
      <c r="AT40" s="76"/>
      <c r="AU40" s="983"/>
      <c r="AV40" s="64" t="s">
        <v>2701</v>
      </c>
      <c r="AW40" s="1355"/>
    </row>
    <row r="41" spans="1:49" ht="45" outlineLevel="1" collapsed="1" x14ac:dyDescent="0.25">
      <c r="A41" s="80" t="str">
        <f t="shared" si="0"/>
        <v>1.1.1.2.0.0</v>
      </c>
      <c r="B41" s="80">
        <v>1</v>
      </c>
      <c r="C41" s="80">
        <v>1</v>
      </c>
      <c r="D41" s="80">
        <v>1</v>
      </c>
      <c r="E41" s="80">
        <v>2</v>
      </c>
      <c r="F41" s="80">
        <v>0</v>
      </c>
      <c r="G41" s="81">
        <v>0</v>
      </c>
      <c r="H41" s="80"/>
      <c r="I41" s="80"/>
      <c r="J41" s="1347" t="s">
        <v>16</v>
      </c>
      <c r="K41" s="1347"/>
      <c r="L41" s="82" t="s">
        <v>72</v>
      </c>
      <c r="M41" s="83" t="s">
        <v>42</v>
      </c>
      <c r="N41" s="82" t="s">
        <v>47</v>
      </c>
      <c r="O41" s="82" t="s">
        <v>44</v>
      </c>
      <c r="P41" s="84">
        <v>44571</v>
      </c>
      <c r="Q41" s="84">
        <v>44925</v>
      </c>
      <c r="R41" s="85">
        <f>+SUM(R42:R91)</f>
        <v>21</v>
      </c>
      <c r="S41" s="57" t="s">
        <v>93</v>
      </c>
      <c r="T41" s="1176">
        <f>+SUM(T42:T97)</f>
        <v>630</v>
      </c>
      <c r="U41" s="60">
        <f>SUM(U42:U118)</f>
        <v>100796.85000000003</v>
      </c>
      <c r="V41" s="60"/>
      <c r="W41" s="60">
        <f t="shared" ref="W41:AG41" si="6">SUM(W42:W118)</f>
        <v>0</v>
      </c>
      <c r="X41" s="1117">
        <f t="shared" si="6"/>
        <v>0</v>
      </c>
      <c r="Y41" s="60">
        <f t="shared" si="6"/>
        <v>1650316.5200000005</v>
      </c>
      <c r="Z41" s="60">
        <f t="shared" si="6"/>
        <v>0</v>
      </c>
      <c r="AA41" s="1117">
        <f t="shared" si="6"/>
        <v>0</v>
      </c>
      <c r="AB41" s="60">
        <f t="shared" si="6"/>
        <v>1221464.51</v>
      </c>
      <c r="AC41" s="60">
        <f t="shared" si="6"/>
        <v>0</v>
      </c>
      <c r="AD41" s="1117">
        <f t="shared" si="6"/>
        <v>0</v>
      </c>
      <c r="AE41" s="60">
        <f t="shared" si="6"/>
        <v>1221465.51</v>
      </c>
      <c r="AF41" s="60">
        <f t="shared" si="6"/>
        <v>0</v>
      </c>
      <c r="AG41" s="1117">
        <f t="shared" si="6"/>
        <v>0</v>
      </c>
      <c r="AH41" s="60">
        <f>SUM(AH42:AH118)</f>
        <v>4194043.3899999978</v>
      </c>
      <c r="AI41" s="369">
        <f>SUM(AI42:AI97)</f>
        <v>0</v>
      </c>
      <c r="AJ41" s="369">
        <f>SUM(AJ42:AJ97)</f>
        <v>0</v>
      </c>
      <c r="AK41" s="61"/>
      <c r="AL41" s="61"/>
      <c r="AM41" s="61"/>
      <c r="AN41" s="62" t="s">
        <v>39</v>
      </c>
      <c r="AO41" s="62"/>
      <c r="AP41" s="62"/>
      <c r="AQ41" s="404"/>
      <c r="AR41" s="62"/>
      <c r="AS41" s="466"/>
      <c r="AT41" s="62"/>
      <c r="AU41" s="660"/>
      <c r="AV41" s="331"/>
      <c r="AW41" s="1004" t="s">
        <v>94</v>
      </c>
    </row>
    <row r="42" spans="1:49" ht="65.45" hidden="1" customHeight="1" outlineLevel="3" x14ac:dyDescent="0.25">
      <c r="A42" s="63" t="str">
        <f t="shared" si="0"/>
        <v>1.1.1.2.1. 58-59-60-62-64</v>
      </c>
      <c r="B42" s="63">
        <v>1</v>
      </c>
      <c r="C42" s="63">
        <v>1</v>
      </c>
      <c r="D42" s="63">
        <v>1</v>
      </c>
      <c r="E42" s="63">
        <v>2</v>
      </c>
      <c r="F42" s="63">
        <v>1</v>
      </c>
      <c r="G42" s="64" t="s">
        <v>2661</v>
      </c>
      <c r="H42" s="63"/>
      <c r="I42" s="63"/>
      <c r="J42" s="67"/>
      <c r="K42" s="86" t="s">
        <v>2675</v>
      </c>
      <c r="L42" s="64" t="s">
        <v>75</v>
      </c>
      <c r="M42" s="68" t="s">
        <v>52</v>
      </c>
      <c r="N42" s="64" t="s">
        <v>47</v>
      </c>
      <c r="O42" s="64" t="s">
        <v>44</v>
      </c>
      <c r="P42" s="69">
        <v>44927</v>
      </c>
      <c r="Q42" s="69">
        <v>44957</v>
      </c>
      <c r="R42" s="64">
        <v>1</v>
      </c>
      <c r="S42" s="74" t="s">
        <v>93</v>
      </c>
      <c r="T42" s="1179">
        <v>30</v>
      </c>
      <c r="U42" s="87">
        <v>0</v>
      </c>
      <c r="V42" s="87"/>
      <c r="W42" s="985">
        <v>0</v>
      </c>
      <c r="X42" s="1118">
        <v>0</v>
      </c>
      <c r="Y42" s="287">
        <v>0</v>
      </c>
      <c r="Z42" s="986">
        <v>0</v>
      </c>
      <c r="AA42" s="1120">
        <v>0</v>
      </c>
      <c r="AB42" s="87">
        <v>0</v>
      </c>
      <c r="AC42" s="990">
        <v>0</v>
      </c>
      <c r="AD42" s="1215">
        <v>0</v>
      </c>
      <c r="AE42" s="93">
        <v>0</v>
      </c>
      <c r="AF42" s="75">
        <v>0</v>
      </c>
      <c r="AG42" s="1120">
        <v>0</v>
      </c>
      <c r="AH42" s="510">
        <f>+U42+Y42+AB42+AE42</f>
        <v>0</v>
      </c>
      <c r="AI42" s="75"/>
      <c r="AJ42" s="75">
        <f>+W42+Z42+AC42+AF42</f>
        <v>0</v>
      </c>
      <c r="AK42" s="75"/>
      <c r="AL42" s="75"/>
      <c r="AM42" s="75"/>
      <c r="AN42" s="89" t="s">
        <v>39</v>
      </c>
      <c r="AO42" s="89"/>
      <c r="AP42" s="89" t="s">
        <v>649</v>
      </c>
      <c r="AQ42" s="407"/>
      <c r="AR42" s="89"/>
      <c r="AS42" s="469"/>
      <c r="AT42" s="89"/>
      <c r="AU42" s="661"/>
      <c r="AV42" s="1005" t="s">
        <v>96</v>
      </c>
      <c r="AW42" s="67" t="s">
        <v>2575</v>
      </c>
    </row>
    <row r="43" spans="1:49" ht="69" hidden="1" customHeight="1" outlineLevel="3" x14ac:dyDescent="0.25">
      <c r="A43" s="63" t="str">
        <f t="shared" si="0"/>
        <v>1.1.1.2.1. 58-59-60-62-63</v>
      </c>
      <c r="B43" s="63">
        <v>1</v>
      </c>
      <c r="C43" s="63">
        <v>1</v>
      </c>
      <c r="D43" s="63">
        <v>1</v>
      </c>
      <c r="E43" s="63">
        <v>2</v>
      </c>
      <c r="F43" s="63">
        <v>1</v>
      </c>
      <c r="G43" s="64" t="s">
        <v>2662</v>
      </c>
      <c r="H43" s="63"/>
      <c r="I43" s="63"/>
      <c r="J43" s="67"/>
      <c r="K43" s="86" t="s">
        <v>2676</v>
      </c>
      <c r="L43" s="64" t="s">
        <v>75</v>
      </c>
      <c r="M43" s="68" t="s">
        <v>52</v>
      </c>
      <c r="N43" s="64" t="s">
        <v>47</v>
      </c>
      <c r="O43" s="64" t="s">
        <v>44</v>
      </c>
      <c r="P43" s="69">
        <v>44927</v>
      </c>
      <c r="Q43" s="69">
        <v>44957</v>
      </c>
      <c r="R43" s="64">
        <v>1</v>
      </c>
      <c r="S43" s="74" t="s">
        <v>93</v>
      </c>
      <c r="T43" s="1179">
        <v>30</v>
      </c>
      <c r="U43" s="87">
        <v>0</v>
      </c>
      <c r="V43" s="87"/>
      <c r="W43" s="985">
        <v>0</v>
      </c>
      <c r="X43" s="1118">
        <v>0</v>
      </c>
      <c r="Y43" s="962">
        <v>0</v>
      </c>
      <c r="Z43" s="986">
        <v>0</v>
      </c>
      <c r="AA43" s="1120">
        <v>0</v>
      </c>
      <c r="AB43" s="87">
        <v>0</v>
      </c>
      <c r="AC43" s="990">
        <v>0</v>
      </c>
      <c r="AD43" s="1215">
        <v>0</v>
      </c>
      <c r="AE43" s="93">
        <v>0</v>
      </c>
      <c r="AF43" s="75">
        <v>0</v>
      </c>
      <c r="AG43" s="1120">
        <v>0</v>
      </c>
      <c r="AH43" s="510">
        <f t="shared" ref="AH43:AH106" si="7">+U43+Y43+AB43+AE43</f>
        <v>0</v>
      </c>
      <c r="AI43" s="75"/>
      <c r="AJ43" s="75">
        <f t="shared" ref="AJ43:AJ106" si="8">+W43+Z43+AC43+AF43</f>
        <v>0</v>
      </c>
      <c r="AK43" s="75"/>
      <c r="AL43" s="75"/>
      <c r="AM43" s="75"/>
      <c r="AN43" s="89" t="s">
        <v>39</v>
      </c>
      <c r="AO43" s="89"/>
      <c r="AP43" s="89" t="s">
        <v>649</v>
      </c>
      <c r="AQ43" s="407"/>
      <c r="AR43" s="89"/>
      <c r="AS43" s="469"/>
      <c r="AT43" s="89"/>
      <c r="AU43" s="661"/>
      <c r="AV43" s="1005" t="s">
        <v>96</v>
      </c>
      <c r="AW43" s="792" t="s">
        <v>2578</v>
      </c>
    </row>
    <row r="44" spans="1:49" ht="69" hidden="1" customHeight="1" outlineLevel="3" x14ac:dyDescent="0.25">
      <c r="A44" s="63" t="str">
        <f t="shared" si="0"/>
        <v>1.1.1.2.1.59</v>
      </c>
      <c r="B44" s="63">
        <v>1</v>
      </c>
      <c r="C44" s="63">
        <v>1</v>
      </c>
      <c r="D44" s="63">
        <v>1</v>
      </c>
      <c r="E44" s="63">
        <v>2</v>
      </c>
      <c r="F44" s="63">
        <v>1</v>
      </c>
      <c r="G44" s="64">
        <v>59</v>
      </c>
      <c r="H44" s="63"/>
      <c r="I44" s="63"/>
      <c r="J44" s="67"/>
      <c r="K44" s="86" t="s">
        <v>2682</v>
      </c>
      <c r="L44" s="64" t="s">
        <v>75</v>
      </c>
      <c r="M44" s="68" t="s">
        <v>52</v>
      </c>
      <c r="N44" s="64" t="s">
        <v>47</v>
      </c>
      <c r="O44" s="64" t="s">
        <v>44</v>
      </c>
      <c r="P44" s="69">
        <v>44964</v>
      </c>
      <c r="Q44" s="69">
        <v>44985</v>
      </c>
      <c r="R44" s="64">
        <v>1</v>
      </c>
      <c r="S44" s="74" t="s">
        <v>93</v>
      </c>
      <c r="T44" s="1179">
        <v>30</v>
      </c>
      <c r="U44" s="87">
        <v>0</v>
      </c>
      <c r="V44" s="87"/>
      <c r="W44" s="985">
        <v>0</v>
      </c>
      <c r="X44" s="1118">
        <v>0</v>
      </c>
      <c r="Y44" s="962">
        <v>0</v>
      </c>
      <c r="Z44" s="986">
        <v>0</v>
      </c>
      <c r="AA44" s="1120">
        <v>0</v>
      </c>
      <c r="AB44" s="87">
        <v>0</v>
      </c>
      <c r="AC44" s="990">
        <v>0</v>
      </c>
      <c r="AD44" s="1215">
        <v>0</v>
      </c>
      <c r="AE44" s="93">
        <v>0</v>
      </c>
      <c r="AF44" s="75">
        <v>0</v>
      </c>
      <c r="AG44" s="1120">
        <v>0</v>
      </c>
      <c r="AH44" s="510">
        <f t="shared" si="7"/>
        <v>0</v>
      </c>
      <c r="AI44" s="75"/>
      <c r="AJ44" s="75">
        <f t="shared" si="8"/>
        <v>0</v>
      </c>
      <c r="AK44" s="75"/>
      <c r="AL44" s="75"/>
      <c r="AM44" s="75"/>
      <c r="AN44" s="89" t="s">
        <v>39</v>
      </c>
      <c r="AO44" s="89"/>
      <c r="AP44" s="89" t="s">
        <v>649</v>
      </c>
      <c r="AQ44" s="407"/>
      <c r="AR44" s="89"/>
      <c r="AS44" s="469"/>
      <c r="AT44" s="89"/>
      <c r="AU44" s="661"/>
      <c r="AV44" s="1005" t="s">
        <v>96</v>
      </c>
      <c r="AW44" s="792" t="s">
        <v>2580</v>
      </c>
    </row>
    <row r="45" spans="1:49" ht="69" hidden="1" customHeight="1" outlineLevel="3" x14ac:dyDescent="0.25">
      <c r="A45" s="63" t="str">
        <f t="shared" si="0"/>
        <v>1.1.1.2.1. 58-59-60-61-62</v>
      </c>
      <c r="B45" s="63">
        <v>1</v>
      </c>
      <c r="C45" s="63">
        <v>1</v>
      </c>
      <c r="D45" s="63">
        <v>1</v>
      </c>
      <c r="E45" s="63">
        <v>2</v>
      </c>
      <c r="F45" s="63">
        <v>1</v>
      </c>
      <c r="G45" s="64" t="s">
        <v>2663</v>
      </c>
      <c r="H45" s="63"/>
      <c r="I45" s="63"/>
      <c r="J45" s="67"/>
      <c r="K45" s="86" t="s">
        <v>2677</v>
      </c>
      <c r="L45" s="64" t="s">
        <v>75</v>
      </c>
      <c r="M45" s="68" t="s">
        <v>52</v>
      </c>
      <c r="N45" s="64" t="s">
        <v>47</v>
      </c>
      <c r="O45" s="64" t="s">
        <v>44</v>
      </c>
      <c r="P45" s="69">
        <v>44612</v>
      </c>
      <c r="Q45" s="69">
        <v>44985</v>
      </c>
      <c r="R45" s="64">
        <v>1</v>
      </c>
      <c r="S45" s="74" t="s">
        <v>93</v>
      </c>
      <c r="T45" s="1179">
        <v>30</v>
      </c>
      <c r="U45" s="87">
        <v>0</v>
      </c>
      <c r="V45" s="87"/>
      <c r="W45" s="985">
        <v>0</v>
      </c>
      <c r="X45" s="1118">
        <v>0</v>
      </c>
      <c r="Y45" s="962">
        <v>0</v>
      </c>
      <c r="Z45" s="986">
        <v>0</v>
      </c>
      <c r="AA45" s="1120">
        <v>0</v>
      </c>
      <c r="AB45" s="552">
        <v>0</v>
      </c>
      <c r="AC45" s="990">
        <v>0</v>
      </c>
      <c r="AD45" s="1215">
        <v>0</v>
      </c>
      <c r="AE45" s="93">
        <v>0</v>
      </c>
      <c r="AF45" s="75">
        <v>0</v>
      </c>
      <c r="AG45" s="1120">
        <v>0</v>
      </c>
      <c r="AH45" s="510">
        <f t="shared" si="7"/>
        <v>0</v>
      </c>
      <c r="AI45" s="75"/>
      <c r="AJ45" s="75">
        <f t="shared" si="8"/>
        <v>0</v>
      </c>
      <c r="AK45" s="75"/>
      <c r="AL45" s="75"/>
      <c r="AM45" s="75"/>
      <c r="AN45" s="89" t="s">
        <v>39</v>
      </c>
      <c r="AO45" s="89"/>
      <c r="AP45" s="89" t="s">
        <v>649</v>
      </c>
      <c r="AQ45" s="407"/>
      <c r="AR45" s="89"/>
      <c r="AS45" s="469"/>
      <c r="AT45" s="89"/>
      <c r="AU45" s="661"/>
      <c r="AV45" s="1005" t="s">
        <v>96</v>
      </c>
      <c r="AW45" s="792" t="s">
        <v>2683</v>
      </c>
    </row>
    <row r="46" spans="1:49" ht="69" hidden="1" customHeight="1" outlineLevel="3" x14ac:dyDescent="0.25">
      <c r="A46" s="63" t="str">
        <f t="shared" si="0"/>
        <v>1.1.1.2.1. 58-59-60-61-62-63</v>
      </c>
      <c r="B46" s="63">
        <v>1</v>
      </c>
      <c r="C46" s="63">
        <v>1</v>
      </c>
      <c r="D46" s="63">
        <v>1</v>
      </c>
      <c r="E46" s="63">
        <v>2</v>
      </c>
      <c r="F46" s="63">
        <v>1</v>
      </c>
      <c r="G46" s="64" t="s">
        <v>2664</v>
      </c>
      <c r="H46" s="63"/>
      <c r="I46" s="63"/>
      <c r="J46" s="67"/>
      <c r="K46" s="86" t="s">
        <v>2678</v>
      </c>
      <c r="L46" s="64" t="s">
        <v>75</v>
      </c>
      <c r="M46" s="68" t="s">
        <v>52</v>
      </c>
      <c r="N46" s="64" t="s">
        <v>47</v>
      </c>
      <c r="O46" s="64" t="s">
        <v>44</v>
      </c>
      <c r="P46" s="69">
        <v>44991</v>
      </c>
      <c r="Q46" s="69">
        <v>45002</v>
      </c>
      <c r="R46" s="64">
        <v>1</v>
      </c>
      <c r="S46" s="74" t="s">
        <v>93</v>
      </c>
      <c r="T46" s="1179">
        <v>30</v>
      </c>
      <c r="U46" s="87">
        <v>0</v>
      </c>
      <c r="V46" s="87"/>
      <c r="W46" s="985">
        <v>0</v>
      </c>
      <c r="X46" s="1118">
        <v>0</v>
      </c>
      <c r="Y46" s="962">
        <v>0</v>
      </c>
      <c r="Z46" s="986">
        <v>0</v>
      </c>
      <c r="AA46" s="1120">
        <v>0</v>
      </c>
      <c r="AB46" s="552">
        <v>0</v>
      </c>
      <c r="AC46" s="990">
        <v>0</v>
      </c>
      <c r="AD46" s="1215">
        <v>0</v>
      </c>
      <c r="AE46" s="93">
        <v>0</v>
      </c>
      <c r="AF46" s="75">
        <v>0</v>
      </c>
      <c r="AG46" s="1120">
        <v>0</v>
      </c>
      <c r="AH46" s="510">
        <f t="shared" si="7"/>
        <v>0</v>
      </c>
      <c r="AI46" s="75"/>
      <c r="AJ46" s="75">
        <f t="shared" si="8"/>
        <v>0</v>
      </c>
      <c r="AK46" s="75"/>
      <c r="AL46" s="75"/>
      <c r="AM46" s="75"/>
      <c r="AN46" s="89" t="s">
        <v>39</v>
      </c>
      <c r="AO46" s="89"/>
      <c r="AP46" s="89" t="s">
        <v>649</v>
      </c>
      <c r="AQ46" s="407"/>
      <c r="AR46" s="89"/>
      <c r="AS46" s="469"/>
      <c r="AT46" s="89"/>
      <c r="AU46" s="661"/>
      <c r="AV46" s="1005" t="s">
        <v>96</v>
      </c>
      <c r="AW46" s="792" t="s">
        <v>2581</v>
      </c>
    </row>
    <row r="47" spans="1:49" ht="69" hidden="1" customHeight="1" outlineLevel="3" x14ac:dyDescent="0.25">
      <c r="A47" s="63" t="str">
        <f t="shared" si="0"/>
        <v>1.1.1.2.1. 60-61-64</v>
      </c>
      <c r="B47" s="63">
        <v>1</v>
      </c>
      <c r="C47" s="63">
        <v>1</v>
      </c>
      <c r="D47" s="63">
        <v>1</v>
      </c>
      <c r="E47" s="63">
        <v>2</v>
      </c>
      <c r="F47" s="63">
        <v>1</v>
      </c>
      <c r="G47" s="64" t="s">
        <v>2665</v>
      </c>
      <c r="H47" s="63"/>
      <c r="I47" s="63"/>
      <c r="J47" s="67"/>
      <c r="K47" s="86" t="s">
        <v>2679</v>
      </c>
      <c r="L47" s="64" t="s">
        <v>75</v>
      </c>
      <c r="M47" s="68" t="s">
        <v>52</v>
      </c>
      <c r="N47" s="64" t="s">
        <v>47</v>
      </c>
      <c r="O47" s="64" t="s">
        <v>44</v>
      </c>
      <c r="P47" s="69">
        <v>45005</v>
      </c>
      <c r="Q47" s="69">
        <v>45016</v>
      </c>
      <c r="R47" s="64">
        <v>1</v>
      </c>
      <c r="S47" s="977" t="s">
        <v>2622</v>
      </c>
      <c r="T47" s="1180">
        <v>30</v>
      </c>
      <c r="U47" s="87">
        <v>0</v>
      </c>
      <c r="V47" s="87"/>
      <c r="W47" s="985">
        <v>0</v>
      </c>
      <c r="X47" s="1118">
        <v>0</v>
      </c>
      <c r="Y47" s="962">
        <v>0</v>
      </c>
      <c r="Z47" s="986">
        <v>0</v>
      </c>
      <c r="AA47" s="1120">
        <v>0</v>
      </c>
      <c r="AB47" s="552">
        <v>0</v>
      </c>
      <c r="AC47" s="990">
        <v>0</v>
      </c>
      <c r="AD47" s="1215">
        <v>0</v>
      </c>
      <c r="AE47" s="93">
        <v>0</v>
      </c>
      <c r="AF47" s="75">
        <v>0</v>
      </c>
      <c r="AG47" s="1120">
        <v>0</v>
      </c>
      <c r="AH47" s="510">
        <f t="shared" si="7"/>
        <v>0</v>
      </c>
      <c r="AI47" s="75"/>
      <c r="AJ47" s="75">
        <f t="shared" si="8"/>
        <v>0</v>
      </c>
      <c r="AK47" s="75"/>
      <c r="AL47" s="75"/>
      <c r="AM47" s="75"/>
      <c r="AN47" s="89" t="s">
        <v>39</v>
      </c>
      <c r="AO47" s="89"/>
      <c r="AP47" s="89" t="s">
        <v>649</v>
      </c>
      <c r="AQ47" s="407"/>
      <c r="AR47" s="89"/>
      <c r="AS47" s="469"/>
      <c r="AT47" s="89"/>
      <c r="AU47" s="661"/>
      <c r="AV47" s="1005" t="s">
        <v>96</v>
      </c>
      <c r="AW47" s="792" t="s">
        <v>2629</v>
      </c>
    </row>
    <row r="48" spans="1:49" ht="69" hidden="1" customHeight="1" outlineLevel="3" x14ac:dyDescent="0.25">
      <c r="A48" s="63" t="str">
        <f t="shared" si="0"/>
        <v>1.1.1.2.1. 60-61-64</v>
      </c>
      <c r="B48" s="63">
        <v>1</v>
      </c>
      <c r="C48" s="63">
        <v>1</v>
      </c>
      <c r="D48" s="63">
        <v>1</v>
      </c>
      <c r="E48" s="63">
        <v>2</v>
      </c>
      <c r="F48" s="63">
        <v>1</v>
      </c>
      <c r="G48" s="64" t="s">
        <v>2665</v>
      </c>
      <c r="H48" s="63"/>
      <c r="I48" s="63"/>
      <c r="J48" s="67"/>
      <c r="K48" s="86" t="s">
        <v>2680</v>
      </c>
      <c r="L48" s="64" t="s">
        <v>75</v>
      </c>
      <c r="M48" s="68" t="s">
        <v>52</v>
      </c>
      <c r="N48" s="64" t="s">
        <v>47</v>
      </c>
      <c r="O48" s="64" t="s">
        <v>44</v>
      </c>
      <c r="P48" s="69">
        <v>45021</v>
      </c>
      <c r="Q48" s="69">
        <v>45030</v>
      </c>
      <c r="R48" s="64">
        <v>1</v>
      </c>
      <c r="S48" s="68" t="s">
        <v>2630</v>
      </c>
      <c r="T48" s="1180">
        <v>30</v>
      </c>
      <c r="U48" s="87">
        <v>0</v>
      </c>
      <c r="V48" s="87"/>
      <c r="W48" s="985">
        <v>0</v>
      </c>
      <c r="X48" s="1118">
        <v>0</v>
      </c>
      <c r="Y48" s="962">
        <v>0</v>
      </c>
      <c r="Z48" s="986">
        <v>0</v>
      </c>
      <c r="AA48" s="1120">
        <v>0</v>
      </c>
      <c r="AB48" s="552">
        <v>0</v>
      </c>
      <c r="AC48" s="990">
        <v>0</v>
      </c>
      <c r="AD48" s="1215">
        <v>0</v>
      </c>
      <c r="AE48" s="93">
        <v>0</v>
      </c>
      <c r="AF48" s="75">
        <v>0</v>
      </c>
      <c r="AG48" s="1120">
        <v>0</v>
      </c>
      <c r="AH48" s="510">
        <f t="shared" si="7"/>
        <v>0</v>
      </c>
      <c r="AI48" s="75"/>
      <c r="AJ48" s="75">
        <f t="shared" si="8"/>
        <v>0</v>
      </c>
      <c r="AK48" s="75"/>
      <c r="AL48" s="75"/>
      <c r="AM48" s="75"/>
      <c r="AN48" s="89" t="s">
        <v>39</v>
      </c>
      <c r="AO48" s="89"/>
      <c r="AP48" s="89" t="s">
        <v>649</v>
      </c>
      <c r="AQ48" s="407"/>
      <c r="AR48" s="89"/>
      <c r="AS48" s="469"/>
      <c r="AT48" s="89"/>
      <c r="AU48" s="661"/>
      <c r="AV48" s="1005" t="s">
        <v>96</v>
      </c>
      <c r="AW48" s="792" t="s">
        <v>2631</v>
      </c>
    </row>
    <row r="49" spans="1:49" ht="69" hidden="1" customHeight="1" outlineLevel="3" x14ac:dyDescent="0.25">
      <c r="A49" s="63" t="str">
        <f t="shared" si="0"/>
        <v>1.1.1.2.1.58-59</v>
      </c>
      <c r="B49" s="63">
        <v>1</v>
      </c>
      <c r="C49" s="63">
        <v>1</v>
      </c>
      <c r="D49" s="63">
        <v>1</v>
      </c>
      <c r="E49" s="63">
        <v>2</v>
      </c>
      <c r="F49" s="63">
        <v>1</v>
      </c>
      <c r="G49" s="64" t="s">
        <v>1549</v>
      </c>
      <c r="H49" s="63"/>
      <c r="I49" s="63"/>
      <c r="J49" s="67"/>
      <c r="K49" s="86" t="s">
        <v>2681</v>
      </c>
      <c r="L49" s="64" t="s">
        <v>75</v>
      </c>
      <c r="M49" s="68" t="s">
        <v>52</v>
      </c>
      <c r="N49" s="64" t="s">
        <v>47</v>
      </c>
      <c r="O49" s="64" t="s">
        <v>44</v>
      </c>
      <c r="P49" s="69">
        <v>45021</v>
      </c>
      <c r="Q49" s="69">
        <v>45044</v>
      </c>
      <c r="R49" s="64">
        <v>1</v>
      </c>
      <c r="S49" s="64" t="s">
        <v>2632</v>
      </c>
      <c r="T49" s="1180">
        <v>30</v>
      </c>
      <c r="U49" s="87">
        <v>0</v>
      </c>
      <c r="V49" s="87"/>
      <c r="W49" s="985">
        <v>0</v>
      </c>
      <c r="X49" s="1118">
        <v>0</v>
      </c>
      <c r="Y49" s="962">
        <v>0</v>
      </c>
      <c r="Z49" s="986">
        <v>0</v>
      </c>
      <c r="AA49" s="1120">
        <v>0</v>
      </c>
      <c r="AB49" s="552">
        <v>0</v>
      </c>
      <c r="AC49" s="990">
        <v>0</v>
      </c>
      <c r="AD49" s="1215">
        <v>0</v>
      </c>
      <c r="AE49" s="93">
        <v>0</v>
      </c>
      <c r="AF49" s="75">
        <v>0</v>
      </c>
      <c r="AG49" s="1120">
        <v>0</v>
      </c>
      <c r="AH49" s="510">
        <f t="shared" si="7"/>
        <v>0</v>
      </c>
      <c r="AI49" s="75"/>
      <c r="AJ49" s="75">
        <f t="shared" si="8"/>
        <v>0</v>
      </c>
      <c r="AK49" s="75"/>
      <c r="AL49" s="75"/>
      <c r="AM49" s="75"/>
      <c r="AN49" s="89" t="s">
        <v>39</v>
      </c>
      <c r="AO49" s="89"/>
      <c r="AP49" s="89" t="s">
        <v>649</v>
      </c>
      <c r="AQ49" s="407"/>
      <c r="AR49" s="89"/>
      <c r="AS49" s="469"/>
      <c r="AT49" s="89"/>
      <c r="AU49" s="661"/>
      <c r="AV49" s="1005" t="s">
        <v>96</v>
      </c>
      <c r="AW49" s="792" t="s">
        <v>2633</v>
      </c>
    </row>
    <row r="50" spans="1:49" ht="69" hidden="1" customHeight="1" outlineLevel="3" x14ac:dyDescent="0.25">
      <c r="A50" s="63" t="str">
        <f t="shared" si="0"/>
        <v>1.1.1.2.1.58-59-60-61-62-63</v>
      </c>
      <c r="B50" s="63">
        <v>1</v>
      </c>
      <c r="C50" s="63">
        <v>1</v>
      </c>
      <c r="D50" s="63">
        <v>1</v>
      </c>
      <c r="E50" s="63">
        <v>2</v>
      </c>
      <c r="F50" s="63">
        <v>1</v>
      </c>
      <c r="G50" s="64" t="s">
        <v>2666</v>
      </c>
      <c r="H50" s="63"/>
      <c r="I50" s="63"/>
      <c r="J50" s="67"/>
      <c r="K50" s="979" t="s">
        <v>2634</v>
      </c>
      <c r="L50" s="64" t="s">
        <v>75</v>
      </c>
      <c r="M50" s="68" t="s">
        <v>52</v>
      </c>
      <c r="N50" s="64" t="s">
        <v>47</v>
      </c>
      <c r="O50" s="64" t="s">
        <v>44</v>
      </c>
      <c r="P50" s="69">
        <v>45048</v>
      </c>
      <c r="Q50" s="69">
        <v>45065</v>
      </c>
      <c r="R50" s="64">
        <v>1</v>
      </c>
      <c r="S50" s="64" t="s">
        <v>2632</v>
      </c>
      <c r="T50" s="1180">
        <v>30</v>
      </c>
      <c r="U50" s="87">
        <v>0</v>
      </c>
      <c r="V50" s="87"/>
      <c r="W50" s="985">
        <v>0</v>
      </c>
      <c r="X50" s="1118">
        <v>0</v>
      </c>
      <c r="Y50" s="962">
        <v>0</v>
      </c>
      <c r="Z50" s="986">
        <v>0</v>
      </c>
      <c r="AA50" s="1120">
        <v>0</v>
      </c>
      <c r="AB50" s="552">
        <v>0</v>
      </c>
      <c r="AC50" s="990">
        <v>0</v>
      </c>
      <c r="AD50" s="1215">
        <v>0</v>
      </c>
      <c r="AE50" s="93">
        <v>0</v>
      </c>
      <c r="AF50" s="75">
        <v>0</v>
      </c>
      <c r="AG50" s="1120">
        <v>0</v>
      </c>
      <c r="AH50" s="510">
        <f t="shared" si="7"/>
        <v>0</v>
      </c>
      <c r="AI50" s="75"/>
      <c r="AJ50" s="75">
        <f t="shared" si="8"/>
        <v>0</v>
      </c>
      <c r="AK50" s="75"/>
      <c r="AL50" s="75"/>
      <c r="AM50" s="75"/>
      <c r="AN50" s="89" t="s">
        <v>39</v>
      </c>
      <c r="AO50" s="89"/>
      <c r="AP50" s="89" t="s">
        <v>649</v>
      </c>
      <c r="AQ50" s="407"/>
      <c r="AR50" s="89"/>
      <c r="AS50" s="469"/>
      <c r="AT50" s="89"/>
      <c r="AU50" s="661"/>
      <c r="AV50" s="1005" t="s">
        <v>96</v>
      </c>
      <c r="AW50" s="792" t="s">
        <v>2636</v>
      </c>
    </row>
    <row r="51" spans="1:49" ht="69" hidden="1" customHeight="1" outlineLevel="3" x14ac:dyDescent="0.25">
      <c r="A51" s="63" t="str">
        <f t="shared" si="0"/>
        <v>1.1.1.2.1.62-63</v>
      </c>
      <c r="B51" s="63">
        <v>1</v>
      </c>
      <c r="C51" s="63">
        <v>1</v>
      </c>
      <c r="D51" s="63">
        <v>1</v>
      </c>
      <c r="E51" s="63">
        <v>2</v>
      </c>
      <c r="F51" s="63">
        <v>1</v>
      </c>
      <c r="G51" s="64" t="s">
        <v>1551</v>
      </c>
      <c r="H51" s="63"/>
      <c r="I51" s="63"/>
      <c r="J51" s="343"/>
      <c r="K51" s="991" t="s">
        <v>2660</v>
      </c>
      <c r="L51" s="64" t="s">
        <v>75</v>
      </c>
      <c r="M51" s="68" t="s">
        <v>52</v>
      </c>
      <c r="N51" s="64" t="s">
        <v>47</v>
      </c>
      <c r="O51" s="64" t="s">
        <v>44</v>
      </c>
      <c r="P51" s="69">
        <v>45048</v>
      </c>
      <c r="Q51" s="69">
        <v>45077</v>
      </c>
      <c r="R51" s="64">
        <v>1</v>
      </c>
      <c r="S51" s="64" t="s">
        <v>2632</v>
      </c>
      <c r="T51" s="1180">
        <v>30</v>
      </c>
      <c r="U51" s="87">
        <v>0</v>
      </c>
      <c r="V51" s="87"/>
      <c r="W51" s="985">
        <v>0</v>
      </c>
      <c r="X51" s="1118">
        <v>0</v>
      </c>
      <c r="Y51" s="962">
        <v>0</v>
      </c>
      <c r="Z51" s="986">
        <v>0</v>
      </c>
      <c r="AA51" s="1120">
        <v>0</v>
      </c>
      <c r="AB51" s="552">
        <v>0</v>
      </c>
      <c r="AC51" s="990">
        <v>0</v>
      </c>
      <c r="AD51" s="1215">
        <v>0</v>
      </c>
      <c r="AE51" s="93">
        <v>0</v>
      </c>
      <c r="AF51" s="75">
        <v>0</v>
      </c>
      <c r="AG51" s="1120">
        <v>0</v>
      </c>
      <c r="AH51" s="510">
        <f t="shared" si="7"/>
        <v>0</v>
      </c>
      <c r="AI51" s="75"/>
      <c r="AJ51" s="75">
        <f t="shared" si="8"/>
        <v>0</v>
      </c>
      <c r="AK51" s="75"/>
      <c r="AL51" s="75"/>
      <c r="AM51" s="75"/>
      <c r="AN51" s="89" t="s">
        <v>39</v>
      </c>
      <c r="AO51" s="89"/>
      <c r="AP51" s="89" t="s">
        <v>649</v>
      </c>
      <c r="AQ51" s="407"/>
      <c r="AR51" s="89"/>
      <c r="AS51" s="469"/>
      <c r="AT51" s="89"/>
      <c r="AU51" s="661"/>
      <c r="AV51" s="1005" t="s">
        <v>96</v>
      </c>
      <c r="AW51" s="792" t="s">
        <v>2684</v>
      </c>
    </row>
    <row r="52" spans="1:49" ht="79.349999999999994" hidden="1" customHeight="1" outlineLevel="3" x14ac:dyDescent="0.25">
      <c r="A52" s="63" t="str">
        <f t="shared" si="0"/>
        <v>1.1.1.2.1.58-59-60-61-62-64</v>
      </c>
      <c r="B52" s="63">
        <v>1</v>
      </c>
      <c r="C52" s="63">
        <v>1</v>
      </c>
      <c r="D52" s="63">
        <v>1</v>
      </c>
      <c r="E52" s="63">
        <v>2</v>
      </c>
      <c r="F52" s="63">
        <v>1</v>
      </c>
      <c r="G52" s="64" t="s">
        <v>2668</v>
      </c>
      <c r="H52" s="63"/>
      <c r="I52" s="63"/>
      <c r="J52" s="343"/>
      <c r="K52" s="992" t="s">
        <v>2638</v>
      </c>
      <c r="L52" s="64" t="s">
        <v>75</v>
      </c>
      <c r="M52" s="68" t="s">
        <v>52</v>
      </c>
      <c r="N52" s="64" t="s">
        <v>47</v>
      </c>
      <c r="O52" s="64" t="s">
        <v>44</v>
      </c>
      <c r="P52" s="69">
        <v>45083</v>
      </c>
      <c r="Q52" s="69">
        <v>45093</v>
      </c>
      <c r="R52" s="64">
        <v>1</v>
      </c>
      <c r="S52" s="165" t="s">
        <v>2632</v>
      </c>
      <c r="T52" s="1180">
        <v>30</v>
      </c>
      <c r="U52" s="87">
        <v>0</v>
      </c>
      <c r="V52" s="87"/>
      <c r="W52" s="985">
        <v>0</v>
      </c>
      <c r="X52" s="1118">
        <v>0</v>
      </c>
      <c r="Y52" s="962">
        <v>0</v>
      </c>
      <c r="Z52" s="986">
        <v>0</v>
      </c>
      <c r="AA52" s="1120">
        <v>0</v>
      </c>
      <c r="AB52" s="552">
        <v>0</v>
      </c>
      <c r="AC52" s="990">
        <v>0</v>
      </c>
      <c r="AD52" s="1215">
        <v>0</v>
      </c>
      <c r="AE52" s="93">
        <v>0</v>
      </c>
      <c r="AF52" s="75">
        <v>0</v>
      </c>
      <c r="AG52" s="1120">
        <v>0</v>
      </c>
      <c r="AH52" s="510">
        <f t="shared" si="7"/>
        <v>0</v>
      </c>
      <c r="AI52" s="75"/>
      <c r="AJ52" s="75">
        <f t="shared" si="8"/>
        <v>0</v>
      </c>
      <c r="AK52" s="75"/>
      <c r="AL52" s="75"/>
      <c r="AM52" s="75"/>
      <c r="AN52" s="89" t="s">
        <v>39</v>
      </c>
      <c r="AO52" s="89"/>
      <c r="AP52" s="89" t="s">
        <v>649</v>
      </c>
      <c r="AQ52" s="407"/>
      <c r="AR52" s="89"/>
      <c r="AS52" s="469"/>
      <c r="AT52" s="89"/>
      <c r="AU52" s="661"/>
      <c r="AV52" s="1005" t="s">
        <v>96</v>
      </c>
      <c r="AW52" s="792" t="s">
        <v>2685</v>
      </c>
    </row>
    <row r="53" spans="1:49" ht="69" hidden="1" customHeight="1" outlineLevel="3" x14ac:dyDescent="0.25">
      <c r="A53" s="63" t="str">
        <f t="shared" si="0"/>
        <v>1.1.1.2.1.58-59-60-61-62-63-64</v>
      </c>
      <c r="B53" s="63">
        <v>1</v>
      </c>
      <c r="C53" s="63">
        <v>1</v>
      </c>
      <c r="D53" s="63">
        <v>1</v>
      </c>
      <c r="E53" s="63">
        <v>2</v>
      </c>
      <c r="F53" s="63">
        <v>1</v>
      </c>
      <c r="G53" s="64" t="s">
        <v>2667</v>
      </c>
      <c r="H53" s="63"/>
      <c r="I53" s="63"/>
      <c r="J53" s="343"/>
      <c r="K53" s="992" t="s">
        <v>2639</v>
      </c>
      <c r="L53" s="64" t="s">
        <v>75</v>
      </c>
      <c r="M53" s="68" t="s">
        <v>52</v>
      </c>
      <c r="N53" s="64" t="s">
        <v>47</v>
      </c>
      <c r="O53" s="64" t="s">
        <v>44</v>
      </c>
      <c r="P53" s="69">
        <v>45096</v>
      </c>
      <c r="Q53" s="69">
        <v>45107</v>
      </c>
      <c r="R53" s="64">
        <v>1</v>
      </c>
      <c r="S53" s="64" t="s">
        <v>2686</v>
      </c>
      <c r="T53" s="194">
        <v>30</v>
      </c>
      <c r="U53" s="94">
        <v>0</v>
      </c>
      <c r="V53" s="94"/>
      <c r="W53" s="985">
        <v>0</v>
      </c>
      <c r="X53" s="1118">
        <v>0</v>
      </c>
      <c r="Y53" s="962">
        <v>0</v>
      </c>
      <c r="Z53" s="986">
        <v>0</v>
      </c>
      <c r="AA53" s="1120">
        <v>0</v>
      </c>
      <c r="AB53" s="552">
        <v>0</v>
      </c>
      <c r="AC53" s="990">
        <v>0</v>
      </c>
      <c r="AD53" s="1215">
        <v>0</v>
      </c>
      <c r="AE53" s="93">
        <v>0</v>
      </c>
      <c r="AF53" s="75">
        <v>0</v>
      </c>
      <c r="AG53" s="1120">
        <v>0</v>
      </c>
      <c r="AH53" s="510">
        <f t="shared" si="7"/>
        <v>0</v>
      </c>
      <c r="AI53" s="75"/>
      <c r="AJ53" s="75">
        <f t="shared" si="8"/>
        <v>0</v>
      </c>
      <c r="AK53" s="75"/>
      <c r="AL53" s="75"/>
      <c r="AM53" s="75"/>
      <c r="AN53" s="89" t="s">
        <v>39</v>
      </c>
      <c r="AO53" s="89"/>
      <c r="AP53" s="89" t="s">
        <v>649</v>
      </c>
      <c r="AQ53" s="407"/>
      <c r="AR53" s="89"/>
      <c r="AS53" s="469"/>
      <c r="AT53" s="89"/>
      <c r="AU53" s="661"/>
      <c r="AV53" s="1005" t="s">
        <v>96</v>
      </c>
      <c r="AW53" s="792" t="s">
        <v>2688</v>
      </c>
    </row>
    <row r="54" spans="1:49" ht="69" hidden="1" customHeight="1" outlineLevel="3" x14ac:dyDescent="0.25">
      <c r="A54" s="63" t="str">
        <f t="shared" si="0"/>
        <v>1.1.1.2.1.58-59-62-63</v>
      </c>
      <c r="B54" s="63">
        <v>1</v>
      </c>
      <c r="C54" s="63">
        <v>1</v>
      </c>
      <c r="D54" s="63">
        <v>1</v>
      </c>
      <c r="E54" s="63">
        <v>2</v>
      </c>
      <c r="F54" s="63">
        <v>1</v>
      </c>
      <c r="G54" s="64" t="s">
        <v>2669</v>
      </c>
      <c r="H54" s="63"/>
      <c r="I54" s="63"/>
      <c r="J54" s="67"/>
      <c r="K54" s="980" t="s">
        <v>2640</v>
      </c>
      <c r="L54" s="64" t="s">
        <v>75</v>
      </c>
      <c r="M54" s="68" t="s">
        <v>52</v>
      </c>
      <c r="N54" s="64" t="s">
        <v>47</v>
      </c>
      <c r="O54" s="64" t="s">
        <v>44</v>
      </c>
      <c r="P54" s="69">
        <v>45111</v>
      </c>
      <c r="Q54" s="69">
        <v>45127</v>
      </c>
      <c r="R54" s="64">
        <v>1</v>
      </c>
      <c r="S54" s="64" t="s">
        <v>2632</v>
      </c>
      <c r="T54" s="194">
        <v>30</v>
      </c>
      <c r="U54" s="94">
        <v>0</v>
      </c>
      <c r="V54" s="94"/>
      <c r="W54" s="985">
        <v>0</v>
      </c>
      <c r="X54" s="1118">
        <v>0</v>
      </c>
      <c r="Y54" s="962">
        <v>0</v>
      </c>
      <c r="Z54" s="986">
        <v>0</v>
      </c>
      <c r="AA54" s="1120">
        <v>0</v>
      </c>
      <c r="AB54" s="552">
        <v>0</v>
      </c>
      <c r="AC54" s="990">
        <v>0</v>
      </c>
      <c r="AD54" s="1215">
        <v>0</v>
      </c>
      <c r="AE54" s="93">
        <v>0</v>
      </c>
      <c r="AF54" s="75">
        <v>0</v>
      </c>
      <c r="AG54" s="1120">
        <v>0</v>
      </c>
      <c r="AH54" s="510">
        <f t="shared" si="7"/>
        <v>0</v>
      </c>
      <c r="AI54" s="75"/>
      <c r="AJ54" s="75">
        <f t="shared" si="8"/>
        <v>0</v>
      </c>
      <c r="AK54" s="75"/>
      <c r="AL54" s="75"/>
      <c r="AM54" s="75"/>
      <c r="AN54" s="89" t="s">
        <v>39</v>
      </c>
      <c r="AO54" s="89"/>
      <c r="AP54" s="89" t="s">
        <v>649</v>
      </c>
      <c r="AQ54" s="407"/>
      <c r="AR54" s="89"/>
      <c r="AS54" s="469"/>
      <c r="AT54" s="89"/>
      <c r="AU54" s="661"/>
      <c r="AV54" s="1005" t="s">
        <v>96</v>
      </c>
      <c r="AW54" s="792" t="s">
        <v>2687</v>
      </c>
    </row>
    <row r="55" spans="1:49" ht="69" hidden="1" customHeight="1" outlineLevel="3" x14ac:dyDescent="0.25">
      <c r="A55" s="63" t="str">
        <f t="shared" si="0"/>
        <v>1.1.1.2.1.58-60-61-62-63-64</v>
      </c>
      <c r="B55" s="63">
        <v>1</v>
      </c>
      <c r="C55" s="63">
        <v>1</v>
      </c>
      <c r="D55" s="63">
        <v>1</v>
      </c>
      <c r="E55" s="63">
        <v>2</v>
      </c>
      <c r="F55" s="63">
        <v>1</v>
      </c>
      <c r="G55" s="64" t="s">
        <v>2670</v>
      </c>
      <c r="H55" s="63"/>
      <c r="I55" s="63"/>
      <c r="J55" s="67"/>
      <c r="K55" s="980" t="s">
        <v>2642</v>
      </c>
      <c r="L55" s="64" t="s">
        <v>75</v>
      </c>
      <c r="M55" s="68" t="s">
        <v>52</v>
      </c>
      <c r="N55" s="64" t="s">
        <v>47</v>
      </c>
      <c r="O55" s="64" t="s">
        <v>44</v>
      </c>
      <c r="P55" s="69">
        <v>45128</v>
      </c>
      <c r="Q55" s="69">
        <v>45137</v>
      </c>
      <c r="R55" s="64">
        <v>1</v>
      </c>
      <c r="S55" s="64" t="s">
        <v>646</v>
      </c>
      <c r="T55" s="194">
        <v>30</v>
      </c>
      <c r="U55" s="94">
        <v>0</v>
      </c>
      <c r="V55" s="94"/>
      <c r="W55" s="985">
        <v>0</v>
      </c>
      <c r="X55" s="1118">
        <v>0</v>
      </c>
      <c r="Y55" s="962">
        <v>0</v>
      </c>
      <c r="Z55" s="986">
        <v>0</v>
      </c>
      <c r="AA55" s="1120">
        <v>0</v>
      </c>
      <c r="AB55" s="552">
        <v>0</v>
      </c>
      <c r="AC55" s="990">
        <v>0</v>
      </c>
      <c r="AD55" s="1215">
        <v>0</v>
      </c>
      <c r="AE55" s="93">
        <v>0</v>
      </c>
      <c r="AF55" s="75">
        <v>0</v>
      </c>
      <c r="AG55" s="1120">
        <v>0</v>
      </c>
      <c r="AH55" s="510">
        <f t="shared" si="7"/>
        <v>0</v>
      </c>
      <c r="AI55" s="75"/>
      <c r="AJ55" s="75">
        <f t="shared" si="8"/>
        <v>0</v>
      </c>
      <c r="AK55" s="75"/>
      <c r="AL55" s="75"/>
      <c r="AM55" s="75"/>
      <c r="AN55" s="89" t="s">
        <v>39</v>
      </c>
      <c r="AO55" s="89"/>
      <c r="AP55" s="89" t="s">
        <v>649</v>
      </c>
      <c r="AQ55" s="407"/>
      <c r="AR55" s="89"/>
      <c r="AS55" s="469"/>
      <c r="AT55" s="89"/>
      <c r="AU55" s="661"/>
      <c r="AV55" s="1005" t="s">
        <v>96</v>
      </c>
      <c r="AW55" s="792" t="s">
        <v>2689</v>
      </c>
    </row>
    <row r="56" spans="1:49" ht="69" hidden="1" customHeight="1" outlineLevel="3" x14ac:dyDescent="0.25">
      <c r="A56" s="63" t="str">
        <f t="shared" si="0"/>
        <v>1.1.1.2.1.58-59-60-61-62-63-64</v>
      </c>
      <c r="B56" s="63">
        <v>1</v>
      </c>
      <c r="C56" s="63">
        <v>1</v>
      </c>
      <c r="D56" s="63">
        <v>1</v>
      </c>
      <c r="E56" s="63">
        <v>2</v>
      </c>
      <c r="F56" s="63">
        <v>1</v>
      </c>
      <c r="G56" s="64" t="s">
        <v>2667</v>
      </c>
      <c r="H56" s="63"/>
      <c r="I56" s="63"/>
      <c r="J56" s="67"/>
      <c r="K56" s="980" t="s">
        <v>2643</v>
      </c>
      <c r="L56" s="64" t="s">
        <v>75</v>
      </c>
      <c r="M56" s="68" t="s">
        <v>52</v>
      </c>
      <c r="N56" s="64" t="s">
        <v>47</v>
      </c>
      <c r="O56" s="64" t="s">
        <v>44</v>
      </c>
      <c r="P56" s="69">
        <v>45139</v>
      </c>
      <c r="Q56" s="69">
        <v>45156</v>
      </c>
      <c r="R56" s="64">
        <v>1</v>
      </c>
      <c r="S56" s="812" t="s">
        <v>2690</v>
      </c>
      <c r="T56" s="1181">
        <v>30</v>
      </c>
      <c r="U56" s="94">
        <v>0</v>
      </c>
      <c r="V56" s="94"/>
      <c r="W56" s="985">
        <v>0</v>
      </c>
      <c r="X56" s="1118">
        <v>0</v>
      </c>
      <c r="Y56" s="962">
        <v>0</v>
      </c>
      <c r="Z56" s="986">
        <v>0</v>
      </c>
      <c r="AA56" s="1120">
        <v>0</v>
      </c>
      <c r="AB56" s="552">
        <v>0</v>
      </c>
      <c r="AC56" s="990">
        <v>0</v>
      </c>
      <c r="AD56" s="1215">
        <v>0</v>
      </c>
      <c r="AE56" s="93">
        <v>0</v>
      </c>
      <c r="AF56" s="75">
        <v>0</v>
      </c>
      <c r="AG56" s="1120">
        <v>0</v>
      </c>
      <c r="AH56" s="510">
        <f t="shared" si="7"/>
        <v>0</v>
      </c>
      <c r="AI56" s="75"/>
      <c r="AJ56" s="75">
        <f t="shared" si="8"/>
        <v>0</v>
      </c>
      <c r="AK56" s="75"/>
      <c r="AL56" s="75"/>
      <c r="AM56" s="75"/>
      <c r="AN56" s="89" t="s">
        <v>39</v>
      </c>
      <c r="AO56" s="89"/>
      <c r="AP56" s="89" t="s">
        <v>649</v>
      </c>
      <c r="AQ56" s="407"/>
      <c r="AR56" s="89"/>
      <c r="AS56" s="469"/>
      <c r="AT56" s="89"/>
      <c r="AU56" s="661"/>
      <c r="AV56" s="1005" t="s">
        <v>96</v>
      </c>
      <c r="AW56" s="792" t="s">
        <v>2691</v>
      </c>
    </row>
    <row r="57" spans="1:49" ht="69" hidden="1" customHeight="1" outlineLevel="3" x14ac:dyDescent="0.25">
      <c r="A57" s="63" t="str">
        <f t="shared" si="0"/>
        <v>1.1.1.2.1.60-61-64</v>
      </c>
      <c r="B57" s="63">
        <v>1</v>
      </c>
      <c r="C57" s="63">
        <v>1</v>
      </c>
      <c r="D57" s="63">
        <v>1</v>
      </c>
      <c r="E57" s="63">
        <v>2</v>
      </c>
      <c r="F57" s="63">
        <v>1</v>
      </c>
      <c r="G57" s="64" t="s">
        <v>1062</v>
      </c>
      <c r="H57" s="63"/>
      <c r="I57" s="63"/>
      <c r="J57" s="67"/>
      <c r="K57" s="980" t="s">
        <v>2645</v>
      </c>
      <c r="L57" s="64" t="s">
        <v>75</v>
      </c>
      <c r="M57" s="68" t="s">
        <v>52</v>
      </c>
      <c r="N57" s="64" t="s">
        <v>47</v>
      </c>
      <c r="O57" s="64" t="s">
        <v>44</v>
      </c>
      <c r="P57" s="69">
        <v>45173</v>
      </c>
      <c r="Q57" s="69">
        <v>45184</v>
      </c>
      <c r="R57" s="64">
        <v>1</v>
      </c>
      <c r="S57" s="812" t="s">
        <v>646</v>
      </c>
      <c r="T57" s="1179">
        <v>30</v>
      </c>
      <c r="U57" s="94">
        <v>0</v>
      </c>
      <c r="V57" s="94"/>
      <c r="W57" s="985">
        <v>0</v>
      </c>
      <c r="X57" s="1118">
        <v>0</v>
      </c>
      <c r="Y57" s="962">
        <v>0</v>
      </c>
      <c r="Z57" s="986">
        <v>0</v>
      </c>
      <c r="AA57" s="1120">
        <v>0</v>
      </c>
      <c r="AB57" s="552">
        <v>0</v>
      </c>
      <c r="AC57" s="990">
        <v>0</v>
      </c>
      <c r="AD57" s="1215">
        <v>0</v>
      </c>
      <c r="AE57" s="93">
        <v>0</v>
      </c>
      <c r="AF57" s="75">
        <v>0</v>
      </c>
      <c r="AG57" s="1120">
        <v>0</v>
      </c>
      <c r="AH57" s="510">
        <f t="shared" si="7"/>
        <v>0</v>
      </c>
      <c r="AI57" s="75"/>
      <c r="AJ57" s="75">
        <f t="shared" si="8"/>
        <v>0</v>
      </c>
      <c r="AK57" s="75"/>
      <c r="AL57" s="75"/>
      <c r="AM57" s="75"/>
      <c r="AN57" s="89" t="s">
        <v>39</v>
      </c>
      <c r="AO57" s="89"/>
      <c r="AP57" s="89" t="s">
        <v>649</v>
      </c>
      <c r="AQ57" s="407"/>
      <c r="AR57" s="89"/>
      <c r="AS57" s="469"/>
      <c r="AT57" s="89"/>
      <c r="AU57" s="661"/>
      <c r="AV57" s="1005" t="s">
        <v>96</v>
      </c>
      <c r="AW57" s="792" t="s">
        <v>2692</v>
      </c>
    </row>
    <row r="58" spans="1:49" ht="69" hidden="1" customHeight="1" outlineLevel="3" x14ac:dyDescent="0.25">
      <c r="A58" s="63" t="str">
        <f t="shared" si="0"/>
        <v>1.1.1.2.1.58-59-60-61-62-63-64</v>
      </c>
      <c r="B58" s="63">
        <v>1</v>
      </c>
      <c r="C58" s="63">
        <v>1</v>
      </c>
      <c r="D58" s="63">
        <v>1</v>
      </c>
      <c r="E58" s="63">
        <v>2</v>
      </c>
      <c r="F58" s="63">
        <v>1</v>
      </c>
      <c r="G58" s="64" t="s">
        <v>2667</v>
      </c>
      <c r="H58" s="63"/>
      <c r="I58" s="63"/>
      <c r="J58" s="67"/>
      <c r="K58" s="980" t="s">
        <v>2646</v>
      </c>
      <c r="L58" s="64" t="s">
        <v>75</v>
      </c>
      <c r="M58" s="68" t="s">
        <v>52</v>
      </c>
      <c r="N58" s="64" t="s">
        <v>47</v>
      </c>
      <c r="O58" s="64" t="s">
        <v>44</v>
      </c>
      <c r="P58" s="69">
        <v>45187</v>
      </c>
      <c r="Q58" s="69">
        <v>45198</v>
      </c>
      <c r="R58" s="64">
        <v>1</v>
      </c>
      <c r="S58" s="812" t="s">
        <v>646</v>
      </c>
      <c r="T58" s="1179">
        <v>30</v>
      </c>
      <c r="U58" s="94">
        <v>0</v>
      </c>
      <c r="V58" s="94"/>
      <c r="W58" s="985">
        <v>0</v>
      </c>
      <c r="X58" s="1118">
        <v>0</v>
      </c>
      <c r="Y58" s="962">
        <v>0</v>
      </c>
      <c r="Z58" s="986">
        <v>0</v>
      </c>
      <c r="AA58" s="1120">
        <v>0</v>
      </c>
      <c r="AB58" s="552">
        <v>0</v>
      </c>
      <c r="AC58" s="990">
        <v>0</v>
      </c>
      <c r="AD58" s="1215">
        <v>0</v>
      </c>
      <c r="AE58" s="93">
        <v>0</v>
      </c>
      <c r="AF58" s="75">
        <v>0</v>
      </c>
      <c r="AG58" s="1120">
        <v>0</v>
      </c>
      <c r="AH58" s="510">
        <f t="shared" si="7"/>
        <v>0</v>
      </c>
      <c r="AI58" s="75"/>
      <c r="AJ58" s="75">
        <f t="shared" si="8"/>
        <v>0</v>
      </c>
      <c r="AK58" s="75"/>
      <c r="AL58" s="75"/>
      <c r="AM58" s="75"/>
      <c r="AN58" s="89" t="s">
        <v>39</v>
      </c>
      <c r="AO58" s="89"/>
      <c r="AP58" s="89" t="s">
        <v>649</v>
      </c>
      <c r="AQ58" s="407"/>
      <c r="AR58" s="89"/>
      <c r="AS58" s="469"/>
      <c r="AT58" s="89"/>
      <c r="AU58" s="661"/>
      <c r="AV58" s="1005" t="s">
        <v>96</v>
      </c>
      <c r="AW58" s="792" t="s">
        <v>2693</v>
      </c>
    </row>
    <row r="59" spans="1:49" ht="69" hidden="1" customHeight="1" outlineLevel="3" x14ac:dyDescent="0.25">
      <c r="A59" s="63" t="str">
        <f t="shared" si="0"/>
        <v>1.1.1.2.1.58-59-60</v>
      </c>
      <c r="B59" s="63">
        <v>1</v>
      </c>
      <c r="C59" s="63">
        <v>1</v>
      </c>
      <c r="D59" s="63">
        <v>1</v>
      </c>
      <c r="E59" s="63">
        <v>2</v>
      </c>
      <c r="F59" s="63">
        <v>1</v>
      </c>
      <c r="G59" s="64" t="s">
        <v>2671</v>
      </c>
      <c r="H59" s="63"/>
      <c r="I59" s="63"/>
      <c r="J59" s="67"/>
      <c r="K59" s="980" t="s">
        <v>2647</v>
      </c>
      <c r="L59" s="64" t="s">
        <v>75</v>
      </c>
      <c r="M59" s="68" t="s">
        <v>52</v>
      </c>
      <c r="N59" s="64" t="s">
        <v>47</v>
      </c>
      <c r="O59" s="64" t="s">
        <v>44</v>
      </c>
      <c r="P59" s="69">
        <v>45204</v>
      </c>
      <c r="Q59" s="69">
        <v>45212</v>
      </c>
      <c r="R59" s="64">
        <v>1</v>
      </c>
      <c r="S59" s="812" t="s">
        <v>646</v>
      </c>
      <c r="T59" s="1179">
        <v>30</v>
      </c>
      <c r="U59" s="94">
        <v>0</v>
      </c>
      <c r="V59" s="94"/>
      <c r="W59" s="985">
        <v>0</v>
      </c>
      <c r="X59" s="1118">
        <v>0</v>
      </c>
      <c r="Y59" s="962">
        <v>0</v>
      </c>
      <c r="Z59" s="986">
        <v>0</v>
      </c>
      <c r="AA59" s="1120">
        <v>0</v>
      </c>
      <c r="AB59" s="552">
        <v>0</v>
      </c>
      <c r="AC59" s="990">
        <v>0</v>
      </c>
      <c r="AD59" s="1215">
        <v>0</v>
      </c>
      <c r="AE59" s="93">
        <v>0</v>
      </c>
      <c r="AF59" s="75">
        <v>0</v>
      </c>
      <c r="AG59" s="1120">
        <v>0</v>
      </c>
      <c r="AH59" s="510">
        <f t="shared" si="7"/>
        <v>0</v>
      </c>
      <c r="AI59" s="75"/>
      <c r="AJ59" s="75">
        <f t="shared" si="8"/>
        <v>0</v>
      </c>
      <c r="AK59" s="75"/>
      <c r="AL59" s="75"/>
      <c r="AM59" s="75"/>
      <c r="AN59" s="89" t="s">
        <v>39</v>
      </c>
      <c r="AO59" s="89"/>
      <c r="AP59" s="89" t="s">
        <v>649</v>
      </c>
      <c r="AQ59" s="407"/>
      <c r="AR59" s="89"/>
      <c r="AS59" s="469"/>
      <c r="AT59" s="89"/>
      <c r="AU59" s="661"/>
      <c r="AV59" s="1005" t="s">
        <v>96</v>
      </c>
      <c r="AW59" s="792" t="s">
        <v>2694</v>
      </c>
    </row>
    <row r="60" spans="1:49" ht="69" hidden="1" customHeight="1" outlineLevel="3" x14ac:dyDescent="0.25">
      <c r="A60" s="63" t="str">
        <f t="shared" si="0"/>
        <v>1.1.1.2.1.59-62-63-64</v>
      </c>
      <c r="B60" s="63">
        <v>1</v>
      </c>
      <c r="C60" s="63">
        <v>1</v>
      </c>
      <c r="D60" s="63">
        <v>1</v>
      </c>
      <c r="E60" s="63">
        <v>2</v>
      </c>
      <c r="F60" s="63">
        <v>1</v>
      </c>
      <c r="G60" s="64" t="s">
        <v>2672</v>
      </c>
      <c r="H60" s="63"/>
      <c r="I60" s="63"/>
      <c r="J60" s="67"/>
      <c r="K60" s="86" t="s">
        <v>2648</v>
      </c>
      <c r="L60" s="64" t="s">
        <v>75</v>
      </c>
      <c r="M60" s="68" t="s">
        <v>52</v>
      </c>
      <c r="N60" s="64" t="s">
        <v>47</v>
      </c>
      <c r="O60" s="64" t="s">
        <v>44</v>
      </c>
      <c r="P60" s="69">
        <v>45215</v>
      </c>
      <c r="Q60" s="69">
        <v>45220</v>
      </c>
      <c r="R60" s="64">
        <v>1</v>
      </c>
      <c r="S60" s="812" t="s">
        <v>2690</v>
      </c>
      <c r="T60" s="1179">
        <v>30</v>
      </c>
      <c r="U60" s="94">
        <v>0</v>
      </c>
      <c r="V60" s="94"/>
      <c r="W60" s="985">
        <v>0</v>
      </c>
      <c r="X60" s="1118">
        <v>0</v>
      </c>
      <c r="Y60" s="962">
        <v>0</v>
      </c>
      <c r="Z60" s="986">
        <v>0</v>
      </c>
      <c r="AA60" s="1120">
        <v>0</v>
      </c>
      <c r="AB60" s="552">
        <v>0</v>
      </c>
      <c r="AC60" s="990">
        <v>0</v>
      </c>
      <c r="AD60" s="1215">
        <v>0</v>
      </c>
      <c r="AE60" s="93">
        <v>0</v>
      </c>
      <c r="AF60" s="75">
        <v>0</v>
      </c>
      <c r="AG60" s="1120">
        <v>0</v>
      </c>
      <c r="AH60" s="510">
        <f t="shared" si="7"/>
        <v>0</v>
      </c>
      <c r="AI60" s="75"/>
      <c r="AJ60" s="75">
        <f t="shared" si="8"/>
        <v>0</v>
      </c>
      <c r="AK60" s="75"/>
      <c r="AL60" s="75"/>
      <c r="AM60" s="75"/>
      <c r="AN60" s="89" t="s">
        <v>39</v>
      </c>
      <c r="AO60" s="89"/>
      <c r="AP60" s="89" t="s">
        <v>649</v>
      </c>
      <c r="AQ60" s="407"/>
      <c r="AR60" s="89"/>
      <c r="AS60" s="469"/>
      <c r="AT60" s="89"/>
      <c r="AU60" s="661"/>
      <c r="AV60" s="1005" t="s">
        <v>96</v>
      </c>
      <c r="AW60" s="792" t="s">
        <v>2695</v>
      </c>
    </row>
    <row r="61" spans="1:49" ht="69" hidden="1" customHeight="1" outlineLevel="3" x14ac:dyDescent="0.25">
      <c r="A61" s="63" t="str">
        <f t="shared" si="0"/>
        <v>1.1.1.2.1.61-63-64</v>
      </c>
      <c r="B61" s="63">
        <v>1</v>
      </c>
      <c r="C61" s="63">
        <v>1</v>
      </c>
      <c r="D61" s="63">
        <v>1</v>
      </c>
      <c r="E61" s="63">
        <v>2</v>
      </c>
      <c r="F61" s="63">
        <v>1</v>
      </c>
      <c r="G61" s="64" t="s">
        <v>2673</v>
      </c>
      <c r="H61" s="63"/>
      <c r="I61" s="63"/>
      <c r="J61" s="67"/>
      <c r="K61" s="86" t="s">
        <v>2649</v>
      </c>
      <c r="L61" s="64" t="s">
        <v>75</v>
      </c>
      <c r="M61" s="68" t="s">
        <v>52</v>
      </c>
      <c r="N61" s="64" t="s">
        <v>47</v>
      </c>
      <c r="O61" s="64" t="s">
        <v>44</v>
      </c>
      <c r="P61" s="69">
        <v>45231</v>
      </c>
      <c r="Q61" s="69">
        <v>45247</v>
      </c>
      <c r="R61" s="64">
        <v>1</v>
      </c>
      <c r="S61" s="812" t="s">
        <v>2690</v>
      </c>
      <c r="T61" s="1179">
        <v>30</v>
      </c>
      <c r="U61" s="94">
        <v>0</v>
      </c>
      <c r="V61" s="94"/>
      <c r="W61" s="985">
        <v>0</v>
      </c>
      <c r="X61" s="1118">
        <v>0</v>
      </c>
      <c r="Y61" s="962">
        <v>0</v>
      </c>
      <c r="Z61" s="986">
        <v>0</v>
      </c>
      <c r="AA61" s="1120">
        <v>0</v>
      </c>
      <c r="AB61" s="552">
        <v>0</v>
      </c>
      <c r="AC61" s="990">
        <v>0</v>
      </c>
      <c r="AD61" s="1215">
        <v>0</v>
      </c>
      <c r="AE61" s="93">
        <v>0</v>
      </c>
      <c r="AF61" s="75">
        <v>0</v>
      </c>
      <c r="AG61" s="1120">
        <v>0</v>
      </c>
      <c r="AH61" s="510">
        <f t="shared" si="7"/>
        <v>0</v>
      </c>
      <c r="AI61" s="75"/>
      <c r="AJ61" s="75">
        <f t="shared" si="8"/>
        <v>0</v>
      </c>
      <c r="AK61" s="75"/>
      <c r="AL61" s="75"/>
      <c r="AM61" s="75"/>
      <c r="AN61" s="89" t="s">
        <v>39</v>
      </c>
      <c r="AO61" s="89"/>
      <c r="AP61" s="89" t="s">
        <v>649</v>
      </c>
      <c r="AQ61" s="407"/>
      <c r="AR61" s="89"/>
      <c r="AS61" s="469"/>
      <c r="AT61" s="89"/>
      <c r="AU61" s="661"/>
      <c r="AV61" s="1005" t="s">
        <v>96</v>
      </c>
      <c r="AW61" s="792" t="s">
        <v>2696</v>
      </c>
    </row>
    <row r="62" spans="1:49" ht="69" hidden="1" customHeight="1" outlineLevel="3" x14ac:dyDescent="0.25">
      <c r="A62" s="63" t="str">
        <f t="shared" si="0"/>
        <v>1.1.1.2.1.60-62-64</v>
      </c>
      <c r="B62" s="63">
        <v>1</v>
      </c>
      <c r="C62" s="63">
        <v>1</v>
      </c>
      <c r="D62" s="63">
        <v>1</v>
      </c>
      <c r="E62" s="63">
        <v>2</v>
      </c>
      <c r="F62" s="63">
        <v>1</v>
      </c>
      <c r="G62" s="64" t="s">
        <v>2674</v>
      </c>
      <c r="H62" s="63"/>
      <c r="I62" s="63"/>
      <c r="J62" s="67"/>
      <c r="K62" s="634" t="s">
        <v>2650</v>
      </c>
      <c r="L62" s="64" t="s">
        <v>75</v>
      </c>
      <c r="M62" s="68" t="s">
        <v>52</v>
      </c>
      <c r="N62" s="64" t="s">
        <v>47</v>
      </c>
      <c r="O62" s="64" t="s">
        <v>44</v>
      </c>
      <c r="P62" s="69">
        <v>45251</v>
      </c>
      <c r="Q62" s="69">
        <v>45260</v>
      </c>
      <c r="R62" s="64">
        <v>1</v>
      </c>
      <c r="S62" s="74" t="s">
        <v>2690</v>
      </c>
      <c r="T62" s="1179">
        <v>30</v>
      </c>
      <c r="U62" s="94">
        <v>0</v>
      </c>
      <c r="V62" s="94"/>
      <c r="W62" s="985">
        <v>0</v>
      </c>
      <c r="X62" s="1118">
        <v>0</v>
      </c>
      <c r="Y62" s="962">
        <v>0</v>
      </c>
      <c r="Z62" s="986">
        <v>0</v>
      </c>
      <c r="AA62" s="1120">
        <v>0</v>
      </c>
      <c r="AB62" s="552">
        <v>0</v>
      </c>
      <c r="AC62" s="990">
        <v>0</v>
      </c>
      <c r="AD62" s="1215">
        <v>0</v>
      </c>
      <c r="AE62" s="93">
        <v>0</v>
      </c>
      <c r="AF62" s="75">
        <v>0</v>
      </c>
      <c r="AG62" s="1120">
        <v>0</v>
      </c>
      <c r="AH62" s="510">
        <f t="shared" si="7"/>
        <v>0</v>
      </c>
      <c r="AI62" s="75"/>
      <c r="AJ62" s="75">
        <f t="shared" si="8"/>
        <v>0</v>
      </c>
      <c r="AK62" s="75"/>
      <c r="AL62" s="75"/>
      <c r="AM62" s="75"/>
      <c r="AN62" s="89" t="s">
        <v>39</v>
      </c>
      <c r="AO62" s="89"/>
      <c r="AP62" s="89" t="s">
        <v>649</v>
      </c>
      <c r="AQ62" s="407"/>
      <c r="AR62" s="89"/>
      <c r="AS62" s="469"/>
      <c r="AT62" s="89"/>
      <c r="AU62" s="661"/>
      <c r="AV62" s="1005" t="s">
        <v>96</v>
      </c>
      <c r="AW62" s="792" t="s">
        <v>2697</v>
      </c>
    </row>
    <row r="63" spans="1:49" ht="32.450000000000003" hidden="1" customHeight="1" outlineLevel="3" x14ac:dyDescent="0.25">
      <c r="A63" s="63" t="str">
        <f t="shared" si="0"/>
        <v>1.1.1.2.15.58</v>
      </c>
      <c r="B63" s="63">
        <v>1</v>
      </c>
      <c r="C63" s="63">
        <v>1</v>
      </c>
      <c r="D63" s="63">
        <v>1</v>
      </c>
      <c r="E63" s="63">
        <v>2</v>
      </c>
      <c r="F63" s="63">
        <v>15</v>
      </c>
      <c r="G63" s="64">
        <v>58</v>
      </c>
      <c r="H63" s="63"/>
      <c r="I63" s="63"/>
      <c r="J63" s="90"/>
      <c r="K63" s="91" t="s">
        <v>122</v>
      </c>
      <c r="L63" s="64" t="s">
        <v>72</v>
      </c>
      <c r="M63" s="64" t="s">
        <v>73</v>
      </c>
      <c r="N63" s="68" t="s">
        <v>123</v>
      </c>
      <c r="O63" s="64" t="s">
        <v>75</v>
      </c>
      <c r="P63" s="69">
        <v>44936</v>
      </c>
      <c r="Q63" s="69">
        <v>45290</v>
      </c>
      <c r="R63" s="64"/>
      <c r="S63" s="74" t="s">
        <v>73</v>
      </c>
      <c r="T63" s="1179"/>
      <c r="U63" s="87">
        <v>2792.41</v>
      </c>
      <c r="V63" s="87"/>
      <c r="W63" s="985">
        <v>0</v>
      </c>
      <c r="X63" s="1119">
        <v>0</v>
      </c>
      <c r="Y63" s="87">
        <v>2792.41</v>
      </c>
      <c r="Z63" s="986">
        <v>0</v>
      </c>
      <c r="AA63" s="1120">
        <v>0</v>
      </c>
      <c r="AB63" s="87">
        <v>2792.41</v>
      </c>
      <c r="AC63" s="990">
        <v>0</v>
      </c>
      <c r="AD63" s="1215">
        <v>0</v>
      </c>
      <c r="AE63" s="87">
        <v>2792.41</v>
      </c>
      <c r="AF63" s="75">
        <v>0</v>
      </c>
      <c r="AG63" s="1120">
        <v>0</v>
      </c>
      <c r="AH63" s="510">
        <f t="shared" si="7"/>
        <v>11169.64</v>
      </c>
      <c r="AI63" s="78"/>
      <c r="AJ63" s="75">
        <f t="shared" si="8"/>
        <v>0</v>
      </c>
      <c r="AK63" s="78"/>
      <c r="AL63" s="78"/>
      <c r="AM63" s="78"/>
      <c r="AN63" s="89" t="s">
        <v>39</v>
      </c>
      <c r="AO63" s="313"/>
      <c r="AP63" s="313"/>
      <c r="AQ63" s="408"/>
      <c r="AR63" s="89"/>
      <c r="AS63" s="470"/>
      <c r="AT63" s="89"/>
      <c r="AU63" s="661"/>
      <c r="AV63" s="954" t="s">
        <v>77</v>
      </c>
      <c r="AW63" s="1356" t="s">
        <v>2654</v>
      </c>
    </row>
    <row r="64" spans="1:49" ht="32.450000000000003" hidden="1" customHeight="1" outlineLevel="3" x14ac:dyDescent="0.25">
      <c r="A64" s="63" t="str">
        <f t="shared" si="0"/>
        <v>1.1.1.2.15.59</v>
      </c>
      <c r="B64" s="63">
        <v>1</v>
      </c>
      <c r="C64" s="63">
        <v>1</v>
      </c>
      <c r="D64" s="63">
        <v>1</v>
      </c>
      <c r="E64" s="63">
        <v>2</v>
      </c>
      <c r="F64" s="63">
        <v>15</v>
      </c>
      <c r="G64" s="64">
        <v>59</v>
      </c>
      <c r="H64" s="63"/>
      <c r="I64" s="63"/>
      <c r="J64" s="90"/>
      <c r="K64" s="91" t="s">
        <v>122</v>
      </c>
      <c r="L64" s="64" t="s">
        <v>72</v>
      </c>
      <c r="M64" s="64" t="s">
        <v>73</v>
      </c>
      <c r="N64" s="68" t="s">
        <v>123</v>
      </c>
      <c r="O64" s="64" t="s">
        <v>75</v>
      </c>
      <c r="P64" s="69">
        <v>44936</v>
      </c>
      <c r="Q64" s="69">
        <v>45290</v>
      </c>
      <c r="R64" s="64"/>
      <c r="S64" s="74" t="s">
        <v>73</v>
      </c>
      <c r="T64" s="1179"/>
      <c r="U64" s="87">
        <v>2792.41</v>
      </c>
      <c r="V64" s="87"/>
      <c r="W64" s="985">
        <v>0</v>
      </c>
      <c r="X64" s="1119">
        <v>0</v>
      </c>
      <c r="Y64" s="87">
        <v>2792.41</v>
      </c>
      <c r="Z64" s="986">
        <v>0</v>
      </c>
      <c r="AA64" s="1120">
        <v>0</v>
      </c>
      <c r="AB64" s="87">
        <v>2792.41</v>
      </c>
      <c r="AC64" s="990">
        <v>0</v>
      </c>
      <c r="AD64" s="1215">
        <v>0</v>
      </c>
      <c r="AE64" s="87">
        <v>2792.41</v>
      </c>
      <c r="AF64" s="75">
        <v>0</v>
      </c>
      <c r="AG64" s="1120">
        <v>0</v>
      </c>
      <c r="AH64" s="510">
        <f t="shared" si="7"/>
        <v>11169.64</v>
      </c>
      <c r="AI64" s="78"/>
      <c r="AJ64" s="75">
        <f t="shared" si="8"/>
        <v>0</v>
      </c>
      <c r="AK64" s="78"/>
      <c r="AL64" s="78"/>
      <c r="AM64" s="78"/>
      <c r="AN64" s="89" t="s">
        <v>39</v>
      </c>
      <c r="AO64" s="313"/>
      <c r="AP64" s="313"/>
      <c r="AQ64" s="408"/>
      <c r="AR64" s="89"/>
      <c r="AS64" s="470"/>
      <c r="AT64" s="89"/>
      <c r="AU64" s="661"/>
      <c r="AV64" s="954" t="s">
        <v>77</v>
      </c>
      <c r="AW64" s="1356"/>
    </row>
    <row r="65" spans="1:49" ht="32.450000000000003" hidden="1" customHeight="1" outlineLevel="3" x14ac:dyDescent="0.25">
      <c r="A65" s="63" t="str">
        <f t="shared" si="0"/>
        <v>1.1.1.2.15.60</v>
      </c>
      <c r="B65" s="63">
        <v>1</v>
      </c>
      <c r="C65" s="63">
        <v>1</v>
      </c>
      <c r="D65" s="63">
        <v>1</v>
      </c>
      <c r="E65" s="63">
        <v>2</v>
      </c>
      <c r="F65" s="63">
        <v>15</v>
      </c>
      <c r="G65" s="64">
        <v>60</v>
      </c>
      <c r="H65" s="63"/>
      <c r="I65" s="63"/>
      <c r="J65" s="90"/>
      <c r="K65" s="91" t="s">
        <v>122</v>
      </c>
      <c r="L65" s="64" t="s">
        <v>72</v>
      </c>
      <c r="M65" s="64" t="s">
        <v>73</v>
      </c>
      <c r="N65" s="68" t="s">
        <v>123</v>
      </c>
      <c r="O65" s="64" t="s">
        <v>75</v>
      </c>
      <c r="P65" s="69">
        <v>44936</v>
      </c>
      <c r="Q65" s="69">
        <v>45290</v>
      </c>
      <c r="R65" s="64"/>
      <c r="S65" s="74" t="s">
        <v>73</v>
      </c>
      <c r="T65" s="1179"/>
      <c r="U65" s="87">
        <v>2792.41</v>
      </c>
      <c r="V65" s="87"/>
      <c r="W65" s="985">
        <v>0</v>
      </c>
      <c r="X65" s="1119">
        <v>0</v>
      </c>
      <c r="Y65" s="87">
        <v>2792.41</v>
      </c>
      <c r="Z65" s="986">
        <v>0</v>
      </c>
      <c r="AA65" s="1120">
        <v>0</v>
      </c>
      <c r="AB65" s="87">
        <v>2792.41</v>
      </c>
      <c r="AC65" s="990">
        <v>0</v>
      </c>
      <c r="AD65" s="1215">
        <v>0</v>
      </c>
      <c r="AE65" s="87">
        <v>2792.41</v>
      </c>
      <c r="AF65" s="75">
        <v>0</v>
      </c>
      <c r="AG65" s="1120">
        <v>0</v>
      </c>
      <c r="AH65" s="510">
        <f t="shared" si="7"/>
        <v>11169.64</v>
      </c>
      <c r="AI65" s="78"/>
      <c r="AJ65" s="75">
        <f t="shared" si="8"/>
        <v>0</v>
      </c>
      <c r="AK65" s="78"/>
      <c r="AL65" s="78"/>
      <c r="AM65" s="78"/>
      <c r="AN65" s="89" t="s">
        <v>39</v>
      </c>
      <c r="AO65" s="313"/>
      <c r="AP65" s="313"/>
      <c r="AQ65" s="408"/>
      <c r="AR65" s="89"/>
      <c r="AS65" s="470"/>
      <c r="AT65" s="89"/>
      <c r="AU65" s="661"/>
      <c r="AV65" s="954" t="s">
        <v>77</v>
      </c>
      <c r="AW65" s="1356"/>
    </row>
    <row r="66" spans="1:49" ht="32.450000000000003" hidden="1" customHeight="1" outlineLevel="3" x14ac:dyDescent="0.25">
      <c r="A66" s="63" t="str">
        <f t="shared" si="0"/>
        <v>1.1.1.2.15.61</v>
      </c>
      <c r="B66" s="63">
        <v>1</v>
      </c>
      <c r="C66" s="63">
        <v>1</v>
      </c>
      <c r="D66" s="63">
        <v>1</v>
      </c>
      <c r="E66" s="63">
        <v>2</v>
      </c>
      <c r="F66" s="63">
        <v>15</v>
      </c>
      <c r="G66" s="64">
        <v>61</v>
      </c>
      <c r="H66" s="63"/>
      <c r="I66" s="63"/>
      <c r="J66" s="90"/>
      <c r="K66" s="91" t="s">
        <v>122</v>
      </c>
      <c r="L66" s="64" t="s">
        <v>72</v>
      </c>
      <c r="M66" s="64" t="s">
        <v>73</v>
      </c>
      <c r="N66" s="68" t="s">
        <v>123</v>
      </c>
      <c r="O66" s="64" t="s">
        <v>75</v>
      </c>
      <c r="P66" s="69">
        <v>44936</v>
      </c>
      <c r="Q66" s="69">
        <v>45290</v>
      </c>
      <c r="R66" s="64"/>
      <c r="S66" s="74" t="s">
        <v>73</v>
      </c>
      <c r="T66" s="1179"/>
      <c r="U66" s="87">
        <v>2792.41</v>
      </c>
      <c r="V66" s="87"/>
      <c r="W66" s="985">
        <v>0</v>
      </c>
      <c r="X66" s="1119">
        <v>0</v>
      </c>
      <c r="Y66" s="87">
        <v>2792.41</v>
      </c>
      <c r="Z66" s="986">
        <v>0</v>
      </c>
      <c r="AA66" s="1120">
        <v>0</v>
      </c>
      <c r="AB66" s="87">
        <v>2792.41</v>
      </c>
      <c r="AC66" s="990">
        <v>0</v>
      </c>
      <c r="AD66" s="1215">
        <v>0</v>
      </c>
      <c r="AE66" s="87">
        <v>2792.41</v>
      </c>
      <c r="AF66" s="75">
        <v>0</v>
      </c>
      <c r="AG66" s="1120">
        <v>0</v>
      </c>
      <c r="AH66" s="510">
        <f t="shared" si="7"/>
        <v>11169.64</v>
      </c>
      <c r="AI66" s="78"/>
      <c r="AJ66" s="75">
        <f t="shared" si="8"/>
        <v>0</v>
      </c>
      <c r="AK66" s="78"/>
      <c r="AL66" s="78"/>
      <c r="AM66" s="78"/>
      <c r="AN66" s="89" t="s">
        <v>39</v>
      </c>
      <c r="AO66" s="313"/>
      <c r="AP66" s="313"/>
      <c r="AQ66" s="408"/>
      <c r="AR66" s="89"/>
      <c r="AS66" s="470"/>
      <c r="AT66" s="89"/>
      <c r="AU66" s="661"/>
      <c r="AV66" s="954" t="s">
        <v>77</v>
      </c>
      <c r="AW66" s="1356"/>
    </row>
    <row r="67" spans="1:49" ht="32.450000000000003" hidden="1" customHeight="1" outlineLevel="3" x14ac:dyDescent="0.25">
      <c r="A67" s="63" t="str">
        <f t="shared" si="0"/>
        <v>1.1.1.2.15.62</v>
      </c>
      <c r="B67" s="63">
        <v>1</v>
      </c>
      <c r="C67" s="63">
        <v>1</v>
      </c>
      <c r="D67" s="63">
        <v>1</v>
      </c>
      <c r="E67" s="63">
        <v>2</v>
      </c>
      <c r="F67" s="63">
        <v>15</v>
      </c>
      <c r="G67" s="64">
        <v>62</v>
      </c>
      <c r="H67" s="63"/>
      <c r="I67" s="63"/>
      <c r="J67" s="90"/>
      <c r="K67" s="91" t="s">
        <v>122</v>
      </c>
      <c r="L67" s="64" t="s">
        <v>72</v>
      </c>
      <c r="M67" s="64" t="s">
        <v>73</v>
      </c>
      <c r="N67" s="68" t="s">
        <v>123</v>
      </c>
      <c r="O67" s="64" t="s">
        <v>75</v>
      </c>
      <c r="P67" s="69">
        <v>44936</v>
      </c>
      <c r="Q67" s="69">
        <v>45290</v>
      </c>
      <c r="R67" s="64"/>
      <c r="S67" s="74" t="s">
        <v>73</v>
      </c>
      <c r="T67" s="1179"/>
      <c r="U67" s="87">
        <v>2792.41</v>
      </c>
      <c r="V67" s="87"/>
      <c r="W67" s="985">
        <v>0</v>
      </c>
      <c r="X67" s="1119">
        <v>0</v>
      </c>
      <c r="Y67" s="87">
        <v>2792.41</v>
      </c>
      <c r="Z67" s="986">
        <v>0</v>
      </c>
      <c r="AA67" s="1120">
        <v>0</v>
      </c>
      <c r="AB67" s="87">
        <v>2792.41</v>
      </c>
      <c r="AC67" s="990">
        <v>0</v>
      </c>
      <c r="AD67" s="1215">
        <v>0</v>
      </c>
      <c r="AE67" s="87">
        <v>2792.41</v>
      </c>
      <c r="AF67" s="75">
        <v>0</v>
      </c>
      <c r="AG67" s="1120">
        <v>0</v>
      </c>
      <c r="AH67" s="510">
        <f t="shared" si="7"/>
        <v>11169.64</v>
      </c>
      <c r="AI67" s="78"/>
      <c r="AJ67" s="75">
        <f t="shared" si="8"/>
        <v>0</v>
      </c>
      <c r="AK67" s="78"/>
      <c r="AL67" s="78"/>
      <c r="AM67" s="78"/>
      <c r="AN67" s="89" t="s">
        <v>39</v>
      </c>
      <c r="AO67" s="313"/>
      <c r="AP67" s="313"/>
      <c r="AQ67" s="408"/>
      <c r="AR67" s="89"/>
      <c r="AS67" s="470"/>
      <c r="AT67" s="89"/>
      <c r="AU67" s="661"/>
      <c r="AV67" s="954" t="s">
        <v>77</v>
      </c>
      <c r="AW67" s="1356"/>
    </row>
    <row r="68" spans="1:49" ht="32.450000000000003" hidden="1" customHeight="1" outlineLevel="3" x14ac:dyDescent="0.25">
      <c r="A68" s="63" t="str">
        <f t="shared" si="0"/>
        <v>1.1.1.2.15.63</v>
      </c>
      <c r="B68" s="63">
        <v>1</v>
      </c>
      <c r="C68" s="63">
        <v>1</v>
      </c>
      <c r="D68" s="63">
        <v>1</v>
      </c>
      <c r="E68" s="63">
        <v>2</v>
      </c>
      <c r="F68" s="63">
        <v>15</v>
      </c>
      <c r="G68" s="64">
        <v>63</v>
      </c>
      <c r="H68" s="63"/>
      <c r="I68" s="63"/>
      <c r="J68" s="90"/>
      <c r="K68" s="91" t="s">
        <v>122</v>
      </c>
      <c r="L68" s="64" t="s">
        <v>72</v>
      </c>
      <c r="M68" s="64" t="s">
        <v>73</v>
      </c>
      <c r="N68" s="68" t="s">
        <v>123</v>
      </c>
      <c r="O68" s="64" t="s">
        <v>75</v>
      </c>
      <c r="P68" s="69">
        <v>44936</v>
      </c>
      <c r="Q68" s="69">
        <v>45290</v>
      </c>
      <c r="R68" s="64"/>
      <c r="S68" s="74" t="s">
        <v>73</v>
      </c>
      <c r="T68" s="1179"/>
      <c r="U68" s="87">
        <v>2792.41</v>
      </c>
      <c r="V68" s="87"/>
      <c r="W68" s="985">
        <v>0</v>
      </c>
      <c r="X68" s="1119">
        <v>0</v>
      </c>
      <c r="Y68" s="87">
        <v>2792.41</v>
      </c>
      <c r="Z68" s="986">
        <v>0</v>
      </c>
      <c r="AA68" s="1120">
        <v>0</v>
      </c>
      <c r="AB68" s="87">
        <v>2792.41</v>
      </c>
      <c r="AC68" s="990">
        <v>0</v>
      </c>
      <c r="AD68" s="1215">
        <v>0</v>
      </c>
      <c r="AE68" s="87">
        <v>2792.41</v>
      </c>
      <c r="AF68" s="75">
        <v>0</v>
      </c>
      <c r="AG68" s="1120">
        <v>0</v>
      </c>
      <c r="AH68" s="510">
        <f t="shared" si="7"/>
        <v>11169.64</v>
      </c>
      <c r="AI68" s="78"/>
      <c r="AJ68" s="75">
        <f t="shared" si="8"/>
        <v>0</v>
      </c>
      <c r="AK68" s="78"/>
      <c r="AL68" s="78"/>
      <c r="AM68" s="78"/>
      <c r="AN68" s="89" t="s">
        <v>39</v>
      </c>
      <c r="AO68" s="313"/>
      <c r="AP68" s="313"/>
      <c r="AQ68" s="408"/>
      <c r="AR68" s="89"/>
      <c r="AS68" s="470"/>
      <c r="AT68" s="89"/>
      <c r="AU68" s="661"/>
      <c r="AV68" s="954" t="s">
        <v>77</v>
      </c>
      <c r="AW68" s="1356"/>
    </row>
    <row r="69" spans="1:49" ht="32.450000000000003" hidden="1" customHeight="1" outlineLevel="3" x14ac:dyDescent="0.25">
      <c r="A69" s="63" t="str">
        <f t="shared" si="0"/>
        <v>1.1.1.2.15.64</v>
      </c>
      <c r="B69" s="63">
        <v>1</v>
      </c>
      <c r="C69" s="63">
        <v>1</v>
      </c>
      <c r="D69" s="63">
        <v>1</v>
      </c>
      <c r="E69" s="63">
        <v>2</v>
      </c>
      <c r="F69" s="63">
        <v>15</v>
      </c>
      <c r="G69" s="64">
        <v>64</v>
      </c>
      <c r="H69" s="63"/>
      <c r="I69" s="63"/>
      <c r="J69" s="90"/>
      <c r="K69" s="91" t="s">
        <v>122</v>
      </c>
      <c r="L69" s="64" t="s">
        <v>72</v>
      </c>
      <c r="M69" s="64" t="s">
        <v>73</v>
      </c>
      <c r="N69" s="68" t="s">
        <v>123</v>
      </c>
      <c r="O69" s="64" t="s">
        <v>75</v>
      </c>
      <c r="P69" s="69">
        <v>44936</v>
      </c>
      <c r="Q69" s="69">
        <v>45290</v>
      </c>
      <c r="R69" s="64"/>
      <c r="S69" s="74" t="s">
        <v>73</v>
      </c>
      <c r="T69" s="1179"/>
      <c r="U69" s="87">
        <v>2792.41</v>
      </c>
      <c r="V69" s="87"/>
      <c r="W69" s="985">
        <v>0</v>
      </c>
      <c r="X69" s="1119">
        <v>0</v>
      </c>
      <c r="Y69" s="87">
        <v>2792.41</v>
      </c>
      <c r="Z69" s="986">
        <v>0</v>
      </c>
      <c r="AA69" s="1120">
        <v>0</v>
      </c>
      <c r="AB69" s="87">
        <v>2792.41</v>
      </c>
      <c r="AC69" s="990">
        <v>0</v>
      </c>
      <c r="AD69" s="1215">
        <v>0</v>
      </c>
      <c r="AE69" s="87">
        <v>2793.41</v>
      </c>
      <c r="AF69" s="75">
        <v>0</v>
      </c>
      <c r="AG69" s="1120">
        <v>0</v>
      </c>
      <c r="AH69" s="510">
        <f t="shared" si="7"/>
        <v>11170.64</v>
      </c>
      <c r="AI69" s="78"/>
      <c r="AJ69" s="75">
        <f t="shared" si="8"/>
        <v>0</v>
      </c>
      <c r="AK69" s="78"/>
      <c r="AL69" s="78"/>
      <c r="AM69" s="78"/>
      <c r="AN69" s="89" t="s">
        <v>39</v>
      </c>
      <c r="AO69" s="313"/>
      <c r="AP69" s="313"/>
      <c r="AQ69" s="408"/>
      <c r="AR69" s="89"/>
      <c r="AS69" s="470"/>
      <c r="AT69" s="89"/>
      <c r="AU69" s="661"/>
      <c r="AV69" s="954" t="s">
        <v>77</v>
      </c>
      <c r="AW69" s="1356"/>
    </row>
    <row r="70" spans="1:49" ht="36" hidden="1" customHeight="1" outlineLevel="3" x14ac:dyDescent="0.25">
      <c r="A70" s="63" t="str">
        <f t="shared" si="0"/>
        <v>1.1.1.2.16.58</v>
      </c>
      <c r="B70" s="63">
        <v>1</v>
      </c>
      <c r="C70" s="63">
        <v>1</v>
      </c>
      <c r="D70" s="63">
        <v>1</v>
      </c>
      <c r="E70" s="63">
        <v>2</v>
      </c>
      <c r="F70" s="63">
        <v>16</v>
      </c>
      <c r="G70" s="64">
        <v>58</v>
      </c>
      <c r="H70" s="63"/>
      <c r="I70" s="63"/>
      <c r="J70" s="90"/>
      <c r="K70" s="91" t="s">
        <v>125</v>
      </c>
      <c r="L70" s="64" t="s">
        <v>72</v>
      </c>
      <c r="M70" s="64" t="s">
        <v>73</v>
      </c>
      <c r="N70" s="68" t="s">
        <v>123</v>
      </c>
      <c r="O70" s="64" t="s">
        <v>75</v>
      </c>
      <c r="P70" s="69">
        <v>44936</v>
      </c>
      <c r="Q70" s="69">
        <v>45290</v>
      </c>
      <c r="R70" s="64"/>
      <c r="S70" s="74" t="s">
        <v>73</v>
      </c>
      <c r="T70" s="1179"/>
      <c r="U70" s="87">
        <v>0</v>
      </c>
      <c r="V70" s="87"/>
      <c r="W70" s="87">
        <v>0</v>
      </c>
      <c r="X70" s="1119">
        <v>0</v>
      </c>
      <c r="Y70" s="87">
        <v>27125.14</v>
      </c>
      <c r="Z70" s="986">
        <v>0</v>
      </c>
      <c r="AA70" s="1120">
        <v>0</v>
      </c>
      <c r="AB70" s="87">
        <v>27125.14</v>
      </c>
      <c r="AC70" s="990">
        <v>0</v>
      </c>
      <c r="AD70" s="1215">
        <v>0</v>
      </c>
      <c r="AE70" s="87">
        <v>27125.14</v>
      </c>
      <c r="AF70" s="75">
        <v>0</v>
      </c>
      <c r="AG70" s="1120">
        <v>0</v>
      </c>
      <c r="AH70" s="510">
        <f t="shared" si="7"/>
        <v>81375.42</v>
      </c>
      <c r="AI70" s="75"/>
      <c r="AJ70" s="75">
        <f t="shared" si="8"/>
        <v>0</v>
      </c>
      <c r="AK70" s="75"/>
      <c r="AL70" s="75"/>
      <c r="AM70" s="75"/>
      <c r="AN70" s="89" t="s">
        <v>39</v>
      </c>
      <c r="AO70" s="89"/>
      <c r="AP70" s="89"/>
      <c r="AQ70" s="407"/>
      <c r="AR70" s="89"/>
      <c r="AS70" s="469"/>
      <c r="AT70" s="89"/>
      <c r="AU70" s="661"/>
      <c r="AV70" s="954" t="s">
        <v>126</v>
      </c>
      <c r="AW70" s="67" t="s">
        <v>2659</v>
      </c>
    </row>
    <row r="71" spans="1:49" ht="36" hidden="1" customHeight="1" outlineLevel="3" x14ac:dyDescent="0.25">
      <c r="A71" s="63" t="str">
        <f t="shared" si="0"/>
        <v>1.1.1.2.16.59</v>
      </c>
      <c r="B71" s="63">
        <v>1</v>
      </c>
      <c r="C71" s="63">
        <v>1</v>
      </c>
      <c r="D71" s="63">
        <v>1</v>
      </c>
      <c r="E71" s="63">
        <v>2</v>
      </c>
      <c r="F71" s="63">
        <v>16</v>
      </c>
      <c r="G71" s="64">
        <v>59</v>
      </c>
      <c r="H71" s="63"/>
      <c r="I71" s="63"/>
      <c r="J71" s="90"/>
      <c r="K71" s="91" t="s">
        <v>128</v>
      </c>
      <c r="L71" s="64" t="s">
        <v>72</v>
      </c>
      <c r="M71" s="64" t="s">
        <v>73</v>
      </c>
      <c r="N71" s="68" t="s">
        <v>123</v>
      </c>
      <c r="O71" s="64" t="s">
        <v>75</v>
      </c>
      <c r="P71" s="69">
        <v>44936</v>
      </c>
      <c r="Q71" s="69">
        <v>45290</v>
      </c>
      <c r="R71" s="64"/>
      <c r="S71" s="74" t="s">
        <v>73</v>
      </c>
      <c r="T71" s="1179"/>
      <c r="U71" s="87">
        <v>0</v>
      </c>
      <c r="V71" s="87"/>
      <c r="W71" s="87">
        <v>0</v>
      </c>
      <c r="X71" s="1119">
        <v>0</v>
      </c>
      <c r="Y71" s="87">
        <v>27125.14</v>
      </c>
      <c r="Z71" s="986">
        <v>0</v>
      </c>
      <c r="AA71" s="1120">
        <v>0</v>
      </c>
      <c r="AB71" s="87">
        <v>27125.14</v>
      </c>
      <c r="AC71" s="990">
        <v>0</v>
      </c>
      <c r="AD71" s="1215">
        <v>0</v>
      </c>
      <c r="AE71" s="87">
        <v>27125.14</v>
      </c>
      <c r="AF71" s="75">
        <v>0</v>
      </c>
      <c r="AG71" s="1120">
        <v>0</v>
      </c>
      <c r="AH71" s="510">
        <f t="shared" si="7"/>
        <v>81375.42</v>
      </c>
      <c r="AI71" s="75"/>
      <c r="AJ71" s="75">
        <f t="shared" si="8"/>
        <v>0</v>
      </c>
      <c r="AK71" s="75"/>
      <c r="AL71" s="75"/>
      <c r="AM71" s="75"/>
      <c r="AN71" s="89" t="s">
        <v>39</v>
      </c>
      <c r="AO71" s="89"/>
      <c r="AP71" s="89"/>
      <c r="AQ71" s="407"/>
      <c r="AR71" s="89"/>
      <c r="AS71" s="469"/>
      <c r="AT71" s="89"/>
      <c r="AU71" s="661"/>
      <c r="AV71" s="954" t="s">
        <v>126</v>
      </c>
      <c r="AW71" s="67" t="s">
        <v>2659</v>
      </c>
    </row>
    <row r="72" spans="1:49" ht="36" hidden="1" customHeight="1" outlineLevel="3" x14ac:dyDescent="0.25">
      <c r="A72" s="63" t="str">
        <f t="shared" si="0"/>
        <v>1.1.1.2.16.60</v>
      </c>
      <c r="B72" s="63">
        <v>1</v>
      </c>
      <c r="C72" s="63">
        <v>1</v>
      </c>
      <c r="D72" s="63">
        <v>1</v>
      </c>
      <c r="E72" s="63">
        <v>2</v>
      </c>
      <c r="F72" s="63">
        <v>16</v>
      </c>
      <c r="G72" s="64">
        <v>60</v>
      </c>
      <c r="H72" s="63"/>
      <c r="I72" s="63"/>
      <c r="J72" s="90"/>
      <c r="K72" s="91" t="s">
        <v>130</v>
      </c>
      <c r="L72" s="64" t="s">
        <v>72</v>
      </c>
      <c r="M72" s="64" t="s">
        <v>73</v>
      </c>
      <c r="N72" s="68" t="s">
        <v>123</v>
      </c>
      <c r="O72" s="64" t="s">
        <v>75</v>
      </c>
      <c r="P72" s="69">
        <v>44936</v>
      </c>
      <c r="Q72" s="69">
        <v>45290</v>
      </c>
      <c r="R72" s="64"/>
      <c r="S72" s="74" t="s">
        <v>73</v>
      </c>
      <c r="T72" s="1179"/>
      <c r="U72" s="87">
        <v>0</v>
      </c>
      <c r="V72" s="87"/>
      <c r="W72" s="87">
        <v>0</v>
      </c>
      <c r="X72" s="1119">
        <v>0</v>
      </c>
      <c r="Y72" s="87">
        <v>27125.14</v>
      </c>
      <c r="Z72" s="986">
        <v>0</v>
      </c>
      <c r="AA72" s="1120">
        <v>0</v>
      </c>
      <c r="AB72" s="87">
        <v>27125.14</v>
      </c>
      <c r="AC72" s="990">
        <v>0</v>
      </c>
      <c r="AD72" s="1215">
        <v>0</v>
      </c>
      <c r="AE72" s="87">
        <v>27125.14</v>
      </c>
      <c r="AF72" s="75">
        <v>0</v>
      </c>
      <c r="AG72" s="1120">
        <v>0</v>
      </c>
      <c r="AH72" s="510">
        <f t="shared" si="7"/>
        <v>81375.42</v>
      </c>
      <c r="AI72" s="75"/>
      <c r="AJ72" s="75">
        <f t="shared" si="8"/>
        <v>0</v>
      </c>
      <c r="AK72" s="75"/>
      <c r="AL72" s="75"/>
      <c r="AM72" s="75"/>
      <c r="AN72" s="89" t="s">
        <v>39</v>
      </c>
      <c r="AO72" s="89"/>
      <c r="AP72" s="89"/>
      <c r="AQ72" s="407"/>
      <c r="AR72" s="89"/>
      <c r="AS72" s="469"/>
      <c r="AT72" s="89"/>
      <c r="AU72" s="661"/>
      <c r="AV72" s="954" t="s">
        <v>126</v>
      </c>
      <c r="AW72" s="67" t="s">
        <v>2659</v>
      </c>
    </row>
    <row r="73" spans="1:49" ht="36" hidden="1" customHeight="1" outlineLevel="3" x14ac:dyDescent="0.25">
      <c r="A73" s="63" t="str">
        <f t="shared" si="0"/>
        <v>1.1.1.2.16.61</v>
      </c>
      <c r="B73" s="63">
        <v>1</v>
      </c>
      <c r="C73" s="63">
        <v>1</v>
      </c>
      <c r="D73" s="63">
        <v>1</v>
      </c>
      <c r="E73" s="63">
        <v>2</v>
      </c>
      <c r="F73" s="63">
        <v>16</v>
      </c>
      <c r="G73" s="64">
        <v>61</v>
      </c>
      <c r="H73" s="63"/>
      <c r="I73" s="63"/>
      <c r="J73" s="90"/>
      <c r="K73" s="91" t="s">
        <v>131</v>
      </c>
      <c r="L73" s="64" t="s">
        <v>72</v>
      </c>
      <c r="M73" s="64" t="s">
        <v>73</v>
      </c>
      <c r="N73" s="68" t="s">
        <v>123</v>
      </c>
      <c r="O73" s="64" t="s">
        <v>75</v>
      </c>
      <c r="P73" s="69">
        <v>44936</v>
      </c>
      <c r="Q73" s="69">
        <v>45290</v>
      </c>
      <c r="R73" s="64"/>
      <c r="S73" s="74" t="s">
        <v>73</v>
      </c>
      <c r="T73" s="1179"/>
      <c r="U73" s="87">
        <v>0</v>
      </c>
      <c r="V73" s="87"/>
      <c r="W73" s="87">
        <v>0</v>
      </c>
      <c r="X73" s="1119">
        <v>0</v>
      </c>
      <c r="Y73" s="87">
        <v>27125.14</v>
      </c>
      <c r="Z73" s="986">
        <v>0</v>
      </c>
      <c r="AA73" s="1120">
        <v>0</v>
      </c>
      <c r="AB73" s="87">
        <v>27125.14</v>
      </c>
      <c r="AC73" s="990">
        <v>0</v>
      </c>
      <c r="AD73" s="1215">
        <v>0</v>
      </c>
      <c r="AE73" s="87">
        <v>27125.14</v>
      </c>
      <c r="AF73" s="75">
        <v>0</v>
      </c>
      <c r="AG73" s="1120">
        <v>0</v>
      </c>
      <c r="AH73" s="510">
        <f t="shared" si="7"/>
        <v>81375.42</v>
      </c>
      <c r="AI73" s="75"/>
      <c r="AJ73" s="75">
        <f t="shared" si="8"/>
        <v>0</v>
      </c>
      <c r="AK73" s="75"/>
      <c r="AL73" s="75"/>
      <c r="AM73" s="75"/>
      <c r="AN73" s="89" t="s">
        <v>39</v>
      </c>
      <c r="AO73" s="89"/>
      <c r="AP73" s="89"/>
      <c r="AQ73" s="407"/>
      <c r="AR73" s="89"/>
      <c r="AS73" s="469"/>
      <c r="AT73" s="89"/>
      <c r="AU73" s="661"/>
      <c r="AV73" s="954" t="s">
        <v>126</v>
      </c>
      <c r="AW73" s="67" t="s">
        <v>2659</v>
      </c>
    </row>
    <row r="74" spans="1:49" ht="36" hidden="1" customHeight="1" outlineLevel="3" x14ac:dyDescent="0.25">
      <c r="A74" s="63" t="str">
        <f t="shared" si="0"/>
        <v>1.1.1.2.16.62</v>
      </c>
      <c r="B74" s="63">
        <v>1</v>
      </c>
      <c r="C74" s="63">
        <v>1</v>
      </c>
      <c r="D74" s="63">
        <v>1</v>
      </c>
      <c r="E74" s="63">
        <v>2</v>
      </c>
      <c r="F74" s="63">
        <v>16</v>
      </c>
      <c r="G74" s="64">
        <v>62</v>
      </c>
      <c r="H74" s="63"/>
      <c r="I74" s="63"/>
      <c r="J74" s="90"/>
      <c r="K74" s="91" t="s">
        <v>132</v>
      </c>
      <c r="L74" s="64" t="s">
        <v>72</v>
      </c>
      <c r="M74" s="64" t="s">
        <v>73</v>
      </c>
      <c r="N74" s="68" t="s">
        <v>123</v>
      </c>
      <c r="O74" s="64" t="s">
        <v>75</v>
      </c>
      <c r="P74" s="69">
        <v>44936</v>
      </c>
      <c r="Q74" s="69">
        <v>45290</v>
      </c>
      <c r="R74" s="64"/>
      <c r="S74" s="74" t="s">
        <v>73</v>
      </c>
      <c r="T74" s="1179"/>
      <c r="U74" s="87">
        <v>0</v>
      </c>
      <c r="V74" s="87"/>
      <c r="W74" s="87">
        <v>0</v>
      </c>
      <c r="X74" s="1119">
        <v>0</v>
      </c>
      <c r="Y74" s="87">
        <v>27125.14</v>
      </c>
      <c r="Z74" s="986">
        <v>0</v>
      </c>
      <c r="AA74" s="1120">
        <v>0</v>
      </c>
      <c r="AB74" s="87">
        <v>27125.14</v>
      </c>
      <c r="AC74" s="990">
        <v>0</v>
      </c>
      <c r="AD74" s="1215">
        <v>0</v>
      </c>
      <c r="AE74" s="87">
        <v>27125.14</v>
      </c>
      <c r="AF74" s="75">
        <v>0</v>
      </c>
      <c r="AG74" s="1120">
        <v>0</v>
      </c>
      <c r="AH74" s="510">
        <f t="shared" si="7"/>
        <v>81375.42</v>
      </c>
      <c r="AI74" s="75"/>
      <c r="AJ74" s="75">
        <f t="shared" si="8"/>
        <v>0</v>
      </c>
      <c r="AK74" s="75"/>
      <c r="AL74" s="75"/>
      <c r="AM74" s="75"/>
      <c r="AN74" s="89" t="s">
        <v>39</v>
      </c>
      <c r="AO74" s="89"/>
      <c r="AP74" s="89"/>
      <c r="AQ74" s="407"/>
      <c r="AR74" s="89"/>
      <c r="AS74" s="469"/>
      <c r="AT74" s="89"/>
      <c r="AU74" s="661"/>
      <c r="AV74" s="954" t="s">
        <v>126</v>
      </c>
      <c r="AW74" s="67" t="s">
        <v>2659</v>
      </c>
    </row>
    <row r="75" spans="1:49" ht="36" hidden="1" customHeight="1" outlineLevel="3" x14ac:dyDescent="0.25">
      <c r="A75" s="63" t="str">
        <f t="shared" si="0"/>
        <v>1.1.1.2.16.63</v>
      </c>
      <c r="B75" s="63">
        <v>1</v>
      </c>
      <c r="C75" s="63">
        <v>1</v>
      </c>
      <c r="D75" s="63">
        <v>1</v>
      </c>
      <c r="E75" s="63">
        <v>2</v>
      </c>
      <c r="F75" s="63">
        <v>16</v>
      </c>
      <c r="G75" s="64">
        <v>63</v>
      </c>
      <c r="H75" s="63"/>
      <c r="I75" s="63"/>
      <c r="J75" s="90"/>
      <c r="K75" s="91" t="s">
        <v>1721</v>
      </c>
      <c r="L75" s="64" t="s">
        <v>72</v>
      </c>
      <c r="M75" s="64" t="s">
        <v>73</v>
      </c>
      <c r="N75" s="68" t="s">
        <v>123</v>
      </c>
      <c r="O75" s="64" t="s">
        <v>75</v>
      </c>
      <c r="P75" s="69">
        <v>44936</v>
      </c>
      <c r="Q75" s="69">
        <v>45290</v>
      </c>
      <c r="R75" s="64"/>
      <c r="S75" s="74" t="s">
        <v>73</v>
      </c>
      <c r="T75" s="1179"/>
      <c r="U75" s="87">
        <v>0</v>
      </c>
      <c r="V75" s="87"/>
      <c r="W75" s="87">
        <v>0</v>
      </c>
      <c r="X75" s="1119">
        <v>0</v>
      </c>
      <c r="Y75" s="87">
        <v>27125.14</v>
      </c>
      <c r="Z75" s="986">
        <v>0</v>
      </c>
      <c r="AA75" s="1120">
        <v>0</v>
      </c>
      <c r="AB75" s="87">
        <v>27125.14</v>
      </c>
      <c r="AC75" s="990">
        <v>0</v>
      </c>
      <c r="AD75" s="1215">
        <v>0</v>
      </c>
      <c r="AE75" s="87">
        <v>27125.14</v>
      </c>
      <c r="AF75" s="75">
        <v>0</v>
      </c>
      <c r="AG75" s="1120">
        <v>0</v>
      </c>
      <c r="AH75" s="510">
        <f t="shared" si="7"/>
        <v>81375.42</v>
      </c>
      <c r="AI75" s="75"/>
      <c r="AJ75" s="75">
        <f t="shared" si="8"/>
        <v>0</v>
      </c>
      <c r="AK75" s="75"/>
      <c r="AL75" s="75"/>
      <c r="AM75" s="75"/>
      <c r="AN75" s="89" t="s">
        <v>39</v>
      </c>
      <c r="AO75" s="89"/>
      <c r="AP75" s="89"/>
      <c r="AQ75" s="407"/>
      <c r="AR75" s="89"/>
      <c r="AS75" s="469"/>
      <c r="AT75" s="89"/>
      <c r="AU75" s="661"/>
      <c r="AV75" s="954" t="s">
        <v>126</v>
      </c>
      <c r="AW75" s="67" t="s">
        <v>2659</v>
      </c>
    </row>
    <row r="76" spans="1:49" ht="36" hidden="1" customHeight="1" outlineLevel="3" x14ac:dyDescent="0.25">
      <c r="A76" s="63" t="str">
        <f t="shared" si="0"/>
        <v>1.1.1.2.16.64</v>
      </c>
      <c r="B76" s="63">
        <v>1</v>
      </c>
      <c r="C76" s="63">
        <v>1</v>
      </c>
      <c r="D76" s="63">
        <v>1</v>
      </c>
      <c r="E76" s="63">
        <v>2</v>
      </c>
      <c r="F76" s="63">
        <v>16</v>
      </c>
      <c r="G76" s="64">
        <v>64</v>
      </c>
      <c r="H76" s="63"/>
      <c r="I76" s="63"/>
      <c r="J76" s="90"/>
      <c r="K76" s="91" t="s">
        <v>133</v>
      </c>
      <c r="L76" s="64" t="s">
        <v>72</v>
      </c>
      <c r="M76" s="64" t="s">
        <v>73</v>
      </c>
      <c r="N76" s="68" t="s">
        <v>123</v>
      </c>
      <c r="O76" s="64" t="s">
        <v>75</v>
      </c>
      <c r="P76" s="69">
        <v>44936</v>
      </c>
      <c r="Q76" s="69">
        <v>45290</v>
      </c>
      <c r="R76" s="64"/>
      <c r="S76" s="74" t="s">
        <v>73</v>
      </c>
      <c r="T76" s="1179"/>
      <c r="U76" s="87">
        <v>0</v>
      </c>
      <c r="V76" s="87"/>
      <c r="W76" s="87">
        <v>0</v>
      </c>
      <c r="X76" s="1119">
        <v>0</v>
      </c>
      <c r="Y76" s="87">
        <v>27125.14</v>
      </c>
      <c r="Z76" s="986">
        <v>0</v>
      </c>
      <c r="AA76" s="1120">
        <v>0</v>
      </c>
      <c r="AB76" s="87">
        <v>27125.14</v>
      </c>
      <c r="AC76" s="990">
        <v>0</v>
      </c>
      <c r="AD76" s="1215">
        <v>0</v>
      </c>
      <c r="AE76" s="87">
        <v>27125.14</v>
      </c>
      <c r="AF76" s="75">
        <v>0</v>
      </c>
      <c r="AG76" s="1120">
        <v>0</v>
      </c>
      <c r="AH76" s="510">
        <f t="shared" si="7"/>
        <v>81375.42</v>
      </c>
      <c r="AI76" s="75"/>
      <c r="AJ76" s="75">
        <f t="shared" si="8"/>
        <v>0</v>
      </c>
      <c r="AK76" s="75"/>
      <c r="AL76" s="75"/>
      <c r="AM76" s="75"/>
      <c r="AN76" s="89" t="s">
        <v>39</v>
      </c>
      <c r="AO76" s="89"/>
      <c r="AP76" s="89"/>
      <c r="AQ76" s="407"/>
      <c r="AR76" s="89"/>
      <c r="AS76" s="469"/>
      <c r="AT76" s="89"/>
      <c r="AU76" s="661"/>
      <c r="AV76" s="954" t="s">
        <v>126</v>
      </c>
      <c r="AW76" s="67" t="s">
        <v>2659</v>
      </c>
    </row>
    <row r="77" spans="1:49" ht="30" hidden="1" outlineLevel="3" x14ac:dyDescent="0.25">
      <c r="A77" s="63" t="str">
        <f t="shared" si="0"/>
        <v>1.1.1.2.18.58</v>
      </c>
      <c r="B77" s="63">
        <v>1</v>
      </c>
      <c r="C77" s="63">
        <v>1</v>
      </c>
      <c r="D77" s="63">
        <v>1</v>
      </c>
      <c r="E77" s="63">
        <v>2</v>
      </c>
      <c r="F77" s="63">
        <v>18</v>
      </c>
      <c r="G77" s="64">
        <v>58</v>
      </c>
      <c r="H77" s="63"/>
      <c r="I77" s="63"/>
      <c r="J77" s="90"/>
      <c r="K77" s="982" t="s">
        <v>134</v>
      </c>
      <c r="L77" s="293" t="s">
        <v>72</v>
      </c>
      <c r="M77" s="293" t="s">
        <v>73</v>
      </c>
      <c r="N77" s="397" t="s">
        <v>123</v>
      </c>
      <c r="O77" s="293" t="s">
        <v>75</v>
      </c>
      <c r="P77" s="69">
        <v>44936</v>
      </c>
      <c r="Q77" s="69">
        <v>45290</v>
      </c>
      <c r="R77" s="64"/>
      <c r="S77" s="74" t="s">
        <v>73</v>
      </c>
      <c r="T77" s="1179"/>
      <c r="U77" s="87">
        <v>0</v>
      </c>
      <c r="V77" s="87"/>
      <c r="W77" s="985">
        <v>0</v>
      </c>
      <c r="X77" s="1120"/>
      <c r="Y77" s="87">
        <v>118238.1</v>
      </c>
      <c r="Z77" s="985">
        <v>0</v>
      </c>
      <c r="AA77" s="1120">
        <v>0</v>
      </c>
      <c r="AB77" s="87">
        <v>118238.1</v>
      </c>
      <c r="AC77" s="990">
        <v>0</v>
      </c>
      <c r="AD77" s="1215">
        <v>0</v>
      </c>
      <c r="AE77" s="87">
        <v>118238.1</v>
      </c>
      <c r="AF77" s="75">
        <v>0</v>
      </c>
      <c r="AG77" s="1120">
        <v>0</v>
      </c>
      <c r="AH77" s="510">
        <f t="shared" si="7"/>
        <v>354714.30000000005</v>
      </c>
      <c r="AI77" s="75"/>
      <c r="AJ77" s="75">
        <f t="shared" si="8"/>
        <v>0</v>
      </c>
      <c r="AK77" s="75"/>
      <c r="AL77" s="75"/>
      <c r="AM77" s="75"/>
      <c r="AN77" s="89" t="s">
        <v>39</v>
      </c>
      <c r="AO77" s="313"/>
      <c r="AP77" s="313"/>
      <c r="AQ77" s="408"/>
      <c r="AR77" s="89"/>
      <c r="AS77" s="470"/>
      <c r="AT77" s="89"/>
      <c r="AU77" s="661"/>
      <c r="AV77" s="954" t="s">
        <v>135</v>
      </c>
      <c r="AW77" s="1268" t="s">
        <v>136</v>
      </c>
    </row>
    <row r="78" spans="1:49" ht="17.100000000000001" hidden="1" customHeight="1" outlineLevel="3" x14ac:dyDescent="0.25">
      <c r="A78" s="63" t="str">
        <f t="shared" si="0"/>
        <v>1.1.1.2.18.59</v>
      </c>
      <c r="B78" s="63">
        <v>1</v>
      </c>
      <c r="C78" s="63">
        <v>1</v>
      </c>
      <c r="D78" s="63">
        <v>1</v>
      </c>
      <c r="E78" s="63">
        <v>2</v>
      </c>
      <c r="F78" s="63">
        <v>18</v>
      </c>
      <c r="G78" s="64">
        <v>59</v>
      </c>
      <c r="H78" s="63"/>
      <c r="I78" s="63"/>
      <c r="J78" s="90"/>
      <c r="K78" s="982" t="s">
        <v>137</v>
      </c>
      <c r="L78" s="293" t="s">
        <v>72</v>
      </c>
      <c r="M78" s="293" t="s">
        <v>73</v>
      </c>
      <c r="N78" s="397" t="s">
        <v>123</v>
      </c>
      <c r="O78" s="293" t="s">
        <v>75</v>
      </c>
      <c r="P78" s="69">
        <v>44936</v>
      </c>
      <c r="Q78" s="69">
        <v>45290</v>
      </c>
      <c r="R78" s="64"/>
      <c r="S78" s="74" t="s">
        <v>73</v>
      </c>
      <c r="T78" s="1179"/>
      <c r="U78" s="87">
        <v>0</v>
      </c>
      <c r="V78" s="87"/>
      <c r="W78" s="985">
        <v>0</v>
      </c>
      <c r="X78" s="1120"/>
      <c r="Y78" s="87">
        <v>118238.1</v>
      </c>
      <c r="Z78" s="985">
        <v>0</v>
      </c>
      <c r="AA78" s="1120">
        <v>0</v>
      </c>
      <c r="AB78" s="87">
        <v>118238.1</v>
      </c>
      <c r="AC78" s="990">
        <v>0</v>
      </c>
      <c r="AD78" s="1215">
        <v>0</v>
      </c>
      <c r="AE78" s="87">
        <v>118238.1</v>
      </c>
      <c r="AF78" s="75">
        <v>0</v>
      </c>
      <c r="AG78" s="1120">
        <v>0</v>
      </c>
      <c r="AH78" s="510">
        <f t="shared" si="7"/>
        <v>354714.30000000005</v>
      </c>
      <c r="AI78" s="78"/>
      <c r="AJ78" s="75">
        <f t="shared" si="8"/>
        <v>0</v>
      </c>
      <c r="AK78" s="78"/>
      <c r="AL78" s="78"/>
      <c r="AM78" s="78"/>
      <c r="AN78" s="89" t="s">
        <v>39</v>
      </c>
      <c r="AO78" s="313"/>
      <c r="AP78" s="313"/>
      <c r="AQ78" s="408"/>
      <c r="AR78" s="89"/>
      <c r="AS78" s="470"/>
      <c r="AT78" s="89"/>
      <c r="AU78" s="661"/>
      <c r="AV78" s="954" t="s">
        <v>135</v>
      </c>
      <c r="AW78" s="1268"/>
    </row>
    <row r="79" spans="1:49" ht="17.100000000000001" hidden="1" customHeight="1" outlineLevel="3" x14ac:dyDescent="0.25">
      <c r="A79" s="63" t="str">
        <f t="shared" si="0"/>
        <v>1.1.1.2.18.60</v>
      </c>
      <c r="B79" s="63">
        <v>1</v>
      </c>
      <c r="C79" s="63">
        <v>1</v>
      </c>
      <c r="D79" s="63">
        <v>1</v>
      </c>
      <c r="E79" s="63">
        <v>2</v>
      </c>
      <c r="F79" s="63">
        <v>18</v>
      </c>
      <c r="G79" s="64">
        <v>60</v>
      </c>
      <c r="H79" s="63"/>
      <c r="I79" s="63"/>
      <c r="J79" s="90"/>
      <c r="K79" s="982" t="s">
        <v>138</v>
      </c>
      <c r="L79" s="293" t="s">
        <v>72</v>
      </c>
      <c r="M79" s="293" t="s">
        <v>73</v>
      </c>
      <c r="N79" s="397" t="s">
        <v>123</v>
      </c>
      <c r="O79" s="293" t="s">
        <v>75</v>
      </c>
      <c r="P79" s="69">
        <v>44936</v>
      </c>
      <c r="Q79" s="69">
        <v>45290</v>
      </c>
      <c r="R79" s="64"/>
      <c r="S79" s="74" t="s">
        <v>73</v>
      </c>
      <c r="T79" s="1179"/>
      <c r="U79" s="87">
        <v>0</v>
      </c>
      <c r="V79" s="87"/>
      <c r="W79" s="985">
        <v>0</v>
      </c>
      <c r="X79" s="1120"/>
      <c r="Y79" s="87">
        <v>118238.1</v>
      </c>
      <c r="Z79" s="985">
        <v>0</v>
      </c>
      <c r="AA79" s="1120">
        <v>0</v>
      </c>
      <c r="AB79" s="87">
        <v>118238.1</v>
      </c>
      <c r="AC79" s="990">
        <v>0</v>
      </c>
      <c r="AD79" s="1215">
        <v>0</v>
      </c>
      <c r="AE79" s="87">
        <v>118238.1</v>
      </c>
      <c r="AF79" s="75">
        <v>0</v>
      </c>
      <c r="AG79" s="1120">
        <v>0</v>
      </c>
      <c r="AH79" s="510">
        <f t="shared" si="7"/>
        <v>354714.30000000005</v>
      </c>
      <c r="AI79" s="78"/>
      <c r="AJ79" s="75">
        <f t="shared" si="8"/>
        <v>0</v>
      </c>
      <c r="AK79" s="78"/>
      <c r="AL79" s="78"/>
      <c r="AM79" s="78"/>
      <c r="AN79" s="89" t="s">
        <v>39</v>
      </c>
      <c r="AO79" s="313"/>
      <c r="AP79" s="313"/>
      <c r="AQ79" s="408"/>
      <c r="AR79" s="89"/>
      <c r="AS79" s="470"/>
      <c r="AT79" s="89"/>
      <c r="AU79" s="661"/>
      <c r="AV79" s="954" t="s">
        <v>135</v>
      </c>
      <c r="AW79" s="1268"/>
    </row>
    <row r="80" spans="1:49" ht="17.100000000000001" hidden="1" customHeight="1" outlineLevel="3" x14ac:dyDescent="0.25">
      <c r="A80" s="63" t="str">
        <f t="shared" si="0"/>
        <v>1.1.1.2.18.61</v>
      </c>
      <c r="B80" s="63">
        <v>1</v>
      </c>
      <c r="C80" s="63">
        <v>1</v>
      </c>
      <c r="D80" s="63">
        <v>1</v>
      </c>
      <c r="E80" s="63">
        <v>2</v>
      </c>
      <c r="F80" s="63">
        <v>18</v>
      </c>
      <c r="G80" s="64">
        <v>61</v>
      </c>
      <c r="H80" s="63"/>
      <c r="I80" s="63"/>
      <c r="J80" s="90"/>
      <c r="K80" s="982" t="s">
        <v>139</v>
      </c>
      <c r="L80" s="293" t="s">
        <v>72</v>
      </c>
      <c r="M80" s="293" t="s">
        <v>73</v>
      </c>
      <c r="N80" s="397" t="s">
        <v>123</v>
      </c>
      <c r="O80" s="293" t="s">
        <v>75</v>
      </c>
      <c r="P80" s="69">
        <v>44936</v>
      </c>
      <c r="Q80" s="69">
        <v>45290</v>
      </c>
      <c r="R80" s="64"/>
      <c r="S80" s="74" t="s">
        <v>73</v>
      </c>
      <c r="T80" s="1179"/>
      <c r="U80" s="87">
        <v>0</v>
      </c>
      <c r="V80" s="87"/>
      <c r="W80" s="985">
        <v>0</v>
      </c>
      <c r="X80" s="1120"/>
      <c r="Y80" s="87">
        <v>118238.1</v>
      </c>
      <c r="Z80" s="985">
        <v>0</v>
      </c>
      <c r="AA80" s="1120">
        <v>0</v>
      </c>
      <c r="AB80" s="87">
        <v>118238.1</v>
      </c>
      <c r="AC80" s="990">
        <v>0</v>
      </c>
      <c r="AD80" s="1215">
        <v>0</v>
      </c>
      <c r="AE80" s="87">
        <v>118238.1</v>
      </c>
      <c r="AF80" s="75">
        <v>0</v>
      </c>
      <c r="AG80" s="1120">
        <v>0</v>
      </c>
      <c r="AH80" s="510">
        <f t="shared" si="7"/>
        <v>354714.30000000005</v>
      </c>
      <c r="AI80" s="78"/>
      <c r="AJ80" s="75">
        <f t="shared" si="8"/>
        <v>0</v>
      </c>
      <c r="AK80" s="78"/>
      <c r="AL80" s="78"/>
      <c r="AM80" s="78"/>
      <c r="AN80" s="89" t="s">
        <v>39</v>
      </c>
      <c r="AO80" s="313"/>
      <c r="AP80" s="313"/>
      <c r="AQ80" s="408"/>
      <c r="AR80" s="89"/>
      <c r="AS80" s="470"/>
      <c r="AT80" s="89"/>
      <c r="AU80" s="661"/>
      <c r="AV80" s="954" t="s">
        <v>135</v>
      </c>
      <c r="AW80" s="1268"/>
    </row>
    <row r="81" spans="1:49" ht="17.100000000000001" hidden="1" customHeight="1" outlineLevel="3" x14ac:dyDescent="0.25">
      <c r="A81" s="63" t="str">
        <f t="shared" si="0"/>
        <v>1.1.1.2.18.62</v>
      </c>
      <c r="B81" s="63">
        <v>1</v>
      </c>
      <c r="C81" s="63">
        <v>1</v>
      </c>
      <c r="D81" s="63">
        <v>1</v>
      </c>
      <c r="E81" s="63">
        <v>2</v>
      </c>
      <c r="F81" s="63">
        <v>18</v>
      </c>
      <c r="G81" s="64">
        <v>62</v>
      </c>
      <c r="H81" s="63"/>
      <c r="I81" s="63"/>
      <c r="J81" s="90"/>
      <c r="K81" s="982" t="s">
        <v>140</v>
      </c>
      <c r="L81" s="293" t="s">
        <v>72</v>
      </c>
      <c r="M81" s="293" t="s">
        <v>73</v>
      </c>
      <c r="N81" s="397" t="s">
        <v>123</v>
      </c>
      <c r="O81" s="293" t="s">
        <v>75</v>
      </c>
      <c r="P81" s="69">
        <v>44936</v>
      </c>
      <c r="Q81" s="69">
        <v>45290</v>
      </c>
      <c r="R81" s="64"/>
      <c r="S81" s="74" t="s">
        <v>73</v>
      </c>
      <c r="T81" s="1179"/>
      <c r="U81" s="87">
        <v>0</v>
      </c>
      <c r="V81" s="87"/>
      <c r="W81" s="985">
        <v>0</v>
      </c>
      <c r="X81" s="1120"/>
      <c r="Y81" s="87">
        <v>118238.1</v>
      </c>
      <c r="Z81" s="985">
        <v>0</v>
      </c>
      <c r="AA81" s="1120">
        <v>0</v>
      </c>
      <c r="AB81" s="87">
        <v>118238.1</v>
      </c>
      <c r="AC81" s="990">
        <v>0</v>
      </c>
      <c r="AD81" s="1215">
        <v>0</v>
      </c>
      <c r="AE81" s="87">
        <v>118238.1</v>
      </c>
      <c r="AF81" s="75">
        <v>0</v>
      </c>
      <c r="AG81" s="1120">
        <v>0</v>
      </c>
      <c r="AH81" s="510">
        <f t="shared" si="7"/>
        <v>354714.30000000005</v>
      </c>
      <c r="AI81" s="78"/>
      <c r="AJ81" s="75">
        <f t="shared" si="8"/>
        <v>0</v>
      </c>
      <c r="AK81" s="78"/>
      <c r="AL81" s="78"/>
      <c r="AM81" s="78"/>
      <c r="AN81" s="89" t="s">
        <v>39</v>
      </c>
      <c r="AO81" s="313"/>
      <c r="AP81" s="313"/>
      <c r="AQ81" s="408"/>
      <c r="AR81" s="89"/>
      <c r="AS81" s="470"/>
      <c r="AT81" s="89"/>
      <c r="AU81" s="661"/>
      <c r="AV81" s="954" t="s">
        <v>135</v>
      </c>
      <c r="AW81" s="1268"/>
    </row>
    <row r="82" spans="1:49" ht="17.100000000000001" hidden="1" customHeight="1" outlineLevel="3" x14ac:dyDescent="0.25">
      <c r="A82" s="63" t="str">
        <f t="shared" si="0"/>
        <v>1.1.1.2.18.63</v>
      </c>
      <c r="B82" s="63">
        <v>1</v>
      </c>
      <c r="C82" s="63">
        <v>1</v>
      </c>
      <c r="D82" s="63">
        <v>1</v>
      </c>
      <c r="E82" s="63">
        <v>2</v>
      </c>
      <c r="F82" s="63">
        <v>18</v>
      </c>
      <c r="G82" s="64">
        <v>63</v>
      </c>
      <c r="H82" s="63"/>
      <c r="I82" s="63"/>
      <c r="J82" s="90"/>
      <c r="K82" s="982" t="s">
        <v>141</v>
      </c>
      <c r="L82" s="293" t="s">
        <v>72</v>
      </c>
      <c r="M82" s="293" t="s">
        <v>73</v>
      </c>
      <c r="N82" s="397" t="s">
        <v>123</v>
      </c>
      <c r="O82" s="293" t="s">
        <v>75</v>
      </c>
      <c r="P82" s="69">
        <v>44936</v>
      </c>
      <c r="Q82" s="69">
        <v>45290</v>
      </c>
      <c r="R82" s="64"/>
      <c r="S82" s="74" t="s">
        <v>73</v>
      </c>
      <c r="T82" s="1179"/>
      <c r="U82" s="87">
        <v>0</v>
      </c>
      <c r="V82" s="87"/>
      <c r="W82" s="985">
        <v>0</v>
      </c>
      <c r="X82" s="1120"/>
      <c r="Y82" s="87">
        <v>118238.1</v>
      </c>
      <c r="Z82" s="985">
        <v>0</v>
      </c>
      <c r="AA82" s="1120">
        <v>0</v>
      </c>
      <c r="AB82" s="87">
        <v>118238.1</v>
      </c>
      <c r="AC82" s="990">
        <v>0</v>
      </c>
      <c r="AD82" s="1215">
        <v>0</v>
      </c>
      <c r="AE82" s="87">
        <v>118238.1</v>
      </c>
      <c r="AF82" s="75">
        <v>0</v>
      </c>
      <c r="AG82" s="1120">
        <v>0</v>
      </c>
      <c r="AH82" s="510">
        <f t="shared" si="7"/>
        <v>354714.30000000005</v>
      </c>
      <c r="AI82" s="78"/>
      <c r="AJ82" s="75">
        <f t="shared" si="8"/>
        <v>0</v>
      </c>
      <c r="AK82" s="78"/>
      <c r="AL82" s="78"/>
      <c r="AM82" s="78"/>
      <c r="AN82" s="89" t="s">
        <v>39</v>
      </c>
      <c r="AO82" s="313"/>
      <c r="AP82" s="313"/>
      <c r="AQ82" s="408"/>
      <c r="AR82" s="89"/>
      <c r="AS82" s="470"/>
      <c r="AT82" s="89"/>
      <c r="AU82" s="661"/>
      <c r="AV82" s="954" t="s">
        <v>135</v>
      </c>
      <c r="AW82" s="1268"/>
    </row>
    <row r="83" spans="1:49" ht="23.1" hidden="1" customHeight="1" outlineLevel="3" x14ac:dyDescent="0.25">
      <c r="A83" s="63" t="str">
        <f t="shared" si="0"/>
        <v>1.1.1.2.18.64</v>
      </c>
      <c r="B83" s="63">
        <v>1</v>
      </c>
      <c r="C83" s="63">
        <v>1</v>
      </c>
      <c r="D83" s="63">
        <v>1</v>
      </c>
      <c r="E83" s="63">
        <v>2</v>
      </c>
      <c r="F83" s="63">
        <v>18</v>
      </c>
      <c r="G83" s="64">
        <v>64</v>
      </c>
      <c r="H83" s="63"/>
      <c r="I83" s="63"/>
      <c r="J83" s="90"/>
      <c r="K83" s="982" t="s">
        <v>142</v>
      </c>
      <c r="L83" s="293" t="s">
        <v>72</v>
      </c>
      <c r="M83" s="293" t="s">
        <v>73</v>
      </c>
      <c r="N83" s="397" t="s">
        <v>123</v>
      </c>
      <c r="O83" s="293" t="s">
        <v>75</v>
      </c>
      <c r="P83" s="69">
        <v>44936</v>
      </c>
      <c r="Q83" s="69">
        <v>45290</v>
      </c>
      <c r="R83" s="64"/>
      <c r="S83" s="74" t="s">
        <v>73</v>
      </c>
      <c r="T83" s="1179"/>
      <c r="U83" s="87">
        <v>0</v>
      </c>
      <c r="V83" s="87"/>
      <c r="W83" s="985">
        <v>0</v>
      </c>
      <c r="X83" s="1120"/>
      <c r="Y83" s="87">
        <v>118238.1</v>
      </c>
      <c r="Z83" s="985">
        <v>0</v>
      </c>
      <c r="AA83" s="1120">
        <v>0</v>
      </c>
      <c r="AB83" s="87">
        <v>118238.1</v>
      </c>
      <c r="AC83" s="990">
        <v>0</v>
      </c>
      <c r="AD83" s="1215">
        <v>0</v>
      </c>
      <c r="AE83" s="87">
        <v>118238.1</v>
      </c>
      <c r="AF83" s="75">
        <v>0</v>
      </c>
      <c r="AG83" s="1120">
        <v>0</v>
      </c>
      <c r="AH83" s="510">
        <f t="shared" si="7"/>
        <v>354714.30000000005</v>
      </c>
      <c r="AI83" s="78"/>
      <c r="AJ83" s="75">
        <f t="shared" si="8"/>
        <v>0</v>
      </c>
      <c r="AK83" s="78"/>
      <c r="AL83" s="78"/>
      <c r="AM83" s="78"/>
      <c r="AN83" s="89" t="s">
        <v>39</v>
      </c>
      <c r="AO83" s="313"/>
      <c r="AP83" s="313"/>
      <c r="AQ83" s="408"/>
      <c r="AR83" s="89"/>
      <c r="AS83" s="470"/>
      <c r="AT83" s="89"/>
      <c r="AU83" s="661"/>
      <c r="AV83" s="954" t="s">
        <v>135</v>
      </c>
      <c r="AW83" s="1268"/>
    </row>
    <row r="84" spans="1:49" ht="48" hidden="1" customHeight="1" outlineLevel="3" x14ac:dyDescent="0.25">
      <c r="A84" s="63" t="str">
        <f t="shared" si="0"/>
        <v>1.1.1.2.20.58</v>
      </c>
      <c r="B84" s="63">
        <v>1</v>
      </c>
      <c r="C84" s="63">
        <v>1</v>
      </c>
      <c r="D84" s="63">
        <v>1</v>
      </c>
      <c r="E84" s="63">
        <v>2</v>
      </c>
      <c r="F84" s="63">
        <v>20</v>
      </c>
      <c r="G84" s="64">
        <v>58</v>
      </c>
      <c r="H84" s="63"/>
      <c r="I84" s="63"/>
      <c r="J84" s="90"/>
      <c r="K84" s="982" t="s">
        <v>1812</v>
      </c>
      <c r="L84" s="293" t="s">
        <v>72</v>
      </c>
      <c r="M84" s="293" t="s">
        <v>73</v>
      </c>
      <c r="N84" s="397" t="s">
        <v>143</v>
      </c>
      <c r="O84" s="293" t="s">
        <v>44</v>
      </c>
      <c r="P84" s="69">
        <v>44936</v>
      </c>
      <c r="Q84" s="69">
        <v>45290</v>
      </c>
      <c r="R84" s="92"/>
      <c r="S84" s="74" t="s">
        <v>144</v>
      </c>
      <c r="T84" s="1179"/>
      <c r="U84" s="87">
        <v>8928.57</v>
      </c>
      <c r="V84" s="87"/>
      <c r="W84" s="985">
        <v>0</v>
      </c>
      <c r="X84" s="1120">
        <v>0</v>
      </c>
      <c r="Y84" s="87">
        <v>8928.57</v>
      </c>
      <c r="Z84" s="985">
        <v>0</v>
      </c>
      <c r="AA84" s="1120">
        <v>0</v>
      </c>
      <c r="AB84" s="87">
        <v>8928.57</v>
      </c>
      <c r="AC84" s="990">
        <v>0</v>
      </c>
      <c r="AD84" s="1215">
        <v>0</v>
      </c>
      <c r="AE84" s="87">
        <v>8928.57</v>
      </c>
      <c r="AF84" s="75">
        <v>0</v>
      </c>
      <c r="AG84" s="1120">
        <v>0</v>
      </c>
      <c r="AH84" s="510">
        <f t="shared" si="7"/>
        <v>35714.28</v>
      </c>
      <c r="AI84" s="78"/>
      <c r="AJ84" s="75">
        <f t="shared" si="8"/>
        <v>0</v>
      </c>
      <c r="AK84" s="78"/>
      <c r="AL84" s="78"/>
      <c r="AM84" s="78"/>
      <c r="AN84" s="89" t="s">
        <v>39</v>
      </c>
      <c r="AO84" s="313"/>
      <c r="AP84" s="313"/>
      <c r="AQ84" s="408"/>
      <c r="AR84" s="89"/>
      <c r="AS84" s="470"/>
      <c r="AT84" s="89"/>
      <c r="AU84" s="661"/>
      <c r="AV84" s="1005" t="s">
        <v>145</v>
      </c>
      <c r="AW84" s="1268" t="s">
        <v>2703</v>
      </c>
    </row>
    <row r="85" spans="1:49" ht="48" hidden="1" customHeight="1" outlineLevel="3" x14ac:dyDescent="0.25">
      <c r="A85" s="63" t="str">
        <f t="shared" si="0"/>
        <v>1.1.1.2.20.59</v>
      </c>
      <c r="B85" s="63">
        <v>1</v>
      </c>
      <c r="C85" s="63">
        <v>1</v>
      </c>
      <c r="D85" s="63">
        <v>1</v>
      </c>
      <c r="E85" s="63">
        <v>2</v>
      </c>
      <c r="F85" s="63">
        <v>20</v>
      </c>
      <c r="G85" s="64">
        <v>59</v>
      </c>
      <c r="H85" s="63"/>
      <c r="I85" s="63"/>
      <c r="J85" s="90"/>
      <c r="K85" s="91" t="s">
        <v>147</v>
      </c>
      <c r="L85" s="64" t="s">
        <v>72</v>
      </c>
      <c r="M85" s="64" t="s">
        <v>73</v>
      </c>
      <c r="N85" s="68" t="s">
        <v>143</v>
      </c>
      <c r="O85" s="64" t="s">
        <v>44</v>
      </c>
      <c r="P85" s="69">
        <v>44936</v>
      </c>
      <c r="Q85" s="69">
        <v>45290</v>
      </c>
      <c r="R85" s="64"/>
      <c r="S85" s="74" t="s">
        <v>144</v>
      </c>
      <c r="T85" s="1179"/>
      <c r="U85" s="87">
        <v>8928.57</v>
      </c>
      <c r="V85" s="87"/>
      <c r="W85" s="985">
        <v>0</v>
      </c>
      <c r="X85" s="1120">
        <v>0</v>
      </c>
      <c r="Y85" s="87">
        <v>8928.57</v>
      </c>
      <c r="Z85" s="985">
        <v>0</v>
      </c>
      <c r="AA85" s="1120">
        <v>0</v>
      </c>
      <c r="AB85" s="87">
        <v>8928.57</v>
      </c>
      <c r="AC85" s="990">
        <v>0</v>
      </c>
      <c r="AD85" s="1215">
        <v>0</v>
      </c>
      <c r="AE85" s="87">
        <v>8928.57</v>
      </c>
      <c r="AF85" s="75">
        <v>0</v>
      </c>
      <c r="AG85" s="1120">
        <v>0</v>
      </c>
      <c r="AH85" s="510">
        <f t="shared" si="7"/>
        <v>35714.28</v>
      </c>
      <c r="AI85" s="78"/>
      <c r="AJ85" s="75">
        <f t="shared" si="8"/>
        <v>0</v>
      </c>
      <c r="AK85" s="78"/>
      <c r="AL85" s="78"/>
      <c r="AM85" s="78"/>
      <c r="AN85" s="89" t="s">
        <v>39</v>
      </c>
      <c r="AO85" s="313"/>
      <c r="AP85" s="313"/>
      <c r="AQ85" s="408"/>
      <c r="AR85" s="89"/>
      <c r="AS85" s="470"/>
      <c r="AT85" s="89"/>
      <c r="AU85" s="661"/>
      <c r="AV85" s="1005" t="s">
        <v>145</v>
      </c>
      <c r="AW85" s="1268"/>
    </row>
    <row r="86" spans="1:49" ht="48" hidden="1" customHeight="1" outlineLevel="3" x14ac:dyDescent="0.25">
      <c r="A86" s="63" t="str">
        <f t="shared" si="0"/>
        <v>1.1.1.2.20.60</v>
      </c>
      <c r="B86" s="63">
        <v>1</v>
      </c>
      <c r="C86" s="63">
        <v>1</v>
      </c>
      <c r="D86" s="63">
        <v>1</v>
      </c>
      <c r="E86" s="63">
        <v>2</v>
      </c>
      <c r="F86" s="63">
        <v>20</v>
      </c>
      <c r="G86" s="64">
        <v>60</v>
      </c>
      <c r="H86" s="63"/>
      <c r="I86" s="63"/>
      <c r="J86" s="90"/>
      <c r="K86" s="91" t="s">
        <v>148</v>
      </c>
      <c r="L86" s="64" t="s">
        <v>72</v>
      </c>
      <c r="M86" s="64" t="s">
        <v>73</v>
      </c>
      <c r="N86" s="68" t="s">
        <v>143</v>
      </c>
      <c r="O86" s="64" t="s">
        <v>44</v>
      </c>
      <c r="P86" s="69">
        <v>44936</v>
      </c>
      <c r="Q86" s="69">
        <v>45290</v>
      </c>
      <c r="R86" s="64"/>
      <c r="S86" s="74" t="s">
        <v>144</v>
      </c>
      <c r="T86" s="1179"/>
      <c r="U86" s="87">
        <v>8928.57</v>
      </c>
      <c r="V86" s="87"/>
      <c r="W86" s="985">
        <v>0</v>
      </c>
      <c r="X86" s="1120">
        <v>0</v>
      </c>
      <c r="Y86" s="87">
        <v>8928.57</v>
      </c>
      <c r="Z86" s="985">
        <v>0</v>
      </c>
      <c r="AA86" s="1120">
        <v>0</v>
      </c>
      <c r="AB86" s="87">
        <v>8928.57</v>
      </c>
      <c r="AC86" s="990">
        <v>0</v>
      </c>
      <c r="AD86" s="1215">
        <v>0</v>
      </c>
      <c r="AE86" s="87">
        <v>8928.57</v>
      </c>
      <c r="AF86" s="75">
        <v>0</v>
      </c>
      <c r="AG86" s="1120">
        <v>0</v>
      </c>
      <c r="AH86" s="510">
        <f t="shared" si="7"/>
        <v>35714.28</v>
      </c>
      <c r="AI86" s="78"/>
      <c r="AJ86" s="75">
        <f t="shared" si="8"/>
        <v>0</v>
      </c>
      <c r="AK86" s="78"/>
      <c r="AL86" s="78"/>
      <c r="AM86" s="78"/>
      <c r="AN86" s="89" t="s">
        <v>39</v>
      </c>
      <c r="AO86" s="313"/>
      <c r="AP86" s="313"/>
      <c r="AQ86" s="408"/>
      <c r="AR86" s="89"/>
      <c r="AS86" s="470"/>
      <c r="AT86" s="89"/>
      <c r="AU86" s="661"/>
      <c r="AV86" s="1005" t="s">
        <v>145</v>
      </c>
      <c r="AW86" s="1268"/>
    </row>
    <row r="87" spans="1:49" ht="48" hidden="1" customHeight="1" outlineLevel="3" x14ac:dyDescent="0.25">
      <c r="A87" s="63" t="str">
        <f t="shared" si="0"/>
        <v>1.1.1.2.20.61</v>
      </c>
      <c r="B87" s="63">
        <v>1</v>
      </c>
      <c r="C87" s="63">
        <v>1</v>
      </c>
      <c r="D87" s="63">
        <v>1</v>
      </c>
      <c r="E87" s="63">
        <v>2</v>
      </c>
      <c r="F87" s="63">
        <v>20</v>
      </c>
      <c r="G87" s="64">
        <v>61</v>
      </c>
      <c r="H87" s="63"/>
      <c r="I87" s="63"/>
      <c r="J87" s="90"/>
      <c r="K87" s="91" t="s">
        <v>149</v>
      </c>
      <c r="L87" s="64" t="s">
        <v>72</v>
      </c>
      <c r="M87" s="64" t="s">
        <v>73</v>
      </c>
      <c r="N87" s="68" t="s">
        <v>143</v>
      </c>
      <c r="O87" s="64" t="s">
        <v>44</v>
      </c>
      <c r="P87" s="69">
        <v>44936</v>
      </c>
      <c r="Q87" s="69">
        <v>45290</v>
      </c>
      <c r="R87" s="64"/>
      <c r="S87" s="74" t="s">
        <v>144</v>
      </c>
      <c r="T87" s="1179"/>
      <c r="U87" s="87">
        <v>8928.57</v>
      </c>
      <c r="V87" s="87"/>
      <c r="W87" s="985">
        <v>0</v>
      </c>
      <c r="X87" s="1120">
        <v>0</v>
      </c>
      <c r="Y87" s="87">
        <v>8928.57</v>
      </c>
      <c r="Z87" s="985">
        <v>0</v>
      </c>
      <c r="AA87" s="1120">
        <v>0</v>
      </c>
      <c r="AB87" s="87">
        <v>8928.57</v>
      </c>
      <c r="AC87" s="990">
        <v>0</v>
      </c>
      <c r="AD87" s="1215">
        <v>0</v>
      </c>
      <c r="AE87" s="87">
        <v>8928.57</v>
      </c>
      <c r="AF87" s="75">
        <v>0</v>
      </c>
      <c r="AG87" s="1120">
        <v>0</v>
      </c>
      <c r="AH87" s="510">
        <f t="shared" si="7"/>
        <v>35714.28</v>
      </c>
      <c r="AI87" s="78"/>
      <c r="AJ87" s="75">
        <f t="shared" si="8"/>
        <v>0</v>
      </c>
      <c r="AK87" s="78"/>
      <c r="AL87" s="78"/>
      <c r="AM87" s="78"/>
      <c r="AN87" s="89" t="s">
        <v>39</v>
      </c>
      <c r="AO87" s="313"/>
      <c r="AP87" s="313"/>
      <c r="AQ87" s="408"/>
      <c r="AR87" s="89"/>
      <c r="AS87" s="470"/>
      <c r="AT87" s="89"/>
      <c r="AU87" s="661"/>
      <c r="AV87" s="1005" t="s">
        <v>145</v>
      </c>
      <c r="AW87" s="1268"/>
    </row>
    <row r="88" spans="1:49" ht="48" hidden="1" customHeight="1" outlineLevel="3" x14ac:dyDescent="0.25">
      <c r="A88" s="63" t="str">
        <f t="shared" si="0"/>
        <v>1.1.1.2.20.62</v>
      </c>
      <c r="B88" s="63">
        <v>1</v>
      </c>
      <c r="C88" s="63">
        <v>1</v>
      </c>
      <c r="D88" s="63">
        <v>1</v>
      </c>
      <c r="E88" s="63">
        <v>2</v>
      </c>
      <c r="F88" s="63">
        <v>20</v>
      </c>
      <c r="G88" s="64">
        <v>62</v>
      </c>
      <c r="H88" s="63"/>
      <c r="I88" s="63"/>
      <c r="J88" s="90"/>
      <c r="K88" s="91" t="s">
        <v>150</v>
      </c>
      <c r="L88" s="64" t="s">
        <v>72</v>
      </c>
      <c r="M88" s="64" t="s">
        <v>73</v>
      </c>
      <c r="N88" s="68" t="s">
        <v>143</v>
      </c>
      <c r="O88" s="64" t="s">
        <v>44</v>
      </c>
      <c r="P88" s="69">
        <v>44936</v>
      </c>
      <c r="Q88" s="69">
        <v>45290</v>
      </c>
      <c r="R88" s="64"/>
      <c r="S88" s="74" t="s">
        <v>144</v>
      </c>
      <c r="T88" s="1179"/>
      <c r="U88" s="87">
        <v>8928.57</v>
      </c>
      <c r="V88" s="87"/>
      <c r="W88" s="985">
        <v>0</v>
      </c>
      <c r="X88" s="1120">
        <v>0</v>
      </c>
      <c r="Y88" s="87">
        <v>8928.57</v>
      </c>
      <c r="Z88" s="985">
        <v>0</v>
      </c>
      <c r="AA88" s="1120">
        <v>0</v>
      </c>
      <c r="AB88" s="87">
        <v>8928.57</v>
      </c>
      <c r="AC88" s="990">
        <v>0</v>
      </c>
      <c r="AD88" s="1215">
        <v>0</v>
      </c>
      <c r="AE88" s="87">
        <v>8928.57</v>
      </c>
      <c r="AF88" s="75">
        <v>0</v>
      </c>
      <c r="AG88" s="1120">
        <v>0</v>
      </c>
      <c r="AH88" s="510">
        <f t="shared" si="7"/>
        <v>35714.28</v>
      </c>
      <c r="AI88" s="78"/>
      <c r="AJ88" s="75">
        <f t="shared" si="8"/>
        <v>0</v>
      </c>
      <c r="AK88" s="78"/>
      <c r="AL88" s="78"/>
      <c r="AM88" s="78"/>
      <c r="AN88" s="89" t="s">
        <v>39</v>
      </c>
      <c r="AO88" s="313"/>
      <c r="AP88" s="313"/>
      <c r="AQ88" s="408"/>
      <c r="AR88" s="89"/>
      <c r="AS88" s="470"/>
      <c r="AT88" s="89"/>
      <c r="AU88" s="661"/>
      <c r="AV88" s="1005" t="s">
        <v>145</v>
      </c>
      <c r="AW88" s="1268"/>
    </row>
    <row r="89" spans="1:49" ht="48" hidden="1" customHeight="1" outlineLevel="3" x14ac:dyDescent="0.25">
      <c r="A89" s="63" t="str">
        <f t="shared" si="0"/>
        <v>1.1.1.2.20.63</v>
      </c>
      <c r="B89" s="63">
        <v>1</v>
      </c>
      <c r="C89" s="63">
        <v>1</v>
      </c>
      <c r="D89" s="63">
        <v>1</v>
      </c>
      <c r="E89" s="63">
        <v>2</v>
      </c>
      <c r="F89" s="63">
        <v>20</v>
      </c>
      <c r="G89" s="64">
        <v>63</v>
      </c>
      <c r="H89" s="63"/>
      <c r="I89" s="63"/>
      <c r="J89" s="90"/>
      <c r="K89" s="91" t="s">
        <v>151</v>
      </c>
      <c r="L89" s="64" t="s">
        <v>72</v>
      </c>
      <c r="M89" s="64" t="s">
        <v>73</v>
      </c>
      <c r="N89" s="68" t="s">
        <v>143</v>
      </c>
      <c r="O89" s="64" t="s">
        <v>44</v>
      </c>
      <c r="P89" s="69">
        <v>44936</v>
      </c>
      <c r="Q89" s="69">
        <v>45290</v>
      </c>
      <c r="R89" s="64"/>
      <c r="S89" s="74" t="s">
        <v>144</v>
      </c>
      <c r="T89" s="1179"/>
      <c r="U89" s="87">
        <v>8928.57</v>
      </c>
      <c r="V89" s="87"/>
      <c r="W89" s="985">
        <v>0</v>
      </c>
      <c r="X89" s="1120">
        <v>0</v>
      </c>
      <c r="Y89" s="87">
        <v>8928.57</v>
      </c>
      <c r="Z89" s="985">
        <v>0</v>
      </c>
      <c r="AA89" s="1120">
        <v>0</v>
      </c>
      <c r="AB89" s="87">
        <v>8928.57</v>
      </c>
      <c r="AC89" s="990">
        <v>0</v>
      </c>
      <c r="AD89" s="1215">
        <v>0</v>
      </c>
      <c r="AE89" s="87">
        <v>8928.57</v>
      </c>
      <c r="AF89" s="75">
        <v>0</v>
      </c>
      <c r="AG89" s="1120">
        <v>0</v>
      </c>
      <c r="AH89" s="510">
        <f t="shared" si="7"/>
        <v>35714.28</v>
      </c>
      <c r="AI89" s="78"/>
      <c r="AJ89" s="75">
        <f t="shared" si="8"/>
        <v>0</v>
      </c>
      <c r="AK89" s="78"/>
      <c r="AL89" s="78"/>
      <c r="AM89" s="78"/>
      <c r="AN89" s="89" t="s">
        <v>39</v>
      </c>
      <c r="AO89" s="313"/>
      <c r="AP89" s="313"/>
      <c r="AQ89" s="408"/>
      <c r="AR89" s="89"/>
      <c r="AS89" s="470"/>
      <c r="AT89" s="89"/>
      <c r="AU89" s="661"/>
      <c r="AV89" s="1005" t="s">
        <v>145</v>
      </c>
      <c r="AW89" s="1268"/>
    </row>
    <row r="90" spans="1:49" ht="48" hidden="1" customHeight="1" outlineLevel="3" x14ac:dyDescent="0.25">
      <c r="A90" s="63" t="str">
        <f t="shared" si="0"/>
        <v>1.1.1.2.20.64</v>
      </c>
      <c r="B90" s="63">
        <v>1</v>
      </c>
      <c r="C90" s="63">
        <v>1</v>
      </c>
      <c r="D90" s="63">
        <v>1</v>
      </c>
      <c r="E90" s="63">
        <v>2</v>
      </c>
      <c r="F90" s="63">
        <v>20</v>
      </c>
      <c r="G90" s="64">
        <v>64</v>
      </c>
      <c r="H90" s="63"/>
      <c r="I90" s="63"/>
      <c r="J90" s="90"/>
      <c r="K90" s="91" t="s">
        <v>152</v>
      </c>
      <c r="L90" s="64" t="s">
        <v>72</v>
      </c>
      <c r="M90" s="64" t="s">
        <v>73</v>
      </c>
      <c r="N90" s="68" t="s">
        <v>143</v>
      </c>
      <c r="O90" s="64" t="s">
        <v>44</v>
      </c>
      <c r="P90" s="69">
        <v>44936</v>
      </c>
      <c r="Q90" s="69">
        <v>45290</v>
      </c>
      <c r="R90" s="64"/>
      <c r="S90" s="74" t="s">
        <v>144</v>
      </c>
      <c r="T90" s="1179"/>
      <c r="U90" s="87">
        <v>8928.57</v>
      </c>
      <c r="V90" s="87"/>
      <c r="W90" s="985">
        <v>0</v>
      </c>
      <c r="X90" s="1120">
        <v>0</v>
      </c>
      <c r="Y90" s="87">
        <v>8928.57</v>
      </c>
      <c r="Z90" s="985">
        <v>0</v>
      </c>
      <c r="AA90" s="1120">
        <v>0</v>
      </c>
      <c r="AB90" s="87">
        <v>8928.57</v>
      </c>
      <c r="AC90" s="990">
        <v>0</v>
      </c>
      <c r="AD90" s="1215">
        <v>0</v>
      </c>
      <c r="AE90" s="87">
        <v>8928.57</v>
      </c>
      <c r="AF90" s="75">
        <v>0</v>
      </c>
      <c r="AG90" s="1120">
        <v>0</v>
      </c>
      <c r="AH90" s="510">
        <f t="shared" si="7"/>
        <v>35714.28</v>
      </c>
      <c r="AI90" s="78"/>
      <c r="AJ90" s="75">
        <f t="shared" si="8"/>
        <v>0</v>
      </c>
      <c r="AK90" s="78"/>
      <c r="AL90" s="78"/>
      <c r="AM90" s="78"/>
      <c r="AN90" s="89" t="s">
        <v>39</v>
      </c>
      <c r="AO90" s="313"/>
      <c r="AP90" s="313"/>
      <c r="AQ90" s="408"/>
      <c r="AR90" s="89"/>
      <c r="AS90" s="470"/>
      <c r="AT90" s="89"/>
      <c r="AU90" s="661"/>
      <c r="AV90" s="1005" t="s">
        <v>145</v>
      </c>
      <c r="AW90" s="1268"/>
    </row>
    <row r="91" spans="1:49" ht="48" hidden="1" customHeight="1" outlineLevel="3" x14ac:dyDescent="0.25">
      <c r="A91" s="63" t="str">
        <f t="shared" si="0"/>
        <v>1.1.1.2.21.58</v>
      </c>
      <c r="B91" s="63">
        <v>1</v>
      </c>
      <c r="C91" s="63">
        <v>1</v>
      </c>
      <c r="D91" s="63">
        <v>1</v>
      </c>
      <c r="E91" s="63">
        <v>2</v>
      </c>
      <c r="F91" s="63">
        <v>21</v>
      </c>
      <c r="G91" s="64">
        <v>58</v>
      </c>
      <c r="H91" s="63"/>
      <c r="I91" s="63"/>
      <c r="J91" s="90"/>
      <c r="K91" s="91" t="s">
        <v>153</v>
      </c>
      <c r="L91" s="64" t="s">
        <v>72</v>
      </c>
      <c r="M91" s="64" t="s">
        <v>73</v>
      </c>
      <c r="N91" s="68" t="s">
        <v>154</v>
      </c>
      <c r="O91" s="64" t="s">
        <v>155</v>
      </c>
      <c r="P91" s="69">
        <v>44936</v>
      </c>
      <c r="Q91" s="69">
        <v>45290</v>
      </c>
      <c r="R91" s="92"/>
      <c r="S91" s="74" t="s">
        <v>76</v>
      </c>
      <c r="T91" s="1179"/>
      <c r="U91" s="87">
        <v>0</v>
      </c>
      <c r="V91" s="87"/>
      <c r="W91" s="985">
        <v>0</v>
      </c>
      <c r="X91" s="1120"/>
      <c r="Y91" s="87">
        <v>29464.28</v>
      </c>
      <c r="Z91" s="986">
        <v>0</v>
      </c>
      <c r="AA91" s="1120">
        <v>0</v>
      </c>
      <c r="AB91" s="87">
        <v>14732.14</v>
      </c>
      <c r="AC91" s="990">
        <v>0</v>
      </c>
      <c r="AD91" s="1215">
        <v>0</v>
      </c>
      <c r="AE91" s="87">
        <v>14732.14</v>
      </c>
      <c r="AF91" s="75">
        <v>0</v>
      </c>
      <c r="AG91" s="1120">
        <v>0</v>
      </c>
      <c r="AH91" s="510">
        <f t="shared" si="7"/>
        <v>58928.56</v>
      </c>
      <c r="AI91" s="78"/>
      <c r="AJ91" s="75">
        <f t="shared" si="8"/>
        <v>0</v>
      </c>
      <c r="AK91" s="78"/>
      <c r="AL91" s="78"/>
      <c r="AM91" s="78"/>
      <c r="AN91" s="89" t="s">
        <v>39</v>
      </c>
      <c r="AO91" s="313"/>
      <c r="AP91" s="313"/>
      <c r="AQ91" s="408"/>
      <c r="AR91" s="69"/>
      <c r="AS91" s="562"/>
      <c r="AT91" s="89"/>
      <c r="AU91" s="981"/>
      <c r="AV91" s="1005" t="s">
        <v>145</v>
      </c>
      <c r="AW91" s="1268"/>
    </row>
    <row r="92" spans="1:49" ht="39" hidden="1" customHeight="1" outlineLevel="3" x14ac:dyDescent="0.25">
      <c r="A92" s="63" t="str">
        <f t="shared" si="0"/>
        <v>1.1.1.2.21.59</v>
      </c>
      <c r="B92" s="63">
        <v>1</v>
      </c>
      <c r="C92" s="63">
        <v>1</v>
      </c>
      <c r="D92" s="63">
        <v>1</v>
      </c>
      <c r="E92" s="63">
        <v>2</v>
      </c>
      <c r="F92" s="63">
        <v>21</v>
      </c>
      <c r="G92" s="64">
        <v>59</v>
      </c>
      <c r="H92" s="63"/>
      <c r="I92" s="63"/>
      <c r="J92" s="90"/>
      <c r="K92" s="91" t="s">
        <v>158</v>
      </c>
      <c r="L92" s="64" t="s">
        <v>72</v>
      </c>
      <c r="M92" s="64" t="s">
        <v>73</v>
      </c>
      <c r="N92" s="68" t="s">
        <v>154</v>
      </c>
      <c r="O92" s="64" t="s">
        <v>155</v>
      </c>
      <c r="P92" s="69">
        <v>44936</v>
      </c>
      <c r="Q92" s="69">
        <v>45290</v>
      </c>
      <c r="R92" s="64"/>
      <c r="S92" s="74" t="s">
        <v>76</v>
      </c>
      <c r="T92" s="1179"/>
      <c r="U92" s="87">
        <v>0</v>
      </c>
      <c r="V92" s="87"/>
      <c r="W92" s="985">
        <v>0</v>
      </c>
      <c r="X92" s="1120"/>
      <c r="Y92" s="87">
        <v>29464.28</v>
      </c>
      <c r="Z92" s="986">
        <v>0</v>
      </c>
      <c r="AA92" s="1120">
        <v>0</v>
      </c>
      <c r="AB92" s="87">
        <v>14732.14</v>
      </c>
      <c r="AC92" s="990">
        <v>0</v>
      </c>
      <c r="AD92" s="1215">
        <v>0</v>
      </c>
      <c r="AE92" s="87">
        <v>14732.14</v>
      </c>
      <c r="AF92" s="75">
        <v>0</v>
      </c>
      <c r="AG92" s="1120">
        <v>0</v>
      </c>
      <c r="AH92" s="510">
        <f t="shared" si="7"/>
        <v>58928.56</v>
      </c>
      <c r="AI92" s="78"/>
      <c r="AJ92" s="75">
        <f t="shared" si="8"/>
        <v>0</v>
      </c>
      <c r="AK92" s="78"/>
      <c r="AL92" s="78"/>
      <c r="AM92" s="78"/>
      <c r="AN92" s="89" t="s">
        <v>39</v>
      </c>
      <c r="AO92" s="313"/>
      <c r="AP92" s="313"/>
      <c r="AQ92" s="408"/>
      <c r="AR92" s="69"/>
      <c r="AS92" s="562"/>
      <c r="AT92" s="89"/>
      <c r="AU92" s="981"/>
      <c r="AV92" s="954" t="s">
        <v>159</v>
      </c>
      <c r="AW92" s="1268" t="s">
        <v>2652</v>
      </c>
    </row>
    <row r="93" spans="1:49" ht="24.6" hidden="1" customHeight="1" outlineLevel="3" x14ac:dyDescent="0.25">
      <c r="A93" s="63" t="str">
        <f t="shared" si="0"/>
        <v>1.1.1.2.21.60</v>
      </c>
      <c r="B93" s="63">
        <v>1</v>
      </c>
      <c r="C93" s="63">
        <v>1</v>
      </c>
      <c r="D93" s="63">
        <v>1</v>
      </c>
      <c r="E93" s="63">
        <v>2</v>
      </c>
      <c r="F93" s="63">
        <v>21</v>
      </c>
      <c r="G93" s="64">
        <v>60</v>
      </c>
      <c r="H93" s="63"/>
      <c r="I93" s="63"/>
      <c r="J93" s="90"/>
      <c r="K93" s="91" t="s">
        <v>160</v>
      </c>
      <c r="L93" s="64" t="s">
        <v>72</v>
      </c>
      <c r="M93" s="64" t="s">
        <v>73</v>
      </c>
      <c r="N93" s="68" t="s">
        <v>154</v>
      </c>
      <c r="O93" s="64" t="s">
        <v>155</v>
      </c>
      <c r="P93" s="69">
        <v>44936</v>
      </c>
      <c r="Q93" s="69">
        <v>45290</v>
      </c>
      <c r="R93" s="64"/>
      <c r="S93" s="74" t="s">
        <v>76</v>
      </c>
      <c r="T93" s="1179"/>
      <c r="U93" s="87">
        <v>0</v>
      </c>
      <c r="V93" s="87"/>
      <c r="W93" s="985">
        <v>0</v>
      </c>
      <c r="X93" s="1120"/>
      <c r="Y93" s="87">
        <v>29464.28</v>
      </c>
      <c r="Z93" s="986">
        <v>0</v>
      </c>
      <c r="AA93" s="1120">
        <v>0</v>
      </c>
      <c r="AB93" s="87">
        <v>14732.14</v>
      </c>
      <c r="AC93" s="990">
        <v>0</v>
      </c>
      <c r="AD93" s="1215">
        <v>0</v>
      </c>
      <c r="AE93" s="87">
        <v>14732.14</v>
      </c>
      <c r="AF93" s="75">
        <v>0</v>
      </c>
      <c r="AG93" s="1120">
        <v>0</v>
      </c>
      <c r="AH93" s="510">
        <f t="shared" si="7"/>
        <v>58928.56</v>
      </c>
      <c r="AI93" s="78"/>
      <c r="AJ93" s="75">
        <f t="shared" si="8"/>
        <v>0</v>
      </c>
      <c r="AK93" s="78"/>
      <c r="AL93" s="78"/>
      <c r="AM93" s="78"/>
      <c r="AN93" s="89" t="s">
        <v>39</v>
      </c>
      <c r="AO93" s="313"/>
      <c r="AP93" s="313"/>
      <c r="AQ93" s="408"/>
      <c r="AR93" s="69"/>
      <c r="AS93" s="562"/>
      <c r="AT93" s="89"/>
      <c r="AU93" s="981"/>
      <c r="AV93" s="954" t="s">
        <v>159</v>
      </c>
      <c r="AW93" s="1268"/>
    </row>
    <row r="94" spans="1:49" ht="24.6" hidden="1" customHeight="1" outlineLevel="3" x14ac:dyDescent="0.25">
      <c r="A94" s="63" t="str">
        <f t="shared" si="0"/>
        <v>1.1.1.2.21.61</v>
      </c>
      <c r="B94" s="63">
        <v>1</v>
      </c>
      <c r="C94" s="63">
        <v>1</v>
      </c>
      <c r="D94" s="63">
        <v>1</v>
      </c>
      <c r="E94" s="63">
        <v>2</v>
      </c>
      <c r="F94" s="63">
        <v>21</v>
      </c>
      <c r="G94" s="64">
        <v>61</v>
      </c>
      <c r="H94" s="63"/>
      <c r="I94" s="63"/>
      <c r="J94" s="90"/>
      <c r="K94" s="91" t="s">
        <v>161</v>
      </c>
      <c r="L94" s="64" t="s">
        <v>72</v>
      </c>
      <c r="M94" s="64" t="s">
        <v>73</v>
      </c>
      <c r="N94" s="68" t="s">
        <v>154</v>
      </c>
      <c r="O94" s="64" t="s">
        <v>155</v>
      </c>
      <c r="P94" s="69">
        <v>44936</v>
      </c>
      <c r="Q94" s="69">
        <v>45290</v>
      </c>
      <c r="R94" s="64"/>
      <c r="S94" s="74" t="s">
        <v>76</v>
      </c>
      <c r="T94" s="1179"/>
      <c r="U94" s="87">
        <v>0</v>
      </c>
      <c r="V94" s="87"/>
      <c r="W94" s="985">
        <v>0</v>
      </c>
      <c r="X94" s="1120"/>
      <c r="Y94" s="87">
        <v>29464.28</v>
      </c>
      <c r="Z94" s="986">
        <v>0</v>
      </c>
      <c r="AA94" s="1120">
        <v>0</v>
      </c>
      <c r="AB94" s="87">
        <v>14732.14</v>
      </c>
      <c r="AC94" s="990">
        <v>0</v>
      </c>
      <c r="AD94" s="1215">
        <v>0</v>
      </c>
      <c r="AE94" s="87">
        <v>14732.14</v>
      </c>
      <c r="AF94" s="75">
        <v>0</v>
      </c>
      <c r="AG94" s="1120">
        <v>0</v>
      </c>
      <c r="AH94" s="510">
        <f t="shared" si="7"/>
        <v>58928.56</v>
      </c>
      <c r="AI94" s="78"/>
      <c r="AJ94" s="75">
        <f t="shared" si="8"/>
        <v>0</v>
      </c>
      <c r="AK94" s="78"/>
      <c r="AL94" s="78"/>
      <c r="AM94" s="78"/>
      <c r="AN94" s="89" t="s">
        <v>39</v>
      </c>
      <c r="AO94" s="313"/>
      <c r="AP94" s="313"/>
      <c r="AQ94" s="408"/>
      <c r="AR94" s="69"/>
      <c r="AS94" s="562"/>
      <c r="AT94" s="89"/>
      <c r="AU94" s="981"/>
      <c r="AV94" s="954" t="s">
        <v>159</v>
      </c>
      <c r="AW94" s="1268"/>
    </row>
    <row r="95" spans="1:49" ht="24.6" hidden="1" customHeight="1" outlineLevel="3" x14ac:dyDescent="0.25">
      <c r="A95" s="63" t="str">
        <f t="shared" si="0"/>
        <v>1.1.1.2.21.62</v>
      </c>
      <c r="B95" s="63">
        <v>1</v>
      </c>
      <c r="C95" s="63">
        <v>1</v>
      </c>
      <c r="D95" s="63">
        <v>1</v>
      </c>
      <c r="E95" s="63">
        <v>2</v>
      </c>
      <c r="F95" s="63">
        <v>21</v>
      </c>
      <c r="G95" s="64">
        <v>62</v>
      </c>
      <c r="H95" s="63"/>
      <c r="I95" s="63"/>
      <c r="J95" s="90"/>
      <c r="K95" s="91" t="s">
        <v>162</v>
      </c>
      <c r="L95" s="64" t="s">
        <v>72</v>
      </c>
      <c r="M95" s="64" t="s">
        <v>73</v>
      </c>
      <c r="N95" s="68" t="s">
        <v>154</v>
      </c>
      <c r="O95" s="64" t="s">
        <v>155</v>
      </c>
      <c r="P95" s="69">
        <v>44936</v>
      </c>
      <c r="Q95" s="69">
        <v>45290</v>
      </c>
      <c r="R95" s="64"/>
      <c r="S95" s="74" t="s">
        <v>76</v>
      </c>
      <c r="T95" s="1179"/>
      <c r="U95" s="87">
        <v>0</v>
      </c>
      <c r="V95" s="87"/>
      <c r="W95" s="985">
        <v>0</v>
      </c>
      <c r="X95" s="1120"/>
      <c r="Y95" s="87">
        <v>29464.28</v>
      </c>
      <c r="Z95" s="986">
        <v>0</v>
      </c>
      <c r="AA95" s="1120">
        <v>0</v>
      </c>
      <c r="AB95" s="87">
        <v>14732.14</v>
      </c>
      <c r="AC95" s="990">
        <v>0</v>
      </c>
      <c r="AD95" s="1215">
        <v>0</v>
      </c>
      <c r="AE95" s="87">
        <v>14732.14</v>
      </c>
      <c r="AF95" s="75">
        <v>0</v>
      </c>
      <c r="AG95" s="1120">
        <v>0</v>
      </c>
      <c r="AH95" s="510">
        <f t="shared" si="7"/>
        <v>58928.56</v>
      </c>
      <c r="AI95" s="78"/>
      <c r="AJ95" s="75">
        <f t="shared" si="8"/>
        <v>0</v>
      </c>
      <c r="AK95" s="78"/>
      <c r="AL95" s="78"/>
      <c r="AM95" s="78"/>
      <c r="AN95" s="89" t="s">
        <v>39</v>
      </c>
      <c r="AO95" s="313"/>
      <c r="AP95" s="313"/>
      <c r="AQ95" s="408"/>
      <c r="AR95" s="69"/>
      <c r="AS95" s="562"/>
      <c r="AT95" s="89"/>
      <c r="AU95" s="981"/>
      <c r="AV95" s="954" t="s">
        <v>159</v>
      </c>
      <c r="AW95" s="1268"/>
    </row>
    <row r="96" spans="1:49" ht="24.6" hidden="1" customHeight="1" outlineLevel="3" x14ac:dyDescent="0.25">
      <c r="A96" s="63" t="str">
        <f t="shared" si="0"/>
        <v>1.1.1.2.21.63</v>
      </c>
      <c r="B96" s="63">
        <v>1</v>
      </c>
      <c r="C96" s="63">
        <v>1</v>
      </c>
      <c r="D96" s="63">
        <v>1</v>
      </c>
      <c r="E96" s="63">
        <v>2</v>
      </c>
      <c r="F96" s="63">
        <v>21</v>
      </c>
      <c r="G96" s="64">
        <v>63</v>
      </c>
      <c r="H96" s="63"/>
      <c r="I96" s="63"/>
      <c r="J96" s="90"/>
      <c r="K96" s="91" t="s">
        <v>163</v>
      </c>
      <c r="L96" s="64" t="s">
        <v>72</v>
      </c>
      <c r="M96" s="64" t="s">
        <v>73</v>
      </c>
      <c r="N96" s="68" t="s">
        <v>154</v>
      </c>
      <c r="O96" s="64" t="s">
        <v>155</v>
      </c>
      <c r="P96" s="69">
        <v>44936</v>
      </c>
      <c r="Q96" s="69">
        <v>45290</v>
      </c>
      <c r="R96" s="64"/>
      <c r="S96" s="74" t="s">
        <v>76</v>
      </c>
      <c r="T96" s="1179"/>
      <c r="U96" s="87">
        <v>0</v>
      </c>
      <c r="V96" s="87"/>
      <c r="W96" s="985">
        <v>0</v>
      </c>
      <c r="X96" s="1120"/>
      <c r="Y96" s="87">
        <v>29464.28</v>
      </c>
      <c r="Z96" s="986">
        <v>0</v>
      </c>
      <c r="AA96" s="1120">
        <v>0</v>
      </c>
      <c r="AB96" s="87">
        <v>14732.14</v>
      </c>
      <c r="AC96" s="990">
        <v>0</v>
      </c>
      <c r="AD96" s="1215">
        <v>0</v>
      </c>
      <c r="AE96" s="87">
        <v>14732.14</v>
      </c>
      <c r="AF96" s="75">
        <v>0</v>
      </c>
      <c r="AG96" s="1120">
        <v>0</v>
      </c>
      <c r="AH96" s="510">
        <f t="shared" si="7"/>
        <v>58928.56</v>
      </c>
      <c r="AI96" s="78"/>
      <c r="AJ96" s="75">
        <f t="shared" si="8"/>
        <v>0</v>
      </c>
      <c r="AK96" s="78"/>
      <c r="AL96" s="78"/>
      <c r="AM96" s="78"/>
      <c r="AN96" s="89" t="s">
        <v>39</v>
      </c>
      <c r="AO96" s="313"/>
      <c r="AP96" s="313"/>
      <c r="AQ96" s="408"/>
      <c r="AR96" s="69"/>
      <c r="AS96" s="562"/>
      <c r="AT96" s="89"/>
      <c r="AU96" s="981"/>
      <c r="AV96" s="954" t="s">
        <v>159</v>
      </c>
      <c r="AW96" s="1268"/>
    </row>
    <row r="97" spans="1:49" ht="24.6" hidden="1" customHeight="1" outlineLevel="3" x14ac:dyDescent="0.25">
      <c r="A97" s="63" t="str">
        <f t="shared" si="0"/>
        <v>1.1.1.2.21.64</v>
      </c>
      <c r="B97" s="63">
        <v>1</v>
      </c>
      <c r="C97" s="63">
        <v>1</v>
      </c>
      <c r="D97" s="63">
        <v>1</v>
      </c>
      <c r="E97" s="63">
        <v>2</v>
      </c>
      <c r="F97" s="63">
        <v>21</v>
      </c>
      <c r="G97" s="64">
        <v>64</v>
      </c>
      <c r="H97" s="63"/>
      <c r="I97" s="63"/>
      <c r="J97" s="90"/>
      <c r="K97" s="91" t="s">
        <v>164</v>
      </c>
      <c r="L97" s="64" t="s">
        <v>72</v>
      </c>
      <c r="M97" s="64" t="s">
        <v>73</v>
      </c>
      <c r="N97" s="68" t="s">
        <v>154</v>
      </c>
      <c r="O97" s="64" t="s">
        <v>155</v>
      </c>
      <c r="P97" s="69">
        <v>44936</v>
      </c>
      <c r="Q97" s="69">
        <v>45290</v>
      </c>
      <c r="R97" s="64"/>
      <c r="S97" s="74" t="s">
        <v>76</v>
      </c>
      <c r="T97" s="1179"/>
      <c r="U97" s="87">
        <v>0</v>
      </c>
      <c r="V97" s="87"/>
      <c r="W97" s="985">
        <v>0</v>
      </c>
      <c r="X97" s="1120"/>
      <c r="Y97" s="87">
        <v>29464.28</v>
      </c>
      <c r="Z97" s="986">
        <v>0</v>
      </c>
      <c r="AA97" s="1120">
        <v>0</v>
      </c>
      <c r="AB97" s="87">
        <v>14732.14</v>
      </c>
      <c r="AC97" s="990">
        <v>0</v>
      </c>
      <c r="AD97" s="1215">
        <v>0</v>
      </c>
      <c r="AE97" s="87">
        <v>14732.14</v>
      </c>
      <c r="AF97" s="75">
        <v>0</v>
      </c>
      <c r="AG97" s="1120">
        <v>0</v>
      </c>
      <c r="AH97" s="510">
        <f t="shared" si="7"/>
        <v>58928.56</v>
      </c>
      <c r="AI97" s="78"/>
      <c r="AJ97" s="75">
        <f t="shared" si="8"/>
        <v>0</v>
      </c>
      <c r="AK97" s="78"/>
      <c r="AL97" s="78"/>
      <c r="AM97" s="78"/>
      <c r="AN97" s="89" t="s">
        <v>39</v>
      </c>
      <c r="AO97" s="313"/>
      <c r="AP97" s="313"/>
      <c r="AQ97" s="408"/>
      <c r="AR97" s="69"/>
      <c r="AS97" s="562"/>
      <c r="AT97" s="89"/>
      <c r="AU97" s="981"/>
      <c r="AV97" s="954" t="s">
        <v>159</v>
      </c>
      <c r="AW97" s="1268"/>
    </row>
    <row r="98" spans="1:49" ht="24.6" hidden="1" customHeight="1" outlineLevel="3" x14ac:dyDescent="0.25">
      <c r="A98" s="63" t="str">
        <f t="shared" si="0"/>
        <v>1.1.1.2.22.58</v>
      </c>
      <c r="B98" s="63">
        <v>1</v>
      </c>
      <c r="C98" s="63">
        <v>1</v>
      </c>
      <c r="D98" s="63">
        <v>1</v>
      </c>
      <c r="E98" s="63">
        <v>2</v>
      </c>
      <c r="F98" s="63">
        <v>22</v>
      </c>
      <c r="G98" s="64">
        <v>58</v>
      </c>
      <c r="H98" s="63"/>
      <c r="I98" s="63"/>
      <c r="J98" s="90"/>
      <c r="K98" s="91" t="s">
        <v>2653</v>
      </c>
      <c r="L98" s="64" t="s">
        <v>72</v>
      </c>
      <c r="M98" s="64" t="s">
        <v>271</v>
      </c>
      <c r="N98" s="68" t="s">
        <v>1003</v>
      </c>
      <c r="O98" s="64" t="s">
        <v>168</v>
      </c>
      <c r="P98" s="69">
        <v>44936</v>
      </c>
      <c r="Q98" s="69">
        <v>45290</v>
      </c>
      <c r="R98" s="64"/>
      <c r="S98" s="74" t="s">
        <v>166</v>
      </c>
      <c r="T98" s="1179"/>
      <c r="U98" s="87">
        <v>0</v>
      </c>
      <c r="V98" s="87"/>
      <c r="W98" s="985">
        <v>0</v>
      </c>
      <c r="X98" s="1120"/>
      <c r="Y98" s="87">
        <v>6235.71</v>
      </c>
      <c r="Z98" s="986">
        <v>0</v>
      </c>
      <c r="AA98" s="1120">
        <v>0</v>
      </c>
      <c r="AB98" s="87">
        <v>0</v>
      </c>
      <c r="AC98" s="990">
        <v>0</v>
      </c>
      <c r="AD98" s="1215">
        <v>0</v>
      </c>
      <c r="AE98" s="93">
        <v>0</v>
      </c>
      <c r="AF98" s="75">
        <v>0</v>
      </c>
      <c r="AG98" s="1120">
        <v>0</v>
      </c>
      <c r="AH98" s="510">
        <f t="shared" si="7"/>
        <v>6235.71</v>
      </c>
      <c r="AI98" s="371"/>
      <c r="AJ98" s="75">
        <f t="shared" si="8"/>
        <v>0</v>
      </c>
      <c r="AK98" s="78"/>
      <c r="AL98" s="78"/>
      <c r="AM98" s="78"/>
      <c r="AN98" s="89" t="s">
        <v>39</v>
      </c>
      <c r="AO98" s="89"/>
      <c r="AP98" s="89"/>
      <c r="AQ98" s="407"/>
      <c r="AR98" s="89"/>
      <c r="AS98" s="469"/>
      <c r="AT98" s="89"/>
      <c r="AU98" s="661"/>
      <c r="AV98" s="954"/>
      <c r="AW98" s="1268" t="s">
        <v>2863</v>
      </c>
    </row>
    <row r="99" spans="1:49" ht="24.6" hidden="1" customHeight="1" outlineLevel="3" x14ac:dyDescent="0.25">
      <c r="A99" s="63" t="str">
        <f t="shared" si="0"/>
        <v>1.1.1.2.22.59</v>
      </c>
      <c r="B99" s="63">
        <v>1</v>
      </c>
      <c r="C99" s="63">
        <v>1</v>
      </c>
      <c r="D99" s="63">
        <v>1</v>
      </c>
      <c r="E99" s="63">
        <v>2</v>
      </c>
      <c r="F99" s="63">
        <v>22</v>
      </c>
      <c r="G99" s="64">
        <v>59</v>
      </c>
      <c r="H99" s="63"/>
      <c r="I99" s="63"/>
      <c r="J99" s="90"/>
      <c r="K99" s="91" t="s">
        <v>2653</v>
      </c>
      <c r="L99" s="64" t="s">
        <v>72</v>
      </c>
      <c r="M99" s="64" t="s">
        <v>271</v>
      </c>
      <c r="N99" s="68" t="s">
        <v>1003</v>
      </c>
      <c r="O99" s="64" t="s">
        <v>168</v>
      </c>
      <c r="P99" s="69">
        <v>44936</v>
      </c>
      <c r="Q99" s="69">
        <v>45290</v>
      </c>
      <c r="R99" s="64"/>
      <c r="S99" s="74" t="s">
        <v>166</v>
      </c>
      <c r="T99" s="1179"/>
      <c r="U99" s="87">
        <v>0</v>
      </c>
      <c r="V99" s="87"/>
      <c r="W99" s="985">
        <v>0</v>
      </c>
      <c r="X99" s="1120"/>
      <c r="Y99" s="87">
        <v>6235.71</v>
      </c>
      <c r="Z99" s="986">
        <v>0</v>
      </c>
      <c r="AA99" s="1120">
        <v>0</v>
      </c>
      <c r="AB99" s="87">
        <v>0</v>
      </c>
      <c r="AC99" s="990">
        <v>0</v>
      </c>
      <c r="AD99" s="1215">
        <v>0</v>
      </c>
      <c r="AE99" s="93">
        <v>0</v>
      </c>
      <c r="AF99" s="75">
        <v>0</v>
      </c>
      <c r="AG99" s="1120">
        <v>0</v>
      </c>
      <c r="AH99" s="510">
        <f t="shared" si="7"/>
        <v>6235.71</v>
      </c>
      <c r="AI99" s="371"/>
      <c r="AJ99" s="75">
        <f t="shared" si="8"/>
        <v>0</v>
      </c>
      <c r="AK99" s="78"/>
      <c r="AL99" s="78"/>
      <c r="AM99" s="78"/>
      <c r="AN99" s="89" t="s">
        <v>39</v>
      </c>
      <c r="AO99" s="89"/>
      <c r="AP99" s="89"/>
      <c r="AQ99" s="407"/>
      <c r="AR99" s="89"/>
      <c r="AS99" s="469"/>
      <c r="AT99" s="89"/>
      <c r="AU99" s="661"/>
      <c r="AV99" s="954"/>
      <c r="AW99" s="1349"/>
    </row>
    <row r="100" spans="1:49" ht="24.6" hidden="1" customHeight="1" outlineLevel="3" x14ac:dyDescent="0.25">
      <c r="A100" s="63" t="str">
        <f t="shared" si="0"/>
        <v>1.1.1.2.22.60</v>
      </c>
      <c r="B100" s="63">
        <v>1</v>
      </c>
      <c r="C100" s="63">
        <v>1</v>
      </c>
      <c r="D100" s="63">
        <v>1</v>
      </c>
      <c r="E100" s="63">
        <v>2</v>
      </c>
      <c r="F100" s="63">
        <v>22</v>
      </c>
      <c r="G100" s="64">
        <v>60</v>
      </c>
      <c r="H100" s="63"/>
      <c r="I100" s="63"/>
      <c r="J100" s="90"/>
      <c r="K100" s="91" t="s">
        <v>2653</v>
      </c>
      <c r="L100" s="64" t="s">
        <v>72</v>
      </c>
      <c r="M100" s="64" t="s">
        <v>271</v>
      </c>
      <c r="N100" s="68" t="s">
        <v>1003</v>
      </c>
      <c r="O100" s="64" t="s">
        <v>168</v>
      </c>
      <c r="P100" s="69">
        <v>44936</v>
      </c>
      <c r="Q100" s="69">
        <v>45290</v>
      </c>
      <c r="R100" s="64"/>
      <c r="S100" s="74" t="s">
        <v>166</v>
      </c>
      <c r="T100" s="1179"/>
      <c r="U100" s="87">
        <v>0</v>
      </c>
      <c r="V100" s="87"/>
      <c r="W100" s="985">
        <v>0</v>
      </c>
      <c r="X100" s="1120"/>
      <c r="Y100" s="87">
        <v>6235.71</v>
      </c>
      <c r="Z100" s="986">
        <v>0</v>
      </c>
      <c r="AA100" s="1120">
        <v>0</v>
      </c>
      <c r="AB100" s="87">
        <v>0</v>
      </c>
      <c r="AC100" s="990">
        <v>0</v>
      </c>
      <c r="AD100" s="1215">
        <v>0</v>
      </c>
      <c r="AE100" s="93">
        <v>0</v>
      </c>
      <c r="AF100" s="75">
        <v>0</v>
      </c>
      <c r="AG100" s="1120">
        <v>0</v>
      </c>
      <c r="AH100" s="510">
        <f t="shared" si="7"/>
        <v>6235.71</v>
      </c>
      <c r="AI100" s="371"/>
      <c r="AJ100" s="75">
        <f t="shared" si="8"/>
        <v>0</v>
      </c>
      <c r="AK100" s="78"/>
      <c r="AL100" s="78"/>
      <c r="AM100" s="78"/>
      <c r="AN100" s="89" t="s">
        <v>39</v>
      </c>
      <c r="AO100" s="89"/>
      <c r="AP100" s="89"/>
      <c r="AQ100" s="407"/>
      <c r="AR100" s="89"/>
      <c r="AS100" s="469"/>
      <c r="AT100" s="89"/>
      <c r="AU100" s="661"/>
      <c r="AV100" s="954"/>
      <c r="AW100" s="1349"/>
    </row>
    <row r="101" spans="1:49" ht="24.6" hidden="1" customHeight="1" outlineLevel="3" x14ac:dyDescent="0.25">
      <c r="A101" s="63" t="str">
        <f t="shared" si="0"/>
        <v>1.1.1.2.22.61</v>
      </c>
      <c r="B101" s="63">
        <v>1</v>
      </c>
      <c r="C101" s="63">
        <v>1</v>
      </c>
      <c r="D101" s="63">
        <v>1</v>
      </c>
      <c r="E101" s="63">
        <v>2</v>
      </c>
      <c r="F101" s="63">
        <v>22</v>
      </c>
      <c r="G101" s="64">
        <v>61</v>
      </c>
      <c r="H101" s="63"/>
      <c r="I101" s="63"/>
      <c r="J101" s="90"/>
      <c r="K101" s="91" t="s">
        <v>2653</v>
      </c>
      <c r="L101" s="64" t="s">
        <v>72</v>
      </c>
      <c r="M101" s="64" t="s">
        <v>271</v>
      </c>
      <c r="N101" s="68" t="s">
        <v>1003</v>
      </c>
      <c r="O101" s="64" t="s">
        <v>168</v>
      </c>
      <c r="P101" s="69">
        <v>44936</v>
      </c>
      <c r="Q101" s="69">
        <v>45290</v>
      </c>
      <c r="R101" s="64"/>
      <c r="S101" s="74" t="s">
        <v>166</v>
      </c>
      <c r="T101" s="1179"/>
      <c r="U101" s="87">
        <v>0</v>
      </c>
      <c r="V101" s="87"/>
      <c r="W101" s="985">
        <v>0</v>
      </c>
      <c r="X101" s="1120"/>
      <c r="Y101" s="87">
        <v>6235.71</v>
      </c>
      <c r="Z101" s="986">
        <v>0</v>
      </c>
      <c r="AA101" s="1120">
        <v>0</v>
      </c>
      <c r="AB101" s="87">
        <v>0</v>
      </c>
      <c r="AC101" s="990">
        <v>0</v>
      </c>
      <c r="AD101" s="1215">
        <v>0</v>
      </c>
      <c r="AE101" s="93">
        <v>0</v>
      </c>
      <c r="AF101" s="75">
        <v>0</v>
      </c>
      <c r="AG101" s="1120">
        <v>0</v>
      </c>
      <c r="AH101" s="510">
        <f t="shared" si="7"/>
        <v>6235.71</v>
      </c>
      <c r="AI101" s="371"/>
      <c r="AJ101" s="75">
        <f t="shared" si="8"/>
        <v>0</v>
      </c>
      <c r="AK101" s="78"/>
      <c r="AL101" s="78"/>
      <c r="AM101" s="78"/>
      <c r="AN101" s="89" t="s">
        <v>39</v>
      </c>
      <c r="AO101" s="89"/>
      <c r="AP101" s="89"/>
      <c r="AQ101" s="407"/>
      <c r="AR101" s="89"/>
      <c r="AS101" s="469"/>
      <c r="AT101" s="89"/>
      <c r="AU101" s="661"/>
      <c r="AV101" s="954"/>
      <c r="AW101" s="1349"/>
    </row>
    <row r="102" spans="1:49" ht="24.6" hidden="1" customHeight="1" outlineLevel="3" x14ac:dyDescent="0.25">
      <c r="A102" s="63" t="str">
        <f t="shared" si="0"/>
        <v>1.1.1.2.22.62</v>
      </c>
      <c r="B102" s="63">
        <v>1</v>
      </c>
      <c r="C102" s="63">
        <v>1</v>
      </c>
      <c r="D102" s="63">
        <v>1</v>
      </c>
      <c r="E102" s="63">
        <v>2</v>
      </c>
      <c r="F102" s="63">
        <v>22</v>
      </c>
      <c r="G102" s="64">
        <v>62</v>
      </c>
      <c r="H102" s="63"/>
      <c r="I102" s="63"/>
      <c r="J102" s="90"/>
      <c r="K102" s="91" t="s">
        <v>2653</v>
      </c>
      <c r="L102" s="64" t="s">
        <v>72</v>
      </c>
      <c r="M102" s="64" t="s">
        <v>271</v>
      </c>
      <c r="N102" s="68" t="s">
        <v>1003</v>
      </c>
      <c r="O102" s="64" t="s">
        <v>168</v>
      </c>
      <c r="P102" s="69">
        <v>44936</v>
      </c>
      <c r="Q102" s="69">
        <v>45290</v>
      </c>
      <c r="R102" s="64"/>
      <c r="S102" s="74" t="s">
        <v>166</v>
      </c>
      <c r="T102" s="1179"/>
      <c r="U102" s="87">
        <v>0</v>
      </c>
      <c r="V102" s="87"/>
      <c r="W102" s="985">
        <v>0</v>
      </c>
      <c r="X102" s="1120"/>
      <c r="Y102" s="87">
        <v>6235.71</v>
      </c>
      <c r="Z102" s="986">
        <v>0</v>
      </c>
      <c r="AA102" s="1120">
        <v>0</v>
      </c>
      <c r="AB102" s="87">
        <v>0</v>
      </c>
      <c r="AC102" s="990">
        <v>0</v>
      </c>
      <c r="AD102" s="1215">
        <v>0</v>
      </c>
      <c r="AE102" s="93">
        <v>0</v>
      </c>
      <c r="AF102" s="75">
        <v>0</v>
      </c>
      <c r="AG102" s="1120">
        <v>0</v>
      </c>
      <c r="AH102" s="510">
        <f t="shared" si="7"/>
        <v>6235.71</v>
      </c>
      <c r="AI102" s="371"/>
      <c r="AJ102" s="75">
        <f t="shared" si="8"/>
        <v>0</v>
      </c>
      <c r="AK102" s="78"/>
      <c r="AL102" s="78"/>
      <c r="AM102" s="78"/>
      <c r="AN102" s="89" t="s">
        <v>39</v>
      </c>
      <c r="AO102" s="89"/>
      <c r="AP102" s="89"/>
      <c r="AQ102" s="407"/>
      <c r="AR102" s="89"/>
      <c r="AS102" s="469"/>
      <c r="AT102" s="89"/>
      <c r="AU102" s="661"/>
      <c r="AV102" s="954"/>
      <c r="AW102" s="1349"/>
    </row>
    <row r="103" spans="1:49" ht="24.6" hidden="1" customHeight="1" outlineLevel="3" x14ac:dyDescent="0.25">
      <c r="A103" s="63" t="str">
        <f t="shared" si="0"/>
        <v>1.1.1.2.22.63</v>
      </c>
      <c r="B103" s="63">
        <v>1</v>
      </c>
      <c r="C103" s="63">
        <v>1</v>
      </c>
      <c r="D103" s="63">
        <v>1</v>
      </c>
      <c r="E103" s="63">
        <v>2</v>
      </c>
      <c r="F103" s="63">
        <v>22</v>
      </c>
      <c r="G103" s="64">
        <v>63</v>
      </c>
      <c r="H103" s="63"/>
      <c r="I103" s="63"/>
      <c r="J103" s="90"/>
      <c r="K103" s="91" t="s">
        <v>2653</v>
      </c>
      <c r="L103" s="64" t="s">
        <v>72</v>
      </c>
      <c r="M103" s="64" t="s">
        <v>271</v>
      </c>
      <c r="N103" s="68" t="s">
        <v>1003</v>
      </c>
      <c r="O103" s="64" t="s">
        <v>168</v>
      </c>
      <c r="P103" s="69">
        <v>44936</v>
      </c>
      <c r="Q103" s="69">
        <v>45290</v>
      </c>
      <c r="R103" s="64"/>
      <c r="S103" s="74" t="s">
        <v>166</v>
      </c>
      <c r="T103" s="1179"/>
      <c r="U103" s="87">
        <v>0</v>
      </c>
      <c r="V103" s="87"/>
      <c r="W103" s="985">
        <v>0</v>
      </c>
      <c r="X103" s="1120"/>
      <c r="Y103" s="87">
        <v>6235.71</v>
      </c>
      <c r="Z103" s="986">
        <v>0</v>
      </c>
      <c r="AA103" s="1120">
        <v>0</v>
      </c>
      <c r="AB103" s="87">
        <v>0</v>
      </c>
      <c r="AC103" s="990">
        <v>0</v>
      </c>
      <c r="AD103" s="1215">
        <v>0</v>
      </c>
      <c r="AE103" s="93">
        <v>0</v>
      </c>
      <c r="AF103" s="75">
        <v>0</v>
      </c>
      <c r="AG103" s="1120">
        <v>0</v>
      </c>
      <c r="AH103" s="510">
        <f t="shared" si="7"/>
        <v>6235.71</v>
      </c>
      <c r="AI103" s="371"/>
      <c r="AJ103" s="75">
        <f t="shared" si="8"/>
        <v>0</v>
      </c>
      <c r="AK103" s="78"/>
      <c r="AL103" s="78"/>
      <c r="AM103" s="78"/>
      <c r="AN103" s="89" t="s">
        <v>39</v>
      </c>
      <c r="AO103" s="89"/>
      <c r="AP103" s="89"/>
      <c r="AQ103" s="407"/>
      <c r="AR103" s="89"/>
      <c r="AS103" s="469"/>
      <c r="AT103" s="89"/>
      <c r="AU103" s="661"/>
      <c r="AV103" s="954"/>
      <c r="AW103" s="1349"/>
    </row>
    <row r="104" spans="1:49" ht="24.6" hidden="1" customHeight="1" outlineLevel="3" x14ac:dyDescent="0.25">
      <c r="A104" s="63" t="str">
        <f t="shared" si="0"/>
        <v>1.1.1.2.22.64</v>
      </c>
      <c r="B104" s="63">
        <v>1</v>
      </c>
      <c r="C104" s="63">
        <v>1</v>
      </c>
      <c r="D104" s="63">
        <v>1</v>
      </c>
      <c r="E104" s="63">
        <v>2</v>
      </c>
      <c r="F104" s="63">
        <v>22</v>
      </c>
      <c r="G104" s="64">
        <v>64</v>
      </c>
      <c r="H104" s="63"/>
      <c r="I104" s="63"/>
      <c r="J104" s="90"/>
      <c r="K104" s="91" t="s">
        <v>2653</v>
      </c>
      <c r="L104" s="64" t="s">
        <v>72</v>
      </c>
      <c r="M104" s="64" t="s">
        <v>271</v>
      </c>
      <c r="N104" s="68" t="s">
        <v>1003</v>
      </c>
      <c r="O104" s="64" t="s">
        <v>168</v>
      </c>
      <c r="P104" s="69">
        <v>44936</v>
      </c>
      <c r="Q104" s="69">
        <v>45290</v>
      </c>
      <c r="R104" s="64"/>
      <c r="S104" s="74" t="s">
        <v>166</v>
      </c>
      <c r="T104" s="1179"/>
      <c r="U104" s="87">
        <v>0</v>
      </c>
      <c r="V104" s="87"/>
      <c r="W104" s="985">
        <v>0</v>
      </c>
      <c r="X104" s="1120"/>
      <c r="Y104" s="87">
        <v>6235.71</v>
      </c>
      <c r="Z104" s="986">
        <v>0</v>
      </c>
      <c r="AA104" s="1120">
        <v>0</v>
      </c>
      <c r="AB104" s="87">
        <v>0</v>
      </c>
      <c r="AC104" s="990">
        <v>0</v>
      </c>
      <c r="AD104" s="1215">
        <v>0</v>
      </c>
      <c r="AE104" s="93">
        <v>0</v>
      </c>
      <c r="AF104" s="75">
        <v>0</v>
      </c>
      <c r="AG104" s="1120">
        <v>0</v>
      </c>
      <c r="AH104" s="510">
        <f t="shared" si="7"/>
        <v>6235.71</v>
      </c>
      <c r="AI104" s="371"/>
      <c r="AJ104" s="75">
        <f t="shared" si="8"/>
        <v>0</v>
      </c>
      <c r="AK104" s="78"/>
      <c r="AL104" s="78"/>
      <c r="AM104" s="78"/>
      <c r="AN104" s="89" t="s">
        <v>39</v>
      </c>
      <c r="AO104" s="89"/>
      <c r="AP104" s="89"/>
      <c r="AQ104" s="407"/>
      <c r="AR104" s="89"/>
      <c r="AS104" s="469"/>
      <c r="AT104" s="89"/>
      <c r="AU104" s="661"/>
      <c r="AV104" s="954"/>
      <c r="AW104" s="1349"/>
    </row>
    <row r="105" spans="1:49" ht="24.6" hidden="1" customHeight="1" outlineLevel="3" x14ac:dyDescent="0.25">
      <c r="A105" s="63" t="str">
        <f t="shared" si="0"/>
        <v>1.1.1.2.23.58</v>
      </c>
      <c r="B105" s="63">
        <v>1</v>
      </c>
      <c r="C105" s="63">
        <v>1</v>
      </c>
      <c r="D105" s="63">
        <v>1</v>
      </c>
      <c r="E105" s="63">
        <v>2</v>
      </c>
      <c r="F105" s="63">
        <v>23</v>
      </c>
      <c r="G105" s="64">
        <v>58</v>
      </c>
      <c r="H105" s="63"/>
      <c r="I105" s="63"/>
      <c r="J105" s="90"/>
      <c r="K105" s="91" t="s">
        <v>2655</v>
      </c>
      <c r="L105" s="64" t="s">
        <v>72</v>
      </c>
      <c r="M105" s="64" t="s">
        <v>271</v>
      </c>
      <c r="N105" s="68" t="s">
        <v>1003</v>
      </c>
      <c r="O105" s="64" t="s">
        <v>168</v>
      </c>
      <c r="P105" s="69">
        <v>44936</v>
      </c>
      <c r="Q105" s="69">
        <v>45290</v>
      </c>
      <c r="R105" s="64"/>
      <c r="S105" s="74" t="s">
        <v>166</v>
      </c>
      <c r="T105" s="1179"/>
      <c r="U105" s="87">
        <v>0</v>
      </c>
      <c r="V105" s="87"/>
      <c r="W105" s="985">
        <v>0</v>
      </c>
      <c r="X105" s="1120"/>
      <c r="Y105" s="87">
        <f>3171.43+16000+23450+9571.43+1925+2000+5700</f>
        <v>61817.86</v>
      </c>
      <c r="Z105" s="986">
        <v>0</v>
      </c>
      <c r="AA105" s="1120">
        <v>0</v>
      </c>
      <c r="AB105" s="87">
        <v>0</v>
      </c>
      <c r="AC105" s="990">
        <v>0</v>
      </c>
      <c r="AD105" s="1215">
        <v>0</v>
      </c>
      <c r="AE105" s="93">
        <v>0</v>
      </c>
      <c r="AF105" s="75">
        <v>0</v>
      </c>
      <c r="AG105" s="1120">
        <v>0</v>
      </c>
      <c r="AH105" s="510">
        <f t="shared" si="7"/>
        <v>61817.86</v>
      </c>
      <c r="AI105" s="371"/>
      <c r="AJ105" s="75">
        <f t="shared" si="8"/>
        <v>0</v>
      </c>
      <c r="AK105" s="78"/>
      <c r="AL105" s="78"/>
      <c r="AM105" s="78"/>
      <c r="AN105" s="89" t="s">
        <v>39</v>
      </c>
      <c r="AO105" s="89"/>
      <c r="AP105" s="89"/>
      <c r="AQ105" s="407"/>
      <c r="AR105" s="89"/>
      <c r="AS105" s="469"/>
      <c r="AT105" s="89"/>
      <c r="AU105" s="661"/>
      <c r="AV105" s="954" t="s">
        <v>2704</v>
      </c>
      <c r="AW105" s="1268" t="s">
        <v>2837</v>
      </c>
    </row>
    <row r="106" spans="1:49" ht="24.6" hidden="1" customHeight="1" outlineLevel="3" x14ac:dyDescent="0.25">
      <c r="A106" s="63" t="str">
        <f t="shared" si="0"/>
        <v>1.1.1.2.23.59</v>
      </c>
      <c r="B106" s="63">
        <v>1</v>
      </c>
      <c r="C106" s="63">
        <v>1</v>
      </c>
      <c r="D106" s="63">
        <v>1</v>
      </c>
      <c r="E106" s="63">
        <v>2</v>
      </c>
      <c r="F106" s="63">
        <v>23</v>
      </c>
      <c r="G106" s="64">
        <v>59</v>
      </c>
      <c r="H106" s="63"/>
      <c r="I106" s="63"/>
      <c r="J106" s="90"/>
      <c r="K106" s="91" t="s">
        <v>2655</v>
      </c>
      <c r="L106" s="64" t="s">
        <v>72</v>
      </c>
      <c r="M106" s="64" t="s">
        <v>271</v>
      </c>
      <c r="N106" s="68" t="s">
        <v>1003</v>
      </c>
      <c r="O106" s="64" t="s">
        <v>168</v>
      </c>
      <c r="P106" s="69">
        <v>44936</v>
      </c>
      <c r="Q106" s="69">
        <v>45290</v>
      </c>
      <c r="R106" s="64"/>
      <c r="S106" s="74" t="s">
        <v>166</v>
      </c>
      <c r="T106" s="1179"/>
      <c r="U106" s="87">
        <v>0</v>
      </c>
      <c r="V106" s="87"/>
      <c r="W106" s="985">
        <v>0</v>
      </c>
      <c r="X106" s="1120"/>
      <c r="Y106" s="87">
        <f>3171.43+23450.34+9571.43+3100</f>
        <v>39293.199999999997</v>
      </c>
      <c r="Z106" s="986">
        <v>0</v>
      </c>
      <c r="AA106" s="1120">
        <v>0</v>
      </c>
      <c r="AB106" s="87">
        <v>0</v>
      </c>
      <c r="AC106" s="990">
        <v>0</v>
      </c>
      <c r="AD106" s="1215">
        <v>0</v>
      </c>
      <c r="AE106" s="93">
        <v>0</v>
      </c>
      <c r="AF106" s="75">
        <v>0</v>
      </c>
      <c r="AG106" s="1120">
        <v>0</v>
      </c>
      <c r="AH106" s="510">
        <f t="shared" si="7"/>
        <v>39293.199999999997</v>
      </c>
      <c r="AI106" s="371"/>
      <c r="AJ106" s="75">
        <f t="shared" si="8"/>
        <v>0</v>
      </c>
      <c r="AK106" s="78"/>
      <c r="AL106" s="78"/>
      <c r="AM106" s="78"/>
      <c r="AN106" s="89" t="s">
        <v>39</v>
      </c>
      <c r="AO106" s="89"/>
      <c r="AP106" s="89"/>
      <c r="AQ106" s="407"/>
      <c r="AR106" s="89"/>
      <c r="AS106" s="469"/>
      <c r="AT106" s="89"/>
      <c r="AU106" s="661"/>
      <c r="AV106" s="954" t="s">
        <v>2704</v>
      </c>
      <c r="AW106" s="1268"/>
    </row>
    <row r="107" spans="1:49" ht="24.6" hidden="1" customHeight="1" outlineLevel="3" x14ac:dyDescent="0.25">
      <c r="A107" s="63" t="str">
        <f t="shared" si="0"/>
        <v>1.1.1.2.23.60</v>
      </c>
      <c r="B107" s="63">
        <v>1</v>
      </c>
      <c r="C107" s="63">
        <v>1</v>
      </c>
      <c r="D107" s="63">
        <v>1</v>
      </c>
      <c r="E107" s="63">
        <v>2</v>
      </c>
      <c r="F107" s="63">
        <v>23</v>
      </c>
      <c r="G107" s="64">
        <v>60</v>
      </c>
      <c r="H107" s="63"/>
      <c r="I107" s="63"/>
      <c r="J107" s="90"/>
      <c r="K107" s="91" t="s">
        <v>2655</v>
      </c>
      <c r="L107" s="64" t="s">
        <v>72</v>
      </c>
      <c r="M107" s="64" t="s">
        <v>271</v>
      </c>
      <c r="N107" s="68" t="s">
        <v>1003</v>
      </c>
      <c r="O107" s="64" t="s">
        <v>168</v>
      </c>
      <c r="P107" s="69">
        <v>44936</v>
      </c>
      <c r="Q107" s="69">
        <v>45290</v>
      </c>
      <c r="R107" s="64"/>
      <c r="S107" s="74" t="s">
        <v>166</v>
      </c>
      <c r="T107" s="1179"/>
      <c r="U107" s="87">
        <v>0</v>
      </c>
      <c r="V107" s="87"/>
      <c r="W107" s="985">
        <v>0</v>
      </c>
      <c r="X107" s="1120"/>
      <c r="Y107" s="87">
        <f>3171.43+23450.34+9571.43</f>
        <v>36193.199999999997</v>
      </c>
      <c r="Z107" s="986">
        <v>0</v>
      </c>
      <c r="AA107" s="1120">
        <v>0</v>
      </c>
      <c r="AB107" s="87">
        <v>0</v>
      </c>
      <c r="AC107" s="990">
        <v>0</v>
      </c>
      <c r="AD107" s="1215">
        <v>0</v>
      </c>
      <c r="AE107" s="93">
        <v>0</v>
      </c>
      <c r="AF107" s="75">
        <v>0</v>
      </c>
      <c r="AG107" s="1120">
        <v>0</v>
      </c>
      <c r="AH107" s="510">
        <f t="shared" ref="AH107:AH118" si="9">+U107+Y107+AB107+AE107</f>
        <v>36193.199999999997</v>
      </c>
      <c r="AI107" s="371"/>
      <c r="AJ107" s="75">
        <f t="shared" ref="AJ107:AJ118" si="10">+W107+Z107+AC107+AF107</f>
        <v>0</v>
      </c>
      <c r="AK107" s="78"/>
      <c r="AL107" s="78"/>
      <c r="AM107" s="78"/>
      <c r="AN107" s="89" t="s">
        <v>39</v>
      </c>
      <c r="AO107" s="89"/>
      <c r="AP107" s="89"/>
      <c r="AQ107" s="407"/>
      <c r="AR107" s="89"/>
      <c r="AS107" s="469"/>
      <c r="AT107" s="89"/>
      <c r="AU107" s="661"/>
      <c r="AV107" s="954" t="s">
        <v>2704</v>
      </c>
      <c r="AW107" s="1268"/>
    </row>
    <row r="108" spans="1:49" ht="24.6" hidden="1" customHeight="1" outlineLevel="3" x14ac:dyDescent="0.25">
      <c r="A108" s="63" t="str">
        <f t="shared" si="0"/>
        <v>1.1.1.2.23.61</v>
      </c>
      <c r="B108" s="63">
        <v>1</v>
      </c>
      <c r="C108" s="63">
        <v>1</v>
      </c>
      <c r="D108" s="63">
        <v>1</v>
      </c>
      <c r="E108" s="63">
        <v>2</v>
      </c>
      <c r="F108" s="63">
        <v>23</v>
      </c>
      <c r="G108" s="64">
        <v>61</v>
      </c>
      <c r="H108" s="63"/>
      <c r="I108" s="63"/>
      <c r="J108" s="90"/>
      <c r="K108" s="91" t="s">
        <v>2655</v>
      </c>
      <c r="L108" s="64" t="s">
        <v>72</v>
      </c>
      <c r="M108" s="64" t="s">
        <v>271</v>
      </c>
      <c r="N108" s="68" t="s">
        <v>1003</v>
      </c>
      <c r="O108" s="64" t="s">
        <v>168</v>
      </c>
      <c r="P108" s="69">
        <v>44936</v>
      </c>
      <c r="Q108" s="69">
        <v>45290</v>
      </c>
      <c r="R108" s="64"/>
      <c r="S108" s="74" t="s">
        <v>166</v>
      </c>
      <c r="T108" s="1179"/>
      <c r="U108" s="87">
        <v>0</v>
      </c>
      <c r="V108" s="87"/>
      <c r="W108" s="985">
        <v>0</v>
      </c>
      <c r="X108" s="1120"/>
      <c r="Y108" s="87">
        <f>3171.43+23450.34+9571.43</f>
        <v>36193.199999999997</v>
      </c>
      <c r="Z108" s="986">
        <v>0</v>
      </c>
      <c r="AA108" s="1120">
        <v>0</v>
      </c>
      <c r="AB108" s="87">
        <v>0</v>
      </c>
      <c r="AC108" s="990">
        <v>0</v>
      </c>
      <c r="AD108" s="1215">
        <v>0</v>
      </c>
      <c r="AE108" s="93">
        <v>0</v>
      </c>
      <c r="AF108" s="75">
        <v>0</v>
      </c>
      <c r="AG108" s="1120">
        <v>0</v>
      </c>
      <c r="AH108" s="510">
        <f t="shared" si="9"/>
        <v>36193.199999999997</v>
      </c>
      <c r="AI108" s="371"/>
      <c r="AJ108" s="75">
        <f t="shared" si="10"/>
        <v>0</v>
      </c>
      <c r="AK108" s="78"/>
      <c r="AL108" s="78"/>
      <c r="AM108" s="78"/>
      <c r="AN108" s="89" t="s">
        <v>39</v>
      </c>
      <c r="AO108" s="89"/>
      <c r="AP108" s="89"/>
      <c r="AQ108" s="407"/>
      <c r="AR108" s="89"/>
      <c r="AS108" s="469"/>
      <c r="AT108" s="89"/>
      <c r="AU108" s="661"/>
      <c r="AV108" s="954" t="s">
        <v>2704</v>
      </c>
      <c r="AW108" s="1268"/>
    </row>
    <row r="109" spans="1:49" ht="24.6" hidden="1" customHeight="1" outlineLevel="3" x14ac:dyDescent="0.25">
      <c r="A109" s="63" t="str">
        <f t="shared" si="0"/>
        <v>1.1.1.2.23.62</v>
      </c>
      <c r="B109" s="63">
        <v>1</v>
      </c>
      <c r="C109" s="63">
        <v>1</v>
      </c>
      <c r="D109" s="63">
        <v>1</v>
      </c>
      <c r="E109" s="63">
        <v>2</v>
      </c>
      <c r="F109" s="63">
        <v>23</v>
      </c>
      <c r="G109" s="64">
        <v>62</v>
      </c>
      <c r="H109" s="63"/>
      <c r="I109" s="63"/>
      <c r="J109" s="90"/>
      <c r="K109" s="91" t="s">
        <v>2655</v>
      </c>
      <c r="L109" s="64" t="s">
        <v>72</v>
      </c>
      <c r="M109" s="64" t="s">
        <v>271</v>
      </c>
      <c r="N109" s="68" t="s">
        <v>1003</v>
      </c>
      <c r="O109" s="64" t="s">
        <v>168</v>
      </c>
      <c r="P109" s="69">
        <v>44936</v>
      </c>
      <c r="Q109" s="69">
        <v>45290</v>
      </c>
      <c r="R109" s="64"/>
      <c r="S109" s="74" t="s">
        <v>166</v>
      </c>
      <c r="T109" s="1179"/>
      <c r="U109" s="87">
        <v>0</v>
      </c>
      <c r="V109" s="87"/>
      <c r="W109" s="985">
        <v>0</v>
      </c>
      <c r="X109" s="1120"/>
      <c r="Y109" s="87">
        <f>3171.43+23450.34+9571.43</f>
        <v>36193.199999999997</v>
      </c>
      <c r="Z109" s="986">
        <v>0</v>
      </c>
      <c r="AA109" s="1120">
        <v>0</v>
      </c>
      <c r="AB109" s="87">
        <v>0</v>
      </c>
      <c r="AC109" s="990">
        <v>0</v>
      </c>
      <c r="AD109" s="1215">
        <v>0</v>
      </c>
      <c r="AE109" s="93">
        <v>0</v>
      </c>
      <c r="AF109" s="75">
        <v>0</v>
      </c>
      <c r="AG109" s="1120">
        <v>0</v>
      </c>
      <c r="AH109" s="510">
        <f t="shared" si="9"/>
        <v>36193.199999999997</v>
      </c>
      <c r="AI109" s="371"/>
      <c r="AJ109" s="75">
        <f t="shared" si="10"/>
        <v>0</v>
      </c>
      <c r="AK109" s="78"/>
      <c r="AL109" s="78"/>
      <c r="AM109" s="78"/>
      <c r="AN109" s="89" t="s">
        <v>39</v>
      </c>
      <c r="AO109" s="89"/>
      <c r="AP109" s="89"/>
      <c r="AQ109" s="407"/>
      <c r="AR109" s="89"/>
      <c r="AS109" s="469"/>
      <c r="AT109" s="89"/>
      <c r="AU109" s="661"/>
      <c r="AV109" s="954" t="s">
        <v>2704</v>
      </c>
      <c r="AW109" s="1268"/>
    </row>
    <row r="110" spans="1:49" ht="24.6" hidden="1" customHeight="1" outlineLevel="3" x14ac:dyDescent="0.25">
      <c r="A110" s="63" t="str">
        <f t="shared" si="0"/>
        <v>1.1.1.2.23.63</v>
      </c>
      <c r="B110" s="63">
        <v>1</v>
      </c>
      <c r="C110" s="63">
        <v>1</v>
      </c>
      <c r="D110" s="63">
        <v>1</v>
      </c>
      <c r="E110" s="63">
        <v>2</v>
      </c>
      <c r="F110" s="63">
        <v>23</v>
      </c>
      <c r="G110" s="64">
        <v>63</v>
      </c>
      <c r="H110" s="63"/>
      <c r="I110" s="63"/>
      <c r="J110" s="90"/>
      <c r="K110" s="91" t="s">
        <v>2655</v>
      </c>
      <c r="L110" s="64" t="s">
        <v>72</v>
      </c>
      <c r="M110" s="64" t="s">
        <v>271</v>
      </c>
      <c r="N110" s="68" t="s">
        <v>1003</v>
      </c>
      <c r="O110" s="64" t="s">
        <v>168</v>
      </c>
      <c r="P110" s="69">
        <v>44936</v>
      </c>
      <c r="Q110" s="69">
        <v>45290</v>
      </c>
      <c r="R110" s="64"/>
      <c r="S110" s="74" t="s">
        <v>166</v>
      </c>
      <c r="T110" s="1179"/>
      <c r="U110" s="87">
        <v>0</v>
      </c>
      <c r="V110" s="87"/>
      <c r="W110" s="985">
        <v>0</v>
      </c>
      <c r="X110" s="1120"/>
      <c r="Y110" s="87">
        <f>3171.43+23450.34+9571.43</f>
        <v>36193.199999999997</v>
      </c>
      <c r="Z110" s="986">
        <v>0</v>
      </c>
      <c r="AA110" s="1120">
        <v>0</v>
      </c>
      <c r="AB110" s="87">
        <v>0</v>
      </c>
      <c r="AC110" s="990">
        <v>0</v>
      </c>
      <c r="AD110" s="1215">
        <v>0</v>
      </c>
      <c r="AE110" s="93">
        <v>0</v>
      </c>
      <c r="AF110" s="75">
        <v>0</v>
      </c>
      <c r="AG110" s="1120">
        <v>0</v>
      </c>
      <c r="AH110" s="510">
        <f t="shared" si="9"/>
        <v>36193.199999999997</v>
      </c>
      <c r="AI110" s="371"/>
      <c r="AJ110" s="75">
        <f t="shared" si="10"/>
        <v>0</v>
      </c>
      <c r="AK110" s="78"/>
      <c r="AL110" s="78"/>
      <c r="AM110" s="78"/>
      <c r="AN110" s="89" t="s">
        <v>39</v>
      </c>
      <c r="AO110" s="89"/>
      <c r="AP110" s="89"/>
      <c r="AQ110" s="407"/>
      <c r="AR110" s="89"/>
      <c r="AS110" s="469"/>
      <c r="AT110" s="89"/>
      <c r="AU110" s="661"/>
      <c r="AV110" s="954" t="s">
        <v>2704</v>
      </c>
      <c r="AW110" s="1268"/>
    </row>
    <row r="111" spans="1:49" s="1249" customFormat="1" ht="24.6" hidden="1" customHeight="1" outlineLevel="3" x14ac:dyDescent="0.25">
      <c r="A111" s="99" t="str">
        <f t="shared" si="0"/>
        <v>1.1.1.2.23.64</v>
      </c>
      <c r="B111" s="1086">
        <v>1</v>
      </c>
      <c r="C111" s="1086">
        <v>1</v>
      </c>
      <c r="D111" s="1086">
        <v>1</v>
      </c>
      <c r="E111" s="1086">
        <v>2</v>
      </c>
      <c r="F111" s="1086">
        <v>23</v>
      </c>
      <c r="G111" s="1050">
        <v>64</v>
      </c>
      <c r="H111" s="1086"/>
      <c r="I111" s="1086"/>
      <c r="J111" s="1234"/>
      <c r="K111" s="1235" t="s">
        <v>2655</v>
      </c>
      <c r="L111" s="1050" t="s">
        <v>72</v>
      </c>
      <c r="M111" s="1050" t="s">
        <v>271</v>
      </c>
      <c r="N111" s="1057" t="s">
        <v>1003</v>
      </c>
      <c r="O111" s="1050" t="s">
        <v>168</v>
      </c>
      <c r="P111" s="1227">
        <v>44936</v>
      </c>
      <c r="Q111" s="1227">
        <v>45290</v>
      </c>
      <c r="R111" s="1226"/>
      <c r="S111" s="1228" t="s">
        <v>166</v>
      </c>
      <c r="T111" s="1229"/>
      <c r="U111" s="1236">
        <v>0</v>
      </c>
      <c r="V111" s="1236"/>
      <c r="W111" s="1237">
        <v>0</v>
      </c>
      <c r="X111" s="1238"/>
      <c r="Y111" s="1236">
        <f>3171.43+23450.34+9571.43</f>
        <v>36193.199999999997</v>
      </c>
      <c r="Z111" s="1239">
        <v>0</v>
      </c>
      <c r="AA111" s="1238">
        <v>0</v>
      </c>
      <c r="AB111" s="1236">
        <v>0</v>
      </c>
      <c r="AC111" s="1240">
        <v>0</v>
      </c>
      <c r="AD111" s="1241">
        <v>0</v>
      </c>
      <c r="AE111" s="1242">
        <v>0</v>
      </c>
      <c r="AF111" s="1243">
        <v>0</v>
      </c>
      <c r="AG111" s="1238">
        <v>0</v>
      </c>
      <c r="AH111" s="529">
        <f t="shared" si="9"/>
        <v>36193.199999999997</v>
      </c>
      <c r="AI111" s="510"/>
      <c r="AJ111" s="1243">
        <f t="shared" si="10"/>
        <v>0</v>
      </c>
      <c r="AK111" s="1230"/>
      <c r="AL111" s="1230"/>
      <c r="AM111" s="1230"/>
      <c r="AN111" s="1244" t="s">
        <v>39</v>
      </c>
      <c r="AO111" s="1244"/>
      <c r="AP111" s="1244"/>
      <c r="AQ111" s="1245"/>
      <c r="AR111" s="1244"/>
      <c r="AS111" s="1246"/>
      <c r="AT111" s="1244"/>
      <c r="AU111" s="1247"/>
      <c r="AV111" s="1248" t="s">
        <v>2704</v>
      </c>
      <c r="AW111" s="1350"/>
    </row>
    <row r="112" spans="1:49" ht="24.6" hidden="1" customHeight="1" outlineLevel="3" x14ac:dyDescent="0.25">
      <c r="A112" s="63" t="str">
        <f t="shared" si="0"/>
        <v>1.1.1.2.24.58</v>
      </c>
      <c r="B112" s="63">
        <v>1</v>
      </c>
      <c r="C112" s="63">
        <v>1</v>
      </c>
      <c r="D112" s="63">
        <v>1</v>
      </c>
      <c r="E112" s="63">
        <v>2</v>
      </c>
      <c r="F112" s="63">
        <v>24</v>
      </c>
      <c r="G112" s="64">
        <v>58</v>
      </c>
      <c r="H112" s="63"/>
      <c r="I112" s="63"/>
      <c r="J112" s="90"/>
      <c r="K112" s="91" t="s">
        <v>2656</v>
      </c>
      <c r="L112" s="64" t="s">
        <v>72</v>
      </c>
      <c r="M112" s="64" t="s">
        <v>2657</v>
      </c>
      <c r="N112" s="68" t="s">
        <v>1003</v>
      </c>
      <c r="O112" s="64" t="s">
        <v>168</v>
      </c>
      <c r="P112" s="69">
        <v>44936</v>
      </c>
      <c r="Q112" s="69">
        <v>45290</v>
      </c>
      <c r="R112" s="64"/>
      <c r="S112" s="74" t="s">
        <v>571</v>
      </c>
      <c r="T112" s="1179"/>
      <c r="U112" s="87">
        <v>2678.57</v>
      </c>
      <c r="V112" s="87"/>
      <c r="W112" s="985">
        <v>0</v>
      </c>
      <c r="X112" s="1120"/>
      <c r="Y112" s="87">
        <v>2678.57</v>
      </c>
      <c r="Z112" s="985">
        <v>0</v>
      </c>
      <c r="AA112" s="1120">
        <v>0</v>
      </c>
      <c r="AB112" s="87">
        <v>2678.57</v>
      </c>
      <c r="AC112" s="990">
        <v>0</v>
      </c>
      <c r="AD112" s="1215">
        <v>0</v>
      </c>
      <c r="AE112" s="87">
        <v>2678.57</v>
      </c>
      <c r="AF112" s="75">
        <v>0</v>
      </c>
      <c r="AG112" s="1120">
        <v>0</v>
      </c>
      <c r="AH112" s="510">
        <f t="shared" si="9"/>
        <v>10714.28</v>
      </c>
      <c r="AI112" s="371"/>
      <c r="AJ112" s="75">
        <f t="shared" si="10"/>
        <v>0</v>
      </c>
      <c r="AK112" s="78"/>
      <c r="AL112" s="78"/>
      <c r="AM112" s="78"/>
      <c r="AN112" s="89" t="s">
        <v>39</v>
      </c>
      <c r="AO112" s="89"/>
      <c r="AP112" s="89"/>
      <c r="AQ112" s="407"/>
      <c r="AR112" s="89"/>
      <c r="AS112" s="469"/>
      <c r="AT112" s="89"/>
      <c r="AU112" s="661"/>
      <c r="AV112" s="954" t="s">
        <v>2704</v>
      </c>
      <c r="AW112" s="1268" t="s">
        <v>2705</v>
      </c>
    </row>
    <row r="113" spans="1:49" ht="24.6" hidden="1" customHeight="1" outlineLevel="3" x14ac:dyDescent="0.25">
      <c r="A113" s="63" t="str">
        <f t="shared" si="0"/>
        <v>1.1.1.2.24.59</v>
      </c>
      <c r="B113" s="63">
        <v>1</v>
      </c>
      <c r="C113" s="63">
        <v>1</v>
      </c>
      <c r="D113" s="63">
        <v>1</v>
      </c>
      <c r="E113" s="63">
        <v>2</v>
      </c>
      <c r="F113" s="63">
        <v>24</v>
      </c>
      <c r="G113" s="64">
        <v>59</v>
      </c>
      <c r="H113" s="63"/>
      <c r="I113" s="63"/>
      <c r="J113" s="90"/>
      <c r="K113" s="91" t="s">
        <v>2656</v>
      </c>
      <c r="L113" s="64" t="s">
        <v>72</v>
      </c>
      <c r="M113" s="64" t="s">
        <v>2657</v>
      </c>
      <c r="N113" s="68" t="s">
        <v>1003</v>
      </c>
      <c r="O113" s="64" t="s">
        <v>168</v>
      </c>
      <c r="P113" s="69">
        <v>44936</v>
      </c>
      <c r="Q113" s="69">
        <v>45290</v>
      </c>
      <c r="R113" s="64"/>
      <c r="S113" s="74" t="s">
        <v>571</v>
      </c>
      <c r="T113" s="1179"/>
      <c r="U113" s="87">
        <v>2678.57</v>
      </c>
      <c r="V113" s="87"/>
      <c r="W113" s="985">
        <v>0</v>
      </c>
      <c r="X113" s="1120"/>
      <c r="Y113" s="87">
        <v>2678.57</v>
      </c>
      <c r="Z113" s="985">
        <v>0</v>
      </c>
      <c r="AA113" s="1120">
        <v>0</v>
      </c>
      <c r="AB113" s="87">
        <v>2678.57</v>
      </c>
      <c r="AC113" s="990">
        <v>0</v>
      </c>
      <c r="AD113" s="1215">
        <v>0</v>
      </c>
      <c r="AE113" s="87">
        <v>2678.57</v>
      </c>
      <c r="AF113" s="75">
        <v>0</v>
      </c>
      <c r="AG113" s="1120">
        <v>0</v>
      </c>
      <c r="AH113" s="510">
        <f t="shared" si="9"/>
        <v>10714.28</v>
      </c>
      <c r="AI113" s="371"/>
      <c r="AJ113" s="75">
        <f t="shared" si="10"/>
        <v>0</v>
      </c>
      <c r="AK113" s="78"/>
      <c r="AL113" s="78"/>
      <c r="AM113" s="78"/>
      <c r="AN113" s="89" t="s">
        <v>39</v>
      </c>
      <c r="AO113" s="89"/>
      <c r="AP113" s="89"/>
      <c r="AQ113" s="407"/>
      <c r="AR113" s="89"/>
      <c r="AS113" s="469"/>
      <c r="AT113" s="89"/>
      <c r="AU113" s="661"/>
      <c r="AV113" s="954" t="s">
        <v>2704</v>
      </c>
      <c r="AW113" s="1268"/>
    </row>
    <row r="114" spans="1:49" ht="24.6" hidden="1" customHeight="1" outlineLevel="3" x14ac:dyDescent="0.25">
      <c r="A114" s="63" t="str">
        <f t="shared" si="0"/>
        <v>1.1.1.2.24.60</v>
      </c>
      <c r="B114" s="63">
        <v>1</v>
      </c>
      <c r="C114" s="63">
        <v>1</v>
      </c>
      <c r="D114" s="63">
        <v>1</v>
      </c>
      <c r="E114" s="63">
        <v>2</v>
      </c>
      <c r="F114" s="63">
        <v>24</v>
      </c>
      <c r="G114" s="64">
        <v>60</v>
      </c>
      <c r="H114" s="63"/>
      <c r="I114" s="63"/>
      <c r="J114" s="90"/>
      <c r="K114" s="91" t="s">
        <v>2656</v>
      </c>
      <c r="L114" s="64" t="s">
        <v>72</v>
      </c>
      <c r="M114" s="64" t="s">
        <v>2657</v>
      </c>
      <c r="N114" s="68" t="s">
        <v>1003</v>
      </c>
      <c r="O114" s="64" t="s">
        <v>168</v>
      </c>
      <c r="P114" s="69">
        <v>44936</v>
      </c>
      <c r="Q114" s="69">
        <v>45290</v>
      </c>
      <c r="R114" s="64"/>
      <c r="S114" s="74" t="s">
        <v>571</v>
      </c>
      <c r="T114" s="1179"/>
      <c r="U114" s="87">
        <v>2678.57</v>
      </c>
      <c r="V114" s="87"/>
      <c r="W114" s="985">
        <v>0</v>
      </c>
      <c r="X114" s="1120"/>
      <c r="Y114" s="87">
        <v>2678.57</v>
      </c>
      <c r="Z114" s="985">
        <v>0</v>
      </c>
      <c r="AA114" s="1120">
        <v>0</v>
      </c>
      <c r="AB114" s="87">
        <v>2678.57</v>
      </c>
      <c r="AC114" s="990">
        <v>0</v>
      </c>
      <c r="AD114" s="1215">
        <v>0</v>
      </c>
      <c r="AE114" s="87">
        <v>2678.57</v>
      </c>
      <c r="AF114" s="75">
        <v>0</v>
      </c>
      <c r="AG114" s="1120">
        <v>0</v>
      </c>
      <c r="AH114" s="510">
        <f t="shared" si="9"/>
        <v>10714.28</v>
      </c>
      <c r="AI114" s="371"/>
      <c r="AJ114" s="75">
        <f t="shared" si="10"/>
        <v>0</v>
      </c>
      <c r="AK114" s="78"/>
      <c r="AL114" s="78"/>
      <c r="AM114" s="78"/>
      <c r="AN114" s="89" t="s">
        <v>39</v>
      </c>
      <c r="AO114" s="89"/>
      <c r="AP114" s="89"/>
      <c r="AQ114" s="407"/>
      <c r="AR114" s="89"/>
      <c r="AS114" s="469"/>
      <c r="AT114" s="89"/>
      <c r="AU114" s="661"/>
      <c r="AV114" s="954" t="s">
        <v>2704</v>
      </c>
      <c r="AW114" s="1268"/>
    </row>
    <row r="115" spans="1:49" ht="24.6" hidden="1" customHeight="1" outlineLevel="3" x14ac:dyDescent="0.25">
      <c r="A115" s="63" t="str">
        <f t="shared" si="0"/>
        <v>1.1.1.2.24.61</v>
      </c>
      <c r="B115" s="63">
        <v>1</v>
      </c>
      <c r="C115" s="63">
        <v>1</v>
      </c>
      <c r="D115" s="63">
        <v>1</v>
      </c>
      <c r="E115" s="63">
        <v>2</v>
      </c>
      <c r="F115" s="63">
        <v>24</v>
      </c>
      <c r="G115" s="64">
        <v>61</v>
      </c>
      <c r="H115" s="63"/>
      <c r="I115" s="63"/>
      <c r="J115" s="90"/>
      <c r="K115" s="91" t="s">
        <v>2656</v>
      </c>
      <c r="L115" s="64" t="s">
        <v>72</v>
      </c>
      <c r="M115" s="64" t="s">
        <v>2657</v>
      </c>
      <c r="N115" s="68" t="s">
        <v>1003</v>
      </c>
      <c r="O115" s="64" t="s">
        <v>168</v>
      </c>
      <c r="P115" s="69">
        <v>44936</v>
      </c>
      <c r="Q115" s="69">
        <v>45290</v>
      </c>
      <c r="R115" s="64"/>
      <c r="S115" s="74" t="s">
        <v>571</v>
      </c>
      <c r="T115" s="1179"/>
      <c r="U115" s="87">
        <v>2678.57</v>
      </c>
      <c r="V115" s="87"/>
      <c r="W115" s="985">
        <v>0</v>
      </c>
      <c r="X115" s="1120"/>
      <c r="Y115" s="87">
        <v>2678.57</v>
      </c>
      <c r="Z115" s="985">
        <v>0</v>
      </c>
      <c r="AA115" s="1120">
        <v>0</v>
      </c>
      <c r="AB115" s="87">
        <v>2678.57</v>
      </c>
      <c r="AC115" s="990">
        <v>0</v>
      </c>
      <c r="AD115" s="1215">
        <v>0</v>
      </c>
      <c r="AE115" s="87">
        <v>2678.57</v>
      </c>
      <c r="AF115" s="75">
        <v>0</v>
      </c>
      <c r="AG115" s="1120">
        <v>0</v>
      </c>
      <c r="AH115" s="510">
        <f t="shared" si="9"/>
        <v>10714.28</v>
      </c>
      <c r="AI115" s="371"/>
      <c r="AJ115" s="75">
        <f t="shared" si="10"/>
        <v>0</v>
      </c>
      <c r="AK115" s="78"/>
      <c r="AL115" s="78"/>
      <c r="AM115" s="78"/>
      <c r="AN115" s="89" t="s">
        <v>39</v>
      </c>
      <c r="AO115" s="89"/>
      <c r="AP115" s="89"/>
      <c r="AQ115" s="407"/>
      <c r="AR115" s="89"/>
      <c r="AS115" s="469"/>
      <c r="AT115" s="89"/>
      <c r="AU115" s="661"/>
      <c r="AV115" s="954" t="s">
        <v>2704</v>
      </c>
      <c r="AW115" s="1268"/>
    </row>
    <row r="116" spans="1:49" ht="24.6" hidden="1" customHeight="1" outlineLevel="3" x14ac:dyDescent="0.25">
      <c r="A116" s="63" t="str">
        <f t="shared" si="0"/>
        <v>1.1.1.2.24.62</v>
      </c>
      <c r="B116" s="63">
        <v>1</v>
      </c>
      <c r="C116" s="63">
        <v>1</v>
      </c>
      <c r="D116" s="63">
        <v>1</v>
      </c>
      <c r="E116" s="63">
        <v>2</v>
      </c>
      <c r="F116" s="63">
        <v>24</v>
      </c>
      <c r="G116" s="64">
        <v>62</v>
      </c>
      <c r="H116" s="63"/>
      <c r="I116" s="63"/>
      <c r="J116" s="90"/>
      <c r="K116" s="91" t="s">
        <v>2656</v>
      </c>
      <c r="L116" s="64" t="s">
        <v>72</v>
      </c>
      <c r="M116" s="64" t="s">
        <v>2657</v>
      </c>
      <c r="N116" s="68" t="s">
        <v>1003</v>
      </c>
      <c r="O116" s="64" t="s">
        <v>168</v>
      </c>
      <c r="P116" s="69">
        <v>44936</v>
      </c>
      <c r="Q116" s="69">
        <v>45290</v>
      </c>
      <c r="R116" s="64"/>
      <c r="S116" s="74" t="s">
        <v>571</v>
      </c>
      <c r="T116" s="1179"/>
      <c r="U116" s="87">
        <v>2678.57</v>
      </c>
      <c r="V116" s="87"/>
      <c r="W116" s="985">
        <v>0</v>
      </c>
      <c r="X116" s="1120"/>
      <c r="Y116" s="87">
        <v>2678.57</v>
      </c>
      <c r="Z116" s="985">
        <v>0</v>
      </c>
      <c r="AA116" s="1120">
        <v>0</v>
      </c>
      <c r="AB116" s="87">
        <v>2678.57</v>
      </c>
      <c r="AC116" s="990">
        <v>0</v>
      </c>
      <c r="AD116" s="1215">
        <v>0</v>
      </c>
      <c r="AE116" s="87">
        <v>2678.57</v>
      </c>
      <c r="AF116" s="75">
        <v>0</v>
      </c>
      <c r="AG116" s="1120">
        <v>0</v>
      </c>
      <c r="AH116" s="510">
        <f t="shared" si="9"/>
        <v>10714.28</v>
      </c>
      <c r="AI116" s="371"/>
      <c r="AJ116" s="75">
        <f t="shared" si="10"/>
        <v>0</v>
      </c>
      <c r="AK116" s="78"/>
      <c r="AL116" s="78"/>
      <c r="AM116" s="78"/>
      <c r="AN116" s="89" t="s">
        <v>39</v>
      </c>
      <c r="AO116" s="89"/>
      <c r="AP116" s="89"/>
      <c r="AQ116" s="407"/>
      <c r="AR116" s="89"/>
      <c r="AS116" s="469"/>
      <c r="AT116" s="89"/>
      <c r="AU116" s="661"/>
      <c r="AV116" s="954" t="s">
        <v>2704</v>
      </c>
      <c r="AW116" s="1268"/>
    </row>
    <row r="117" spans="1:49" ht="24.6" hidden="1" customHeight="1" outlineLevel="3" x14ac:dyDescent="0.25">
      <c r="A117" s="63" t="str">
        <f t="shared" si="0"/>
        <v>1.1.1.2.24.63</v>
      </c>
      <c r="B117" s="63">
        <v>1</v>
      </c>
      <c r="C117" s="63">
        <v>1</v>
      </c>
      <c r="D117" s="63">
        <v>1</v>
      </c>
      <c r="E117" s="63">
        <v>2</v>
      </c>
      <c r="F117" s="63">
        <v>24</v>
      </c>
      <c r="G117" s="64">
        <v>63</v>
      </c>
      <c r="H117" s="63"/>
      <c r="I117" s="63"/>
      <c r="J117" s="90"/>
      <c r="K117" s="91" t="s">
        <v>2656</v>
      </c>
      <c r="L117" s="64" t="s">
        <v>72</v>
      </c>
      <c r="M117" s="64" t="s">
        <v>2657</v>
      </c>
      <c r="N117" s="68" t="s">
        <v>1003</v>
      </c>
      <c r="O117" s="64" t="s">
        <v>168</v>
      </c>
      <c r="P117" s="69">
        <v>44936</v>
      </c>
      <c r="Q117" s="69">
        <v>45290</v>
      </c>
      <c r="R117" s="64"/>
      <c r="S117" s="74" t="s">
        <v>571</v>
      </c>
      <c r="T117" s="1179"/>
      <c r="U117" s="87">
        <v>2678.57</v>
      </c>
      <c r="V117" s="87"/>
      <c r="W117" s="985">
        <v>0</v>
      </c>
      <c r="X117" s="1120"/>
      <c r="Y117" s="87">
        <v>2678.57</v>
      </c>
      <c r="Z117" s="985">
        <v>0</v>
      </c>
      <c r="AA117" s="1120">
        <v>0</v>
      </c>
      <c r="AB117" s="87">
        <v>2678.57</v>
      </c>
      <c r="AC117" s="990">
        <v>0</v>
      </c>
      <c r="AD117" s="1215">
        <v>0</v>
      </c>
      <c r="AE117" s="87">
        <v>2678.57</v>
      </c>
      <c r="AF117" s="75">
        <v>0</v>
      </c>
      <c r="AG117" s="1120">
        <v>0</v>
      </c>
      <c r="AH117" s="510">
        <f t="shared" si="9"/>
        <v>10714.28</v>
      </c>
      <c r="AI117" s="371"/>
      <c r="AJ117" s="75">
        <f t="shared" si="10"/>
        <v>0</v>
      </c>
      <c r="AK117" s="78"/>
      <c r="AL117" s="78"/>
      <c r="AM117" s="78"/>
      <c r="AN117" s="89" t="s">
        <v>39</v>
      </c>
      <c r="AO117" s="89"/>
      <c r="AP117" s="89"/>
      <c r="AQ117" s="407"/>
      <c r="AR117" s="89"/>
      <c r="AS117" s="469"/>
      <c r="AT117" s="89"/>
      <c r="AU117" s="661"/>
      <c r="AV117" s="954" t="s">
        <v>2704</v>
      </c>
      <c r="AW117" s="1268"/>
    </row>
    <row r="118" spans="1:49" ht="24.6" hidden="1" customHeight="1" outlineLevel="3" x14ac:dyDescent="0.25">
      <c r="A118" s="63" t="str">
        <f t="shared" si="0"/>
        <v>1.1.1.2.24.64</v>
      </c>
      <c r="B118" s="63">
        <v>1</v>
      </c>
      <c r="C118" s="63">
        <v>1</v>
      </c>
      <c r="D118" s="63">
        <v>1</v>
      </c>
      <c r="E118" s="63">
        <v>2</v>
      </c>
      <c r="F118" s="63">
        <v>24</v>
      </c>
      <c r="G118" s="64">
        <v>64</v>
      </c>
      <c r="H118" s="63"/>
      <c r="I118" s="63"/>
      <c r="J118" s="90"/>
      <c r="K118" s="91" t="s">
        <v>2656</v>
      </c>
      <c r="L118" s="64" t="s">
        <v>72</v>
      </c>
      <c r="M118" s="64" t="s">
        <v>2657</v>
      </c>
      <c r="N118" s="68" t="s">
        <v>1003</v>
      </c>
      <c r="O118" s="64" t="s">
        <v>168</v>
      </c>
      <c r="P118" s="69">
        <v>44936</v>
      </c>
      <c r="Q118" s="69">
        <v>45290</v>
      </c>
      <c r="R118" s="64"/>
      <c r="S118" s="74" t="s">
        <v>571</v>
      </c>
      <c r="T118" s="1179"/>
      <c r="U118" s="87">
        <v>2678.57</v>
      </c>
      <c r="V118" s="87"/>
      <c r="W118" s="985">
        <v>0</v>
      </c>
      <c r="X118" s="1120"/>
      <c r="Y118" s="87">
        <v>2678.57</v>
      </c>
      <c r="Z118" s="985">
        <v>0</v>
      </c>
      <c r="AA118" s="1120">
        <v>0</v>
      </c>
      <c r="AB118" s="87">
        <v>2678.57</v>
      </c>
      <c r="AC118" s="990">
        <v>0</v>
      </c>
      <c r="AD118" s="1215">
        <v>0</v>
      </c>
      <c r="AE118" s="87">
        <v>2678.57</v>
      </c>
      <c r="AF118" s="75">
        <v>0</v>
      </c>
      <c r="AG118" s="1120">
        <v>0</v>
      </c>
      <c r="AH118" s="510">
        <f t="shared" si="9"/>
        <v>10714.28</v>
      </c>
      <c r="AI118" s="371"/>
      <c r="AJ118" s="75">
        <f t="shared" si="10"/>
        <v>0</v>
      </c>
      <c r="AK118" s="78"/>
      <c r="AL118" s="78"/>
      <c r="AM118" s="78"/>
      <c r="AN118" s="89" t="s">
        <v>39</v>
      </c>
      <c r="AO118" s="89"/>
      <c r="AP118" s="89"/>
      <c r="AQ118" s="407"/>
      <c r="AR118" s="89"/>
      <c r="AS118" s="469"/>
      <c r="AT118" s="89"/>
      <c r="AU118" s="661"/>
      <c r="AV118" s="954" t="s">
        <v>2704</v>
      </c>
      <c r="AW118" s="1268"/>
    </row>
    <row r="119" spans="1:49" ht="47.1" customHeight="1" outlineLevel="1" x14ac:dyDescent="0.25">
      <c r="A119" s="80" t="str">
        <f t="shared" si="0"/>
        <v>1.1.1.3.0.0</v>
      </c>
      <c r="B119" s="80">
        <v>1</v>
      </c>
      <c r="C119" s="80">
        <v>1</v>
      </c>
      <c r="D119" s="80">
        <v>1</v>
      </c>
      <c r="E119" s="80">
        <v>3</v>
      </c>
      <c r="F119" s="80">
        <v>0</v>
      </c>
      <c r="G119" s="81">
        <v>0</v>
      </c>
      <c r="H119" s="80"/>
      <c r="I119" s="80"/>
      <c r="J119" s="1347" t="s">
        <v>176</v>
      </c>
      <c r="K119" s="1347"/>
      <c r="L119" s="82" t="s">
        <v>72</v>
      </c>
      <c r="M119" s="83" t="s">
        <v>177</v>
      </c>
      <c r="N119" s="82" t="s">
        <v>74</v>
      </c>
      <c r="O119" s="82" t="s">
        <v>75</v>
      </c>
      <c r="P119" s="84">
        <v>44571</v>
      </c>
      <c r="Q119" s="84">
        <v>44925</v>
      </c>
      <c r="R119" s="82"/>
      <c r="S119" s="54"/>
      <c r="T119" s="1176" t="e">
        <f>+SUM(#REF!)</f>
        <v>#REF!</v>
      </c>
      <c r="U119" s="96">
        <v>0</v>
      </c>
      <c r="V119" s="96"/>
      <c r="W119" s="673">
        <v>0</v>
      </c>
      <c r="X119" s="1121">
        <v>0</v>
      </c>
      <c r="Y119" s="96">
        <v>0</v>
      </c>
      <c r="Z119" s="839">
        <v>0</v>
      </c>
      <c r="AA119" s="1121">
        <v>0</v>
      </c>
      <c r="AB119" s="96">
        <v>0</v>
      </c>
      <c r="AC119" s="967">
        <v>0</v>
      </c>
      <c r="AD119" s="1121">
        <v>0</v>
      </c>
      <c r="AE119" s="590">
        <v>0</v>
      </c>
      <c r="AF119" s="61">
        <v>0</v>
      </c>
      <c r="AG119" s="1121">
        <v>0</v>
      </c>
      <c r="AH119" s="369">
        <v>0</v>
      </c>
      <c r="AI119" s="369">
        <v>0</v>
      </c>
      <c r="AJ119" s="369">
        <v>0</v>
      </c>
      <c r="AK119" s="61"/>
      <c r="AL119" s="61"/>
      <c r="AM119" s="61"/>
      <c r="AN119" s="62" t="s">
        <v>39</v>
      </c>
      <c r="AO119" s="62"/>
      <c r="AP119" s="62"/>
      <c r="AQ119" s="404"/>
      <c r="AR119" s="62"/>
      <c r="AS119" s="466"/>
      <c r="AT119" s="62"/>
      <c r="AU119" s="660"/>
      <c r="AV119" s="955"/>
      <c r="AW119" s="427"/>
    </row>
    <row r="120" spans="1:49" ht="30" outlineLevel="1" collapsed="1" x14ac:dyDescent="0.25">
      <c r="A120" s="80" t="str">
        <f t="shared" si="0"/>
        <v>1.1.1.4.0.0</v>
      </c>
      <c r="B120" s="80">
        <v>1</v>
      </c>
      <c r="C120" s="80">
        <v>1</v>
      </c>
      <c r="D120" s="80">
        <v>1</v>
      </c>
      <c r="E120" s="80">
        <v>4</v>
      </c>
      <c r="F120" s="80">
        <v>0</v>
      </c>
      <c r="G120" s="81">
        <v>0</v>
      </c>
      <c r="H120" s="80"/>
      <c r="I120" s="80"/>
      <c r="J120" s="1347" t="s">
        <v>178</v>
      </c>
      <c r="K120" s="1347"/>
      <c r="L120" s="82" t="s">
        <v>179</v>
      </c>
      <c r="M120" s="82" t="s">
        <v>76</v>
      </c>
      <c r="N120" s="82" t="s">
        <v>2625</v>
      </c>
      <c r="O120" s="82" t="s">
        <v>75</v>
      </c>
      <c r="P120" s="84">
        <v>44571</v>
      </c>
      <c r="Q120" s="84">
        <v>44925</v>
      </c>
      <c r="R120" s="82"/>
      <c r="S120" s="54"/>
      <c r="T120" s="1176">
        <f>+SUM(T121:T139)</f>
        <v>28</v>
      </c>
      <c r="U120" s="96">
        <f>SUM(U121:U139)</f>
        <v>0</v>
      </c>
      <c r="V120" s="96"/>
      <c r="W120" s="96">
        <f t="shared" ref="W120:AH120" si="11">SUM(W121:W139)</f>
        <v>0</v>
      </c>
      <c r="X120" s="1121">
        <f t="shared" si="11"/>
        <v>0</v>
      </c>
      <c r="Y120" s="96">
        <f t="shared" si="11"/>
        <v>0</v>
      </c>
      <c r="Z120" s="96">
        <f t="shared" si="11"/>
        <v>0</v>
      </c>
      <c r="AA120" s="1121">
        <f t="shared" si="11"/>
        <v>0</v>
      </c>
      <c r="AB120" s="96">
        <f t="shared" si="11"/>
        <v>0</v>
      </c>
      <c r="AC120" s="96">
        <f t="shared" si="11"/>
        <v>0</v>
      </c>
      <c r="AD120" s="1121">
        <f t="shared" si="11"/>
        <v>0</v>
      </c>
      <c r="AE120" s="96">
        <f t="shared" si="11"/>
        <v>0</v>
      </c>
      <c r="AF120" s="96">
        <f t="shared" si="11"/>
        <v>0</v>
      </c>
      <c r="AG120" s="1121">
        <f t="shared" si="11"/>
        <v>0</v>
      </c>
      <c r="AH120" s="96">
        <f t="shared" si="11"/>
        <v>0</v>
      </c>
      <c r="AI120" s="369">
        <f t="shared" ref="AI120" si="12">+SUM(AI121:AI139)</f>
        <v>0</v>
      </c>
      <c r="AJ120" s="369">
        <f>+SUM(AJ121:AJ139)</f>
        <v>0</v>
      </c>
      <c r="AK120" s="61"/>
      <c r="AL120" s="61"/>
      <c r="AM120" s="61"/>
      <c r="AN120" s="62" t="s">
        <v>181</v>
      </c>
      <c r="AO120" s="62"/>
      <c r="AP120" s="62"/>
      <c r="AQ120" s="404"/>
      <c r="AR120" s="62"/>
      <c r="AS120" s="466"/>
      <c r="AT120" s="62"/>
      <c r="AU120" s="660"/>
      <c r="AV120" s="955"/>
      <c r="AW120" s="428" t="s">
        <v>182</v>
      </c>
    </row>
    <row r="121" spans="1:49" ht="41.1" hidden="1" customHeight="1" outlineLevel="3" x14ac:dyDescent="0.25">
      <c r="A121" s="63" t="str">
        <f t="shared" si="0"/>
        <v>1.1.1.4.1.0</v>
      </c>
      <c r="B121" s="64">
        <v>1</v>
      </c>
      <c r="C121" s="64">
        <v>1</v>
      </c>
      <c r="D121" s="64">
        <v>1</v>
      </c>
      <c r="E121" s="64">
        <v>4</v>
      </c>
      <c r="F121" s="64">
        <v>1</v>
      </c>
      <c r="G121" s="64">
        <v>0</v>
      </c>
      <c r="H121" s="65"/>
      <c r="I121" s="65"/>
      <c r="J121" s="66"/>
      <c r="K121" s="65" t="s">
        <v>183</v>
      </c>
      <c r="L121" s="64" t="s">
        <v>179</v>
      </c>
      <c r="M121" s="64" t="s">
        <v>184</v>
      </c>
      <c r="N121" s="64" t="s">
        <v>185</v>
      </c>
      <c r="O121" s="64" t="s">
        <v>75</v>
      </c>
      <c r="P121" s="69"/>
      <c r="Q121" s="69"/>
      <c r="R121" s="68"/>
      <c r="S121" s="65"/>
      <c r="T121" s="194"/>
      <c r="U121" s="75">
        <v>0</v>
      </c>
      <c r="V121" s="75"/>
      <c r="W121" s="75">
        <v>0</v>
      </c>
      <c r="X121" s="1122">
        <v>0</v>
      </c>
      <c r="Y121" s="75">
        <v>0</v>
      </c>
      <c r="Z121" s="75">
        <v>0</v>
      </c>
      <c r="AA121" s="1122">
        <v>0</v>
      </c>
      <c r="AB121" s="75">
        <v>0</v>
      </c>
      <c r="AC121" s="75">
        <v>0</v>
      </c>
      <c r="AD121" s="1122">
        <v>0</v>
      </c>
      <c r="AE121" s="75">
        <v>0</v>
      </c>
      <c r="AF121" s="75">
        <v>0</v>
      </c>
      <c r="AG121" s="1122">
        <v>0</v>
      </c>
      <c r="AH121" s="505">
        <v>0</v>
      </c>
      <c r="AI121" s="75"/>
      <c r="AJ121" s="75">
        <f>+U121+Y121+AB121+AE121</f>
        <v>0</v>
      </c>
      <c r="AK121" s="75"/>
      <c r="AL121" s="75"/>
      <c r="AM121" s="75"/>
      <c r="AN121" s="98" t="s">
        <v>181</v>
      </c>
      <c r="AO121" s="314"/>
      <c r="AP121" s="314"/>
      <c r="AQ121" s="409"/>
      <c r="AR121" s="98"/>
      <c r="AS121" s="471"/>
      <c r="AT121" s="98"/>
      <c r="AU121" s="646"/>
      <c r="AV121" s="956" t="s">
        <v>186</v>
      </c>
      <c r="AW121" s="1268"/>
    </row>
    <row r="122" spans="1:49" ht="41.1" hidden="1" customHeight="1" outlineLevel="3" x14ac:dyDescent="0.25">
      <c r="A122" s="63" t="str">
        <f t="shared" si="0"/>
        <v>1.1.1.4.2.0</v>
      </c>
      <c r="B122" s="64">
        <v>1</v>
      </c>
      <c r="C122" s="64">
        <v>1</v>
      </c>
      <c r="D122" s="64">
        <v>1</v>
      </c>
      <c r="E122" s="64">
        <v>4</v>
      </c>
      <c r="F122" s="64">
        <v>2</v>
      </c>
      <c r="G122" s="64">
        <v>0</v>
      </c>
      <c r="H122" s="65"/>
      <c r="I122" s="65"/>
      <c r="J122" s="66"/>
      <c r="K122" s="65" t="s">
        <v>188</v>
      </c>
      <c r="L122" s="64" t="s">
        <v>189</v>
      </c>
      <c r="M122" s="68" t="s">
        <v>190</v>
      </c>
      <c r="N122" s="64" t="s">
        <v>191</v>
      </c>
      <c r="O122" s="64" t="s">
        <v>192</v>
      </c>
      <c r="P122" s="69">
        <v>44612</v>
      </c>
      <c r="Q122" s="69">
        <v>44895</v>
      </c>
      <c r="R122" s="64">
        <v>8</v>
      </c>
      <c r="S122" s="65" t="s">
        <v>193</v>
      </c>
      <c r="T122" s="194">
        <v>2</v>
      </c>
      <c r="U122" s="75">
        <v>0</v>
      </c>
      <c r="V122" s="75"/>
      <c r="W122" s="75">
        <v>0</v>
      </c>
      <c r="X122" s="1122">
        <v>0</v>
      </c>
      <c r="Y122" s="75">
        <v>0</v>
      </c>
      <c r="Z122" s="75">
        <v>0</v>
      </c>
      <c r="AA122" s="1122">
        <v>0</v>
      </c>
      <c r="AB122" s="75">
        <v>0</v>
      </c>
      <c r="AC122" s="75">
        <v>0</v>
      </c>
      <c r="AD122" s="1122">
        <v>0</v>
      </c>
      <c r="AE122" s="75">
        <v>0</v>
      </c>
      <c r="AF122" s="75">
        <v>0</v>
      </c>
      <c r="AG122" s="1122">
        <v>0</v>
      </c>
      <c r="AH122" s="505">
        <v>0</v>
      </c>
      <c r="AI122" s="75"/>
      <c r="AJ122" s="75">
        <f t="shared" ref="AJ122:AJ139" si="13">+W122+Z122+AC122+AF122</f>
        <v>0</v>
      </c>
      <c r="AK122" s="75"/>
      <c r="AL122" s="75"/>
      <c r="AM122" s="75"/>
      <c r="AN122" s="98" t="s">
        <v>181</v>
      </c>
      <c r="AO122" s="314"/>
      <c r="AP122" s="314"/>
      <c r="AQ122" s="409"/>
      <c r="AR122" s="98"/>
      <c r="AS122" s="471"/>
      <c r="AT122" s="98"/>
      <c r="AU122" s="646"/>
      <c r="AV122" s="956" t="s">
        <v>186</v>
      </c>
      <c r="AW122" s="1268"/>
    </row>
    <row r="123" spans="1:49" ht="41.1" hidden="1" customHeight="1" outlineLevel="3" x14ac:dyDescent="0.25">
      <c r="A123" s="63" t="str">
        <f t="shared" si="0"/>
        <v>1.1.1.4.3.0</v>
      </c>
      <c r="B123" s="64">
        <v>1</v>
      </c>
      <c r="C123" s="64">
        <v>1</v>
      </c>
      <c r="D123" s="64">
        <v>1</v>
      </c>
      <c r="E123" s="64">
        <v>4</v>
      </c>
      <c r="F123" s="64">
        <v>3</v>
      </c>
      <c r="G123" s="64">
        <v>0</v>
      </c>
      <c r="H123" s="65"/>
      <c r="I123" s="65"/>
      <c r="J123" s="66"/>
      <c r="K123" s="67" t="s">
        <v>194</v>
      </c>
      <c r="L123" s="64" t="s">
        <v>195</v>
      </c>
      <c r="M123" s="68" t="s">
        <v>190</v>
      </c>
      <c r="N123" s="64" t="s">
        <v>191</v>
      </c>
      <c r="O123" s="64" t="s">
        <v>192</v>
      </c>
      <c r="P123" s="69">
        <v>44612</v>
      </c>
      <c r="Q123" s="69">
        <v>44864</v>
      </c>
      <c r="R123" s="64">
        <v>4</v>
      </c>
      <c r="S123" s="65" t="s">
        <v>193</v>
      </c>
      <c r="T123" s="194">
        <v>1</v>
      </c>
      <c r="U123" s="75">
        <v>0</v>
      </c>
      <c r="V123" s="75"/>
      <c r="W123" s="75">
        <v>0</v>
      </c>
      <c r="X123" s="1122">
        <v>0</v>
      </c>
      <c r="Y123" s="75">
        <v>0</v>
      </c>
      <c r="Z123" s="75">
        <v>0</v>
      </c>
      <c r="AA123" s="1122">
        <v>0</v>
      </c>
      <c r="AB123" s="75">
        <v>0</v>
      </c>
      <c r="AC123" s="75">
        <v>0</v>
      </c>
      <c r="AD123" s="1122">
        <v>0</v>
      </c>
      <c r="AE123" s="75">
        <v>0</v>
      </c>
      <c r="AF123" s="75">
        <v>0</v>
      </c>
      <c r="AG123" s="1122">
        <v>0</v>
      </c>
      <c r="AH123" s="505">
        <v>0</v>
      </c>
      <c r="AI123" s="75"/>
      <c r="AJ123" s="75">
        <f t="shared" si="13"/>
        <v>0</v>
      </c>
      <c r="AK123" s="75"/>
      <c r="AL123" s="75"/>
      <c r="AM123" s="75"/>
      <c r="AN123" s="98" t="s">
        <v>181</v>
      </c>
      <c r="AO123" s="314"/>
      <c r="AP123" s="314"/>
      <c r="AQ123" s="409"/>
      <c r="AR123" s="98"/>
      <c r="AS123" s="471"/>
      <c r="AT123" s="98"/>
      <c r="AU123" s="646"/>
      <c r="AV123" s="956" t="s">
        <v>186</v>
      </c>
      <c r="AW123" s="1268"/>
    </row>
    <row r="124" spans="1:49" ht="41.1" hidden="1" customHeight="1" outlineLevel="3" x14ac:dyDescent="0.25">
      <c r="A124" s="63" t="str">
        <f t="shared" si="0"/>
        <v>1.1.1.4.4.0</v>
      </c>
      <c r="B124" s="64">
        <v>1</v>
      </c>
      <c r="C124" s="64">
        <v>1</v>
      </c>
      <c r="D124" s="64">
        <v>1</v>
      </c>
      <c r="E124" s="64">
        <v>4</v>
      </c>
      <c r="F124" s="64">
        <v>4</v>
      </c>
      <c r="G124" s="64">
        <v>0</v>
      </c>
      <c r="H124" s="65"/>
      <c r="I124" s="65"/>
      <c r="J124" s="65"/>
      <c r="K124" s="65" t="s">
        <v>196</v>
      </c>
      <c r="L124" s="64" t="s">
        <v>195</v>
      </c>
      <c r="M124" s="68" t="s">
        <v>197</v>
      </c>
      <c r="N124" s="64" t="s">
        <v>198</v>
      </c>
      <c r="O124" s="64" t="s">
        <v>192</v>
      </c>
      <c r="P124" s="69">
        <v>44805</v>
      </c>
      <c r="Q124" s="69">
        <v>44814</v>
      </c>
      <c r="R124" s="64">
        <v>1</v>
      </c>
      <c r="S124" s="65" t="s">
        <v>193</v>
      </c>
      <c r="T124" s="194"/>
      <c r="U124" s="75">
        <v>0</v>
      </c>
      <c r="V124" s="75"/>
      <c r="W124" s="75">
        <v>0</v>
      </c>
      <c r="X124" s="1122">
        <v>0</v>
      </c>
      <c r="Y124" s="75">
        <v>0</v>
      </c>
      <c r="Z124" s="75">
        <v>0</v>
      </c>
      <c r="AA124" s="1122">
        <v>0</v>
      </c>
      <c r="AB124" s="75">
        <v>0</v>
      </c>
      <c r="AC124" s="75">
        <v>0</v>
      </c>
      <c r="AD124" s="1122">
        <v>0</v>
      </c>
      <c r="AE124" s="75">
        <v>0</v>
      </c>
      <c r="AF124" s="75">
        <v>0</v>
      </c>
      <c r="AG124" s="1122">
        <v>0</v>
      </c>
      <c r="AH124" s="505">
        <v>0</v>
      </c>
      <c r="AI124" s="75"/>
      <c r="AJ124" s="75">
        <f t="shared" si="13"/>
        <v>0</v>
      </c>
      <c r="AK124" s="75"/>
      <c r="AL124" s="75"/>
      <c r="AM124" s="75"/>
      <c r="AN124" s="98" t="s">
        <v>181</v>
      </c>
      <c r="AO124" s="314"/>
      <c r="AP124" s="314"/>
      <c r="AQ124" s="409"/>
      <c r="AR124" s="98"/>
      <c r="AS124" s="471"/>
      <c r="AT124" s="98"/>
      <c r="AU124" s="646"/>
      <c r="AV124" s="956" t="s">
        <v>186</v>
      </c>
      <c r="AW124" s="1268"/>
    </row>
    <row r="125" spans="1:49" ht="41.1" hidden="1" customHeight="1" outlineLevel="3" x14ac:dyDescent="0.25">
      <c r="A125" s="63" t="str">
        <f t="shared" si="0"/>
        <v>1.1.1.4.5.0</v>
      </c>
      <c r="B125" s="64">
        <v>1</v>
      </c>
      <c r="C125" s="64">
        <v>1</v>
      </c>
      <c r="D125" s="64">
        <v>1</v>
      </c>
      <c r="E125" s="64">
        <v>4</v>
      </c>
      <c r="F125" s="64">
        <v>5</v>
      </c>
      <c r="G125" s="64">
        <v>0</v>
      </c>
      <c r="H125" s="65"/>
      <c r="I125" s="65"/>
      <c r="J125" s="66"/>
      <c r="K125" s="67" t="s">
        <v>199</v>
      </c>
      <c r="L125" s="64" t="s">
        <v>195</v>
      </c>
      <c r="M125" s="64" t="s">
        <v>200</v>
      </c>
      <c r="N125" s="64" t="s">
        <v>201</v>
      </c>
      <c r="O125" s="64" t="s">
        <v>202</v>
      </c>
      <c r="P125" s="69">
        <v>44571</v>
      </c>
      <c r="Q125" s="69">
        <v>44925</v>
      </c>
      <c r="R125" s="64"/>
      <c r="S125" s="65" t="s">
        <v>203</v>
      </c>
      <c r="T125" s="194"/>
      <c r="U125" s="75">
        <v>0</v>
      </c>
      <c r="V125" s="75"/>
      <c r="W125" s="75">
        <v>0</v>
      </c>
      <c r="X125" s="1122">
        <v>0</v>
      </c>
      <c r="Y125" s="75">
        <v>0</v>
      </c>
      <c r="Z125" s="75">
        <v>0</v>
      </c>
      <c r="AA125" s="1122">
        <v>0</v>
      </c>
      <c r="AB125" s="75">
        <v>0</v>
      </c>
      <c r="AC125" s="75">
        <v>0</v>
      </c>
      <c r="AD125" s="1122">
        <v>0</v>
      </c>
      <c r="AE125" s="75">
        <v>0</v>
      </c>
      <c r="AF125" s="75">
        <v>0</v>
      </c>
      <c r="AG125" s="1122">
        <v>0</v>
      </c>
      <c r="AH125" s="505">
        <v>0</v>
      </c>
      <c r="AI125" s="75"/>
      <c r="AJ125" s="75">
        <f t="shared" si="13"/>
        <v>0</v>
      </c>
      <c r="AK125" s="75"/>
      <c r="AL125" s="75"/>
      <c r="AM125" s="75"/>
      <c r="AN125" s="98" t="s">
        <v>181</v>
      </c>
      <c r="AO125" s="314"/>
      <c r="AP125" s="314"/>
      <c r="AQ125" s="409"/>
      <c r="AR125" s="98"/>
      <c r="AS125" s="471"/>
      <c r="AT125" s="98"/>
      <c r="AU125" s="646"/>
      <c r="AV125" s="259" t="s">
        <v>204</v>
      </c>
      <c r="AW125" s="1268"/>
    </row>
    <row r="126" spans="1:49" ht="41.1" hidden="1" customHeight="1" outlineLevel="3" x14ac:dyDescent="0.25">
      <c r="A126" s="63" t="str">
        <f t="shared" si="0"/>
        <v>1.1.1.4.6.0</v>
      </c>
      <c r="B126" s="64">
        <v>1</v>
      </c>
      <c r="C126" s="64">
        <v>1</v>
      </c>
      <c r="D126" s="64">
        <v>1</v>
      </c>
      <c r="E126" s="64">
        <v>4</v>
      </c>
      <c r="F126" s="64">
        <v>6</v>
      </c>
      <c r="G126" s="64">
        <v>0</v>
      </c>
      <c r="H126" s="65"/>
      <c r="I126" s="65"/>
      <c r="J126" s="66"/>
      <c r="K126" s="65" t="s">
        <v>205</v>
      </c>
      <c r="L126" s="64" t="s">
        <v>195</v>
      </c>
      <c r="M126" s="64" t="s">
        <v>206</v>
      </c>
      <c r="N126" s="64" t="s">
        <v>201</v>
      </c>
      <c r="O126" s="64" t="s">
        <v>202</v>
      </c>
      <c r="P126" s="69">
        <v>44722</v>
      </c>
      <c r="Q126" s="69">
        <v>44732</v>
      </c>
      <c r="R126" s="64">
        <v>1</v>
      </c>
      <c r="S126" s="65" t="s">
        <v>203</v>
      </c>
      <c r="T126" s="194"/>
      <c r="U126" s="75">
        <v>0</v>
      </c>
      <c r="V126" s="75"/>
      <c r="W126" s="75">
        <v>0</v>
      </c>
      <c r="X126" s="1122">
        <v>0</v>
      </c>
      <c r="Y126" s="75">
        <v>0</v>
      </c>
      <c r="Z126" s="75">
        <v>0</v>
      </c>
      <c r="AA126" s="1122">
        <v>0</v>
      </c>
      <c r="AB126" s="75">
        <v>0</v>
      </c>
      <c r="AC126" s="75">
        <v>0</v>
      </c>
      <c r="AD126" s="1122">
        <v>0</v>
      </c>
      <c r="AE126" s="75">
        <v>0</v>
      </c>
      <c r="AF126" s="75">
        <v>0</v>
      </c>
      <c r="AG126" s="1122">
        <v>0</v>
      </c>
      <c r="AH126" s="505">
        <v>0</v>
      </c>
      <c r="AI126" s="75"/>
      <c r="AJ126" s="75">
        <f t="shared" si="13"/>
        <v>0</v>
      </c>
      <c r="AK126" s="75"/>
      <c r="AL126" s="75"/>
      <c r="AM126" s="75"/>
      <c r="AN126" s="98" t="s">
        <v>181</v>
      </c>
      <c r="AO126" s="314"/>
      <c r="AP126" s="314"/>
      <c r="AQ126" s="409"/>
      <c r="AR126" s="98"/>
      <c r="AS126" s="471"/>
      <c r="AT126" s="98"/>
      <c r="AU126" s="646"/>
      <c r="AV126" s="259" t="s">
        <v>204</v>
      </c>
      <c r="AW126" s="1268"/>
    </row>
    <row r="127" spans="1:49" ht="41.1" hidden="1" customHeight="1" outlineLevel="3" x14ac:dyDescent="0.25">
      <c r="A127" s="63" t="str">
        <f t="shared" si="0"/>
        <v>1.1.1.4.7.0</v>
      </c>
      <c r="B127" s="64">
        <v>1</v>
      </c>
      <c r="C127" s="64">
        <v>1</v>
      </c>
      <c r="D127" s="64">
        <v>1</v>
      </c>
      <c r="E127" s="64">
        <v>4</v>
      </c>
      <c r="F127" s="64">
        <v>7</v>
      </c>
      <c r="G127" s="64">
        <v>0</v>
      </c>
      <c r="H127" s="65"/>
      <c r="I127" s="65"/>
      <c r="J127" s="65"/>
      <c r="K127" s="67" t="s">
        <v>207</v>
      </c>
      <c r="L127" s="64" t="s">
        <v>208</v>
      </c>
      <c r="M127" s="68" t="s">
        <v>197</v>
      </c>
      <c r="N127" s="64" t="s">
        <v>198</v>
      </c>
      <c r="O127" s="64" t="s">
        <v>209</v>
      </c>
      <c r="P127" s="69">
        <v>44612</v>
      </c>
      <c r="Q127" s="69">
        <v>44895</v>
      </c>
      <c r="R127" s="64">
        <v>12</v>
      </c>
      <c r="S127" s="65" t="s">
        <v>193</v>
      </c>
      <c r="T127" s="194">
        <v>3</v>
      </c>
      <c r="U127" s="75">
        <v>0</v>
      </c>
      <c r="V127" s="75"/>
      <c r="W127" s="75">
        <v>0</v>
      </c>
      <c r="X127" s="1122">
        <v>0</v>
      </c>
      <c r="Y127" s="75">
        <v>0</v>
      </c>
      <c r="Z127" s="75">
        <v>0</v>
      </c>
      <c r="AA127" s="1122">
        <v>0</v>
      </c>
      <c r="AB127" s="75">
        <v>0</v>
      </c>
      <c r="AC127" s="75">
        <v>0</v>
      </c>
      <c r="AD127" s="1122">
        <v>0</v>
      </c>
      <c r="AE127" s="75">
        <v>0</v>
      </c>
      <c r="AF127" s="75">
        <v>0</v>
      </c>
      <c r="AG127" s="1122">
        <v>0</v>
      </c>
      <c r="AH127" s="505">
        <v>0</v>
      </c>
      <c r="AI127" s="75"/>
      <c r="AJ127" s="75">
        <f t="shared" si="13"/>
        <v>0</v>
      </c>
      <c r="AK127" s="75"/>
      <c r="AL127" s="75"/>
      <c r="AM127" s="75"/>
      <c r="AN127" s="98" t="s">
        <v>181</v>
      </c>
      <c r="AO127" s="314"/>
      <c r="AP127" s="314"/>
      <c r="AQ127" s="409"/>
      <c r="AR127" s="98"/>
      <c r="AS127" s="471"/>
      <c r="AT127" s="98"/>
      <c r="AU127" s="646"/>
      <c r="AV127" s="343" t="s">
        <v>186</v>
      </c>
      <c r="AW127" s="1268"/>
    </row>
    <row r="128" spans="1:49" ht="41.1" hidden="1" customHeight="1" outlineLevel="3" x14ac:dyDescent="0.25">
      <c r="A128" s="63" t="str">
        <f t="shared" si="0"/>
        <v>1.1.0.4.8.0</v>
      </c>
      <c r="B128" s="64">
        <v>1</v>
      </c>
      <c r="C128" s="64">
        <v>1</v>
      </c>
      <c r="D128" s="64">
        <v>0</v>
      </c>
      <c r="E128" s="64">
        <v>4</v>
      </c>
      <c r="F128" s="64">
        <v>8</v>
      </c>
      <c r="G128" s="64">
        <v>0</v>
      </c>
      <c r="H128" s="65"/>
      <c r="I128" s="65"/>
      <c r="J128" s="66"/>
      <c r="K128" s="65" t="s">
        <v>210</v>
      </c>
      <c r="L128" s="64" t="s">
        <v>179</v>
      </c>
      <c r="M128" s="68" t="s">
        <v>211</v>
      </c>
      <c r="N128" s="65" t="s">
        <v>185</v>
      </c>
      <c r="O128" s="64" t="s">
        <v>75</v>
      </c>
      <c r="P128" s="69">
        <v>44612</v>
      </c>
      <c r="Q128" s="69">
        <v>44895</v>
      </c>
      <c r="R128" s="64">
        <v>8</v>
      </c>
      <c r="S128" s="65" t="s">
        <v>212</v>
      </c>
      <c r="T128" s="194">
        <v>2</v>
      </c>
      <c r="U128" s="75">
        <v>0</v>
      </c>
      <c r="V128" s="75"/>
      <c r="W128" s="75">
        <v>0</v>
      </c>
      <c r="X128" s="1122">
        <v>0</v>
      </c>
      <c r="Y128" s="75">
        <v>0</v>
      </c>
      <c r="Z128" s="75">
        <v>0</v>
      </c>
      <c r="AA128" s="1122">
        <v>0</v>
      </c>
      <c r="AB128" s="75">
        <v>0</v>
      </c>
      <c r="AC128" s="75">
        <v>0</v>
      </c>
      <c r="AD128" s="1122">
        <v>0</v>
      </c>
      <c r="AE128" s="75">
        <v>0</v>
      </c>
      <c r="AF128" s="75">
        <v>0</v>
      </c>
      <c r="AG128" s="1122">
        <v>0</v>
      </c>
      <c r="AH128" s="505">
        <v>0</v>
      </c>
      <c r="AI128" s="75"/>
      <c r="AJ128" s="75">
        <f t="shared" si="13"/>
        <v>0</v>
      </c>
      <c r="AK128" s="75"/>
      <c r="AL128" s="75"/>
      <c r="AM128" s="75"/>
      <c r="AN128" s="98" t="s">
        <v>181</v>
      </c>
      <c r="AO128" s="314"/>
      <c r="AP128" s="314"/>
      <c r="AQ128" s="409"/>
      <c r="AR128" s="98"/>
      <c r="AS128" s="471"/>
      <c r="AT128" s="98"/>
      <c r="AU128" s="646"/>
      <c r="AV128" s="343" t="s">
        <v>213</v>
      </c>
      <c r="AW128" s="1268"/>
    </row>
    <row r="129" spans="1:49" ht="41.1" hidden="1" customHeight="1" outlineLevel="3" x14ac:dyDescent="0.25">
      <c r="A129" s="63" t="str">
        <f t="shared" si="0"/>
        <v>1.1.0.4.9.0</v>
      </c>
      <c r="B129" s="64">
        <v>1</v>
      </c>
      <c r="C129" s="64">
        <v>1</v>
      </c>
      <c r="D129" s="64">
        <v>0</v>
      </c>
      <c r="E129" s="64">
        <v>4</v>
      </c>
      <c r="F129" s="64">
        <v>9</v>
      </c>
      <c r="G129" s="64">
        <v>0</v>
      </c>
      <c r="H129" s="65"/>
      <c r="I129" s="65"/>
      <c r="J129" s="66"/>
      <c r="K129" s="65" t="s">
        <v>214</v>
      </c>
      <c r="L129" s="64" t="s">
        <v>179</v>
      </c>
      <c r="M129" s="68" t="s">
        <v>211</v>
      </c>
      <c r="N129" s="65" t="s">
        <v>185</v>
      </c>
      <c r="O129" s="64" t="s">
        <v>75</v>
      </c>
      <c r="P129" s="69">
        <v>44612</v>
      </c>
      <c r="Q129" s="69">
        <v>44895</v>
      </c>
      <c r="R129" s="64">
        <v>8</v>
      </c>
      <c r="S129" s="65" t="s">
        <v>212</v>
      </c>
      <c r="T129" s="194">
        <v>2</v>
      </c>
      <c r="U129" s="75">
        <v>0</v>
      </c>
      <c r="V129" s="75"/>
      <c r="W129" s="75">
        <v>0</v>
      </c>
      <c r="X129" s="1122">
        <v>0</v>
      </c>
      <c r="Y129" s="75">
        <v>0</v>
      </c>
      <c r="Z129" s="75">
        <v>0</v>
      </c>
      <c r="AA129" s="1122">
        <v>0</v>
      </c>
      <c r="AB129" s="75">
        <v>0</v>
      </c>
      <c r="AC129" s="75">
        <v>0</v>
      </c>
      <c r="AD129" s="1122">
        <v>0</v>
      </c>
      <c r="AE129" s="75">
        <v>0</v>
      </c>
      <c r="AF129" s="75">
        <v>0</v>
      </c>
      <c r="AG129" s="1122">
        <v>0</v>
      </c>
      <c r="AH129" s="505">
        <v>0</v>
      </c>
      <c r="AI129" s="75"/>
      <c r="AJ129" s="75">
        <f t="shared" si="13"/>
        <v>0</v>
      </c>
      <c r="AK129" s="75"/>
      <c r="AL129" s="75"/>
      <c r="AM129" s="75"/>
      <c r="AN129" s="98" t="s">
        <v>181</v>
      </c>
      <c r="AO129" s="314"/>
      <c r="AP129" s="314"/>
      <c r="AQ129" s="409"/>
      <c r="AR129" s="98"/>
      <c r="AS129" s="471"/>
      <c r="AT129" s="98"/>
      <c r="AU129" s="646"/>
      <c r="AV129" s="343" t="s">
        <v>213</v>
      </c>
      <c r="AW129" s="1268"/>
    </row>
    <row r="130" spans="1:49" ht="41.1" hidden="1" customHeight="1" outlineLevel="3" x14ac:dyDescent="0.25">
      <c r="A130" s="63" t="str">
        <f t="shared" si="0"/>
        <v>1.1.0.4.10.0</v>
      </c>
      <c r="B130" s="64">
        <v>1</v>
      </c>
      <c r="C130" s="64">
        <v>1</v>
      </c>
      <c r="D130" s="64">
        <v>0</v>
      </c>
      <c r="E130" s="64">
        <v>4</v>
      </c>
      <c r="F130" s="64">
        <v>10</v>
      </c>
      <c r="G130" s="64">
        <v>0</v>
      </c>
      <c r="H130" s="65"/>
      <c r="I130" s="65"/>
      <c r="J130" s="66"/>
      <c r="K130" s="65" t="s">
        <v>215</v>
      </c>
      <c r="L130" s="64" t="s">
        <v>179</v>
      </c>
      <c r="M130" s="68" t="s">
        <v>211</v>
      </c>
      <c r="N130" s="65" t="s">
        <v>185</v>
      </c>
      <c r="O130" s="64" t="s">
        <v>75</v>
      </c>
      <c r="P130" s="69">
        <v>44612</v>
      </c>
      <c r="Q130" s="69">
        <v>44895</v>
      </c>
      <c r="R130" s="64">
        <v>8</v>
      </c>
      <c r="S130" s="65" t="s">
        <v>212</v>
      </c>
      <c r="T130" s="194">
        <v>2</v>
      </c>
      <c r="U130" s="75">
        <v>0</v>
      </c>
      <c r="V130" s="75"/>
      <c r="W130" s="75">
        <v>0</v>
      </c>
      <c r="X130" s="1122">
        <v>0</v>
      </c>
      <c r="Y130" s="75">
        <v>0</v>
      </c>
      <c r="Z130" s="75">
        <v>0</v>
      </c>
      <c r="AA130" s="1122">
        <v>0</v>
      </c>
      <c r="AB130" s="75">
        <v>0</v>
      </c>
      <c r="AC130" s="75">
        <v>0</v>
      </c>
      <c r="AD130" s="1122">
        <v>0</v>
      </c>
      <c r="AE130" s="75">
        <v>0</v>
      </c>
      <c r="AF130" s="75">
        <v>0</v>
      </c>
      <c r="AG130" s="1122">
        <v>0</v>
      </c>
      <c r="AH130" s="505">
        <v>0</v>
      </c>
      <c r="AI130" s="75"/>
      <c r="AJ130" s="75">
        <f t="shared" si="13"/>
        <v>0</v>
      </c>
      <c r="AK130" s="75"/>
      <c r="AL130" s="75"/>
      <c r="AM130" s="75"/>
      <c r="AN130" s="98" t="s">
        <v>181</v>
      </c>
      <c r="AO130" s="314"/>
      <c r="AP130" s="314"/>
      <c r="AQ130" s="409"/>
      <c r="AR130" s="98"/>
      <c r="AS130" s="471"/>
      <c r="AT130" s="98"/>
      <c r="AU130" s="646"/>
      <c r="AV130" s="343" t="s">
        <v>213</v>
      </c>
      <c r="AW130" s="1268"/>
    </row>
    <row r="131" spans="1:49" ht="41.1" hidden="1" customHeight="1" outlineLevel="3" x14ac:dyDescent="0.25">
      <c r="A131" s="63" t="str">
        <f t="shared" si="0"/>
        <v>1.1.0.4.11.0</v>
      </c>
      <c r="B131" s="64">
        <v>1</v>
      </c>
      <c r="C131" s="64">
        <v>1</v>
      </c>
      <c r="D131" s="64">
        <v>0</v>
      </c>
      <c r="E131" s="64">
        <v>4</v>
      </c>
      <c r="F131" s="64">
        <v>11</v>
      </c>
      <c r="G131" s="64">
        <v>0</v>
      </c>
      <c r="H131" s="65"/>
      <c r="I131" s="65"/>
      <c r="J131" s="66"/>
      <c r="K131" s="65" t="s">
        <v>216</v>
      </c>
      <c r="L131" s="64" t="s">
        <v>179</v>
      </c>
      <c r="M131" s="68" t="s">
        <v>211</v>
      </c>
      <c r="N131" s="65" t="s">
        <v>185</v>
      </c>
      <c r="O131" s="64" t="s">
        <v>75</v>
      </c>
      <c r="P131" s="69">
        <v>44612</v>
      </c>
      <c r="Q131" s="69">
        <v>44895</v>
      </c>
      <c r="R131" s="64">
        <v>8</v>
      </c>
      <c r="S131" s="65" t="s">
        <v>212</v>
      </c>
      <c r="T131" s="194">
        <v>2</v>
      </c>
      <c r="U131" s="75">
        <v>0</v>
      </c>
      <c r="V131" s="75"/>
      <c r="W131" s="75">
        <v>0</v>
      </c>
      <c r="X131" s="1122">
        <v>0</v>
      </c>
      <c r="Y131" s="75">
        <v>0</v>
      </c>
      <c r="Z131" s="75">
        <v>0</v>
      </c>
      <c r="AA131" s="1122">
        <v>0</v>
      </c>
      <c r="AB131" s="75">
        <v>0</v>
      </c>
      <c r="AC131" s="75">
        <v>0</v>
      </c>
      <c r="AD131" s="1122">
        <v>0</v>
      </c>
      <c r="AE131" s="75">
        <v>0</v>
      </c>
      <c r="AF131" s="75">
        <v>0</v>
      </c>
      <c r="AG131" s="1122">
        <v>0</v>
      </c>
      <c r="AH131" s="505">
        <v>0</v>
      </c>
      <c r="AI131" s="75"/>
      <c r="AJ131" s="75">
        <f t="shared" si="13"/>
        <v>0</v>
      </c>
      <c r="AK131" s="75"/>
      <c r="AL131" s="75"/>
      <c r="AM131" s="75"/>
      <c r="AN131" s="98" t="s">
        <v>181</v>
      </c>
      <c r="AO131" s="314"/>
      <c r="AP131" s="314"/>
      <c r="AQ131" s="409"/>
      <c r="AR131" s="98"/>
      <c r="AS131" s="471"/>
      <c r="AT131" s="98"/>
      <c r="AU131" s="646"/>
      <c r="AV131" s="343" t="s">
        <v>213</v>
      </c>
      <c r="AW131" s="1268"/>
    </row>
    <row r="132" spans="1:49" ht="41.1" hidden="1" customHeight="1" outlineLevel="3" x14ac:dyDescent="0.25">
      <c r="A132" s="63" t="str">
        <f t="shared" si="0"/>
        <v>1.1.0.4.12.0</v>
      </c>
      <c r="B132" s="64">
        <v>1</v>
      </c>
      <c r="C132" s="64">
        <v>1</v>
      </c>
      <c r="D132" s="64">
        <v>0</v>
      </c>
      <c r="E132" s="64">
        <v>4</v>
      </c>
      <c r="F132" s="64">
        <v>12</v>
      </c>
      <c r="G132" s="64">
        <v>0</v>
      </c>
      <c r="H132" s="65"/>
      <c r="I132" s="65"/>
      <c r="J132" s="66"/>
      <c r="K132" s="65" t="s">
        <v>217</v>
      </c>
      <c r="L132" s="64" t="s">
        <v>179</v>
      </c>
      <c r="M132" s="68" t="s">
        <v>211</v>
      </c>
      <c r="N132" s="65" t="s">
        <v>185</v>
      </c>
      <c r="O132" s="64" t="s">
        <v>75</v>
      </c>
      <c r="P132" s="69">
        <v>44612</v>
      </c>
      <c r="Q132" s="69">
        <v>44895</v>
      </c>
      <c r="R132" s="64">
        <v>8</v>
      </c>
      <c r="S132" s="65" t="s">
        <v>212</v>
      </c>
      <c r="T132" s="194">
        <v>2</v>
      </c>
      <c r="U132" s="75">
        <v>0</v>
      </c>
      <c r="V132" s="75"/>
      <c r="W132" s="75">
        <v>0</v>
      </c>
      <c r="X132" s="1122">
        <v>0</v>
      </c>
      <c r="Y132" s="75">
        <v>0</v>
      </c>
      <c r="Z132" s="75">
        <v>0</v>
      </c>
      <c r="AA132" s="1122">
        <v>0</v>
      </c>
      <c r="AB132" s="75">
        <v>0</v>
      </c>
      <c r="AC132" s="75">
        <v>0</v>
      </c>
      <c r="AD132" s="1122">
        <v>0</v>
      </c>
      <c r="AE132" s="75">
        <v>0</v>
      </c>
      <c r="AF132" s="75">
        <v>0</v>
      </c>
      <c r="AG132" s="1122">
        <v>0</v>
      </c>
      <c r="AH132" s="505">
        <v>0</v>
      </c>
      <c r="AI132" s="75"/>
      <c r="AJ132" s="75">
        <f t="shared" si="13"/>
        <v>0</v>
      </c>
      <c r="AK132" s="75"/>
      <c r="AL132" s="75"/>
      <c r="AM132" s="75"/>
      <c r="AN132" s="98" t="s">
        <v>181</v>
      </c>
      <c r="AO132" s="314"/>
      <c r="AP132" s="314"/>
      <c r="AQ132" s="409"/>
      <c r="AR132" s="98"/>
      <c r="AS132" s="471"/>
      <c r="AT132" s="98"/>
      <c r="AU132" s="646"/>
      <c r="AV132" s="343" t="s">
        <v>213</v>
      </c>
      <c r="AW132" s="1268"/>
    </row>
    <row r="133" spans="1:49" ht="41.1" hidden="1" customHeight="1" outlineLevel="3" x14ac:dyDescent="0.25">
      <c r="A133" s="63" t="str">
        <f t="shared" si="0"/>
        <v>1.1.0.4.13.0</v>
      </c>
      <c r="B133" s="64">
        <v>1</v>
      </c>
      <c r="C133" s="64">
        <v>1</v>
      </c>
      <c r="D133" s="64">
        <v>0</v>
      </c>
      <c r="E133" s="64">
        <v>4</v>
      </c>
      <c r="F133" s="64">
        <v>13</v>
      </c>
      <c r="G133" s="64">
        <v>0</v>
      </c>
      <c r="H133" s="65"/>
      <c r="I133" s="65"/>
      <c r="J133" s="66"/>
      <c r="K133" s="65" t="s">
        <v>218</v>
      </c>
      <c r="L133" s="64" t="s">
        <v>179</v>
      </c>
      <c r="M133" s="68" t="s">
        <v>211</v>
      </c>
      <c r="N133" s="65" t="s">
        <v>185</v>
      </c>
      <c r="O133" s="64" t="s">
        <v>75</v>
      </c>
      <c r="P133" s="69">
        <v>44612</v>
      </c>
      <c r="Q133" s="69">
        <v>44895</v>
      </c>
      <c r="R133" s="64">
        <v>8</v>
      </c>
      <c r="S133" s="65" t="s">
        <v>212</v>
      </c>
      <c r="T133" s="194">
        <v>2</v>
      </c>
      <c r="U133" s="75">
        <v>0</v>
      </c>
      <c r="V133" s="75"/>
      <c r="W133" s="75">
        <v>0</v>
      </c>
      <c r="X133" s="1122">
        <v>0</v>
      </c>
      <c r="Y133" s="75">
        <v>0</v>
      </c>
      <c r="Z133" s="75">
        <v>0</v>
      </c>
      <c r="AA133" s="1122">
        <v>0</v>
      </c>
      <c r="AB133" s="75">
        <v>0</v>
      </c>
      <c r="AC133" s="75">
        <v>0</v>
      </c>
      <c r="AD133" s="1122">
        <v>0</v>
      </c>
      <c r="AE133" s="75">
        <v>0</v>
      </c>
      <c r="AF133" s="75">
        <v>0</v>
      </c>
      <c r="AG133" s="1122">
        <v>0</v>
      </c>
      <c r="AH133" s="505">
        <v>0</v>
      </c>
      <c r="AI133" s="75"/>
      <c r="AJ133" s="75">
        <f t="shared" si="13"/>
        <v>0</v>
      </c>
      <c r="AK133" s="75"/>
      <c r="AL133" s="75"/>
      <c r="AM133" s="75"/>
      <c r="AN133" s="98" t="s">
        <v>181</v>
      </c>
      <c r="AO133" s="314"/>
      <c r="AP133" s="314"/>
      <c r="AQ133" s="409"/>
      <c r="AR133" s="98"/>
      <c r="AS133" s="471"/>
      <c r="AT133" s="98"/>
      <c r="AU133" s="646"/>
      <c r="AV133" s="343" t="s">
        <v>213</v>
      </c>
      <c r="AW133" s="1268"/>
    </row>
    <row r="134" spans="1:49" ht="41.1" hidden="1" customHeight="1" outlineLevel="3" x14ac:dyDescent="0.25">
      <c r="A134" s="63" t="str">
        <f t="shared" si="0"/>
        <v>1.1.0.4.14.0</v>
      </c>
      <c r="B134" s="64">
        <v>1</v>
      </c>
      <c r="C134" s="64">
        <v>1</v>
      </c>
      <c r="D134" s="64">
        <v>0</v>
      </c>
      <c r="E134" s="64">
        <v>4</v>
      </c>
      <c r="F134" s="64">
        <v>14</v>
      </c>
      <c r="G134" s="64">
        <v>0</v>
      </c>
      <c r="H134" s="65"/>
      <c r="I134" s="65"/>
      <c r="J134" s="66"/>
      <c r="K134" s="65" t="s">
        <v>219</v>
      </c>
      <c r="L134" s="64" t="s">
        <v>179</v>
      </c>
      <c r="M134" s="68" t="s">
        <v>211</v>
      </c>
      <c r="N134" s="65" t="s">
        <v>185</v>
      </c>
      <c r="O134" s="64" t="s">
        <v>75</v>
      </c>
      <c r="P134" s="69">
        <v>44612</v>
      </c>
      <c r="Q134" s="69">
        <v>44895</v>
      </c>
      <c r="R134" s="64">
        <v>8</v>
      </c>
      <c r="S134" s="65" t="s">
        <v>212</v>
      </c>
      <c r="T134" s="194">
        <v>2</v>
      </c>
      <c r="U134" s="75">
        <v>0</v>
      </c>
      <c r="V134" s="75"/>
      <c r="W134" s="75">
        <v>0</v>
      </c>
      <c r="X134" s="1122">
        <v>0</v>
      </c>
      <c r="Y134" s="75">
        <v>0</v>
      </c>
      <c r="Z134" s="75">
        <v>0</v>
      </c>
      <c r="AA134" s="1122">
        <v>0</v>
      </c>
      <c r="AB134" s="75">
        <v>0</v>
      </c>
      <c r="AC134" s="75">
        <v>0</v>
      </c>
      <c r="AD134" s="1122">
        <v>0</v>
      </c>
      <c r="AE134" s="75">
        <v>0</v>
      </c>
      <c r="AF134" s="75">
        <v>0</v>
      </c>
      <c r="AG134" s="1122">
        <v>0</v>
      </c>
      <c r="AH134" s="505">
        <v>0</v>
      </c>
      <c r="AI134" s="75"/>
      <c r="AJ134" s="75">
        <f t="shared" si="13"/>
        <v>0</v>
      </c>
      <c r="AK134" s="75"/>
      <c r="AL134" s="75"/>
      <c r="AM134" s="75"/>
      <c r="AN134" s="98" t="s">
        <v>181</v>
      </c>
      <c r="AO134" s="314"/>
      <c r="AP134" s="314"/>
      <c r="AQ134" s="409"/>
      <c r="AR134" s="98"/>
      <c r="AS134" s="471"/>
      <c r="AT134" s="98"/>
      <c r="AU134" s="646"/>
      <c r="AV134" s="343" t="s">
        <v>213</v>
      </c>
      <c r="AW134" s="1268"/>
    </row>
    <row r="135" spans="1:49" ht="41.1" hidden="1" customHeight="1" outlineLevel="3" x14ac:dyDescent="0.25">
      <c r="A135" s="63" t="str">
        <f t="shared" si="0"/>
        <v>1.1.0.4.15.0</v>
      </c>
      <c r="B135" s="64">
        <v>1</v>
      </c>
      <c r="C135" s="64">
        <v>1</v>
      </c>
      <c r="D135" s="64">
        <v>0</v>
      </c>
      <c r="E135" s="64">
        <v>4</v>
      </c>
      <c r="F135" s="64">
        <v>15</v>
      </c>
      <c r="G135" s="64">
        <v>0</v>
      </c>
      <c r="H135" s="65"/>
      <c r="I135" s="65"/>
      <c r="J135" s="66"/>
      <c r="K135" s="65" t="s">
        <v>1808</v>
      </c>
      <c r="L135" s="64" t="s">
        <v>179</v>
      </c>
      <c r="M135" s="68" t="s">
        <v>211</v>
      </c>
      <c r="N135" s="65" t="s">
        <v>185</v>
      </c>
      <c r="O135" s="64" t="s">
        <v>75</v>
      </c>
      <c r="P135" s="69">
        <v>44612</v>
      </c>
      <c r="Q135" s="69">
        <v>44895</v>
      </c>
      <c r="R135" s="64">
        <v>8</v>
      </c>
      <c r="S135" s="65" t="s">
        <v>212</v>
      </c>
      <c r="T135" s="194">
        <v>2</v>
      </c>
      <c r="U135" s="75">
        <v>0</v>
      </c>
      <c r="V135" s="75"/>
      <c r="W135" s="75">
        <v>0</v>
      </c>
      <c r="X135" s="1122">
        <v>0</v>
      </c>
      <c r="Y135" s="75">
        <v>0</v>
      </c>
      <c r="Z135" s="75">
        <v>0</v>
      </c>
      <c r="AA135" s="1122">
        <v>0</v>
      </c>
      <c r="AB135" s="75">
        <v>0</v>
      </c>
      <c r="AC135" s="75">
        <v>0</v>
      </c>
      <c r="AD135" s="1122">
        <v>0</v>
      </c>
      <c r="AE135" s="75">
        <v>0</v>
      </c>
      <c r="AF135" s="75">
        <v>0</v>
      </c>
      <c r="AG135" s="1122">
        <v>0</v>
      </c>
      <c r="AH135" s="505">
        <v>0</v>
      </c>
      <c r="AI135" s="75"/>
      <c r="AJ135" s="75">
        <f t="shared" si="13"/>
        <v>0</v>
      </c>
      <c r="AK135" s="75"/>
      <c r="AL135" s="75"/>
      <c r="AM135" s="75"/>
      <c r="AN135" s="98" t="s">
        <v>181</v>
      </c>
      <c r="AO135" s="314"/>
      <c r="AP135" s="314"/>
      <c r="AQ135" s="409"/>
      <c r="AR135" s="98"/>
      <c r="AS135" s="471"/>
      <c r="AT135" s="98"/>
      <c r="AU135" s="646"/>
      <c r="AV135" s="343" t="s">
        <v>213</v>
      </c>
      <c r="AW135" s="1268"/>
    </row>
    <row r="136" spans="1:49" ht="41.1" hidden="1" customHeight="1" outlineLevel="3" x14ac:dyDescent="0.25">
      <c r="A136" s="63" t="str">
        <f t="shared" si="0"/>
        <v>1.1.0.4.16.0</v>
      </c>
      <c r="B136" s="64">
        <v>1</v>
      </c>
      <c r="C136" s="64">
        <v>1</v>
      </c>
      <c r="D136" s="64">
        <v>0</v>
      </c>
      <c r="E136" s="64">
        <v>4</v>
      </c>
      <c r="F136" s="64">
        <v>16</v>
      </c>
      <c r="G136" s="64">
        <v>0</v>
      </c>
      <c r="H136" s="65"/>
      <c r="I136" s="65"/>
      <c r="J136" s="66"/>
      <c r="K136" s="65" t="s">
        <v>1805</v>
      </c>
      <c r="L136" s="64" t="s">
        <v>179</v>
      </c>
      <c r="M136" s="68" t="s">
        <v>211</v>
      </c>
      <c r="N136" s="65" t="s">
        <v>185</v>
      </c>
      <c r="O136" s="64" t="s">
        <v>75</v>
      </c>
      <c r="P136" s="69">
        <v>44612</v>
      </c>
      <c r="Q136" s="69">
        <v>44895</v>
      </c>
      <c r="R136" s="64">
        <v>8</v>
      </c>
      <c r="S136" s="65" t="s">
        <v>212</v>
      </c>
      <c r="T136" s="194">
        <v>2</v>
      </c>
      <c r="U136" s="75">
        <v>0</v>
      </c>
      <c r="V136" s="75"/>
      <c r="W136" s="75">
        <v>0</v>
      </c>
      <c r="X136" s="1122">
        <v>0</v>
      </c>
      <c r="Y136" s="75">
        <v>0</v>
      </c>
      <c r="Z136" s="75">
        <v>0</v>
      </c>
      <c r="AA136" s="1122">
        <v>0</v>
      </c>
      <c r="AB136" s="75">
        <v>0</v>
      </c>
      <c r="AC136" s="75">
        <v>0</v>
      </c>
      <c r="AD136" s="1122">
        <v>0</v>
      </c>
      <c r="AE136" s="75">
        <v>0</v>
      </c>
      <c r="AF136" s="75">
        <v>0</v>
      </c>
      <c r="AG136" s="1122">
        <v>0</v>
      </c>
      <c r="AH136" s="505">
        <v>0</v>
      </c>
      <c r="AI136" s="75"/>
      <c r="AJ136" s="75">
        <f t="shared" si="13"/>
        <v>0</v>
      </c>
      <c r="AK136" s="75"/>
      <c r="AL136" s="75"/>
      <c r="AM136" s="75"/>
      <c r="AN136" s="98" t="s">
        <v>181</v>
      </c>
      <c r="AO136" s="314"/>
      <c r="AP136" s="314"/>
      <c r="AQ136" s="409"/>
      <c r="AR136" s="98"/>
      <c r="AS136" s="471"/>
      <c r="AT136" s="98"/>
      <c r="AU136" s="646"/>
      <c r="AV136" s="343" t="s">
        <v>213</v>
      </c>
      <c r="AW136" s="1268"/>
    </row>
    <row r="137" spans="1:49" ht="41.1" hidden="1" customHeight="1" outlineLevel="3" x14ac:dyDescent="0.25">
      <c r="A137" s="63" t="str">
        <f t="shared" si="0"/>
        <v>1.1.0.4.17.0</v>
      </c>
      <c r="B137" s="64">
        <v>1</v>
      </c>
      <c r="C137" s="64">
        <v>1</v>
      </c>
      <c r="D137" s="64">
        <v>0</v>
      </c>
      <c r="E137" s="64">
        <v>4</v>
      </c>
      <c r="F137" s="64">
        <v>17</v>
      </c>
      <c r="G137" s="64">
        <v>0</v>
      </c>
      <c r="H137" s="65"/>
      <c r="I137" s="65"/>
      <c r="J137" s="66"/>
      <c r="K137" s="65" t="s">
        <v>1807</v>
      </c>
      <c r="L137" s="64" t="s">
        <v>179</v>
      </c>
      <c r="M137" s="68" t="s">
        <v>211</v>
      </c>
      <c r="N137" s="65" t="s">
        <v>185</v>
      </c>
      <c r="O137" s="64" t="s">
        <v>75</v>
      </c>
      <c r="P137" s="69">
        <v>44612</v>
      </c>
      <c r="Q137" s="69">
        <v>44895</v>
      </c>
      <c r="R137" s="64">
        <v>8</v>
      </c>
      <c r="S137" s="65" t="s">
        <v>212</v>
      </c>
      <c r="T137" s="194">
        <v>2</v>
      </c>
      <c r="U137" s="75">
        <v>0</v>
      </c>
      <c r="V137" s="75"/>
      <c r="W137" s="75">
        <v>0</v>
      </c>
      <c r="X137" s="1122">
        <v>0</v>
      </c>
      <c r="Y137" s="75">
        <v>0</v>
      </c>
      <c r="Z137" s="75">
        <v>0</v>
      </c>
      <c r="AA137" s="1122">
        <v>0</v>
      </c>
      <c r="AB137" s="75">
        <v>0</v>
      </c>
      <c r="AC137" s="75">
        <v>0</v>
      </c>
      <c r="AD137" s="1122">
        <v>0</v>
      </c>
      <c r="AE137" s="75">
        <v>0</v>
      </c>
      <c r="AF137" s="75">
        <v>0</v>
      </c>
      <c r="AG137" s="1122">
        <v>0</v>
      </c>
      <c r="AH137" s="505">
        <v>0</v>
      </c>
      <c r="AI137" s="75"/>
      <c r="AJ137" s="75">
        <f t="shared" si="13"/>
        <v>0</v>
      </c>
      <c r="AK137" s="75"/>
      <c r="AL137" s="75"/>
      <c r="AM137" s="75"/>
      <c r="AN137" s="98" t="s">
        <v>181</v>
      </c>
      <c r="AO137" s="314"/>
      <c r="AP137" s="314"/>
      <c r="AQ137" s="409"/>
      <c r="AR137" s="98"/>
      <c r="AS137" s="471"/>
      <c r="AT137" s="98"/>
      <c r="AU137" s="646"/>
      <c r="AV137" s="343" t="s">
        <v>1789</v>
      </c>
      <c r="AW137" s="1268"/>
    </row>
    <row r="138" spans="1:49" ht="54.6" hidden="1" customHeight="1" outlineLevel="3" x14ac:dyDescent="0.25">
      <c r="A138" s="63" t="str">
        <f t="shared" si="0"/>
        <v>1.1.0.4.18.0</v>
      </c>
      <c r="B138" s="64">
        <v>1</v>
      </c>
      <c r="C138" s="64">
        <v>1</v>
      </c>
      <c r="D138" s="64">
        <v>0</v>
      </c>
      <c r="E138" s="64">
        <v>4</v>
      </c>
      <c r="F138" s="64">
        <v>18</v>
      </c>
      <c r="G138" s="64">
        <v>0</v>
      </c>
      <c r="H138" s="65"/>
      <c r="I138" s="65"/>
      <c r="J138" s="66"/>
      <c r="K138" s="67" t="s">
        <v>1813</v>
      </c>
      <c r="L138" s="64" t="s">
        <v>75</v>
      </c>
      <c r="M138" s="64" t="s">
        <v>220</v>
      </c>
      <c r="N138" s="64" t="s">
        <v>221</v>
      </c>
      <c r="O138" s="64" t="s">
        <v>75</v>
      </c>
      <c r="P138" s="69"/>
      <c r="Q138" s="69"/>
      <c r="R138" s="64">
        <v>10</v>
      </c>
      <c r="S138" s="65" t="s">
        <v>212</v>
      </c>
      <c r="T138" s="194">
        <v>2</v>
      </c>
      <c r="U138" s="75">
        <v>0</v>
      </c>
      <c r="V138" s="75"/>
      <c r="W138" s="75">
        <v>0</v>
      </c>
      <c r="X138" s="1122">
        <v>0</v>
      </c>
      <c r="Y138" s="75">
        <v>0</v>
      </c>
      <c r="Z138" s="75">
        <v>0</v>
      </c>
      <c r="AA138" s="1122">
        <v>0</v>
      </c>
      <c r="AB138" s="75">
        <v>0</v>
      </c>
      <c r="AC138" s="75">
        <v>0</v>
      </c>
      <c r="AD138" s="1122">
        <v>0</v>
      </c>
      <c r="AE138" s="75">
        <v>0</v>
      </c>
      <c r="AF138" s="75">
        <v>0</v>
      </c>
      <c r="AG138" s="1122">
        <v>0</v>
      </c>
      <c r="AH138" s="505">
        <v>0</v>
      </c>
      <c r="AI138" s="75"/>
      <c r="AJ138" s="75">
        <f t="shared" si="13"/>
        <v>0</v>
      </c>
      <c r="AK138" s="75"/>
      <c r="AL138" s="75"/>
      <c r="AM138" s="75"/>
      <c r="AN138" s="98" t="s">
        <v>181</v>
      </c>
      <c r="AO138" s="314"/>
      <c r="AP138" s="314"/>
      <c r="AQ138" s="409"/>
      <c r="AR138" s="98"/>
      <c r="AS138" s="471"/>
      <c r="AT138" s="98"/>
      <c r="AU138" s="646"/>
      <c r="AV138" s="343" t="s">
        <v>1789</v>
      </c>
      <c r="AW138" s="1268"/>
    </row>
    <row r="139" spans="1:49" s="107" customFormat="1" ht="54.6" hidden="1" customHeight="1" outlineLevel="3" x14ac:dyDescent="0.25">
      <c r="A139" s="99" t="str">
        <f t="shared" si="0"/>
        <v>1.1.0.4.19.0</v>
      </c>
      <c r="B139" s="100">
        <v>1</v>
      </c>
      <c r="C139" s="100">
        <v>1</v>
      </c>
      <c r="D139" s="100">
        <v>0</v>
      </c>
      <c r="E139" s="100">
        <v>4</v>
      </c>
      <c r="F139" s="100">
        <v>19</v>
      </c>
      <c r="G139" s="100">
        <v>0</v>
      </c>
      <c r="H139" s="101"/>
      <c r="I139" s="101"/>
      <c r="J139" s="102"/>
      <c r="K139" s="103" t="s">
        <v>1806</v>
      </c>
      <c r="L139" s="100" t="s">
        <v>75</v>
      </c>
      <c r="M139" s="100" t="s">
        <v>184</v>
      </c>
      <c r="N139" s="100" t="s">
        <v>221</v>
      </c>
      <c r="O139" s="100" t="s">
        <v>75</v>
      </c>
      <c r="P139" s="104"/>
      <c r="Q139" s="104"/>
      <c r="R139" s="100">
        <v>2</v>
      </c>
      <c r="S139" s="101" t="s">
        <v>222</v>
      </c>
      <c r="T139" s="1182"/>
      <c r="U139" s="75">
        <v>0</v>
      </c>
      <c r="V139" s="75"/>
      <c r="W139" s="75">
        <v>0</v>
      </c>
      <c r="X139" s="1122">
        <v>0</v>
      </c>
      <c r="Y139" s="75">
        <v>0</v>
      </c>
      <c r="Z139" s="75">
        <v>0</v>
      </c>
      <c r="AA139" s="1122">
        <v>0</v>
      </c>
      <c r="AB139" s="75">
        <v>0</v>
      </c>
      <c r="AC139" s="75">
        <v>0</v>
      </c>
      <c r="AD139" s="1122">
        <v>0</v>
      </c>
      <c r="AE139" s="75">
        <v>0</v>
      </c>
      <c r="AF139" s="75">
        <v>0</v>
      </c>
      <c r="AG139" s="1122">
        <v>0</v>
      </c>
      <c r="AH139" s="505">
        <v>0</v>
      </c>
      <c r="AI139" s="105"/>
      <c r="AJ139" s="75">
        <f t="shared" si="13"/>
        <v>0</v>
      </c>
      <c r="AK139" s="105"/>
      <c r="AL139" s="105"/>
      <c r="AM139" s="105"/>
      <c r="AN139" s="106" t="s">
        <v>181</v>
      </c>
      <c r="AO139" s="315"/>
      <c r="AP139" s="315"/>
      <c r="AQ139" s="410"/>
      <c r="AR139" s="106"/>
      <c r="AS139" s="472"/>
      <c r="AT139" s="106"/>
      <c r="AU139" s="662"/>
      <c r="AV139" s="344" t="s">
        <v>1789</v>
      </c>
      <c r="AW139" s="1268"/>
    </row>
    <row r="140" spans="1:49" ht="21" customHeight="1" outlineLevel="1" x14ac:dyDescent="0.25">
      <c r="A140" s="108" t="str">
        <f t="shared" si="0"/>
        <v>1.2.1.2.0.0</v>
      </c>
      <c r="B140" s="109">
        <v>1</v>
      </c>
      <c r="C140" s="109">
        <v>2</v>
      </c>
      <c r="D140" s="109">
        <v>1</v>
      </c>
      <c r="E140" s="109">
        <v>2</v>
      </c>
      <c r="F140" s="109">
        <v>0</v>
      </c>
      <c r="G140" s="109">
        <v>0</v>
      </c>
      <c r="H140" s="110"/>
      <c r="I140" s="1258" t="s">
        <v>223</v>
      </c>
      <c r="J140" s="1258"/>
      <c r="K140" s="1258"/>
      <c r="L140" s="109" t="s">
        <v>224</v>
      </c>
      <c r="M140" s="109" t="s">
        <v>225</v>
      </c>
      <c r="N140" s="109" t="s">
        <v>226</v>
      </c>
      <c r="O140" s="109" t="s">
        <v>72</v>
      </c>
      <c r="P140" s="111" t="s">
        <v>227</v>
      </c>
      <c r="Q140" s="111" t="s">
        <v>227</v>
      </c>
      <c r="R140" s="109"/>
      <c r="S140" s="110"/>
      <c r="T140" s="1183">
        <f>+T141</f>
        <v>0</v>
      </c>
      <c r="U140" s="112">
        <f>+U141</f>
        <v>0</v>
      </c>
      <c r="V140" s="1231">
        <f>+U140/56</f>
        <v>0</v>
      </c>
      <c r="W140" s="112">
        <f t="shared" ref="W140:AJ140" si="14">+W141</f>
        <v>0</v>
      </c>
      <c r="X140" s="1116">
        <f t="shared" si="14"/>
        <v>0</v>
      </c>
      <c r="Y140" s="112">
        <f t="shared" si="14"/>
        <v>1025140</v>
      </c>
      <c r="Z140" s="112">
        <f t="shared" si="14"/>
        <v>0</v>
      </c>
      <c r="AA140" s="1116">
        <f t="shared" si="14"/>
        <v>0</v>
      </c>
      <c r="AB140" s="112">
        <f>+AB141</f>
        <v>1025140</v>
      </c>
      <c r="AC140" s="112">
        <f t="shared" si="14"/>
        <v>0</v>
      </c>
      <c r="AD140" s="1116">
        <f t="shared" si="14"/>
        <v>0</v>
      </c>
      <c r="AE140" s="112">
        <f t="shared" si="14"/>
        <v>0</v>
      </c>
      <c r="AF140" s="112">
        <f t="shared" si="14"/>
        <v>0</v>
      </c>
      <c r="AG140" s="1116">
        <f t="shared" si="14"/>
        <v>0</v>
      </c>
      <c r="AH140" s="112">
        <f>+AH141</f>
        <v>2050280</v>
      </c>
      <c r="AI140" s="374">
        <f t="shared" si="14"/>
        <v>0</v>
      </c>
      <c r="AJ140" s="374">
        <f t="shared" si="14"/>
        <v>823514.28</v>
      </c>
      <c r="AK140" s="112"/>
      <c r="AL140" s="112"/>
      <c r="AM140" s="112"/>
      <c r="AN140" s="109" t="s">
        <v>39</v>
      </c>
      <c r="AO140" s="109"/>
      <c r="AP140" s="109"/>
      <c r="AQ140" s="411"/>
      <c r="AR140" s="109"/>
      <c r="AS140" s="473"/>
      <c r="AT140" s="109"/>
      <c r="AU140" s="659"/>
      <c r="AV140" s="374">
        <f t="shared" ref="AV140" si="15">+AV141</f>
        <v>0</v>
      </c>
      <c r="AW140" s="429"/>
    </row>
    <row r="141" spans="1:49" ht="18.600000000000001" customHeight="1" outlineLevel="1" collapsed="1" x14ac:dyDescent="0.25">
      <c r="A141" s="80" t="str">
        <f t="shared" si="0"/>
        <v>1.2.1.3.0.0</v>
      </c>
      <c r="B141" s="81">
        <v>1</v>
      </c>
      <c r="C141" s="81">
        <v>2</v>
      </c>
      <c r="D141" s="81">
        <v>1</v>
      </c>
      <c r="E141" s="81">
        <v>3</v>
      </c>
      <c r="F141" s="81">
        <v>0</v>
      </c>
      <c r="G141" s="81">
        <v>0</v>
      </c>
      <c r="H141" s="114"/>
      <c r="I141" s="114"/>
      <c r="J141" s="1346" t="s">
        <v>228</v>
      </c>
      <c r="K141" s="1346"/>
      <c r="L141" s="81" t="s">
        <v>224</v>
      </c>
      <c r="M141" s="81" t="s">
        <v>225</v>
      </c>
      <c r="N141" s="81" t="s">
        <v>226</v>
      </c>
      <c r="O141" s="81" t="s">
        <v>72</v>
      </c>
      <c r="P141" s="115" t="s">
        <v>227</v>
      </c>
      <c r="Q141" s="115" t="s">
        <v>227</v>
      </c>
      <c r="R141" s="81">
        <f>SUM(R142:R145)</f>
        <v>750</v>
      </c>
      <c r="S141" s="114" t="s">
        <v>229</v>
      </c>
      <c r="T141" s="1184">
        <f t="shared" ref="T141" si="16">SUM(T142:T145)</f>
        <v>0</v>
      </c>
      <c r="U141" s="61">
        <f>SUM(U142:U145)</f>
        <v>0</v>
      </c>
      <c r="V141" s="61"/>
      <c r="W141" s="61">
        <f t="shared" ref="W141:AJ141" si="17">SUM(W142:W145)</f>
        <v>0</v>
      </c>
      <c r="X141" s="1123">
        <f t="shared" si="17"/>
        <v>0</v>
      </c>
      <c r="Y141" s="61">
        <f t="shared" si="17"/>
        <v>1025140</v>
      </c>
      <c r="Z141" s="61">
        <f t="shared" si="17"/>
        <v>0</v>
      </c>
      <c r="AA141" s="61">
        <f t="shared" si="17"/>
        <v>0</v>
      </c>
      <c r="AB141" s="61">
        <f t="shared" si="17"/>
        <v>1025140</v>
      </c>
      <c r="AC141" s="61">
        <f t="shared" si="17"/>
        <v>0</v>
      </c>
      <c r="AD141" s="1123">
        <f t="shared" si="17"/>
        <v>0</v>
      </c>
      <c r="AE141" s="61">
        <f t="shared" si="17"/>
        <v>0</v>
      </c>
      <c r="AF141" s="61">
        <f t="shared" si="17"/>
        <v>0</v>
      </c>
      <c r="AG141" s="1123">
        <f t="shared" si="17"/>
        <v>0</v>
      </c>
      <c r="AH141" s="61">
        <f>SUM(AH142:AH145)</f>
        <v>2050280</v>
      </c>
      <c r="AI141" s="61">
        <f t="shared" si="17"/>
        <v>0</v>
      </c>
      <c r="AJ141" s="61">
        <f t="shared" si="17"/>
        <v>823514.28</v>
      </c>
      <c r="AK141" s="61"/>
      <c r="AL141" s="61"/>
      <c r="AM141" s="61"/>
      <c r="AN141" s="81" t="s">
        <v>39</v>
      </c>
      <c r="AO141" s="81"/>
      <c r="AP141" s="81"/>
      <c r="AQ141" s="412"/>
      <c r="AR141" s="81"/>
      <c r="AS141" s="474"/>
      <c r="AT141" s="81"/>
      <c r="AU141" s="663"/>
      <c r="AV141" s="61">
        <f t="shared" ref="AV141" si="18">SUM(AV142:AV145)</f>
        <v>0</v>
      </c>
      <c r="AW141" s="430"/>
    </row>
    <row r="142" spans="1:49" ht="32.450000000000003" hidden="1" customHeight="1" outlineLevel="2" x14ac:dyDescent="0.25">
      <c r="A142" s="63" t="str">
        <f t="shared" si="0"/>
        <v>1.2.1.3.1.58</v>
      </c>
      <c r="B142" s="64">
        <v>1</v>
      </c>
      <c r="C142" s="64">
        <v>2</v>
      </c>
      <c r="D142" s="64">
        <v>1</v>
      </c>
      <c r="E142" s="64">
        <v>3</v>
      </c>
      <c r="F142" s="64">
        <v>1</v>
      </c>
      <c r="G142" s="64">
        <v>58</v>
      </c>
      <c r="H142" s="65"/>
      <c r="I142" s="65"/>
      <c r="J142" s="66"/>
      <c r="K142" s="67" t="s">
        <v>230</v>
      </c>
      <c r="L142" s="64" t="s">
        <v>224</v>
      </c>
      <c r="M142" s="64" t="s">
        <v>231</v>
      </c>
      <c r="N142" s="64" t="s">
        <v>226</v>
      </c>
      <c r="O142" s="64" t="s">
        <v>232</v>
      </c>
      <c r="P142" s="69">
        <v>44650</v>
      </c>
      <c r="Q142" s="69">
        <v>44864</v>
      </c>
      <c r="R142" s="64">
        <v>200</v>
      </c>
      <c r="S142" s="65" t="s">
        <v>229</v>
      </c>
      <c r="T142" s="194"/>
      <c r="U142" s="75">
        <v>0</v>
      </c>
      <c r="V142" s="75"/>
      <c r="W142" s="75">
        <v>0</v>
      </c>
      <c r="X142" s="1122">
        <v>0</v>
      </c>
      <c r="Y142" s="75">
        <v>256285</v>
      </c>
      <c r="Z142" s="75">
        <v>0</v>
      </c>
      <c r="AA142" s="1122">
        <v>0</v>
      </c>
      <c r="AB142" s="75">
        <v>256285</v>
      </c>
      <c r="AC142" s="75">
        <v>0</v>
      </c>
      <c r="AD142" s="1122">
        <v>0</v>
      </c>
      <c r="AE142" s="75">
        <v>0</v>
      </c>
      <c r="AF142" s="75">
        <v>0</v>
      </c>
      <c r="AG142" s="1122">
        <v>0</v>
      </c>
      <c r="AH142" s="505">
        <f>+U142+Y142+AB142+AE142</f>
        <v>512570</v>
      </c>
      <c r="AI142" s="79"/>
      <c r="AJ142" s="75">
        <f t="shared" ref="AJ142:AJ145" si="19">+W143+Z143+AC143+AF143</f>
        <v>0</v>
      </c>
      <c r="AK142" s="79"/>
      <c r="AL142" s="79"/>
      <c r="AM142" s="79"/>
      <c r="AN142" s="64" t="s">
        <v>39</v>
      </c>
      <c r="AO142" s="165"/>
      <c r="AP142" s="165"/>
      <c r="AQ142" s="413"/>
      <c r="AR142" s="64"/>
      <c r="AS142" s="475"/>
      <c r="AT142" s="64"/>
      <c r="AU142" s="646"/>
      <c r="AV142" s="1348" t="s">
        <v>233</v>
      </c>
      <c r="AW142" s="1274" t="s">
        <v>2716</v>
      </c>
    </row>
    <row r="143" spans="1:49" ht="32.450000000000003" hidden="1" customHeight="1" outlineLevel="2" x14ac:dyDescent="0.25">
      <c r="A143" s="63" t="str">
        <f t="shared" si="0"/>
        <v>1.2.1.3.1.59</v>
      </c>
      <c r="B143" s="64">
        <v>1</v>
      </c>
      <c r="C143" s="64">
        <v>2</v>
      </c>
      <c r="D143" s="64">
        <v>1</v>
      </c>
      <c r="E143" s="64">
        <v>3</v>
      </c>
      <c r="F143" s="64">
        <v>1</v>
      </c>
      <c r="G143" s="64">
        <v>59</v>
      </c>
      <c r="H143" s="65"/>
      <c r="I143" s="65"/>
      <c r="J143" s="66"/>
      <c r="K143" s="67" t="s">
        <v>230</v>
      </c>
      <c r="L143" s="64" t="s">
        <v>224</v>
      </c>
      <c r="M143" s="64" t="s">
        <v>231</v>
      </c>
      <c r="N143" s="64" t="s">
        <v>226</v>
      </c>
      <c r="O143" s="64" t="s">
        <v>232</v>
      </c>
      <c r="P143" s="69">
        <v>44650</v>
      </c>
      <c r="Q143" s="69">
        <v>44864</v>
      </c>
      <c r="R143" s="64">
        <v>200</v>
      </c>
      <c r="S143" s="65" t="s">
        <v>229</v>
      </c>
      <c r="T143" s="194"/>
      <c r="U143" s="75">
        <v>0</v>
      </c>
      <c r="V143" s="75"/>
      <c r="W143" s="75">
        <v>0</v>
      </c>
      <c r="X143" s="1122">
        <v>0</v>
      </c>
      <c r="Y143" s="75">
        <v>256285</v>
      </c>
      <c r="Z143" s="75">
        <v>0</v>
      </c>
      <c r="AA143" s="1122">
        <v>0</v>
      </c>
      <c r="AB143" s="75">
        <v>256285</v>
      </c>
      <c r="AC143" s="75">
        <v>0</v>
      </c>
      <c r="AD143" s="1122">
        <v>0</v>
      </c>
      <c r="AE143" s="75">
        <v>0</v>
      </c>
      <c r="AF143" s="75">
        <v>0</v>
      </c>
      <c r="AG143" s="1122">
        <v>0</v>
      </c>
      <c r="AH143" s="505">
        <f t="shared" ref="AH143:AH145" si="20">+U143+Y143+AB143+AE143</f>
        <v>512570</v>
      </c>
      <c r="AI143" s="79"/>
      <c r="AJ143" s="75">
        <f t="shared" si="19"/>
        <v>0</v>
      </c>
      <c r="AK143" s="79"/>
      <c r="AL143" s="79"/>
      <c r="AM143" s="79"/>
      <c r="AN143" s="64" t="s">
        <v>39</v>
      </c>
      <c r="AO143" s="165"/>
      <c r="AP143" s="165"/>
      <c r="AQ143" s="413"/>
      <c r="AR143" s="64"/>
      <c r="AS143" s="475"/>
      <c r="AT143" s="64"/>
      <c r="AU143" s="646"/>
      <c r="AV143" s="1348"/>
      <c r="AW143" s="1274"/>
    </row>
    <row r="144" spans="1:49" ht="32.450000000000003" hidden="1" customHeight="1" outlineLevel="2" x14ac:dyDescent="0.25">
      <c r="A144" s="63" t="str">
        <f t="shared" si="0"/>
        <v>1.2.1.3.1.62</v>
      </c>
      <c r="B144" s="64">
        <v>1</v>
      </c>
      <c r="C144" s="64">
        <v>2</v>
      </c>
      <c r="D144" s="64">
        <v>1</v>
      </c>
      <c r="E144" s="64">
        <v>3</v>
      </c>
      <c r="F144" s="64">
        <v>1</v>
      </c>
      <c r="G144" s="64">
        <v>62</v>
      </c>
      <c r="H144" s="65"/>
      <c r="I144" s="65"/>
      <c r="J144" s="66"/>
      <c r="K144" s="67" t="s">
        <v>230</v>
      </c>
      <c r="L144" s="64" t="s">
        <v>224</v>
      </c>
      <c r="M144" s="64" t="s">
        <v>231</v>
      </c>
      <c r="N144" s="64" t="s">
        <v>226</v>
      </c>
      <c r="O144" s="64" t="s">
        <v>232</v>
      </c>
      <c r="P144" s="69">
        <v>44650</v>
      </c>
      <c r="Q144" s="69">
        <v>44864</v>
      </c>
      <c r="R144" s="64">
        <v>200</v>
      </c>
      <c r="S144" s="65" t="s">
        <v>229</v>
      </c>
      <c r="T144" s="194"/>
      <c r="U144" s="75">
        <v>0</v>
      </c>
      <c r="V144" s="75"/>
      <c r="W144" s="75">
        <v>0</v>
      </c>
      <c r="X144" s="1122">
        <v>0</v>
      </c>
      <c r="Y144" s="75">
        <v>256285</v>
      </c>
      <c r="Z144" s="75">
        <v>0</v>
      </c>
      <c r="AA144" s="1122">
        <v>0</v>
      </c>
      <c r="AB144" s="75">
        <v>256285</v>
      </c>
      <c r="AC144" s="75">
        <v>0</v>
      </c>
      <c r="AD144" s="1122">
        <v>0</v>
      </c>
      <c r="AE144" s="75">
        <v>0</v>
      </c>
      <c r="AF144" s="75">
        <v>0</v>
      </c>
      <c r="AG144" s="1122">
        <v>0</v>
      </c>
      <c r="AH144" s="505">
        <f t="shared" si="20"/>
        <v>512570</v>
      </c>
      <c r="AI144" s="79"/>
      <c r="AJ144" s="75">
        <f t="shared" si="19"/>
        <v>0</v>
      </c>
      <c r="AK144" s="79"/>
      <c r="AL144" s="79"/>
      <c r="AM144" s="79"/>
      <c r="AN144" s="64" t="s">
        <v>39</v>
      </c>
      <c r="AO144" s="165"/>
      <c r="AP144" s="165"/>
      <c r="AQ144" s="413"/>
      <c r="AR144" s="64"/>
      <c r="AS144" s="475"/>
      <c r="AT144" s="64"/>
      <c r="AU144" s="646"/>
      <c r="AV144" s="1348"/>
      <c r="AW144" s="1274"/>
    </row>
    <row r="145" spans="1:49" ht="36.75" hidden="1" customHeight="1" outlineLevel="2" x14ac:dyDescent="0.25">
      <c r="A145" s="63" t="str">
        <f t="shared" si="0"/>
        <v>1.2.1.3.1.63</v>
      </c>
      <c r="B145" s="64">
        <v>1</v>
      </c>
      <c r="C145" s="64">
        <v>2</v>
      </c>
      <c r="D145" s="64">
        <v>1</v>
      </c>
      <c r="E145" s="64">
        <v>3</v>
      </c>
      <c r="F145" s="64">
        <v>1</v>
      </c>
      <c r="G145" s="64">
        <v>63</v>
      </c>
      <c r="H145" s="65"/>
      <c r="I145" s="65"/>
      <c r="J145" s="66"/>
      <c r="K145" s="67" t="s">
        <v>230</v>
      </c>
      <c r="L145" s="64" t="s">
        <v>224</v>
      </c>
      <c r="M145" s="64" t="s">
        <v>231</v>
      </c>
      <c r="N145" s="64" t="s">
        <v>226</v>
      </c>
      <c r="O145" s="64" t="s">
        <v>232</v>
      </c>
      <c r="P145" s="69">
        <v>44650</v>
      </c>
      <c r="Q145" s="69">
        <v>44864</v>
      </c>
      <c r="R145" s="64">
        <v>150</v>
      </c>
      <c r="S145" s="65" t="s">
        <v>229</v>
      </c>
      <c r="T145" s="194"/>
      <c r="U145" s="75">
        <v>0</v>
      </c>
      <c r="V145" s="75"/>
      <c r="W145" s="75">
        <v>0</v>
      </c>
      <c r="X145" s="1122">
        <v>0</v>
      </c>
      <c r="Y145" s="75">
        <v>256285</v>
      </c>
      <c r="Z145" s="75">
        <v>0</v>
      </c>
      <c r="AA145" s="1122">
        <v>0</v>
      </c>
      <c r="AB145" s="75">
        <v>256285</v>
      </c>
      <c r="AC145" s="75">
        <v>0</v>
      </c>
      <c r="AD145" s="1122">
        <v>0</v>
      </c>
      <c r="AE145" s="75">
        <v>0</v>
      </c>
      <c r="AF145" s="75">
        <v>0</v>
      </c>
      <c r="AG145" s="1122">
        <v>0</v>
      </c>
      <c r="AH145" s="505">
        <f t="shared" si="20"/>
        <v>512570</v>
      </c>
      <c r="AI145" s="79"/>
      <c r="AJ145" s="75">
        <f t="shared" si="19"/>
        <v>823514.28</v>
      </c>
      <c r="AK145" s="79"/>
      <c r="AL145" s="79"/>
      <c r="AM145" s="79"/>
      <c r="AN145" s="64" t="s">
        <v>39</v>
      </c>
      <c r="AO145" s="165"/>
      <c r="AP145" s="165"/>
      <c r="AQ145" s="413"/>
      <c r="AR145" s="64"/>
      <c r="AS145" s="475"/>
      <c r="AT145" s="64"/>
      <c r="AU145" s="646"/>
      <c r="AV145" s="1348"/>
      <c r="AW145" s="1274"/>
    </row>
    <row r="146" spans="1:49" ht="30.75" customHeight="1" outlineLevel="1" x14ac:dyDescent="0.25">
      <c r="A146" s="108" t="str">
        <f t="shared" si="0"/>
        <v>1.3.1.0.0.0</v>
      </c>
      <c r="B146" s="109">
        <v>1</v>
      </c>
      <c r="C146" s="109">
        <v>3</v>
      </c>
      <c r="D146" s="109">
        <v>1</v>
      </c>
      <c r="E146" s="109">
        <v>0</v>
      </c>
      <c r="F146" s="109">
        <v>0</v>
      </c>
      <c r="G146" s="109">
        <v>0</v>
      </c>
      <c r="H146" s="110"/>
      <c r="I146" s="1258" t="s">
        <v>235</v>
      </c>
      <c r="J146" s="1258"/>
      <c r="K146" s="1258"/>
      <c r="L146" s="109" t="s">
        <v>236</v>
      </c>
      <c r="M146" s="113" t="s">
        <v>237</v>
      </c>
      <c r="N146" s="109" t="s">
        <v>226</v>
      </c>
      <c r="O146" s="109" t="s">
        <v>238</v>
      </c>
      <c r="P146" s="111" t="s">
        <v>227</v>
      </c>
      <c r="Q146" s="111" t="s">
        <v>227</v>
      </c>
      <c r="R146" s="109">
        <v>0</v>
      </c>
      <c r="S146" s="110">
        <v>0</v>
      </c>
      <c r="T146" s="1183"/>
      <c r="U146" s="112">
        <f t="shared" ref="U146:AI146" si="21">+U147+U169+U191+U212+U237+U265+U294+U318+U320+U576+U586+U601+U609+U615+U621+U627+U633+U643+U648</f>
        <v>369876350.08260036</v>
      </c>
      <c r="V146" s="1231">
        <f>+U146/56</f>
        <v>6604934.8229035782</v>
      </c>
      <c r="W146" s="680">
        <f t="shared" si="21"/>
        <v>411757.14</v>
      </c>
      <c r="X146" s="1116">
        <f t="shared" si="21"/>
        <v>0</v>
      </c>
      <c r="Y146" s="112">
        <f t="shared" si="21"/>
        <v>416614352.19688606</v>
      </c>
      <c r="Z146" s="832">
        <f t="shared" si="21"/>
        <v>0</v>
      </c>
      <c r="AA146" s="1116">
        <f t="shared" si="21"/>
        <v>0</v>
      </c>
      <c r="AB146" s="112">
        <f t="shared" si="21"/>
        <v>273421180.01688606</v>
      </c>
      <c r="AC146" s="966">
        <f t="shared" si="21"/>
        <v>411757.14</v>
      </c>
      <c r="AD146" s="1116">
        <f t="shared" si="21"/>
        <v>0</v>
      </c>
      <c r="AE146" s="112">
        <f t="shared" si="21"/>
        <v>206032844.80688602</v>
      </c>
      <c r="AF146" s="112">
        <f t="shared" si="21"/>
        <v>0</v>
      </c>
      <c r="AG146" s="1116">
        <f t="shared" si="21"/>
        <v>0</v>
      </c>
      <c r="AH146" s="112">
        <f>+AH147+AH169+AH191+AH212+AH237+AH265+AH294+AH318+AH320+AH576+AH586+AH601+AH609+AH615+AH621+AH627+AH633+AH643+AH648+AI1576+AH638</f>
        <v>1265944727.1032581</v>
      </c>
      <c r="AI146" s="112">
        <f t="shared" si="21"/>
        <v>0</v>
      </c>
      <c r="AJ146" s="374">
        <f>+AJ147+AJ169+AJ191+AJ212+AJ237+AJ265+AJ294+AJ320+AJ576+AJ586+AJ601+AJ609+AJ615+AJ621+AJ627+AJ318+AJ633+AJ638+AJ643+AJ648</f>
        <v>1235271.42</v>
      </c>
      <c r="AK146" s="112"/>
      <c r="AL146" s="112"/>
      <c r="AM146" s="112"/>
      <c r="AN146" s="109" t="s">
        <v>39</v>
      </c>
      <c r="AO146" s="109"/>
      <c r="AP146" s="109"/>
      <c r="AQ146" s="411"/>
      <c r="AR146" s="109"/>
      <c r="AS146" s="473"/>
      <c r="AT146" s="109"/>
      <c r="AU146" s="659"/>
      <c r="AV146" s="112" t="e">
        <f>+AV147+AV169+AV191+AV212+AV237+AV265+AV294+AV318+AV320+AV576+AV586+AV601+AV609+AV615+AV621+AV627+AV633+AV643+AV648</f>
        <v>#REF!</v>
      </c>
      <c r="AW146" s="431"/>
    </row>
    <row r="147" spans="1:49" s="107" customFormat="1" ht="105.75" customHeight="1" outlineLevel="1" collapsed="1" x14ac:dyDescent="0.25">
      <c r="A147" s="80" t="str">
        <f t="shared" si="0"/>
        <v>1.3.1.1.0.58</v>
      </c>
      <c r="B147" s="81">
        <v>1</v>
      </c>
      <c r="C147" s="81">
        <v>3</v>
      </c>
      <c r="D147" s="81">
        <v>1</v>
      </c>
      <c r="E147" s="81">
        <v>1</v>
      </c>
      <c r="F147" s="81">
        <v>0</v>
      </c>
      <c r="G147" s="81">
        <v>58</v>
      </c>
      <c r="H147" s="114"/>
      <c r="I147" s="114"/>
      <c r="J147" s="1346" t="s">
        <v>239</v>
      </c>
      <c r="K147" s="1346"/>
      <c r="L147" s="81" t="s">
        <v>236</v>
      </c>
      <c r="M147" s="81" t="s">
        <v>240</v>
      </c>
      <c r="N147" s="81" t="s">
        <v>226</v>
      </c>
      <c r="O147" s="81" t="s">
        <v>241</v>
      </c>
      <c r="P147" s="118">
        <v>44571</v>
      </c>
      <c r="Q147" s="118">
        <v>44925</v>
      </c>
      <c r="R147" s="119">
        <f>+R148+R149</f>
        <v>425081</v>
      </c>
      <c r="S147" s="114" t="s">
        <v>242</v>
      </c>
      <c r="T147" s="1184">
        <f>+T148+T149</f>
        <v>106270.25</v>
      </c>
      <c r="U147" s="369">
        <f>SUM(U148:U168)</f>
        <v>12417847.531698</v>
      </c>
      <c r="V147" s="369"/>
      <c r="W147" s="369">
        <f t="shared" ref="W147:AI147" si="22">SUM(W148:W168)</f>
        <v>0</v>
      </c>
      <c r="X147" s="1124">
        <f t="shared" si="22"/>
        <v>0</v>
      </c>
      <c r="Y147" s="369">
        <f>SUM(Y148:Y168)</f>
        <v>22339535.001697995</v>
      </c>
      <c r="Z147" s="369">
        <f t="shared" si="22"/>
        <v>0</v>
      </c>
      <c r="AA147" s="1124">
        <f t="shared" si="22"/>
        <v>0</v>
      </c>
      <c r="AB147" s="369">
        <f>SUM(AB148:AB168)</f>
        <v>12919227.801698001</v>
      </c>
      <c r="AC147" s="369">
        <f t="shared" si="22"/>
        <v>0</v>
      </c>
      <c r="AD147" s="1124">
        <f t="shared" si="22"/>
        <v>0</v>
      </c>
      <c r="AE147" s="369">
        <f>SUM(AE148:AE168)</f>
        <v>12919227.801698001</v>
      </c>
      <c r="AF147" s="369">
        <f t="shared" si="22"/>
        <v>0</v>
      </c>
      <c r="AG147" s="1124">
        <f t="shared" si="22"/>
        <v>0</v>
      </c>
      <c r="AH147" s="369">
        <f>SUM(AH148:AH168)</f>
        <v>60595838.136792004</v>
      </c>
      <c r="AI147" s="369">
        <f t="shared" si="22"/>
        <v>0</v>
      </c>
      <c r="AJ147" s="369">
        <f>SUM(AJ148:AJ168)</f>
        <v>0</v>
      </c>
      <c r="AK147" s="369">
        <f t="shared" ref="AK147:AM147" si="23">SUM(AK148:AK167)</f>
        <v>0</v>
      </c>
      <c r="AL147" s="369">
        <f t="shared" si="23"/>
        <v>0</v>
      </c>
      <c r="AM147" s="369">
        <f t="shared" si="23"/>
        <v>0</v>
      </c>
      <c r="AN147" s="81" t="s">
        <v>243</v>
      </c>
      <c r="AO147" s="81"/>
      <c r="AP147" s="81"/>
      <c r="AQ147" s="412"/>
      <c r="AR147" s="81"/>
      <c r="AS147" s="474"/>
      <c r="AT147" s="81"/>
      <c r="AU147" s="663"/>
      <c r="AV147" s="369">
        <f t="shared" ref="AV147" si="24">SUM(AV148:AV168)</f>
        <v>3801450</v>
      </c>
      <c r="AW147" s="428"/>
    </row>
    <row r="148" spans="1:49" ht="140.1" hidden="1" customHeight="1" outlineLevel="3" x14ac:dyDescent="0.25">
      <c r="A148" s="63" t="str">
        <f t="shared" si="0"/>
        <v>1.3.1.1.1.58</v>
      </c>
      <c r="B148" s="64">
        <v>1</v>
      </c>
      <c r="C148" s="64">
        <v>3</v>
      </c>
      <c r="D148" s="64">
        <v>1</v>
      </c>
      <c r="E148" s="64">
        <v>1</v>
      </c>
      <c r="F148" s="64">
        <v>1</v>
      </c>
      <c r="G148" s="64">
        <v>58</v>
      </c>
      <c r="H148" s="65"/>
      <c r="I148" s="65"/>
      <c r="J148" s="66"/>
      <c r="K148" s="121" t="s">
        <v>245</v>
      </c>
      <c r="L148" s="64" t="s">
        <v>246</v>
      </c>
      <c r="M148" s="64" t="s">
        <v>240</v>
      </c>
      <c r="N148" s="64" t="s">
        <v>247</v>
      </c>
      <c r="O148" s="64" t="s">
        <v>241</v>
      </c>
      <c r="P148" s="69">
        <v>44571</v>
      </c>
      <c r="Q148" s="69">
        <v>44925</v>
      </c>
      <c r="R148" s="122">
        <v>32000</v>
      </c>
      <c r="S148" s="123" t="s">
        <v>248</v>
      </c>
      <c r="T148" s="194">
        <f>+R148/4</f>
        <v>8000</v>
      </c>
      <c r="U148" s="75">
        <v>0</v>
      </c>
      <c r="V148" s="75"/>
      <c r="W148" s="75">
        <v>0</v>
      </c>
      <c r="X148" s="1122">
        <v>0</v>
      </c>
      <c r="Y148" s="75">
        <v>0</v>
      </c>
      <c r="Z148" s="75">
        <v>0</v>
      </c>
      <c r="AA148" s="1122">
        <v>0</v>
      </c>
      <c r="AB148" s="75">
        <v>0</v>
      </c>
      <c r="AC148" s="75">
        <v>0</v>
      </c>
      <c r="AD148" s="1122">
        <v>0</v>
      </c>
      <c r="AE148" s="75">
        <v>0</v>
      </c>
      <c r="AF148" s="75">
        <v>0</v>
      </c>
      <c r="AG148" s="1122">
        <v>0</v>
      </c>
      <c r="AH148" s="505">
        <f>+U148+Y148+AB148+AE148</f>
        <v>0</v>
      </c>
      <c r="AI148" s="75"/>
      <c r="AJ148" s="75">
        <f t="shared" ref="AJ148:AJ168" si="25">+W149+Z149+AC149+AF149</f>
        <v>0</v>
      </c>
      <c r="AK148" s="75"/>
      <c r="AL148" s="75"/>
      <c r="AM148" s="75"/>
      <c r="AN148" s="64" t="s">
        <v>39</v>
      </c>
      <c r="AO148" s="100"/>
      <c r="AP148" s="100"/>
      <c r="AQ148" s="993"/>
      <c r="AR148" s="100"/>
      <c r="AS148" s="994"/>
      <c r="AT148" s="100"/>
      <c r="AU148" s="983"/>
      <c r="AV148" s="347" t="s">
        <v>249</v>
      </c>
      <c r="AW148" s="335"/>
    </row>
    <row r="149" spans="1:49" ht="76.349999999999994" hidden="1" customHeight="1" outlineLevel="3" x14ac:dyDescent="0.25">
      <c r="A149" s="63" t="str">
        <f t="shared" si="0"/>
        <v>1.3.1.1.2.58</v>
      </c>
      <c r="B149" s="64">
        <v>1</v>
      </c>
      <c r="C149" s="64">
        <v>3</v>
      </c>
      <c r="D149" s="64">
        <v>1</v>
      </c>
      <c r="E149" s="64">
        <v>1</v>
      </c>
      <c r="F149" s="64">
        <v>2</v>
      </c>
      <c r="G149" s="64">
        <v>58</v>
      </c>
      <c r="H149" s="65"/>
      <c r="I149" s="65"/>
      <c r="J149" s="66"/>
      <c r="K149" s="125" t="s">
        <v>251</v>
      </c>
      <c r="L149" s="64" t="s">
        <v>246</v>
      </c>
      <c r="M149" s="64" t="s">
        <v>240</v>
      </c>
      <c r="N149" s="64" t="s">
        <v>252</v>
      </c>
      <c r="O149" s="64" t="s">
        <v>241</v>
      </c>
      <c r="P149" s="69">
        <v>44571</v>
      </c>
      <c r="Q149" s="69">
        <v>44925</v>
      </c>
      <c r="R149" s="126">
        <v>393081</v>
      </c>
      <c r="S149" s="123" t="s">
        <v>248</v>
      </c>
      <c r="T149" s="194">
        <f>+R149/4</f>
        <v>98270.25</v>
      </c>
      <c r="U149" s="75">
        <v>0</v>
      </c>
      <c r="V149" s="75"/>
      <c r="W149" s="75">
        <v>0</v>
      </c>
      <c r="X149" s="1122">
        <v>0</v>
      </c>
      <c r="Y149" s="75">
        <v>0</v>
      </c>
      <c r="Z149" s="75">
        <v>0</v>
      </c>
      <c r="AA149" s="1122">
        <v>0</v>
      </c>
      <c r="AB149" s="75">
        <v>0</v>
      </c>
      <c r="AC149" s="75">
        <v>0</v>
      </c>
      <c r="AD149" s="1122">
        <v>0</v>
      </c>
      <c r="AE149" s="75">
        <v>0</v>
      </c>
      <c r="AF149" s="75">
        <v>0</v>
      </c>
      <c r="AG149" s="1122">
        <v>0</v>
      </c>
      <c r="AH149" s="505">
        <f t="shared" ref="AH149:AH168" si="26">+U149+Y149+AB149+AE149</f>
        <v>0</v>
      </c>
      <c r="AI149" s="75"/>
      <c r="AJ149" s="75">
        <f t="shared" si="25"/>
        <v>0</v>
      </c>
      <c r="AK149" s="75"/>
      <c r="AL149" s="75"/>
      <c r="AM149" s="75"/>
      <c r="AN149" s="64" t="s">
        <v>39</v>
      </c>
      <c r="AO149" s="100"/>
      <c r="AP149" s="100"/>
      <c r="AQ149" s="993"/>
      <c r="AR149" s="100"/>
      <c r="AS149" s="994"/>
      <c r="AT149" s="100"/>
      <c r="AU149" s="983"/>
      <c r="AV149" s="347" t="s">
        <v>253</v>
      </c>
      <c r="AW149" s="335"/>
    </row>
    <row r="150" spans="1:49" ht="68.45" hidden="1" customHeight="1" outlineLevel="3" x14ac:dyDescent="0.25">
      <c r="A150" s="63" t="str">
        <f t="shared" si="0"/>
        <v>1.3.1.1.3.58</v>
      </c>
      <c r="B150" s="64">
        <v>1</v>
      </c>
      <c r="C150" s="64">
        <v>3</v>
      </c>
      <c r="D150" s="64">
        <v>1</v>
      </c>
      <c r="E150" s="64">
        <v>1</v>
      </c>
      <c r="F150" s="64">
        <v>3</v>
      </c>
      <c r="G150" s="100">
        <v>58</v>
      </c>
      <c r="H150" s="65"/>
      <c r="I150" s="65"/>
      <c r="J150" s="66"/>
      <c r="K150" s="65" t="s">
        <v>1908</v>
      </c>
      <c r="L150" s="64" t="s">
        <v>246</v>
      </c>
      <c r="M150" s="64" t="s">
        <v>256</v>
      </c>
      <c r="N150" s="64" t="s">
        <v>257</v>
      </c>
      <c r="O150" s="64" t="s">
        <v>241</v>
      </c>
      <c r="P150" s="69">
        <v>44571</v>
      </c>
      <c r="Q150" s="69">
        <v>44925</v>
      </c>
      <c r="R150" s="124"/>
      <c r="S150" s="123" t="s">
        <v>258</v>
      </c>
      <c r="T150" s="194">
        <v>3</v>
      </c>
      <c r="U150" s="75">
        <v>5229000</v>
      </c>
      <c r="V150" s="75"/>
      <c r="W150" s="75">
        <v>0</v>
      </c>
      <c r="X150" s="1122">
        <v>0</v>
      </c>
      <c r="Y150" s="75">
        <v>5229000</v>
      </c>
      <c r="Z150" s="75">
        <v>0</v>
      </c>
      <c r="AA150" s="1122">
        <v>0</v>
      </c>
      <c r="AB150" s="75">
        <v>5229000</v>
      </c>
      <c r="AC150" s="75">
        <v>0</v>
      </c>
      <c r="AD150" s="1122">
        <v>0</v>
      </c>
      <c r="AE150" s="75">
        <v>5229000</v>
      </c>
      <c r="AF150" s="75">
        <v>0</v>
      </c>
      <c r="AG150" s="1122">
        <v>0</v>
      </c>
      <c r="AH150" s="505">
        <f>+U150+Y150+AB150+AE150</f>
        <v>20916000</v>
      </c>
      <c r="AI150" s="78"/>
      <c r="AJ150" s="75">
        <f t="shared" si="25"/>
        <v>0</v>
      </c>
      <c r="AK150" s="78"/>
      <c r="AL150" s="78"/>
      <c r="AM150" s="78"/>
      <c r="AN150" s="64" t="s">
        <v>39</v>
      </c>
      <c r="AO150" s="100"/>
      <c r="AP150" s="100"/>
      <c r="AQ150" s="1050"/>
      <c r="AR150" s="1051"/>
      <c r="AS150" s="1051"/>
      <c r="AT150" s="100"/>
      <c r="AU150" s="965"/>
      <c r="AV150" s="127">
        <v>3801450</v>
      </c>
      <c r="AW150" s="560"/>
    </row>
    <row r="151" spans="1:49" ht="48.6" hidden="1" customHeight="1" outlineLevel="3" x14ac:dyDescent="0.25">
      <c r="A151" s="63" t="str">
        <f t="shared" si="0"/>
        <v>1.3.1.1.4.58</v>
      </c>
      <c r="B151" s="64">
        <v>1</v>
      </c>
      <c r="C151" s="64">
        <v>3</v>
      </c>
      <c r="D151" s="64">
        <v>1</v>
      </c>
      <c r="E151" s="64">
        <v>1</v>
      </c>
      <c r="F151" s="64">
        <v>4</v>
      </c>
      <c r="G151" s="64">
        <v>58</v>
      </c>
      <c r="H151" s="65"/>
      <c r="I151" s="65"/>
      <c r="J151" s="66"/>
      <c r="K151" s="65" t="s">
        <v>259</v>
      </c>
      <c r="L151" s="64" t="s">
        <v>246</v>
      </c>
      <c r="M151" s="64" t="s">
        <v>240</v>
      </c>
      <c r="N151" s="64" t="s">
        <v>247</v>
      </c>
      <c r="O151" s="64" t="s">
        <v>241</v>
      </c>
      <c r="P151" s="69">
        <v>44571</v>
      </c>
      <c r="Q151" s="69">
        <v>44925</v>
      </c>
      <c r="R151" s="126">
        <v>32000</v>
      </c>
      <c r="S151" s="123" t="s">
        <v>248</v>
      </c>
      <c r="T151" s="194">
        <f>+R151/4</f>
        <v>8000</v>
      </c>
      <c r="U151" s="75">
        <v>0</v>
      </c>
      <c r="V151" s="75"/>
      <c r="W151" s="75">
        <v>0</v>
      </c>
      <c r="X151" s="1122">
        <v>0</v>
      </c>
      <c r="Y151" s="75">
        <v>1998000</v>
      </c>
      <c r="Z151" s="75">
        <v>0</v>
      </c>
      <c r="AA151" s="1122">
        <v>0</v>
      </c>
      <c r="AB151" s="75">
        <v>0</v>
      </c>
      <c r="AC151" s="75">
        <v>0</v>
      </c>
      <c r="AD151" s="1122">
        <v>0</v>
      </c>
      <c r="AE151" s="75">
        <v>0</v>
      </c>
      <c r="AF151" s="75">
        <v>0</v>
      </c>
      <c r="AG151" s="1122">
        <v>0</v>
      </c>
      <c r="AH151" s="505">
        <f>+U151+Y151+AB151+AE151</f>
        <v>1998000</v>
      </c>
      <c r="AI151" s="75"/>
      <c r="AJ151" s="75">
        <f t="shared" si="25"/>
        <v>0</v>
      </c>
      <c r="AK151" s="75"/>
      <c r="AL151" s="75"/>
      <c r="AM151" s="75"/>
      <c r="AN151" s="64" t="s">
        <v>39</v>
      </c>
      <c r="AO151" s="100"/>
      <c r="AP151" s="100"/>
      <c r="AQ151" s="993"/>
      <c r="AR151" s="100"/>
      <c r="AS151" s="994"/>
      <c r="AT151" s="100"/>
      <c r="AU151" s="983"/>
      <c r="AV151" s="348" t="s">
        <v>260</v>
      </c>
      <c r="AW151" s="335"/>
    </row>
    <row r="152" spans="1:49" ht="40.35" hidden="1" customHeight="1" outlineLevel="3" x14ac:dyDescent="0.25">
      <c r="A152" s="63" t="str">
        <f t="shared" si="0"/>
        <v>1.3.1.1.5.58</v>
      </c>
      <c r="B152" s="64">
        <v>1</v>
      </c>
      <c r="C152" s="64">
        <v>3</v>
      </c>
      <c r="D152" s="64">
        <v>1</v>
      </c>
      <c r="E152" s="64">
        <v>1</v>
      </c>
      <c r="F152" s="64">
        <v>5</v>
      </c>
      <c r="G152" s="64">
        <v>58</v>
      </c>
      <c r="H152" s="65"/>
      <c r="I152" s="65"/>
      <c r="J152" s="66"/>
      <c r="K152" s="65" t="s">
        <v>262</v>
      </c>
      <c r="L152" s="64" t="s">
        <v>246</v>
      </c>
      <c r="M152" s="64" t="s">
        <v>240</v>
      </c>
      <c r="N152" s="64" t="s">
        <v>252</v>
      </c>
      <c r="O152" s="64" t="s">
        <v>241</v>
      </c>
      <c r="P152" s="69">
        <v>44571</v>
      </c>
      <c r="Q152" s="69">
        <v>44925</v>
      </c>
      <c r="R152" s="126">
        <v>393081</v>
      </c>
      <c r="S152" s="123" t="s">
        <v>248</v>
      </c>
      <c r="T152" s="194">
        <f>+R152/4</f>
        <v>98270.25</v>
      </c>
      <c r="U152" s="75">
        <v>0</v>
      </c>
      <c r="V152" s="75"/>
      <c r="W152" s="75">
        <v>0</v>
      </c>
      <c r="X152" s="1122">
        <v>0</v>
      </c>
      <c r="Y152" s="75">
        <v>1242000</v>
      </c>
      <c r="Z152" s="75">
        <v>0</v>
      </c>
      <c r="AA152" s="1122">
        <v>0</v>
      </c>
      <c r="AB152" s="75">
        <v>0</v>
      </c>
      <c r="AC152" s="75">
        <v>0</v>
      </c>
      <c r="AD152" s="1122">
        <v>0</v>
      </c>
      <c r="AE152" s="75">
        <v>0</v>
      </c>
      <c r="AF152" s="75">
        <v>0</v>
      </c>
      <c r="AG152" s="1122">
        <v>0</v>
      </c>
      <c r="AH152" s="505">
        <f>+U152+Y152+AB152+AE152</f>
        <v>1242000</v>
      </c>
      <c r="AI152" s="75"/>
      <c r="AJ152" s="75">
        <f t="shared" si="25"/>
        <v>0</v>
      </c>
      <c r="AK152" s="75"/>
      <c r="AL152" s="75"/>
      <c r="AM152" s="75"/>
      <c r="AN152" s="64" t="s">
        <v>39</v>
      </c>
      <c r="AO152" s="100"/>
      <c r="AP152" s="100"/>
      <c r="AQ152" s="993"/>
      <c r="AR152" s="100"/>
      <c r="AS152" s="994"/>
      <c r="AT152" s="100"/>
      <c r="AU152" s="983"/>
      <c r="AV152" s="348" t="s">
        <v>260</v>
      </c>
      <c r="AW152" s="335"/>
    </row>
    <row r="153" spans="1:49" ht="23.45" hidden="1" customHeight="1" outlineLevel="3" x14ac:dyDescent="0.25">
      <c r="A153" s="63" t="str">
        <f t="shared" si="0"/>
        <v>1.3.1.1.6.58</v>
      </c>
      <c r="B153" s="64">
        <v>1</v>
      </c>
      <c r="C153" s="64">
        <v>3</v>
      </c>
      <c r="D153" s="64">
        <v>1</v>
      </c>
      <c r="E153" s="64">
        <v>1</v>
      </c>
      <c r="F153" s="64">
        <v>6</v>
      </c>
      <c r="G153" s="64">
        <v>58</v>
      </c>
      <c r="H153" s="65"/>
      <c r="I153" s="65"/>
      <c r="J153" s="66"/>
      <c r="K153" s="65" t="s">
        <v>263</v>
      </c>
      <c r="L153" s="64" t="s">
        <v>264</v>
      </c>
      <c r="M153" s="64" t="s">
        <v>76</v>
      </c>
      <c r="N153" s="64" t="s">
        <v>265</v>
      </c>
      <c r="O153" s="64" t="s">
        <v>266</v>
      </c>
      <c r="P153" s="69">
        <v>44571</v>
      </c>
      <c r="Q153" s="69">
        <v>44925</v>
      </c>
      <c r="R153" s="124">
        <v>145</v>
      </c>
      <c r="S153" s="123" t="s">
        <v>258</v>
      </c>
      <c r="T153" s="194"/>
      <c r="U153" s="75">
        <v>0</v>
      </c>
      <c r="V153" s="75"/>
      <c r="W153" s="75">
        <v>0</v>
      </c>
      <c r="X153" s="1122">
        <v>0</v>
      </c>
      <c r="Y153" s="75">
        <v>0</v>
      </c>
      <c r="Z153" s="75">
        <v>0</v>
      </c>
      <c r="AA153" s="1122">
        <v>0</v>
      </c>
      <c r="AB153" s="75">
        <v>0</v>
      </c>
      <c r="AC153" s="75">
        <v>0</v>
      </c>
      <c r="AD153" s="1122">
        <v>0</v>
      </c>
      <c r="AE153" s="75">
        <v>0</v>
      </c>
      <c r="AF153" s="75">
        <v>0</v>
      </c>
      <c r="AG153" s="1122">
        <v>0</v>
      </c>
      <c r="AH153" s="505">
        <f>+U153+Y153+AB153+AE153</f>
        <v>0</v>
      </c>
      <c r="AI153" s="75"/>
      <c r="AJ153" s="75">
        <f t="shared" si="25"/>
        <v>0</v>
      </c>
      <c r="AK153" s="75"/>
      <c r="AL153" s="75"/>
      <c r="AM153" s="75"/>
      <c r="AN153" s="64" t="s">
        <v>181</v>
      </c>
      <c r="AO153" s="710"/>
      <c r="AP153" s="710"/>
      <c r="AQ153" s="1052"/>
      <c r="AR153" s="100"/>
      <c r="AS153" s="1053"/>
      <c r="AT153" s="100"/>
      <c r="AU153" s="983"/>
      <c r="AV153" s="123" t="s">
        <v>267</v>
      </c>
      <c r="AW153" s="432"/>
    </row>
    <row r="154" spans="1:49" ht="23.45" hidden="1" customHeight="1" outlineLevel="3" x14ac:dyDescent="0.25">
      <c r="A154" s="63" t="str">
        <f t="shared" si="0"/>
        <v>1.3.1.1.7.58</v>
      </c>
      <c r="B154" s="64">
        <v>1</v>
      </c>
      <c r="C154" s="64">
        <v>3</v>
      </c>
      <c r="D154" s="64">
        <v>1</v>
      </c>
      <c r="E154" s="64">
        <v>1</v>
      </c>
      <c r="F154" s="64">
        <v>7</v>
      </c>
      <c r="G154" s="64">
        <v>58</v>
      </c>
      <c r="H154" s="65"/>
      <c r="I154" s="65"/>
      <c r="J154" s="66"/>
      <c r="K154" s="65" t="s">
        <v>2024</v>
      </c>
      <c r="L154" s="64"/>
      <c r="M154" s="64"/>
      <c r="N154" s="64"/>
      <c r="O154" s="64"/>
      <c r="P154" s="69"/>
      <c r="Q154" s="69"/>
      <c r="R154" s="124"/>
      <c r="S154" s="123"/>
      <c r="T154" s="194"/>
      <c r="U154" s="75">
        <v>0</v>
      </c>
      <c r="V154" s="75"/>
      <c r="W154" s="75">
        <v>0</v>
      </c>
      <c r="X154" s="1122">
        <v>0</v>
      </c>
      <c r="Y154" s="75">
        <v>3510000</v>
      </c>
      <c r="Z154" s="75">
        <v>0</v>
      </c>
      <c r="AA154" s="1122">
        <v>0</v>
      </c>
      <c r="AB154" s="75">
        <v>0</v>
      </c>
      <c r="AC154" s="75">
        <v>0</v>
      </c>
      <c r="AD154" s="1122">
        <v>0</v>
      </c>
      <c r="AE154" s="75">
        <v>0</v>
      </c>
      <c r="AF154" s="75">
        <v>0</v>
      </c>
      <c r="AG154" s="1122">
        <v>0</v>
      </c>
      <c r="AH154" s="505">
        <f>+U154+Y154+AB154+AE154</f>
        <v>3510000</v>
      </c>
      <c r="AI154" s="75"/>
      <c r="AJ154" s="75">
        <f t="shared" si="25"/>
        <v>0</v>
      </c>
      <c r="AK154" s="75"/>
      <c r="AL154" s="75"/>
      <c r="AM154" s="75"/>
      <c r="AN154" s="136" t="s">
        <v>39</v>
      </c>
      <c r="AO154" s="710"/>
      <c r="AP154" s="710"/>
      <c r="AQ154" s="1052"/>
      <c r="AR154" s="104"/>
      <c r="AS154" s="997"/>
      <c r="AT154" s="104"/>
      <c r="AU154" s="964"/>
      <c r="AV154" s="123"/>
      <c r="AW154" s="432"/>
    </row>
    <row r="155" spans="1:49" ht="53.1" hidden="1" customHeight="1" outlineLevel="3" x14ac:dyDescent="0.25">
      <c r="A155" s="63" t="str">
        <f>CONCATENATE(B155,".",C155,".",D155,".",E155,".",F155,".",G155)</f>
        <v>1.3.1.1.9.58</v>
      </c>
      <c r="B155" s="64">
        <v>1</v>
      </c>
      <c r="C155" s="64">
        <v>3</v>
      </c>
      <c r="D155" s="64">
        <v>1</v>
      </c>
      <c r="E155" s="64">
        <v>1</v>
      </c>
      <c r="F155" s="64">
        <v>9</v>
      </c>
      <c r="G155" s="64">
        <v>58</v>
      </c>
      <c r="H155" s="65"/>
      <c r="I155" s="65"/>
      <c r="J155" s="66"/>
      <c r="K155" s="67" t="s">
        <v>269</v>
      </c>
      <c r="L155" s="68" t="s">
        <v>270</v>
      </c>
      <c r="M155" s="64" t="s">
        <v>271</v>
      </c>
      <c r="N155" s="64" t="s">
        <v>74</v>
      </c>
      <c r="O155" s="64" t="s">
        <v>72</v>
      </c>
      <c r="P155" s="69">
        <v>44571</v>
      </c>
      <c r="Q155" s="69">
        <v>44925</v>
      </c>
      <c r="R155" s="124"/>
      <c r="S155" s="123"/>
      <c r="T155" s="194"/>
      <c r="U155" s="75">
        <v>0</v>
      </c>
      <c r="V155" s="75"/>
      <c r="W155" s="75">
        <v>0</v>
      </c>
      <c r="X155" s="1122">
        <v>0</v>
      </c>
      <c r="Y155" s="75">
        <v>2565000</v>
      </c>
      <c r="Z155" s="75">
        <v>0</v>
      </c>
      <c r="AA155" s="1122">
        <v>0</v>
      </c>
      <c r="AB155" s="75">
        <v>0</v>
      </c>
      <c r="AC155" s="75">
        <v>0</v>
      </c>
      <c r="AD155" s="1122">
        <v>0</v>
      </c>
      <c r="AE155" s="75">
        <v>0</v>
      </c>
      <c r="AF155" s="75">
        <v>0</v>
      </c>
      <c r="AG155" s="1122">
        <v>0</v>
      </c>
      <c r="AH155" s="505">
        <f t="shared" si="26"/>
        <v>2565000</v>
      </c>
      <c r="AI155" s="75"/>
      <c r="AJ155" s="75">
        <f t="shared" si="25"/>
        <v>0</v>
      </c>
      <c r="AK155" s="75"/>
      <c r="AL155" s="75"/>
      <c r="AM155" s="75"/>
      <c r="AN155" s="64" t="s">
        <v>39</v>
      </c>
      <c r="AO155" s="100"/>
      <c r="AP155" s="100"/>
      <c r="AQ155" s="993"/>
      <c r="AR155" s="100"/>
      <c r="AS155" s="994"/>
      <c r="AT155" s="100"/>
      <c r="AU155" s="983"/>
      <c r="AV155" s="123" t="s">
        <v>272</v>
      </c>
      <c r="AW155" s="335"/>
    </row>
    <row r="156" spans="1:49" ht="45.6" hidden="1" customHeight="1" outlineLevel="3" x14ac:dyDescent="0.25">
      <c r="A156" s="63" t="str">
        <f t="shared" ref="A156:A167" si="27">CONCATENATE(B156,".",C156,".",D156,".",E156,".",F156,".",G156)</f>
        <v>1.3.1.1.11.58</v>
      </c>
      <c r="B156" s="64">
        <v>1</v>
      </c>
      <c r="C156" s="64">
        <v>3</v>
      </c>
      <c r="D156" s="64">
        <v>1</v>
      </c>
      <c r="E156" s="64">
        <v>1</v>
      </c>
      <c r="F156" s="64">
        <v>11</v>
      </c>
      <c r="G156" s="64">
        <v>58</v>
      </c>
      <c r="H156" s="65"/>
      <c r="I156" s="65"/>
      <c r="J156" s="66"/>
      <c r="K156" s="67" t="s">
        <v>274</v>
      </c>
      <c r="L156" s="64" t="s">
        <v>72</v>
      </c>
      <c r="M156" s="64" t="s">
        <v>267</v>
      </c>
      <c r="N156" s="64" t="s">
        <v>265</v>
      </c>
      <c r="O156" s="68" t="s">
        <v>275</v>
      </c>
      <c r="P156" s="69">
        <v>44571</v>
      </c>
      <c r="Q156" s="69">
        <v>44925</v>
      </c>
      <c r="R156" s="124">
        <v>12</v>
      </c>
      <c r="S156" s="123" t="s">
        <v>144</v>
      </c>
      <c r="T156" s="194">
        <v>3</v>
      </c>
      <c r="U156" s="75">
        <f>5767504.59+1088474.54</f>
        <v>6855979.1299999999</v>
      </c>
      <c r="V156" s="75"/>
      <c r="W156" s="75">
        <v>0</v>
      </c>
      <c r="X156" s="1122">
        <v>0</v>
      </c>
      <c r="Y156" s="75">
        <f>5767504.59+1632711.81</f>
        <v>7400216.4000000004</v>
      </c>
      <c r="Z156" s="75">
        <v>0</v>
      </c>
      <c r="AA156" s="1122">
        <v>0</v>
      </c>
      <c r="AB156" s="75">
        <f>5767504.59+1632711.81</f>
        <v>7400216.4000000004</v>
      </c>
      <c r="AC156" s="75">
        <v>0</v>
      </c>
      <c r="AD156" s="1122">
        <v>0</v>
      </c>
      <c r="AE156" s="75">
        <f>5767504.59+1632711.81</f>
        <v>7400216.4000000004</v>
      </c>
      <c r="AF156" s="75">
        <v>0</v>
      </c>
      <c r="AG156" s="1122">
        <v>0</v>
      </c>
      <c r="AH156" s="505">
        <f>+U156+Y156+AB156+AE156</f>
        <v>29056628.329999998</v>
      </c>
      <c r="AI156" s="129"/>
      <c r="AJ156" s="75">
        <f t="shared" si="25"/>
        <v>0</v>
      </c>
      <c r="AK156" s="129"/>
      <c r="AL156" s="129"/>
      <c r="AM156" s="129"/>
      <c r="AN156" s="64" t="s">
        <v>39</v>
      </c>
      <c r="AO156" s="100"/>
      <c r="AP156" s="100"/>
      <c r="AQ156" s="1050"/>
      <c r="AR156" s="104"/>
      <c r="AS156" s="104"/>
      <c r="AT156" s="100"/>
      <c r="AU156" s="1043"/>
      <c r="AV156" s="65" t="s">
        <v>267</v>
      </c>
      <c r="AW156" s="438"/>
    </row>
    <row r="157" spans="1:49" ht="102.6" hidden="1" customHeight="1" outlineLevel="3" x14ac:dyDescent="0.25">
      <c r="A157" s="63" t="str">
        <f t="shared" si="27"/>
        <v>1.3.1.1.14.58</v>
      </c>
      <c r="B157" s="64">
        <v>1</v>
      </c>
      <c r="C157" s="64">
        <v>3</v>
      </c>
      <c r="D157" s="64">
        <v>1</v>
      </c>
      <c r="E157" s="64">
        <v>1</v>
      </c>
      <c r="F157" s="64">
        <v>14</v>
      </c>
      <c r="G157" s="64">
        <v>58</v>
      </c>
      <c r="H157" s="65"/>
      <c r="I157" s="65"/>
      <c r="J157" s="66"/>
      <c r="K157" s="67" t="s">
        <v>276</v>
      </c>
      <c r="L157" s="64" t="s">
        <v>72</v>
      </c>
      <c r="M157" s="64" t="s">
        <v>271</v>
      </c>
      <c r="N157" s="64" t="s">
        <v>74</v>
      </c>
      <c r="O157" s="68" t="s">
        <v>277</v>
      </c>
      <c r="P157" s="69">
        <v>44571</v>
      </c>
      <c r="Q157" s="69">
        <v>44925</v>
      </c>
      <c r="R157" s="124"/>
      <c r="S157" s="123"/>
      <c r="T157" s="194"/>
      <c r="U157" s="75">
        <v>0</v>
      </c>
      <c r="V157" s="75"/>
      <c r="W157" s="75">
        <v>0</v>
      </c>
      <c r="X157" s="1122">
        <v>0</v>
      </c>
      <c r="Y157" s="75">
        <v>0</v>
      </c>
      <c r="Z157" s="75">
        <v>0</v>
      </c>
      <c r="AA157" s="1122">
        <v>0</v>
      </c>
      <c r="AB157" s="75">
        <v>0</v>
      </c>
      <c r="AC157" s="75">
        <v>0</v>
      </c>
      <c r="AD157" s="1122">
        <v>0</v>
      </c>
      <c r="AE157" s="75">
        <v>0</v>
      </c>
      <c r="AF157" s="75">
        <v>0</v>
      </c>
      <c r="AG157" s="1122">
        <v>0</v>
      </c>
      <c r="AH157" s="505">
        <f t="shared" si="26"/>
        <v>0</v>
      </c>
      <c r="AI157" s="129"/>
      <c r="AJ157" s="75">
        <f t="shared" si="25"/>
        <v>0</v>
      </c>
      <c r="AK157" s="129"/>
      <c r="AL157" s="129"/>
      <c r="AM157" s="129"/>
      <c r="AN157" s="189" t="s">
        <v>39</v>
      </c>
      <c r="AO157" s="100"/>
      <c r="AP157" s="960"/>
      <c r="AQ157" s="960"/>
      <c r="AR157" s="100"/>
      <c r="AS157" s="100"/>
      <c r="AT157" s="1054"/>
      <c r="AU157" s="1055"/>
      <c r="AV157" s="65" t="s">
        <v>278</v>
      </c>
      <c r="AW157" s="68"/>
    </row>
    <row r="158" spans="1:49" ht="125.45" hidden="1" customHeight="1" outlineLevel="3" x14ac:dyDescent="0.25">
      <c r="A158" s="63" t="str">
        <f>CONCATENATE(B158,".",C158,".",D158,".",E158,".",F158,".",G158)</f>
        <v>1.3.1.1.15.58</v>
      </c>
      <c r="B158" s="64">
        <v>1</v>
      </c>
      <c r="C158" s="64">
        <v>3</v>
      </c>
      <c r="D158" s="64">
        <v>1</v>
      </c>
      <c r="E158" s="64">
        <v>1</v>
      </c>
      <c r="F158" s="64">
        <v>15</v>
      </c>
      <c r="G158" s="64">
        <v>58</v>
      </c>
      <c r="H158" s="65"/>
      <c r="I158" s="65"/>
      <c r="J158" s="66"/>
      <c r="K158" s="67" t="s">
        <v>1889</v>
      </c>
      <c r="L158" s="64" t="s">
        <v>72</v>
      </c>
      <c r="M158" s="64" t="s">
        <v>279</v>
      </c>
      <c r="N158" s="64" t="s">
        <v>74</v>
      </c>
      <c r="O158" s="68" t="s">
        <v>277</v>
      </c>
      <c r="P158" s="69">
        <v>44562</v>
      </c>
      <c r="Q158" s="69">
        <v>45291</v>
      </c>
      <c r="R158" s="124">
        <v>2</v>
      </c>
      <c r="S158" s="123"/>
      <c r="T158" s="194"/>
      <c r="U158" s="75">
        <v>42857</v>
      </c>
      <c r="V158" s="75"/>
      <c r="W158" s="75">
        <v>0</v>
      </c>
      <c r="X158" s="1122">
        <v>0</v>
      </c>
      <c r="Y158" s="75">
        <v>0</v>
      </c>
      <c r="Z158" s="75">
        <v>0</v>
      </c>
      <c r="AA158" s="1122">
        <v>0</v>
      </c>
      <c r="AB158" s="75">
        <v>0</v>
      </c>
      <c r="AC158" s="75">
        <v>0</v>
      </c>
      <c r="AD158" s="1122">
        <v>0</v>
      </c>
      <c r="AE158" s="75">
        <v>0</v>
      </c>
      <c r="AF158" s="75">
        <v>0</v>
      </c>
      <c r="AG158" s="1122">
        <v>0</v>
      </c>
      <c r="AH158" s="505">
        <f t="shared" si="26"/>
        <v>42857</v>
      </c>
      <c r="AI158" s="130"/>
      <c r="AJ158" s="75">
        <f t="shared" si="25"/>
        <v>0</v>
      </c>
      <c r="AK158" s="130"/>
      <c r="AL158" s="130"/>
      <c r="AM158" s="130"/>
      <c r="AN158" s="189" t="s">
        <v>39</v>
      </c>
      <c r="AO158" s="100"/>
      <c r="AP158" s="960"/>
      <c r="AQ158" s="960"/>
      <c r="AR158" s="1054"/>
      <c r="AS158" s="1054"/>
      <c r="AT158" s="1056"/>
      <c r="AU158" s="1055"/>
      <c r="AV158" s="65" t="s">
        <v>279</v>
      </c>
      <c r="AW158" s="538"/>
    </row>
    <row r="159" spans="1:49" ht="22.35" hidden="1" customHeight="1" outlineLevel="3" x14ac:dyDescent="0.25">
      <c r="A159" s="63" t="str">
        <f t="shared" si="27"/>
        <v>1.3.1.1.19.58</v>
      </c>
      <c r="B159" s="64">
        <v>1</v>
      </c>
      <c r="C159" s="64">
        <v>3</v>
      </c>
      <c r="D159" s="64">
        <v>1</v>
      </c>
      <c r="E159" s="64">
        <v>1</v>
      </c>
      <c r="F159" s="64">
        <v>19</v>
      </c>
      <c r="G159" s="64">
        <v>58</v>
      </c>
      <c r="H159" s="65"/>
      <c r="I159" s="65"/>
      <c r="J159" s="66"/>
      <c r="K159" s="67" t="s">
        <v>280</v>
      </c>
      <c r="L159" s="64" t="s">
        <v>72</v>
      </c>
      <c r="M159" s="64" t="s">
        <v>271</v>
      </c>
      <c r="N159" s="64" t="s">
        <v>74</v>
      </c>
      <c r="O159" s="68" t="s">
        <v>281</v>
      </c>
      <c r="P159" s="69">
        <v>44571</v>
      </c>
      <c r="Q159" s="131">
        <v>44925</v>
      </c>
      <c r="R159" s="124"/>
      <c r="S159" s="123"/>
      <c r="T159" s="194"/>
      <c r="U159" s="75">
        <v>0</v>
      </c>
      <c r="V159" s="75"/>
      <c r="W159" s="75">
        <v>0</v>
      </c>
      <c r="X159" s="1122">
        <v>0</v>
      </c>
      <c r="Y159" s="75">
        <v>0</v>
      </c>
      <c r="Z159" s="75">
        <v>0</v>
      </c>
      <c r="AA159" s="1122">
        <v>0</v>
      </c>
      <c r="AB159" s="75">
        <v>0</v>
      </c>
      <c r="AC159" s="75">
        <v>0</v>
      </c>
      <c r="AD159" s="1122">
        <v>0</v>
      </c>
      <c r="AE159" s="75">
        <v>0</v>
      </c>
      <c r="AF159" s="75">
        <v>0</v>
      </c>
      <c r="AG159" s="1122">
        <v>0</v>
      </c>
      <c r="AH159" s="505">
        <f t="shared" si="26"/>
        <v>0</v>
      </c>
      <c r="AI159" s="132"/>
      <c r="AJ159" s="75">
        <f t="shared" si="25"/>
        <v>0</v>
      </c>
      <c r="AK159" s="132"/>
      <c r="AL159" s="132"/>
      <c r="AM159" s="132"/>
      <c r="AN159" s="64" t="s">
        <v>282</v>
      </c>
      <c r="AO159" s="100"/>
      <c r="AP159" s="100"/>
      <c r="AQ159" s="100"/>
      <c r="AR159" s="1028"/>
      <c r="AS159" s="100"/>
      <c r="AT159" s="100"/>
      <c r="AU159" s="983"/>
      <c r="AV159" s="65" t="s">
        <v>166</v>
      </c>
      <c r="AW159" s="434"/>
    </row>
    <row r="160" spans="1:49" ht="22.35" hidden="1" customHeight="1" outlineLevel="3" x14ac:dyDescent="0.25">
      <c r="A160" s="164" t="str">
        <f t="shared" si="27"/>
        <v>1.3.1.1.20.58</v>
      </c>
      <c r="B160" s="165">
        <v>1</v>
      </c>
      <c r="C160" s="165">
        <v>3</v>
      </c>
      <c r="D160" s="165">
        <v>1</v>
      </c>
      <c r="E160" s="165">
        <v>1</v>
      </c>
      <c r="F160" s="165">
        <v>20</v>
      </c>
      <c r="G160" s="165">
        <v>58</v>
      </c>
      <c r="H160" s="166"/>
      <c r="I160" s="166"/>
      <c r="J160" s="167"/>
      <c r="K160" s="1003" t="s">
        <v>283</v>
      </c>
      <c r="L160" s="165" t="s">
        <v>72</v>
      </c>
      <c r="M160" s="165" t="s">
        <v>271</v>
      </c>
      <c r="N160" s="165" t="s">
        <v>74</v>
      </c>
      <c r="O160" s="146" t="s">
        <v>281</v>
      </c>
      <c r="P160" s="169">
        <v>44571</v>
      </c>
      <c r="Q160" s="1011">
        <v>44925</v>
      </c>
      <c r="R160" s="1012"/>
      <c r="S160" s="1013"/>
      <c r="T160" s="1185"/>
      <c r="U160" s="75">
        <v>0</v>
      </c>
      <c r="V160" s="75"/>
      <c r="W160" s="75">
        <v>0</v>
      </c>
      <c r="X160" s="1122">
        <v>0</v>
      </c>
      <c r="Y160" s="75">
        <v>0</v>
      </c>
      <c r="Z160" s="75">
        <v>0</v>
      </c>
      <c r="AA160" s="1122">
        <v>0</v>
      </c>
      <c r="AB160" s="75">
        <v>0</v>
      </c>
      <c r="AC160" s="75">
        <v>0</v>
      </c>
      <c r="AD160" s="1122">
        <v>0</v>
      </c>
      <c r="AE160" s="75">
        <v>0</v>
      </c>
      <c r="AF160" s="75">
        <v>0</v>
      </c>
      <c r="AG160" s="1122">
        <v>0</v>
      </c>
      <c r="AH160" s="505">
        <f t="shared" si="26"/>
        <v>0</v>
      </c>
      <c r="AI160" s="75"/>
      <c r="AJ160" s="75">
        <f t="shared" si="25"/>
        <v>0</v>
      </c>
      <c r="AK160" s="75"/>
      <c r="AL160" s="75"/>
      <c r="AM160" s="75"/>
      <c r="AN160" s="165" t="s">
        <v>282</v>
      </c>
      <c r="AO160" s="710"/>
      <c r="AP160" s="710"/>
      <c r="AQ160" s="710"/>
      <c r="AR160" s="710"/>
      <c r="AS160" s="710"/>
      <c r="AT160" s="710"/>
      <c r="AU160" s="1044"/>
      <c r="AV160" s="166" t="s">
        <v>166</v>
      </c>
      <c r="AW160" s="434"/>
    </row>
    <row r="161" spans="1:49" ht="33.6" hidden="1" customHeight="1" outlineLevel="3" x14ac:dyDescent="0.25">
      <c r="A161" s="63" t="str">
        <f t="shared" si="27"/>
        <v>1.3.1.1.21.58</v>
      </c>
      <c r="B161" s="64">
        <v>1</v>
      </c>
      <c r="C161" s="64">
        <v>3</v>
      </c>
      <c r="D161" s="64">
        <v>1</v>
      </c>
      <c r="E161" s="64">
        <v>1</v>
      </c>
      <c r="F161" s="64">
        <v>21</v>
      </c>
      <c r="G161" s="64">
        <v>58</v>
      </c>
      <c r="H161" s="65"/>
      <c r="I161" s="65"/>
      <c r="J161" s="66"/>
      <c r="K161" s="67" t="s">
        <v>284</v>
      </c>
      <c r="L161" s="64" t="s">
        <v>72</v>
      </c>
      <c r="M161" s="64" t="s">
        <v>271</v>
      </c>
      <c r="N161" s="64" t="s">
        <v>74</v>
      </c>
      <c r="O161" s="68" t="s">
        <v>281</v>
      </c>
      <c r="P161" s="69">
        <v>44972</v>
      </c>
      <c r="Q161" s="131">
        <v>45290</v>
      </c>
      <c r="R161" s="124">
        <v>1</v>
      </c>
      <c r="S161" s="123" t="s">
        <v>76</v>
      </c>
      <c r="T161" s="194"/>
      <c r="U161" s="75">
        <v>0</v>
      </c>
      <c r="V161" s="75"/>
      <c r="W161" s="75">
        <v>0</v>
      </c>
      <c r="X161" s="1122">
        <v>0</v>
      </c>
      <c r="Y161" s="75">
        <f>99607.2+5700</f>
        <v>105307.2</v>
      </c>
      <c r="Z161" s="75">
        <v>0</v>
      </c>
      <c r="AA161" s="1122">
        <v>0</v>
      </c>
      <c r="AB161" s="75">
        <v>0</v>
      </c>
      <c r="AC161" s="75">
        <v>0</v>
      </c>
      <c r="AD161" s="1122">
        <v>0</v>
      </c>
      <c r="AE161" s="75">
        <v>0</v>
      </c>
      <c r="AF161" s="75">
        <v>0</v>
      </c>
      <c r="AG161" s="1122">
        <v>0</v>
      </c>
      <c r="AH161" s="505">
        <f>+U161+Y161+AB161+AE161</f>
        <v>105307.2</v>
      </c>
      <c r="AI161" s="370"/>
      <c r="AJ161" s="75">
        <f t="shared" si="25"/>
        <v>0</v>
      </c>
      <c r="AK161" s="370"/>
      <c r="AL161" s="75"/>
      <c r="AM161" s="75"/>
      <c r="AN161" s="64" t="s">
        <v>282</v>
      </c>
      <c r="AO161" s="100"/>
      <c r="AP161" s="100"/>
      <c r="AQ161" s="100"/>
      <c r="AR161" s="100"/>
      <c r="AS161" s="100"/>
      <c r="AT161" s="100"/>
      <c r="AU161" s="983"/>
      <c r="AV161" s="65" t="s">
        <v>166</v>
      </c>
      <c r="AW161" s="67" t="s">
        <v>2757</v>
      </c>
    </row>
    <row r="162" spans="1:49" ht="26.1" hidden="1" customHeight="1" outlineLevel="3" x14ac:dyDescent="0.25">
      <c r="A162" s="864" t="str">
        <f t="shared" si="27"/>
        <v>1.3.1.1.23.58</v>
      </c>
      <c r="B162" s="245">
        <v>1</v>
      </c>
      <c r="C162" s="245">
        <v>3</v>
      </c>
      <c r="D162" s="245">
        <v>1</v>
      </c>
      <c r="E162" s="245">
        <v>1</v>
      </c>
      <c r="F162" s="245">
        <v>23</v>
      </c>
      <c r="G162" s="245">
        <v>58</v>
      </c>
      <c r="H162" s="1018"/>
      <c r="I162" s="1018"/>
      <c r="J162" s="1019"/>
      <c r="K162" s="244" t="s">
        <v>285</v>
      </c>
      <c r="L162" s="245" t="s">
        <v>72</v>
      </c>
      <c r="M162" s="245" t="s">
        <v>279</v>
      </c>
      <c r="N162" s="245" t="s">
        <v>74</v>
      </c>
      <c r="O162" s="145" t="s">
        <v>281</v>
      </c>
      <c r="P162" s="1020">
        <v>44571</v>
      </c>
      <c r="Q162" s="1021">
        <v>44925</v>
      </c>
      <c r="R162" s="1022"/>
      <c r="S162" s="1023"/>
      <c r="T162" s="1186"/>
      <c r="U162" s="75">
        <v>0</v>
      </c>
      <c r="V162" s="75"/>
      <c r="W162" s="75">
        <v>0</v>
      </c>
      <c r="X162" s="1122">
        <v>0</v>
      </c>
      <c r="Y162" s="75">
        <v>0</v>
      </c>
      <c r="Z162" s="75">
        <v>0</v>
      </c>
      <c r="AA162" s="1122">
        <v>0</v>
      </c>
      <c r="AB162" s="75">
        <v>0</v>
      </c>
      <c r="AC162" s="75">
        <v>0</v>
      </c>
      <c r="AD162" s="1122">
        <v>0</v>
      </c>
      <c r="AE162" s="75">
        <v>0</v>
      </c>
      <c r="AF162" s="75">
        <v>0</v>
      </c>
      <c r="AG162" s="1122">
        <v>0</v>
      </c>
      <c r="AH162" s="505">
        <f t="shared" si="26"/>
        <v>0</v>
      </c>
      <c r="AI162" s="75"/>
      <c r="AJ162" s="75">
        <f t="shared" si="25"/>
        <v>0</v>
      </c>
      <c r="AK162" s="75"/>
      <c r="AL162" s="75"/>
      <c r="AM162" s="75"/>
      <c r="AN162" s="245" t="s">
        <v>282</v>
      </c>
      <c r="AO162" s="1028"/>
      <c r="AP162" s="1028"/>
      <c r="AQ162" s="1028"/>
      <c r="AR162" s="1028"/>
      <c r="AS162" s="1028"/>
      <c r="AT162" s="1028"/>
      <c r="AU162" s="1031"/>
      <c r="AV162" s="1018" t="s">
        <v>279</v>
      </c>
      <c r="AW162" s="434"/>
    </row>
    <row r="163" spans="1:49" ht="26.1" hidden="1" customHeight="1" outlineLevel="3" x14ac:dyDescent="0.25">
      <c r="A163" s="63" t="str">
        <f t="shared" si="27"/>
        <v>1.3.1.1.24.58</v>
      </c>
      <c r="B163" s="64">
        <v>1</v>
      </c>
      <c r="C163" s="64">
        <v>3</v>
      </c>
      <c r="D163" s="64">
        <v>1</v>
      </c>
      <c r="E163" s="64">
        <v>1</v>
      </c>
      <c r="F163" s="64">
        <v>24</v>
      </c>
      <c r="G163" s="64">
        <v>58</v>
      </c>
      <c r="H163" s="65"/>
      <c r="I163" s="65"/>
      <c r="J163" s="66"/>
      <c r="K163" s="67" t="s">
        <v>286</v>
      </c>
      <c r="L163" s="64" t="s">
        <v>72</v>
      </c>
      <c r="M163" s="64" t="s">
        <v>73</v>
      </c>
      <c r="N163" s="64" t="s">
        <v>74</v>
      </c>
      <c r="O163" s="68" t="s">
        <v>281</v>
      </c>
      <c r="P163" s="69">
        <v>44571</v>
      </c>
      <c r="Q163" s="131">
        <v>44925</v>
      </c>
      <c r="R163" s="124"/>
      <c r="S163" s="123"/>
      <c r="T163" s="194"/>
      <c r="U163" s="75">
        <v>0</v>
      </c>
      <c r="V163" s="75"/>
      <c r="W163" s="75">
        <v>0</v>
      </c>
      <c r="X163" s="1122">
        <v>0</v>
      </c>
      <c r="Y163" s="75">
        <v>0</v>
      </c>
      <c r="Z163" s="75">
        <v>0</v>
      </c>
      <c r="AA163" s="1122">
        <v>0</v>
      </c>
      <c r="AB163" s="75">
        <v>0</v>
      </c>
      <c r="AC163" s="75">
        <v>0</v>
      </c>
      <c r="AD163" s="1122">
        <v>0</v>
      </c>
      <c r="AE163" s="75">
        <v>0</v>
      </c>
      <c r="AF163" s="75">
        <v>0</v>
      </c>
      <c r="AG163" s="1122">
        <v>0</v>
      </c>
      <c r="AH163" s="505">
        <f t="shared" si="26"/>
        <v>0</v>
      </c>
      <c r="AI163" s="75"/>
      <c r="AJ163" s="75">
        <f t="shared" si="25"/>
        <v>0</v>
      </c>
      <c r="AK163" s="75"/>
      <c r="AL163" s="75"/>
      <c r="AM163" s="75"/>
      <c r="AN163" s="64" t="s">
        <v>282</v>
      </c>
      <c r="AO163" s="100"/>
      <c r="AP163" s="100"/>
      <c r="AQ163" s="100"/>
      <c r="AR163" s="100"/>
      <c r="AS163" s="100"/>
      <c r="AT163" s="100"/>
      <c r="AU163" s="983"/>
      <c r="AV163" s="65" t="s">
        <v>73</v>
      </c>
      <c r="AW163" s="434"/>
    </row>
    <row r="164" spans="1:49" ht="26.1" hidden="1" customHeight="1" outlineLevel="3" x14ac:dyDescent="0.25">
      <c r="A164" s="63" t="str">
        <f t="shared" si="27"/>
        <v>1.3.1.1.25.58</v>
      </c>
      <c r="B164" s="64">
        <v>1</v>
      </c>
      <c r="C164" s="64">
        <v>3</v>
      </c>
      <c r="D164" s="64">
        <v>1</v>
      </c>
      <c r="E164" s="64">
        <v>1</v>
      </c>
      <c r="F164" s="64">
        <v>25</v>
      </c>
      <c r="G164" s="64">
        <v>58</v>
      </c>
      <c r="H164" s="65"/>
      <c r="I164" s="65"/>
      <c r="J164" s="66"/>
      <c r="K164" s="67" t="s">
        <v>287</v>
      </c>
      <c r="L164" s="64" t="s">
        <v>72</v>
      </c>
      <c r="M164" s="64" t="s">
        <v>73</v>
      </c>
      <c r="N164" s="64" t="s">
        <v>288</v>
      </c>
      <c r="O164" s="68" t="s">
        <v>281</v>
      </c>
      <c r="P164" s="69">
        <v>44571</v>
      </c>
      <c r="Q164" s="131">
        <v>44925</v>
      </c>
      <c r="R164" s="124"/>
      <c r="S164" s="123"/>
      <c r="T164" s="194"/>
      <c r="U164" s="75">
        <v>0</v>
      </c>
      <c r="V164" s="75"/>
      <c r="W164" s="75">
        <v>0</v>
      </c>
      <c r="X164" s="1122">
        <v>0</v>
      </c>
      <c r="Y164" s="75">
        <v>0</v>
      </c>
      <c r="Z164" s="75">
        <v>0</v>
      </c>
      <c r="AA164" s="1122">
        <v>0</v>
      </c>
      <c r="AB164" s="75">
        <v>0</v>
      </c>
      <c r="AC164" s="75">
        <v>0</v>
      </c>
      <c r="AD164" s="1122">
        <v>0</v>
      </c>
      <c r="AE164" s="75">
        <v>0</v>
      </c>
      <c r="AF164" s="75">
        <v>0</v>
      </c>
      <c r="AG164" s="1122">
        <v>0</v>
      </c>
      <c r="AH164" s="505">
        <f t="shared" si="26"/>
        <v>0</v>
      </c>
      <c r="AI164" s="132"/>
      <c r="AJ164" s="75">
        <f t="shared" si="25"/>
        <v>0</v>
      </c>
      <c r="AK164" s="132"/>
      <c r="AL164" s="132"/>
      <c r="AM164" s="132"/>
      <c r="AN164" s="64" t="s">
        <v>282</v>
      </c>
      <c r="AO164" s="100"/>
      <c r="AP164" s="100"/>
      <c r="AQ164" s="100"/>
      <c r="AR164" s="100"/>
      <c r="AS164" s="100"/>
      <c r="AT164" s="100"/>
      <c r="AU164" s="983"/>
      <c r="AV164" s="65" t="s">
        <v>289</v>
      </c>
      <c r="AW164" s="434"/>
    </row>
    <row r="165" spans="1:49" ht="26.1" hidden="1" customHeight="1" outlineLevel="3" x14ac:dyDescent="0.25">
      <c r="A165" s="63" t="str">
        <f t="shared" si="27"/>
        <v>1.3.1.1.26.58</v>
      </c>
      <c r="B165" s="64">
        <v>1</v>
      </c>
      <c r="C165" s="64">
        <v>3</v>
      </c>
      <c r="D165" s="64">
        <v>1</v>
      </c>
      <c r="E165" s="64">
        <v>1</v>
      </c>
      <c r="F165" s="64">
        <v>26</v>
      </c>
      <c r="G165" s="64">
        <v>58</v>
      </c>
      <c r="H165" s="65"/>
      <c r="I165" s="65"/>
      <c r="J165" s="66"/>
      <c r="K165" s="67" t="s">
        <v>2206</v>
      </c>
      <c r="L165" s="64" t="s">
        <v>72</v>
      </c>
      <c r="M165" s="64" t="s">
        <v>279</v>
      </c>
      <c r="N165" s="64" t="s">
        <v>291</v>
      </c>
      <c r="O165" s="68" t="s">
        <v>281</v>
      </c>
      <c r="P165" s="69">
        <v>44571</v>
      </c>
      <c r="Q165" s="131">
        <v>44925</v>
      </c>
      <c r="R165" s="124"/>
      <c r="S165" s="123"/>
      <c r="T165" s="194"/>
      <c r="U165" s="75">
        <v>0</v>
      </c>
      <c r="V165" s="75"/>
      <c r="W165" s="75">
        <v>0</v>
      </c>
      <c r="X165" s="1122">
        <v>0</v>
      </c>
      <c r="Y165" s="75">
        <v>0</v>
      </c>
      <c r="Z165" s="75">
        <v>0</v>
      </c>
      <c r="AA165" s="1122">
        <v>0</v>
      </c>
      <c r="AB165" s="75">
        <v>0</v>
      </c>
      <c r="AC165" s="75">
        <v>0</v>
      </c>
      <c r="AD165" s="1122">
        <v>0</v>
      </c>
      <c r="AE165" s="75">
        <v>0</v>
      </c>
      <c r="AF165" s="75">
        <v>0</v>
      </c>
      <c r="AG165" s="1122">
        <v>0</v>
      </c>
      <c r="AH165" s="505">
        <f t="shared" si="26"/>
        <v>0</v>
      </c>
      <c r="AI165" s="130"/>
      <c r="AJ165" s="75">
        <f t="shared" si="25"/>
        <v>0</v>
      </c>
      <c r="AK165" s="130"/>
      <c r="AL165" s="130"/>
      <c r="AM165" s="130"/>
      <c r="AN165" s="64" t="s">
        <v>282</v>
      </c>
      <c r="AO165" s="100"/>
      <c r="AP165" s="1057"/>
      <c r="AQ165" s="960"/>
      <c r="AR165" s="100"/>
      <c r="AS165" s="100"/>
      <c r="AT165" s="1054"/>
      <c r="AU165" s="983"/>
      <c r="AV165" s="65" t="s">
        <v>292</v>
      </c>
      <c r="AW165" s="434"/>
    </row>
    <row r="166" spans="1:49" ht="78" hidden="1" customHeight="1" outlineLevel="3" x14ac:dyDescent="0.25">
      <c r="A166" s="63" t="str">
        <f t="shared" si="27"/>
        <v>1.3.1.1.28.58</v>
      </c>
      <c r="B166" s="64">
        <v>1</v>
      </c>
      <c r="C166" s="64">
        <v>3</v>
      </c>
      <c r="D166" s="64">
        <v>1</v>
      </c>
      <c r="E166" s="64">
        <v>1</v>
      </c>
      <c r="F166" s="64">
        <v>28</v>
      </c>
      <c r="G166" s="100">
        <v>58</v>
      </c>
      <c r="H166" s="65"/>
      <c r="I166" s="65"/>
      <c r="J166" s="66"/>
      <c r="K166" s="67" t="s">
        <v>293</v>
      </c>
      <c r="L166" s="64" t="s">
        <v>72</v>
      </c>
      <c r="M166" s="64" t="s">
        <v>279</v>
      </c>
      <c r="N166" s="64" t="s">
        <v>291</v>
      </c>
      <c r="O166" s="68" t="s">
        <v>281</v>
      </c>
      <c r="P166" s="69">
        <v>44571</v>
      </c>
      <c r="Q166" s="69">
        <v>44925</v>
      </c>
      <c r="R166" s="124"/>
      <c r="S166" s="123" t="s">
        <v>294</v>
      </c>
      <c r="T166" s="194"/>
      <c r="U166" s="75">
        <v>50446.431698</v>
      </c>
      <c r="V166" s="75"/>
      <c r="W166" s="75">
        <v>0</v>
      </c>
      <c r="X166" s="1122">
        <v>0</v>
      </c>
      <c r="Y166" s="75">
        <v>50446.431698</v>
      </c>
      <c r="Z166" s="75">
        <v>0</v>
      </c>
      <c r="AA166" s="1122">
        <v>0</v>
      </c>
      <c r="AB166" s="75">
        <v>50446.431698</v>
      </c>
      <c r="AC166" s="75">
        <v>0</v>
      </c>
      <c r="AD166" s="1122">
        <v>0</v>
      </c>
      <c r="AE166" s="75">
        <v>50446.431698</v>
      </c>
      <c r="AF166" s="75">
        <v>0</v>
      </c>
      <c r="AG166" s="1122">
        <v>0</v>
      </c>
      <c r="AH166" s="505">
        <f>+U166+Y166+AB166+AE166</f>
        <v>201785.726792</v>
      </c>
      <c r="AI166" s="132"/>
      <c r="AJ166" s="75">
        <f t="shared" si="25"/>
        <v>0</v>
      </c>
      <c r="AK166" s="132"/>
      <c r="AL166" s="132"/>
      <c r="AM166" s="132"/>
      <c r="AN166" s="64" t="s">
        <v>282</v>
      </c>
      <c r="AO166" s="100"/>
      <c r="AP166" s="100"/>
      <c r="AQ166" s="993"/>
      <c r="AR166" s="100"/>
      <c r="AS166" s="994"/>
      <c r="AT166" s="100"/>
      <c r="AU166" s="983"/>
      <c r="AV166" s="123" t="s">
        <v>272</v>
      </c>
      <c r="AW166" s="67" t="s">
        <v>2833</v>
      </c>
    </row>
    <row r="167" spans="1:49" ht="14.45" hidden="1" customHeight="1" outlineLevel="3" x14ac:dyDescent="0.25">
      <c r="A167" s="63" t="str">
        <f t="shared" si="27"/>
        <v>1.3.1.1.29.58</v>
      </c>
      <c r="B167" s="64">
        <v>1</v>
      </c>
      <c r="C167" s="64">
        <v>3</v>
      </c>
      <c r="D167" s="64">
        <v>1</v>
      </c>
      <c r="E167" s="64">
        <v>1</v>
      </c>
      <c r="F167" s="64">
        <v>29</v>
      </c>
      <c r="G167" s="64">
        <v>58</v>
      </c>
      <c r="H167" s="65"/>
      <c r="I167" s="65"/>
      <c r="J167" s="66"/>
      <c r="K167" s="67" t="s">
        <v>296</v>
      </c>
      <c r="L167" s="64" t="s">
        <v>72</v>
      </c>
      <c r="M167" s="64" t="s">
        <v>279</v>
      </c>
      <c r="N167" s="64" t="s">
        <v>291</v>
      </c>
      <c r="O167" s="68" t="s">
        <v>281</v>
      </c>
      <c r="P167" s="69">
        <v>44571</v>
      </c>
      <c r="Q167" s="69">
        <v>44925</v>
      </c>
      <c r="R167" s="124"/>
      <c r="S167" s="123"/>
      <c r="T167" s="194"/>
      <c r="U167" s="75">
        <v>239564.97</v>
      </c>
      <c r="V167" s="75"/>
      <c r="W167" s="75">
        <v>0</v>
      </c>
      <c r="X167" s="1122">
        <v>0</v>
      </c>
      <c r="Y167" s="75">
        <v>239564.97</v>
      </c>
      <c r="Z167" s="75">
        <v>0</v>
      </c>
      <c r="AA167" s="1122">
        <v>0</v>
      </c>
      <c r="AB167" s="75">
        <v>239564.97</v>
      </c>
      <c r="AC167" s="75">
        <v>0</v>
      </c>
      <c r="AD167" s="1122">
        <v>0</v>
      </c>
      <c r="AE167" s="75">
        <v>239564.97</v>
      </c>
      <c r="AF167" s="75">
        <v>0</v>
      </c>
      <c r="AG167" s="1122">
        <v>0</v>
      </c>
      <c r="AH167" s="505">
        <f>+U167+Y167+AB167+AE167</f>
        <v>958259.88</v>
      </c>
      <c r="AI167" s="132"/>
      <c r="AJ167" s="75">
        <f t="shared" si="25"/>
        <v>0</v>
      </c>
      <c r="AK167" s="132"/>
      <c r="AL167" s="132"/>
      <c r="AM167" s="132"/>
      <c r="AN167" s="64" t="s">
        <v>282</v>
      </c>
      <c r="AO167" s="100"/>
      <c r="AP167" s="100"/>
      <c r="AQ167" s="960"/>
      <c r="AR167" s="100"/>
      <c r="AS167" s="100"/>
      <c r="AT167" s="100"/>
      <c r="AU167" s="964"/>
      <c r="AV167" s="347" t="s">
        <v>297</v>
      </c>
      <c r="AW167" s="67" t="s">
        <v>2822</v>
      </c>
    </row>
    <row r="168" spans="1:49" ht="14.45" hidden="1" customHeight="1" outlineLevel="3" x14ac:dyDescent="0.25">
      <c r="A168" s="99" t="str">
        <f>CONCATENATE(B168,".",C168,".",D168,".",E168,".",F168,".",G168)</f>
        <v>1.3.1.1.31.58</v>
      </c>
      <c r="B168" s="100">
        <v>1</v>
      </c>
      <c r="C168" s="100">
        <v>3</v>
      </c>
      <c r="D168" s="100">
        <v>1</v>
      </c>
      <c r="E168" s="100">
        <v>1</v>
      </c>
      <c r="F168" s="100">
        <v>31</v>
      </c>
      <c r="G168" s="100">
        <v>58</v>
      </c>
      <c r="H168" s="65"/>
      <c r="I168" s="65"/>
      <c r="J168" s="66"/>
      <c r="K168" s="67" t="s">
        <v>298</v>
      </c>
      <c r="L168" s="64" t="s">
        <v>359</v>
      </c>
      <c r="M168" s="64" t="s">
        <v>299</v>
      </c>
      <c r="N168" s="64"/>
      <c r="O168" s="68"/>
      <c r="P168" s="69"/>
      <c r="Q168" s="69"/>
      <c r="R168" s="124"/>
      <c r="S168" s="123"/>
      <c r="T168" s="194"/>
      <c r="U168" s="75">
        <v>0</v>
      </c>
      <c r="V168" s="75"/>
      <c r="W168" s="75">
        <v>0</v>
      </c>
      <c r="X168" s="1122">
        <v>0</v>
      </c>
      <c r="Y168" s="75">
        <v>0</v>
      </c>
      <c r="Z168" s="75">
        <v>0</v>
      </c>
      <c r="AA168" s="1122">
        <v>0</v>
      </c>
      <c r="AB168" s="75">
        <v>0</v>
      </c>
      <c r="AC168" s="75">
        <v>0</v>
      </c>
      <c r="AD168" s="1122">
        <v>0</v>
      </c>
      <c r="AE168" s="75">
        <v>0</v>
      </c>
      <c r="AF168" s="75">
        <v>0</v>
      </c>
      <c r="AG168" s="1122">
        <v>0</v>
      </c>
      <c r="AH168" s="505">
        <f t="shared" si="26"/>
        <v>0</v>
      </c>
      <c r="AI168" s="132"/>
      <c r="AJ168" s="75">
        <f t="shared" si="25"/>
        <v>0</v>
      </c>
      <c r="AK168" s="132"/>
      <c r="AL168" s="132"/>
      <c r="AM168" s="132"/>
      <c r="AN168" s="64" t="s">
        <v>282</v>
      </c>
      <c r="AO168" s="100"/>
      <c r="AP168" s="100"/>
      <c r="AQ168" s="100"/>
      <c r="AR168" s="104"/>
      <c r="AS168" s="104"/>
      <c r="AT168" s="100"/>
      <c r="AU168" s="983"/>
      <c r="AV168" s="347"/>
      <c r="AW168" s="434"/>
    </row>
    <row r="169" spans="1:49" ht="68.25" customHeight="1" outlineLevel="1" collapsed="1" x14ac:dyDescent="0.25">
      <c r="A169" s="80" t="str">
        <f t="shared" si="0"/>
        <v>1.3.1.2.0.0</v>
      </c>
      <c r="B169" s="81">
        <v>1</v>
      </c>
      <c r="C169" s="81">
        <v>3</v>
      </c>
      <c r="D169" s="81">
        <v>1</v>
      </c>
      <c r="E169" s="81">
        <v>2</v>
      </c>
      <c r="F169" s="81">
        <v>0</v>
      </c>
      <c r="G169" s="81">
        <v>0</v>
      </c>
      <c r="H169" s="114"/>
      <c r="I169" s="114"/>
      <c r="J169" s="1346" t="s">
        <v>300</v>
      </c>
      <c r="K169" s="1346"/>
      <c r="L169" s="81" t="s">
        <v>236</v>
      </c>
      <c r="M169" s="81" t="s">
        <v>240</v>
      </c>
      <c r="N169" s="81" t="s">
        <v>226</v>
      </c>
      <c r="O169" s="81" t="s">
        <v>241</v>
      </c>
      <c r="P169" s="118">
        <v>44571</v>
      </c>
      <c r="Q169" s="118">
        <v>44925</v>
      </c>
      <c r="R169" s="119">
        <f>R175+R174+R173+R172+R171+R170</f>
        <v>638815</v>
      </c>
      <c r="S169" s="114" t="s">
        <v>242</v>
      </c>
      <c r="T169" s="1184">
        <f>+T170+T171</f>
        <v>79850</v>
      </c>
      <c r="U169" s="116">
        <f>SUM(U170:U190)</f>
        <v>8707253.1316980012</v>
      </c>
      <c r="V169" s="116"/>
      <c r="W169" s="116">
        <f t="shared" ref="W169:AI169" si="28">SUM(W170:W190)</f>
        <v>0</v>
      </c>
      <c r="X169" s="1125">
        <f t="shared" si="28"/>
        <v>0</v>
      </c>
      <c r="Y169" s="116">
        <f t="shared" si="28"/>
        <v>9308240.601698</v>
      </c>
      <c r="Z169" s="116">
        <f t="shared" si="28"/>
        <v>0</v>
      </c>
      <c r="AA169" s="1125">
        <f t="shared" si="28"/>
        <v>0</v>
      </c>
      <c r="AB169" s="116">
        <f t="shared" si="28"/>
        <v>9208633.4016980007</v>
      </c>
      <c r="AC169" s="116">
        <f t="shared" si="28"/>
        <v>0</v>
      </c>
      <c r="AD169" s="1125">
        <f t="shared" si="28"/>
        <v>0</v>
      </c>
      <c r="AE169" s="116">
        <f t="shared" si="28"/>
        <v>9208633.4016980007</v>
      </c>
      <c r="AF169" s="116">
        <f t="shared" si="28"/>
        <v>0</v>
      </c>
      <c r="AG169" s="1125">
        <f t="shared" si="28"/>
        <v>0</v>
      </c>
      <c r="AH169" s="116">
        <f>SUM(AH170:AH190)</f>
        <v>36432760.53679201</v>
      </c>
      <c r="AI169" s="116">
        <f t="shared" si="28"/>
        <v>0</v>
      </c>
      <c r="AJ169" s="116">
        <f>SUM(AJ170:AJ190)</f>
        <v>0</v>
      </c>
      <c r="AK169" s="61"/>
      <c r="AL169" s="61"/>
      <c r="AM169" s="61"/>
      <c r="AN169" s="81" t="s">
        <v>243</v>
      </c>
      <c r="AO169" s="1058"/>
      <c r="AP169" s="1058"/>
      <c r="AQ169" s="1059"/>
      <c r="AR169" s="1058"/>
      <c r="AS169" s="1060"/>
      <c r="AT169" s="1058"/>
      <c r="AU169" s="1061"/>
      <c r="AV169" s="116">
        <f t="shared" ref="AV169" si="29">SUM(AV170:AV190)</f>
        <v>0</v>
      </c>
      <c r="AW169" s="433"/>
    </row>
    <row r="170" spans="1:49" ht="134.1" hidden="1" customHeight="1" outlineLevel="4" x14ac:dyDescent="0.25">
      <c r="A170" s="63" t="str">
        <f t="shared" si="0"/>
        <v>1.3.1.2.1.59</v>
      </c>
      <c r="B170" s="64">
        <v>1</v>
      </c>
      <c r="C170" s="64">
        <v>3</v>
      </c>
      <c r="D170" s="64">
        <v>1</v>
      </c>
      <c r="E170" s="64">
        <v>2</v>
      </c>
      <c r="F170" s="64">
        <v>1</v>
      </c>
      <c r="G170" s="64">
        <v>59</v>
      </c>
      <c r="H170" s="65"/>
      <c r="I170" s="65"/>
      <c r="J170" s="66"/>
      <c r="K170" s="65" t="s">
        <v>245</v>
      </c>
      <c r="L170" s="64" t="s">
        <v>246</v>
      </c>
      <c r="M170" s="64" t="s">
        <v>240</v>
      </c>
      <c r="N170" s="64" t="s">
        <v>247</v>
      </c>
      <c r="O170" s="64" t="s">
        <v>241</v>
      </c>
      <c r="P170" s="69">
        <v>44571</v>
      </c>
      <c r="Q170" s="69">
        <v>44925</v>
      </c>
      <c r="R170" s="126">
        <v>130000</v>
      </c>
      <c r="S170" s="123" t="s">
        <v>248</v>
      </c>
      <c r="T170" s="194">
        <f>+R170/4</f>
        <v>32500</v>
      </c>
      <c r="U170" s="75">
        <v>0</v>
      </c>
      <c r="V170" s="75"/>
      <c r="W170" s="75">
        <v>0</v>
      </c>
      <c r="X170" s="1122">
        <v>0</v>
      </c>
      <c r="Y170" s="75">
        <v>0</v>
      </c>
      <c r="Z170" s="75">
        <v>0</v>
      </c>
      <c r="AA170" s="1122">
        <v>0</v>
      </c>
      <c r="AB170" s="75">
        <v>0</v>
      </c>
      <c r="AC170" s="75">
        <v>0</v>
      </c>
      <c r="AD170" s="1122">
        <v>0</v>
      </c>
      <c r="AE170" s="75">
        <v>0</v>
      </c>
      <c r="AF170" s="75">
        <v>0</v>
      </c>
      <c r="AG170" s="1122">
        <v>0</v>
      </c>
      <c r="AH170" s="505">
        <f>+U170+Y170+AB170+AE170</f>
        <v>0</v>
      </c>
      <c r="AI170" s="132"/>
      <c r="AJ170" s="75">
        <f t="shared" ref="AJ170:AJ190" si="30">+W171+Z171+AC171+AF171</f>
        <v>0</v>
      </c>
      <c r="AK170" s="75"/>
      <c r="AL170" s="75"/>
      <c r="AM170" s="75"/>
      <c r="AN170" s="64" t="s">
        <v>39</v>
      </c>
      <c r="AO170" s="100"/>
      <c r="AP170" s="100"/>
      <c r="AQ170" s="993"/>
      <c r="AR170" s="100"/>
      <c r="AS170" s="994"/>
      <c r="AT170" s="100"/>
      <c r="AU170" s="983"/>
      <c r="AV170" s="347" t="s">
        <v>301</v>
      </c>
      <c r="AW170" s="335"/>
    </row>
    <row r="171" spans="1:49" ht="68.099999999999994" hidden="1" customHeight="1" outlineLevel="4" x14ac:dyDescent="0.25">
      <c r="A171" s="63" t="str">
        <f t="shared" si="0"/>
        <v>1.3.1.2.2.59</v>
      </c>
      <c r="B171" s="64">
        <v>1</v>
      </c>
      <c r="C171" s="64">
        <v>3</v>
      </c>
      <c r="D171" s="64">
        <v>1</v>
      </c>
      <c r="E171" s="64">
        <v>2</v>
      </c>
      <c r="F171" s="64">
        <v>2</v>
      </c>
      <c r="G171" s="64">
        <v>59</v>
      </c>
      <c r="H171" s="65"/>
      <c r="I171" s="65"/>
      <c r="J171" s="66"/>
      <c r="K171" s="65" t="s">
        <v>251</v>
      </c>
      <c r="L171" s="64" t="s">
        <v>246</v>
      </c>
      <c r="M171" s="64" t="s">
        <v>240</v>
      </c>
      <c r="N171" s="64" t="s">
        <v>252</v>
      </c>
      <c r="O171" s="64" t="s">
        <v>241</v>
      </c>
      <c r="P171" s="69">
        <v>44571</v>
      </c>
      <c r="Q171" s="69">
        <v>44925</v>
      </c>
      <c r="R171" s="126">
        <v>189400</v>
      </c>
      <c r="S171" s="123" t="s">
        <v>248</v>
      </c>
      <c r="T171" s="194">
        <f>+R171/4</f>
        <v>47350</v>
      </c>
      <c r="U171" s="75">
        <v>0</v>
      </c>
      <c r="V171" s="75"/>
      <c r="W171" s="75">
        <v>0</v>
      </c>
      <c r="X171" s="1122">
        <v>0</v>
      </c>
      <c r="Y171" s="75">
        <v>0</v>
      </c>
      <c r="Z171" s="75">
        <v>0</v>
      </c>
      <c r="AA171" s="1122">
        <v>0</v>
      </c>
      <c r="AB171" s="75">
        <v>0</v>
      </c>
      <c r="AC171" s="75">
        <v>0</v>
      </c>
      <c r="AD171" s="1122">
        <v>0</v>
      </c>
      <c r="AE171" s="75">
        <v>0</v>
      </c>
      <c r="AF171" s="75">
        <v>0</v>
      </c>
      <c r="AG171" s="1122">
        <v>0</v>
      </c>
      <c r="AH171" s="505">
        <f t="shared" ref="AH171:AH190" si="31">+U171+Y171+AB171+AE171</f>
        <v>0</v>
      </c>
      <c r="AI171" s="132"/>
      <c r="AJ171" s="75">
        <f t="shared" si="30"/>
        <v>0</v>
      </c>
      <c r="AK171" s="75"/>
      <c r="AL171" s="75"/>
      <c r="AM171" s="75"/>
      <c r="AN171" s="64" t="s">
        <v>39</v>
      </c>
      <c r="AO171" s="100"/>
      <c r="AP171" s="100"/>
      <c r="AQ171" s="993"/>
      <c r="AR171" s="100"/>
      <c r="AS171" s="994"/>
      <c r="AT171" s="100"/>
      <c r="AU171" s="983"/>
      <c r="AV171" s="347" t="s">
        <v>302</v>
      </c>
      <c r="AW171" s="335"/>
    </row>
    <row r="172" spans="1:49" ht="27" hidden="1" customHeight="1" outlineLevel="4" x14ac:dyDescent="0.25">
      <c r="A172" s="63" t="str">
        <f t="shared" si="0"/>
        <v>1.3.1.2.3.59</v>
      </c>
      <c r="B172" s="64">
        <v>1</v>
      </c>
      <c r="C172" s="64">
        <v>3</v>
      </c>
      <c r="D172" s="64">
        <v>1</v>
      </c>
      <c r="E172" s="64">
        <v>2</v>
      </c>
      <c r="F172" s="64">
        <v>3</v>
      </c>
      <c r="G172" s="64">
        <v>59</v>
      </c>
      <c r="H172" s="65"/>
      <c r="I172" s="65"/>
      <c r="J172" s="66"/>
      <c r="K172" s="65" t="s">
        <v>1909</v>
      </c>
      <c r="L172" s="64" t="s">
        <v>246</v>
      </c>
      <c r="M172" s="64" t="s">
        <v>256</v>
      </c>
      <c r="N172" s="64" t="s">
        <v>257</v>
      </c>
      <c r="O172" s="64" t="s">
        <v>241</v>
      </c>
      <c r="P172" s="69">
        <v>44571</v>
      </c>
      <c r="Q172" s="69">
        <v>44925</v>
      </c>
      <c r="R172" s="126"/>
      <c r="S172" s="123" t="s">
        <v>258</v>
      </c>
      <c r="T172" s="194"/>
      <c r="U172" s="75">
        <v>2250000</v>
      </c>
      <c r="V172" s="75"/>
      <c r="W172" s="75">
        <v>0</v>
      </c>
      <c r="X172" s="1122">
        <v>0</v>
      </c>
      <c r="Y172" s="75">
        <v>2250000</v>
      </c>
      <c r="Z172" s="75">
        <v>0</v>
      </c>
      <c r="AA172" s="1122">
        <v>0</v>
      </c>
      <c r="AB172" s="75">
        <v>2250000</v>
      </c>
      <c r="AC172" s="75">
        <v>0</v>
      </c>
      <c r="AD172" s="1122">
        <v>0</v>
      </c>
      <c r="AE172" s="75">
        <v>2250000</v>
      </c>
      <c r="AF172" s="75">
        <v>0</v>
      </c>
      <c r="AG172" s="1122">
        <v>0</v>
      </c>
      <c r="AH172" s="505">
        <f t="shared" si="31"/>
        <v>9000000</v>
      </c>
      <c r="AI172" s="132"/>
      <c r="AJ172" s="75">
        <f t="shared" si="30"/>
        <v>0</v>
      </c>
      <c r="AK172" s="78"/>
      <c r="AL172" s="78"/>
      <c r="AM172" s="78"/>
      <c r="AN172" s="64" t="s">
        <v>39</v>
      </c>
      <c r="AO172" s="100"/>
      <c r="AP172" s="100"/>
      <c r="AQ172" s="1050"/>
      <c r="AR172" s="1051"/>
      <c r="AS172" s="1051"/>
      <c r="AT172" s="100"/>
      <c r="AU172" s="983"/>
      <c r="AV172" s="347" t="s">
        <v>303</v>
      </c>
      <c r="AW172" s="561"/>
    </row>
    <row r="173" spans="1:49" ht="38.1" hidden="1" customHeight="1" outlineLevel="4" x14ac:dyDescent="0.25">
      <c r="A173" s="63" t="str">
        <f t="shared" si="0"/>
        <v>1.3.1.2.4.59</v>
      </c>
      <c r="B173" s="64">
        <v>1</v>
      </c>
      <c r="C173" s="64">
        <v>3</v>
      </c>
      <c r="D173" s="64">
        <v>1</v>
      </c>
      <c r="E173" s="64">
        <v>2</v>
      </c>
      <c r="F173" s="64">
        <v>4</v>
      </c>
      <c r="G173" s="64">
        <v>59</v>
      </c>
      <c r="H173" s="65"/>
      <c r="I173" s="65"/>
      <c r="J173" s="66"/>
      <c r="K173" s="65" t="s">
        <v>304</v>
      </c>
      <c r="L173" s="64" t="s">
        <v>246</v>
      </c>
      <c r="M173" s="64" t="s">
        <v>240</v>
      </c>
      <c r="N173" s="64" t="s">
        <v>247</v>
      </c>
      <c r="O173" s="64" t="s">
        <v>241</v>
      </c>
      <c r="P173" s="69">
        <v>44571</v>
      </c>
      <c r="Q173" s="69">
        <v>44925</v>
      </c>
      <c r="R173" s="126">
        <v>130000</v>
      </c>
      <c r="S173" s="123" t="s">
        <v>248</v>
      </c>
      <c r="T173" s="194">
        <f>+R173/4</f>
        <v>32500</v>
      </c>
      <c r="U173" s="75">
        <v>0</v>
      </c>
      <c r="V173" s="75"/>
      <c r="W173" s="75">
        <v>0</v>
      </c>
      <c r="X173" s="1122">
        <v>0</v>
      </c>
      <c r="Y173" s="75">
        <v>0</v>
      </c>
      <c r="Z173" s="75">
        <v>0</v>
      </c>
      <c r="AA173" s="1122">
        <v>0</v>
      </c>
      <c r="AB173" s="75">
        <v>0</v>
      </c>
      <c r="AC173" s="75">
        <v>0</v>
      </c>
      <c r="AD173" s="1122">
        <v>0</v>
      </c>
      <c r="AE173" s="75">
        <v>0</v>
      </c>
      <c r="AF173" s="75">
        <v>0</v>
      </c>
      <c r="AG173" s="1122">
        <v>0</v>
      </c>
      <c r="AH173" s="505">
        <f t="shared" si="31"/>
        <v>0</v>
      </c>
      <c r="AI173" s="132"/>
      <c r="AJ173" s="75">
        <f t="shared" si="30"/>
        <v>0</v>
      </c>
      <c r="AK173" s="75"/>
      <c r="AL173" s="75"/>
      <c r="AM173" s="75"/>
      <c r="AN173" s="64" t="s">
        <v>39</v>
      </c>
      <c r="AO173" s="100"/>
      <c r="AP173" s="100"/>
      <c r="AQ173" s="993"/>
      <c r="AR173" s="100"/>
      <c r="AS173" s="994"/>
      <c r="AT173" s="100"/>
      <c r="AU173" s="983"/>
      <c r="AV173" s="348" t="s">
        <v>260</v>
      </c>
      <c r="AW173" s="335"/>
    </row>
    <row r="174" spans="1:49" ht="35.450000000000003" hidden="1" customHeight="1" outlineLevel="4" x14ac:dyDescent="0.25">
      <c r="A174" s="63" t="str">
        <f t="shared" si="0"/>
        <v>1.3.1.2.5.59</v>
      </c>
      <c r="B174" s="64">
        <v>1</v>
      </c>
      <c r="C174" s="64">
        <v>3</v>
      </c>
      <c r="D174" s="64">
        <v>1</v>
      </c>
      <c r="E174" s="64">
        <v>2</v>
      </c>
      <c r="F174" s="64">
        <v>5</v>
      </c>
      <c r="G174" s="64">
        <v>59</v>
      </c>
      <c r="H174" s="65"/>
      <c r="I174" s="65"/>
      <c r="J174" s="66"/>
      <c r="K174" s="65" t="s">
        <v>305</v>
      </c>
      <c r="L174" s="64" t="s">
        <v>246</v>
      </c>
      <c r="M174" s="64" t="s">
        <v>240</v>
      </c>
      <c r="N174" s="64" t="s">
        <v>252</v>
      </c>
      <c r="O174" s="64" t="s">
        <v>241</v>
      </c>
      <c r="P174" s="69">
        <v>44571</v>
      </c>
      <c r="Q174" s="69">
        <v>44925</v>
      </c>
      <c r="R174" s="126">
        <v>189400</v>
      </c>
      <c r="S174" s="123" t="s">
        <v>248</v>
      </c>
      <c r="T174" s="194">
        <f>+R174/4</f>
        <v>47350</v>
      </c>
      <c r="U174" s="75">
        <v>0</v>
      </c>
      <c r="V174" s="75"/>
      <c r="W174" s="75">
        <v>0</v>
      </c>
      <c r="X174" s="1122">
        <v>0</v>
      </c>
      <c r="Y174" s="75">
        <v>0</v>
      </c>
      <c r="Z174" s="75">
        <v>0</v>
      </c>
      <c r="AA174" s="1122">
        <v>0</v>
      </c>
      <c r="AB174" s="75">
        <v>0</v>
      </c>
      <c r="AC174" s="75">
        <v>0</v>
      </c>
      <c r="AD174" s="1122">
        <v>0</v>
      </c>
      <c r="AE174" s="75">
        <v>0</v>
      </c>
      <c r="AF174" s="75">
        <v>0</v>
      </c>
      <c r="AG174" s="1122">
        <v>0</v>
      </c>
      <c r="AH174" s="505">
        <f t="shared" si="31"/>
        <v>0</v>
      </c>
      <c r="AI174" s="132"/>
      <c r="AJ174" s="75">
        <f t="shared" si="30"/>
        <v>0</v>
      </c>
      <c r="AK174" s="75"/>
      <c r="AL174" s="75"/>
      <c r="AM174" s="75"/>
      <c r="AN174" s="64" t="s">
        <v>39</v>
      </c>
      <c r="AO174" s="100"/>
      <c r="AP174" s="100"/>
      <c r="AQ174" s="993"/>
      <c r="AR174" s="100"/>
      <c r="AS174" s="994"/>
      <c r="AT174" s="100"/>
      <c r="AU174" s="983"/>
      <c r="AV174" s="348" t="s">
        <v>260</v>
      </c>
      <c r="AW174" s="335"/>
    </row>
    <row r="175" spans="1:49" ht="33" hidden="1" customHeight="1" outlineLevel="4" x14ac:dyDescent="0.25">
      <c r="A175" s="63" t="str">
        <f t="shared" si="0"/>
        <v>1.3.1.2.6.59</v>
      </c>
      <c r="B175" s="64">
        <v>1</v>
      </c>
      <c r="C175" s="64">
        <v>3</v>
      </c>
      <c r="D175" s="64">
        <v>1</v>
      </c>
      <c r="E175" s="64">
        <v>2</v>
      </c>
      <c r="F175" s="64">
        <v>6</v>
      </c>
      <c r="G175" s="64">
        <v>59</v>
      </c>
      <c r="H175" s="65"/>
      <c r="I175" s="65"/>
      <c r="J175" s="66"/>
      <c r="K175" s="65" t="s">
        <v>263</v>
      </c>
      <c r="L175" s="64" t="s">
        <v>264</v>
      </c>
      <c r="M175" s="64" t="s">
        <v>144</v>
      </c>
      <c r="N175" s="64" t="s">
        <v>265</v>
      </c>
      <c r="O175" s="64" t="s">
        <v>266</v>
      </c>
      <c r="P175" s="69">
        <v>44571</v>
      </c>
      <c r="Q175" s="69">
        <v>44925</v>
      </c>
      <c r="R175" s="124">
        <v>15</v>
      </c>
      <c r="S175" s="123" t="s">
        <v>258</v>
      </c>
      <c r="T175" s="194"/>
      <c r="U175" s="75">
        <v>0</v>
      </c>
      <c r="V175" s="75"/>
      <c r="W175" s="75">
        <v>0</v>
      </c>
      <c r="X175" s="1122">
        <v>0</v>
      </c>
      <c r="Y175" s="75">
        <v>0</v>
      </c>
      <c r="Z175" s="75">
        <v>0</v>
      </c>
      <c r="AA175" s="1122">
        <v>0</v>
      </c>
      <c r="AB175" s="75">
        <v>0</v>
      </c>
      <c r="AC175" s="75">
        <v>0</v>
      </c>
      <c r="AD175" s="1122">
        <v>0</v>
      </c>
      <c r="AE175" s="75">
        <v>0</v>
      </c>
      <c r="AF175" s="75">
        <v>0</v>
      </c>
      <c r="AG175" s="1122">
        <v>0</v>
      </c>
      <c r="AH175" s="505">
        <f>+U175+Y175+AB175+AE175</f>
        <v>0</v>
      </c>
      <c r="AI175" s="132"/>
      <c r="AJ175" s="75">
        <f t="shared" si="30"/>
        <v>0</v>
      </c>
      <c r="AK175" s="75"/>
      <c r="AL175" s="75"/>
      <c r="AM175" s="75"/>
      <c r="AN175" s="64" t="s">
        <v>181</v>
      </c>
      <c r="AO175" s="710"/>
      <c r="AP175" s="710"/>
      <c r="AQ175" s="1052"/>
      <c r="AR175" s="100"/>
      <c r="AS175" s="1053"/>
      <c r="AT175" s="100"/>
      <c r="AU175" s="983"/>
      <c r="AV175" s="347" t="s">
        <v>144</v>
      </c>
      <c r="AW175" s="432" t="s">
        <v>2726</v>
      </c>
    </row>
    <row r="176" spans="1:49" ht="33" hidden="1" customHeight="1" outlineLevel="4" x14ac:dyDescent="0.25">
      <c r="A176" s="63" t="str">
        <f t="shared" si="0"/>
        <v>1.3.1.2.7.59</v>
      </c>
      <c r="B176" s="64">
        <v>1</v>
      </c>
      <c r="C176" s="64">
        <v>3</v>
      </c>
      <c r="D176" s="64">
        <v>1</v>
      </c>
      <c r="E176" s="64">
        <v>2</v>
      </c>
      <c r="F176" s="64">
        <v>7</v>
      </c>
      <c r="G176" s="64">
        <v>59</v>
      </c>
      <c r="H176" s="65"/>
      <c r="I176" s="65"/>
      <c r="J176" s="66"/>
      <c r="K176" s="65" t="s">
        <v>2024</v>
      </c>
      <c r="L176" s="64"/>
      <c r="M176" s="64"/>
      <c r="N176" s="64"/>
      <c r="O176" s="64"/>
      <c r="P176" s="69"/>
      <c r="Q176" s="69"/>
      <c r="R176" s="124"/>
      <c r="S176" s="123"/>
      <c r="T176" s="194"/>
      <c r="U176" s="75">
        <v>0</v>
      </c>
      <c r="V176" s="75"/>
      <c r="W176" s="75">
        <v>0</v>
      </c>
      <c r="X176" s="1122">
        <v>0</v>
      </c>
      <c r="Y176" s="75">
        <v>0</v>
      </c>
      <c r="Z176" s="75">
        <v>0</v>
      </c>
      <c r="AA176" s="1122">
        <v>0</v>
      </c>
      <c r="AB176" s="75">
        <v>0</v>
      </c>
      <c r="AC176" s="75">
        <v>0</v>
      </c>
      <c r="AD176" s="1122">
        <v>0</v>
      </c>
      <c r="AE176" s="75">
        <v>0</v>
      </c>
      <c r="AF176" s="75">
        <v>0</v>
      </c>
      <c r="AG176" s="1122">
        <v>0</v>
      </c>
      <c r="AH176" s="505">
        <f t="shared" si="31"/>
        <v>0</v>
      </c>
      <c r="AI176" s="132"/>
      <c r="AJ176" s="75">
        <f t="shared" si="30"/>
        <v>0</v>
      </c>
      <c r="AK176" s="75"/>
      <c r="AL176" s="75"/>
      <c r="AM176" s="75"/>
      <c r="AN176" s="136" t="s">
        <v>39</v>
      </c>
      <c r="AO176" s="710"/>
      <c r="AP176" s="710"/>
      <c r="AQ176" s="1052"/>
      <c r="AR176" s="104"/>
      <c r="AS176" s="997"/>
      <c r="AT176" s="104"/>
      <c r="AU176" s="964"/>
      <c r="AV176" s="347"/>
      <c r="AW176" s="432"/>
    </row>
    <row r="177" spans="1:49" ht="53.1" hidden="1" customHeight="1" outlineLevel="4" x14ac:dyDescent="0.25">
      <c r="A177" s="63" t="str">
        <f t="shared" si="0"/>
        <v>1.3.1.2.9.59</v>
      </c>
      <c r="B177" s="64">
        <v>1</v>
      </c>
      <c r="C177" s="64">
        <v>3</v>
      </c>
      <c r="D177" s="64">
        <v>1</v>
      </c>
      <c r="E177" s="64">
        <v>2</v>
      </c>
      <c r="F177" s="64">
        <v>9</v>
      </c>
      <c r="G177" s="64">
        <v>59</v>
      </c>
      <c r="H177" s="65"/>
      <c r="I177" s="65"/>
      <c r="J177" s="66"/>
      <c r="K177" s="67" t="s">
        <v>306</v>
      </c>
      <c r="L177" s="68" t="s">
        <v>270</v>
      </c>
      <c r="M177" s="64" t="s">
        <v>271</v>
      </c>
      <c r="N177" s="64" t="s">
        <v>307</v>
      </c>
      <c r="O177" s="64" t="s">
        <v>72</v>
      </c>
      <c r="P177" s="69">
        <v>44571</v>
      </c>
      <c r="Q177" s="69">
        <v>44925</v>
      </c>
      <c r="R177" s="124"/>
      <c r="S177" s="123"/>
      <c r="T177" s="194"/>
      <c r="U177" s="75">
        <v>0</v>
      </c>
      <c r="V177" s="75"/>
      <c r="W177" s="75">
        <v>0</v>
      </c>
      <c r="X177" s="1122">
        <v>0</v>
      </c>
      <c r="Y177" s="75">
        <v>0</v>
      </c>
      <c r="Z177" s="75">
        <v>0</v>
      </c>
      <c r="AA177" s="1122">
        <v>0</v>
      </c>
      <c r="AB177" s="75">
        <v>0</v>
      </c>
      <c r="AC177" s="75">
        <v>0</v>
      </c>
      <c r="AD177" s="1122">
        <v>0</v>
      </c>
      <c r="AE177" s="75">
        <v>0</v>
      </c>
      <c r="AF177" s="75">
        <v>0</v>
      </c>
      <c r="AG177" s="1122">
        <v>0</v>
      </c>
      <c r="AH177" s="505">
        <f t="shared" si="31"/>
        <v>0</v>
      </c>
      <c r="AI177" s="132"/>
      <c r="AJ177" s="75">
        <f t="shared" si="30"/>
        <v>0</v>
      </c>
      <c r="AK177" s="75"/>
      <c r="AL177" s="75"/>
      <c r="AM177" s="75"/>
      <c r="AN177" s="64" t="s">
        <v>39</v>
      </c>
      <c r="AO177" s="100"/>
      <c r="AP177" s="100"/>
      <c r="AQ177" s="993"/>
      <c r="AR177" s="100"/>
      <c r="AS177" s="994"/>
      <c r="AT177" s="100"/>
      <c r="AU177" s="983"/>
      <c r="AV177" s="347" t="s">
        <v>73</v>
      </c>
      <c r="AW177" s="335"/>
    </row>
    <row r="178" spans="1:49" ht="44.25" hidden="1" customHeight="1" outlineLevel="4" x14ac:dyDescent="0.25">
      <c r="A178" s="63" t="str">
        <f t="shared" si="0"/>
        <v>1.3.1.2.11.59</v>
      </c>
      <c r="B178" s="64">
        <v>1</v>
      </c>
      <c r="C178" s="64">
        <v>3</v>
      </c>
      <c r="D178" s="64">
        <v>1</v>
      </c>
      <c r="E178" s="64">
        <v>2</v>
      </c>
      <c r="F178" s="64">
        <v>11</v>
      </c>
      <c r="G178" s="64">
        <v>59</v>
      </c>
      <c r="H178" s="65"/>
      <c r="I178" s="65"/>
      <c r="J178" s="66"/>
      <c r="K178" s="125" t="s">
        <v>308</v>
      </c>
      <c r="L178" s="68" t="s">
        <v>72</v>
      </c>
      <c r="M178" s="64" t="s">
        <v>267</v>
      </c>
      <c r="N178" s="64" t="s">
        <v>265</v>
      </c>
      <c r="O178" s="64" t="s">
        <v>275</v>
      </c>
      <c r="P178" s="69">
        <v>44571</v>
      </c>
      <c r="Q178" s="69">
        <v>44925</v>
      </c>
      <c r="R178" s="124">
        <v>12</v>
      </c>
      <c r="S178" s="123"/>
      <c r="T178" s="194">
        <v>3</v>
      </c>
      <c r="U178" s="75">
        <f>5035910.19+1088474.54</f>
        <v>6124384.7300000004</v>
      </c>
      <c r="V178" s="75"/>
      <c r="W178" s="75">
        <v>0</v>
      </c>
      <c r="X178" s="1122">
        <v>0</v>
      </c>
      <c r="Y178" s="75">
        <f>5035910.19+1632711.81</f>
        <v>6668622</v>
      </c>
      <c r="Z178" s="75">
        <v>0</v>
      </c>
      <c r="AA178" s="1122">
        <v>0</v>
      </c>
      <c r="AB178" s="75">
        <f>5035910.19+1632711.81</f>
        <v>6668622</v>
      </c>
      <c r="AC178" s="75">
        <v>0</v>
      </c>
      <c r="AD178" s="1122">
        <v>0</v>
      </c>
      <c r="AE178" s="75">
        <f>5035910.19+1632711.81</f>
        <v>6668622</v>
      </c>
      <c r="AF178" s="75">
        <v>0</v>
      </c>
      <c r="AG178" s="1122">
        <v>0</v>
      </c>
      <c r="AH178" s="505">
        <f t="shared" si="31"/>
        <v>26130250.73</v>
      </c>
      <c r="AI178" s="132"/>
      <c r="AJ178" s="75">
        <f t="shared" si="30"/>
        <v>0</v>
      </c>
      <c r="AK178" s="75"/>
      <c r="AL178" s="75"/>
      <c r="AM178" s="75"/>
      <c r="AN178" s="64" t="s">
        <v>39</v>
      </c>
      <c r="AO178" s="100"/>
      <c r="AP178" s="100"/>
      <c r="AQ178" s="1050"/>
      <c r="AR178" s="1051"/>
      <c r="AS178" s="1051"/>
      <c r="AT178" s="100"/>
      <c r="AU178" s="1043" t="s">
        <v>977</v>
      </c>
      <c r="AV178" s="259" t="s">
        <v>2724</v>
      </c>
      <c r="AW178" s="67" t="s">
        <v>2725</v>
      </c>
    </row>
    <row r="179" spans="1:49" ht="33.6" hidden="1" customHeight="1" outlineLevel="4" x14ac:dyDescent="0.25">
      <c r="A179" s="63" t="str">
        <f t="shared" si="0"/>
        <v>1.3.1.2.14.59</v>
      </c>
      <c r="B179" s="64">
        <v>1</v>
      </c>
      <c r="C179" s="64">
        <v>3</v>
      </c>
      <c r="D179" s="64">
        <v>1</v>
      </c>
      <c r="E179" s="64">
        <v>2</v>
      </c>
      <c r="F179" s="64">
        <v>14</v>
      </c>
      <c r="G179" s="64">
        <v>59</v>
      </c>
      <c r="H179" s="65"/>
      <c r="I179" s="65"/>
      <c r="J179" s="66"/>
      <c r="K179" s="67" t="s">
        <v>276</v>
      </c>
      <c r="L179" s="68" t="s">
        <v>72</v>
      </c>
      <c r="M179" s="64" t="s">
        <v>271</v>
      </c>
      <c r="N179" s="64" t="s">
        <v>74</v>
      </c>
      <c r="O179" s="64" t="s">
        <v>277</v>
      </c>
      <c r="P179" s="69">
        <v>44571</v>
      </c>
      <c r="Q179" s="69">
        <v>44925</v>
      </c>
      <c r="R179" s="124"/>
      <c r="S179" s="123"/>
      <c r="T179" s="194"/>
      <c r="U179" s="75">
        <v>0</v>
      </c>
      <c r="V179" s="75"/>
      <c r="W179" s="75">
        <v>0</v>
      </c>
      <c r="X179" s="1122">
        <v>0</v>
      </c>
      <c r="Y179" s="75">
        <v>0</v>
      </c>
      <c r="Z179" s="75">
        <v>0</v>
      </c>
      <c r="AA179" s="1122">
        <v>0</v>
      </c>
      <c r="AB179" s="75">
        <v>0</v>
      </c>
      <c r="AC179" s="75">
        <v>0</v>
      </c>
      <c r="AD179" s="1122">
        <v>0</v>
      </c>
      <c r="AE179" s="75">
        <v>0</v>
      </c>
      <c r="AF179" s="75">
        <v>0</v>
      </c>
      <c r="AG179" s="1122">
        <v>0</v>
      </c>
      <c r="AH179" s="505">
        <f t="shared" si="31"/>
        <v>0</v>
      </c>
      <c r="AI179" s="132"/>
      <c r="AJ179" s="75">
        <f t="shared" si="30"/>
        <v>0</v>
      </c>
      <c r="AK179" s="129"/>
      <c r="AL179" s="129"/>
      <c r="AM179" s="129"/>
      <c r="AN179" s="189" t="s">
        <v>39</v>
      </c>
      <c r="AO179" s="100"/>
      <c r="AP179" s="960"/>
      <c r="AQ179" s="960"/>
      <c r="AR179" s="100"/>
      <c r="AS179" s="100"/>
      <c r="AT179" s="1054"/>
      <c r="AU179" s="1055"/>
      <c r="AV179" s="347" t="s">
        <v>278</v>
      </c>
      <c r="AW179" s="68"/>
    </row>
    <row r="180" spans="1:49" ht="33.6" hidden="1" customHeight="1" outlineLevel="4" x14ac:dyDescent="0.25">
      <c r="A180" s="63" t="str">
        <f t="shared" si="0"/>
        <v>1.3.1.2.15.59</v>
      </c>
      <c r="B180" s="64">
        <v>1</v>
      </c>
      <c r="C180" s="64">
        <v>3</v>
      </c>
      <c r="D180" s="64">
        <v>1</v>
      </c>
      <c r="E180" s="64">
        <v>2</v>
      </c>
      <c r="F180" s="64">
        <v>15</v>
      </c>
      <c r="G180" s="64">
        <v>59</v>
      </c>
      <c r="H180" s="65"/>
      <c r="I180" s="65"/>
      <c r="J180" s="66"/>
      <c r="K180" s="67" t="s">
        <v>1890</v>
      </c>
      <c r="L180" s="64" t="s">
        <v>72</v>
      </c>
      <c r="M180" s="64" t="s">
        <v>279</v>
      </c>
      <c r="N180" s="64" t="s">
        <v>74</v>
      </c>
      <c r="O180" s="68" t="s">
        <v>277</v>
      </c>
      <c r="P180" s="69">
        <v>44562</v>
      </c>
      <c r="Q180" s="69">
        <v>45291</v>
      </c>
      <c r="R180" s="124"/>
      <c r="S180" s="123"/>
      <c r="T180" s="194"/>
      <c r="U180" s="75">
        <v>42857</v>
      </c>
      <c r="V180" s="75"/>
      <c r="W180" s="75">
        <v>0</v>
      </c>
      <c r="X180" s="1122">
        <v>0</v>
      </c>
      <c r="Y180" s="75">
        <v>0</v>
      </c>
      <c r="Z180" s="75">
        <v>0</v>
      </c>
      <c r="AA180" s="1122">
        <v>0</v>
      </c>
      <c r="AB180" s="75">
        <v>0</v>
      </c>
      <c r="AC180" s="75">
        <v>0</v>
      </c>
      <c r="AD180" s="1122">
        <v>0</v>
      </c>
      <c r="AE180" s="75">
        <v>0</v>
      </c>
      <c r="AF180" s="75">
        <v>0</v>
      </c>
      <c r="AG180" s="1122">
        <v>0</v>
      </c>
      <c r="AH180" s="505">
        <f t="shared" si="31"/>
        <v>42857</v>
      </c>
      <c r="AI180" s="132"/>
      <c r="AJ180" s="75">
        <f t="shared" si="30"/>
        <v>0</v>
      </c>
      <c r="AK180" s="132"/>
      <c r="AL180" s="132"/>
      <c r="AM180" s="132"/>
      <c r="AN180" s="189" t="s">
        <v>39</v>
      </c>
      <c r="AO180" s="710"/>
      <c r="AP180" s="960"/>
      <c r="AQ180" s="960"/>
      <c r="AR180" s="1054"/>
      <c r="AS180" s="1054"/>
      <c r="AT180" s="1056"/>
      <c r="AU180" s="1055"/>
      <c r="AV180" s="259" t="s">
        <v>279</v>
      </c>
      <c r="AW180" s="538"/>
    </row>
    <row r="181" spans="1:49" ht="33.6" hidden="1" customHeight="1" outlineLevel="4" x14ac:dyDescent="0.25">
      <c r="A181" s="63" t="str">
        <f t="shared" si="0"/>
        <v>1.3.1.2.20.59</v>
      </c>
      <c r="B181" s="64">
        <v>1</v>
      </c>
      <c r="C181" s="64">
        <v>3</v>
      </c>
      <c r="D181" s="64">
        <v>1</v>
      </c>
      <c r="E181" s="64">
        <v>2</v>
      </c>
      <c r="F181" s="64">
        <v>20</v>
      </c>
      <c r="G181" s="64">
        <v>59</v>
      </c>
      <c r="H181" s="65"/>
      <c r="I181" s="65"/>
      <c r="J181" s="66"/>
      <c r="K181" s="65" t="s">
        <v>280</v>
      </c>
      <c r="L181" s="68" t="s">
        <v>72</v>
      </c>
      <c r="M181" s="64" t="s">
        <v>271</v>
      </c>
      <c r="N181" s="64" t="s">
        <v>74</v>
      </c>
      <c r="O181" s="64" t="s">
        <v>281</v>
      </c>
      <c r="P181" s="69">
        <v>44571</v>
      </c>
      <c r="Q181" s="131">
        <v>44925</v>
      </c>
      <c r="R181" s="124"/>
      <c r="S181" s="123"/>
      <c r="T181" s="194"/>
      <c r="U181" s="75">
        <v>0</v>
      </c>
      <c r="V181" s="75"/>
      <c r="W181" s="75">
        <v>0</v>
      </c>
      <c r="X181" s="1122">
        <v>0</v>
      </c>
      <c r="Y181" s="75">
        <v>0</v>
      </c>
      <c r="Z181" s="75">
        <v>0</v>
      </c>
      <c r="AA181" s="1122">
        <v>0</v>
      </c>
      <c r="AB181" s="75">
        <v>0</v>
      </c>
      <c r="AC181" s="75">
        <v>0</v>
      </c>
      <c r="AD181" s="1122">
        <v>0</v>
      </c>
      <c r="AE181" s="75">
        <v>0</v>
      </c>
      <c r="AF181" s="75">
        <v>0</v>
      </c>
      <c r="AG181" s="1122">
        <v>0</v>
      </c>
      <c r="AH181" s="505">
        <f t="shared" si="31"/>
        <v>0</v>
      </c>
      <c r="AI181" s="132"/>
      <c r="AJ181" s="75">
        <f t="shared" si="30"/>
        <v>0</v>
      </c>
      <c r="AK181" s="132"/>
      <c r="AL181" s="132"/>
      <c r="AM181" s="132"/>
      <c r="AN181" s="64" t="s">
        <v>39</v>
      </c>
      <c r="AO181" s="100"/>
      <c r="AP181" s="100"/>
      <c r="AQ181" s="100"/>
      <c r="AR181" s="1028"/>
      <c r="AS181" s="100"/>
      <c r="AT181" s="100"/>
      <c r="AU181" s="983"/>
      <c r="AV181" s="347" t="s">
        <v>166</v>
      </c>
      <c r="AW181" s="434"/>
    </row>
    <row r="182" spans="1:49" ht="33.6" hidden="1" customHeight="1" outlineLevel="4" x14ac:dyDescent="0.25">
      <c r="A182" s="164" t="str">
        <f t="shared" si="0"/>
        <v>1.3.1.2.21.59</v>
      </c>
      <c r="B182" s="165">
        <v>1</v>
      </c>
      <c r="C182" s="165">
        <v>3</v>
      </c>
      <c r="D182" s="165">
        <v>1</v>
      </c>
      <c r="E182" s="165">
        <v>2</v>
      </c>
      <c r="F182" s="165">
        <v>21</v>
      </c>
      <c r="G182" s="165">
        <v>59</v>
      </c>
      <c r="H182" s="166"/>
      <c r="I182" s="166"/>
      <c r="J182" s="167"/>
      <c r="K182" s="1003" t="s">
        <v>310</v>
      </c>
      <c r="L182" s="146" t="s">
        <v>72</v>
      </c>
      <c r="M182" s="165" t="s">
        <v>271</v>
      </c>
      <c r="N182" s="165" t="s">
        <v>74</v>
      </c>
      <c r="O182" s="165" t="s">
        <v>281</v>
      </c>
      <c r="P182" s="169">
        <v>44571</v>
      </c>
      <c r="Q182" s="1011">
        <v>44925</v>
      </c>
      <c r="R182" s="1012"/>
      <c r="S182" s="1013"/>
      <c r="T182" s="1185"/>
      <c r="U182" s="75">
        <v>0</v>
      </c>
      <c r="V182" s="75"/>
      <c r="W182" s="75">
        <v>0</v>
      </c>
      <c r="X182" s="1122">
        <v>0</v>
      </c>
      <c r="Y182" s="75">
        <v>0</v>
      </c>
      <c r="Z182" s="75">
        <v>0</v>
      </c>
      <c r="AA182" s="1122">
        <v>0</v>
      </c>
      <c r="AB182" s="75">
        <v>0</v>
      </c>
      <c r="AC182" s="75">
        <v>0</v>
      </c>
      <c r="AD182" s="1122">
        <v>0</v>
      </c>
      <c r="AE182" s="75">
        <v>0</v>
      </c>
      <c r="AF182" s="75">
        <v>0</v>
      </c>
      <c r="AG182" s="1122">
        <v>0</v>
      </c>
      <c r="AH182" s="505">
        <f t="shared" si="31"/>
        <v>0</v>
      </c>
      <c r="AI182" s="132"/>
      <c r="AJ182" s="75">
        <f t="shared" si="30"/>
        <v>0</v>
      </c>
      <c r="AK182" s="132"/>
      <c r="AL182" s="132"/>
      <c r="AM182" s="132"/>
      <c r="AN182" s="165" t="s">
        <v>39</v>
      </c>
      <c r="AO182" s="710"/>
      <c r="AP182" s="710"/>
      <c r="AQ182" s="710"/>
      <c r="AR182" s="710"/>
      <c r="AS182" s="710"/>
      <c r="AT182" s="710"/>
      <c r="AU182" s="1044"/>
      <c r="AV182" s="1014" t="s">
        <v>166</v>
      </c>
      <c r="AW182" s="434"/>
    </row>
    <row r="183" spans="1:49" ht="33.6" hidden="1" customHeight="1" outlineLevel="4" x14ac:dyDescent="0.25">
      <c r="A183" s="63" t="str">
        <f t="shared" si="0"/>
        <v>1.3.1.2.22.59</v>
      </c>
      <c r="B183" s="64">
        <v>1</v>
      </c>
      <c r="C183" s="64">
        <v>3</v>
      </c>
      <c r="D183" s="64">
        <v>1</v>
      </c>
      <c r="E183" s="64">
        <v>2</v>
      </c>
      <c r="F183" s="64">
        <v>22</v>
      </c>
      <c r="G183" s="64">
        <v>59</v>
      </c>
      <c r="H183" s="65"/>
      <c r="I183" s="65"/>
      <c r="J183" s="66"/>
      <c r="K183" s="65" t="s">
        <v>284</v>
      </c>
      <c r="L183" s="68" t="s">
        <v>72</v>
      </c>
      <c r="M183" s="64" t="s">
        <v>271</v>
      </c>
      <c r="N183" s="64" t="s">
        <v>74</v>
      </c>
      <c r="O183" s="64" t="s">
        <v>281</v>
      </c>
      <c r="P183" s="69">
        <v>44972</v>
      </c>
      <c r="Q183" s="69">
        <v>45290</v>
      </c>
      <c r="R183" s="124">
        <v>1</v>
      </c>
      <c r="S183" s="123" t="s">
        <v>76</v>
      </c>
      <c r="T183" s="194"/>
      <c r="U183" s="75">
        <v>0</v>
      </c>
      <c r="V183" s="75"/>
      <c r="W183" s="75">
        <v>0</v>
      </c>
      <c r="X183" s="1122">
        <v>0</v>
      </c>
      <c r="Y183" s="75">
        <v>99607.2</v>
      </c>
      <c r="Z183" s="75">
        <v>0</v>
      </c>
      <c r="AA183" s="1122">
        <v>0</v>
      </c>
      <c r="AB183" s="75">
        <v>0</v>
      </c>
      <c r="AC183" s="75">
        <v>0</v>
      </c>
      <c r="AD183" s="1122">
        <v>0</v>
      </c>
      <c r="AE183" s="75">
        <v>0</v>
      </c>
      <c r="AF183" s="75">
        <v>0</v>
      </c>
      <c r="AG183" s="1122">
        <v>0</v>
      </c>
      <c r="AH183" s="505">
        <f t="shared" si="31"/>
        <v>99607.2</v>
      </c>
      <c r="AI183" s="132"/>
      <c r="AJ183" s="75">
        <f t="shared" si="30"/>
        <v>0</v>
      </c>
      <c r="AK183" s="377"/>
      <c r="AL183" s="132"/>
      <c r="AM183" s="132"/>
      <c r="AN183" s="64" t="s">
        <v>39</v>
      </c>
      <c r="AO183" s="100"/>
      <c r="AP183" s="100"/>
      <c r="AQ183" s="100"/>
      <c r="AR183" s="100"/>
      <c r="AS183" s="100"/>
      <c r="AT183" s="100"/>
      <c r="AU183" s="983"/>
      <c r="AV183" s="123" t="s">
        <v>166</v>
      </c>
      <c r="AW183" s="67" t="s">
        <v>2736</v>
      </c>
    </row>
    <row r="184" spans="1:49" ht="21.75" hidden="1" customHeight="1" outlineLevel="4" x14ac:dyDescent="0.25">
      <c r="A184" s="864" t="str">
        <f t="shared" si="0"/>
        <v>1.3.1.2.24.59</v>
      </c>
      <c r="B184" s="245">
        <v>1</v>
      </c>
      <c r="C184" s="245">
        <v>3</v>
      </c>
      <c r="D184" s="245">
        <v>1</v>
      </c>
      <c r="E184" s="245">
        <v>2</v>
      </c>
      <c r="F184" s="245">
        <v>24</v>
      </c>
      <c r="G184" s="245">
        <v>59</v>
      </c>
      <c r="H184" s="1018"/>
      <c r="I184" s="1018"/>
      <c r="J184" s="1019"/>
      <c r="K184" s="1018" t="s">
        <v>285</v>
      </c>
      <c r="L184" s="145" t="s">
        <v>72</v>
      </c>
      <c r="M184" s="245" t="s">
        <v>279</v>
      </c>
      <c r="N184" s="245" t="s">
        <v>74</v>
      </c>
      <c r="O184" s="245" t="s">
        <v>281</v>
      </c>
      <c r="P184" s="1020">
        <v>44571</v>
      </c>
      <c r="Q184" s="1021">
        <v>44925</v>
      </c>
      <c r="R184" s="1022"/>
      <c r="S184" s="1023"/>
      <c r="T184" s="1186"/>
      <c r="U184" s="75">
        <v>0</v>
      </c>
      <c r="V184" s="75"/>
      <c r="W184" s="75">
        <v>0</v>
      </c>
      <c r="X184" s="1122">
        <v>0</v>
      </c>
      <c r="Y184" s="75">
        <v>0</v>
      </c>
      <c r="Z184" s="75">
        <v>0</v>
      </c>
      <c r="AA184" s="1122">
        <v>0</v>
      </c>
      <c r="AB184" s="75">
        <v>0</v>
      </c>
      <c r="AC184" s="75">
        <v>0</v>
      </c>
      <c r="AD184" s="1122">
        <v>0</v>
      </c>
      <c r="AE184" s="75">
        <v>0</v>
      </c>
      <c r="AF184" s="75">
        <v>0</v>
      </c>
      <c r="AG184" s="1122">
        <v>0</v>
      </c>
      <c r="AH184" s="505">
        <f t="shared" si="31"/>
        <v>0</v>
      </c>
      <c r="AI184" s="132"/>
      <c r="AJ184" s="75">
        <f t="shared" si="30"/>
        <v>0</v>
      </c>
      <c r="AK184" s="132"/>
      <c r="AL184" s="132"/>
      <c r="AM184" s="132"/>
      <c r="AN184" s="245" t="s">
        <v>39</v>
      </c>
      <c r="AO184" s="1028"/>
      <c r="AP184" s="1028"/>
      <c r="AQ184" s="1028"/>
      <c r="AR184" s="1028"/>
      <c r="AS184" s="1028"/>
      <c r="AT184" s="1028"/>
      <c r="AU184" s="1031"/>
      <c r="AV184" s="1024" t="s">
        <v>279</v>
      </c>
      <c r="AW184" s="434"/>
    </row>
    <row r="185" spans="1:49" ht="21.75" hidden="1" customHeight="1" outlineLevel="4" x14ac:dyDescent="0.25">
      <c r="A185" s="63" t="str">
        <f t="shared" si="0"/>
        <v>1.3.1.2.25.59</v>
      </c>
      <c r="B185" s="64">
        <v>1</v>
      </c>
      <c r="C185" s="64">
        <v>3</v>
      </c>
      <c r="D185" s="64">
        <v>1</v>
      </c>
      <c r="E185" s="64">
        <v>2</v>
      </c>
      <c r="F185" s="64">
        <v>25</v>
      </c>
      <c r="G185" s="64">
        <v>59</v>
      </c>
      <c r="H185" s="65"/>
      <c r="I185" s="65"/>
      <c r="J185" s="66"/>
      <c r="K185" s="65" t="s">
        <v>286</v>
      </c>
      <c r="L185" s="68" t="s">
        <v>72</v>
      </c>
      <c r="M185" s="64" t="s">
        <v>73</v>
      </c>
      <c r="N185" s="64" t="s">
        <v>74</v>
      </c>
      <c r="O185" s="64" t="s">
        <v>281</v>
      </c>
      <c r="P185" s="69">
        <v>44571</v>
      </c>
      <c r="Q185" s="131">
        <v>44925</v>
      </c>
      <c r="R185" s="124"/>
      <c r="S185" s="123"/>
      <c r="T185" s="194"/>
      <c r="U185" s="75">
        <v>0</v>
      </c>
      <c r="V185" s="75"/>
      <c r="W185" s="75">
        <v>0</v>
      </c>
      <c r="X185" s="1122">
        <v>0</v>
      </c>
      <c r="Y185" s="75">
        <v>0</v>
      </c>
      <c r="Z185" s="75">
        <v>0</v>
      </c>
      <c r="AA185" s="1122">
        <v>0</v>
      </c>
      <c r="AB185" s="75">
        <v>0</v>
      </c>
      <c r="AC185" s="75">
        <v>0</v>
      </c>
      <c r="AD185" s="1122">
        <v>0</v>
      </c>
      <c r="AE185" s="75">
        <v>0</v>
      </c>
      <c r="AF185" s="75">
        <v>0</v>
      </c>
      <c r="AG185" s="1122">
        <v>0</v>
      </c>
      <c r="AH185" s="505">
        <f t="shared" si="31"/>
        <v>0</v>
      </c>
      <c r="AI185" s="132"/>
      <c r="AJ185" s="75">
        <f t="shared" si="30"/>
        <v>0</v>
      </c>
      <c r="AK185" s="132"/>
      <c r="AL185" s="132"/>
      <c r="AM185" s="132"/>
      <c r="AN185" s="64" t="s">
        <v>39</v>
      </c>
      <c r="AO185" s="100"/>
      <c r="AP185" s="100"/>
      <c r="AQ185" s="100"/>
      <c r="AR185" s="100"/>
      <c r="AS185" s="100"/>
      <c r="AT185" s="100"/>
      <c r="AU185" s="983"/>
      <c r="AV185" s="347" t="s">
        <v>73</v>
      </c>
      <c r="AW185" s="434"/>
    </row>
    <row r="186" spans="1:49" ht="21.75" hidden="1" customHeight="1" outlineLevel="4" x14ac:dyDescent="0.25">
      <c r="A186" s="63" t="str">
        <f t="shared" si="0"/>
        <v>1.3.1.2.26.59</v>
      </c>
      <c r="B186" s="64">
        <v>1</v>
      </c>
      <c r="C186" s="64">
        <v>3</v>
      </c>
      <c r="D186" s="64">
        <v>1</v>
      </c>
      <c r="E186" s="64">
        <v>2</v>
      </c>
      <c r="F186" s="64">
        <v>26</v>
      </c>
      <c r="G186" s="64">
        <v>59</v>
      </c>
      <c r="H186" s="65"/>
      <c r="I186" s="65"/>
      <c r="J186" s="66"/>
      <c r="K186" s="65" t="s">
        <v>287</v>
      </c>
      <c r="L186" s="68" t="s">
        <v>72</v>
      </c>
      <c r="M186" s="64" t="s">
        <v>73</v>
      </c>
      <c r="N186" s="64" t="s">
        <v>74</v>
      </c>
      <c r="O186" s="64" t="s">
        <v>281</v>
      </c>
      <c r="P186" s="69">
        <v>44571</v>
      </c>
      <c r="Q186" s="131">
        <v>44925</v>
      </c>
      <c r="R186" s="134"/>
      <c r="S186" s="123"/>
      <c r="T186" s="194"/>
      <c r="U186" s="75">
        <v>0</v>
      </c>
      <c r="V186" s="75"/>
      <c r="W186" s="75">
        <v>0</v>
      </c>
      <c r="X186" s="1122">
        <v>0</v>
      </c>
      <c r="Y186" s="75">
        <v>0</v>
      </c>
      <c r="Z186" s="75">
        <v>0</v>
      </c>
      <c r="AA186" s="1122">
        <v>0</v>
      </c>
      <c r="AB186" s="75">
        <v>0</v>
      </c>
      <c r="AC186" s="75">
        <v>0</v>
      </c>
      <c r="AD186" s="1122">
        <v>0</v>
      </c>
      <c r="AE186" s="75">
        <v>0</v>
      </c>
      <c r="AF186" s="75">
        <v>0</v>
      </c>
      <c r="AG186" s="1122">
        <v>0</v>
      </c>
      <c r="AH186" s="505">
        <f t="shared" si="31"/>
        <v>0</v>
      </c>
      <c r="AI186" s="132"/>
      <c r="AJ186" s="75">
        <f t="shared" si="30"/>
        <v>0</v>
      </c>
      <c r="AK186" s="132"/>
      <c r="AL186" s="132"/>
      <c r="AM186" s="132"/>
      <c r="AN186" s="64" t="s">
        <v>39</v>
      </c>
      <c r="AO186" s="100"/>
      <c r="AP186" s="100"/>
      <c r="AQ186" s="100"/>
      <c r="AR186" s="100"/>
      <c r="AS186" s="100"/>
      <c r="AT186" s="100"/>
      <c r="AU186" s="983"/>
      <c r="AV186" s="347" t="s">
        <v>73</v>
      </c>
      <c r="AW186" s="434"/>
    </row>
    <row r="187" spans="1:49" ht="31.35" hidden="1" customHeight="1" outlineLevel="4" x14ac:dyDescent="0.25">
      <c r="A187" s="63" t="str">
        <f t="shared" si="0"/>
        <v>1.3.1.2.27.59</v>
      </c>
      <c r="B187" s="64">
        <v>1</v>
      </c>
      <c r="C187" s="64">
        <v>3</v>
      </c>
      <c r="D187" s="64">
        <v>1</v>
      </c>
      <c r="E187" s="64">
        <v>2</v>
      </c>
      <c r="F187" s="64">
        <v>27</v>
      </c>
      <c r="G187" s="64">
        <v>59</v>
      </c>
      <c r="H187" s="65"/>
      <c r="I187" s="65"/>
      <c r="J187" s="66"/>
      <c r="K187" s="67" t="s">
        <v>2206</v>
      </c>
      <c r="L187" s="68" t="s">
        <v>72</v>
      </c>
      <c r="M187" s="64" t="s">
        <v>279</v>
      </c>
      <c r="N187" s="64" t="s">
        <v>291</v>
      </c>
      <c r="O187" s="64" t="s">
        <v>281</v>
      </c>
      <c r="P187" s="69">
        <v>44571</v>
      </c>
      <c r="Q187" s="131">
        <v>44925</v>
      </c>
      <c r="R187" s="124"/>
      <c r="S187" s="123"/>
      <c r="T187" s="194"/>
      <c r="U187" s="75">
        <v>0</v>
      </c>
      <c r="V187" s="75"/>
      <c r="W187" s="75">
        <v>0</v>
      </c>
      <c r="X187" s="1122">
        <v>0</v>
      </c>
      <c r="Y187" s="75">
        <v>0</v>
      </c>
      <c r="Z187" s="75">
        <v>0</v>
      </c>
      <c r="AA187" s="1122">
        <v>0</v>
      </c>
      <c r="AB187" s="75">
        <v>0</v>
      </c>
      <c r="AC187" s="75">
        <v>0</v>
      </c>
      <c r="AD187" s="1122">
        <v>0</v>
      </c>
      <c r="AE187" s="75">
        <v>0</v>
      </c>
      <c r="AF187" s="75">
        <v>0</v>
      </c>
      <c r="AG187" s="1122">
        <v>0</v>
      </c>
      <c r="AH187" s="505">
        <f t="shared" si="31"/>
        <v>0</v>
      </c>
      <c r="AI187" s="132"/>
      <c r="AJ187" s="75">
        <f t="shared" si="30"/>
        <v>0</v>
      </c>
      <c r="AK187" s="132"/>
      <c r="AL187" s="132"/>
      <c r="AM187" s="132"/>
      <c r="AN187" s="64" t="s">
        <v>39</v>
      </c>
      <c r="AO187" s="100"/>
      <c r="AP187" s="1057"/>
      <c r="AQ187" s="960"/>
      <c r="AR187" s="100"/>
      <c r="AS187" s="710"/>
      <c r="AT187" s="1062"/>
      <c r="AU187" s="983"/>
      <c r="AV187" s="259" t="s">
        <v>279</v>
      </c>
      <c r="AW187" s="434"/>
    </row>
    <row r="188" spans="1:49" ht="67.349999999999994" hidden="1" customHeight="1" outlineLevel="4" x14ac:dyDescent="0.25">
      <c r="A188" s="63" t="str">
        <f t="shared" si="0"/>
        <v>1.3.1.2.28.59</v>
      </c>
      <c r="B188" s="64">
        <v>1</v>
      </c>
      <c r="C188" s="64">
        <v>3</v>
      </c>
      <c r="D188" s="64">
        <v>1</v>
      </c>
      <c r="E188" s="64">
        <v>2</v>
      </c>
      <c r="F188" s="64">
        <v>28</v>
      </c>
      <c r="G188" s="100">
        <v>59</v>
      </c>
      <c r="H188" s="65"/>
      <c r="I188" s="65"/>
      <c r="J188" s="66"/>
      <c r="K188" s="67" t="s">
        <v>293</v>
      </c>
      <c r="L188" s="64" t="s">
        <v>72</v>
      </c>
      <c r="M188" s="64" t="s">
        <v>279</v>
      </c>
      <c r="N188" s="64" t="s">
        <v>74</v>
      </c>
      <c r="O188" s="64" t="s">
        <v>281</v>
      </c>
      <c r="P188" s="69">
        <v>44571</v>
      </c>
      <c r="Q188" s="69">
        <v>44925</v>
      </c>
      <c r="R188" s="124"/>
      <c r="S188" s="123"/>
      <c r="T188" s="194"/>
      <c r="U188" s="75">
        <v>50446.431698</v>
      </c>
      <c r="V188" s="75"/>
      <c r="W188" s="75">
        <v>0</v>
      </c>
      <c r="X188" s="1122">
        <v>0</v>
      </c>
      <c r="Y188" s="75">
        <v>50446.431698</v>
      </c>
      <c r="Z188" s="75">
        <v>0</v>
      </c>
      <c r="AA188" s="1122">
        <v>0</v>
      </c>
      <c r="AB188" s="75">
        <v>50446.431698</v>
      </c>
      <c r="AC188" s="75">
        <v>0</v>
      </c>
      <c r="AD188" s="1122">
        <v>0</v>
      </c>
      <c r="AE188" s="75">
        <v>50446.431698</v>
      </c>
      <c r="AF188" s="75">
        <v>0</v>
      </c>
      <c r="AG188" s="1122">
        <v>0</v>
      </c>
      <c r="AH188" s="505">
        <f t="shared" si="31"/>
        <v>201785.726792</v>
      </c>
      <c r="AI188" s="132"/>
      <c r="AJ188" s="75">
        <f t="shared" si="30"/>
        <v>0</v>
      </c>
      <c r="AK188" s="132"/>
      <c r="AL188" s="132"/>
      <c r="AM188" s="132"/>
      <c r="AN188" s="64" t="s">
        <v>39</v>
      </c>
      <c r="AO188" s="100"/>
      <c r="AP188" s="100"/>
      <c r="AQ188" s="100"/>
      <c r="AR188" s="100"/>
      <c r="AS188" s="100"/>
      <c r="AT188" s="100"/>
      <c r="AU188" s="983"/>
      <c r="AV188" s="65" t="s">
        <v>272</v>
      </c>
      <c r="AW188" s="67" t="s">
        <v>2833</v>
      </c>
    </row>
    <row r="189" spans="1:49" ht="23.45" hidden="1" customHeight="1" outlineLevel="4" x14ac:dyDescent="0.25">
      <c r="A189" s="63" t="str">
        <f t="shared" si="0"/>
        <v>1.3.1.2.29.59</v>
      </c>
      <c r="B189" s="64">
        <v>1</v>
      </c>
      <c r="C189" s="64">
        <v>3</v>
      </c>
      <c r="D189" s="64">
        <v>1</v>
      </c>
      <c r="E189" s="64">
        <v>2</v>
      </c>
      <c r="F189" s="64">
        <v>29</v>
      </c>
      <c r="G189" s="64">
        <v>59</v>
      </c>
      <c r="H189" s="65"/>
      <c r="I189" s="65"/>
      <c r="J189" s="66"/>
      <c r="K189" s="67" t="s">
        <v>296</v>
      </c>
      <c r="L189" s="64" t="s">
        <v>72</v>
      </c>
      <c r="M189" s="64" t="s">
        <v>279</v>
      </c>
      <c r="N189" s="64" t="s">
        <v>74</v>
      </c>
      <c r="O189" s="64" t="s">
        <v>281</v>
      </c>
      <c r="P189" s="69">
        <v>44571</v>
      </c>
      <c r="Q189" s="69">
        <v>44925</v>
      </c>
      <c r="R189" s="124"/>
      <c r="S189" s="123"/>
      <c r="T189" s="194"/>
      <c r="U189" s="75">
        <v>239564.97</v>
      </c>
      <c r="V189" s="75"/>
      <c r="W189" s="75">
        <v>0</v>
      </c>
      <c r="X189" s="1122">
        <v>0</v>
      </c>
      <c r="Y189" s="75">
        <v>239564.97</v>
      </c>
      <c r="Z189" s="75">
        <v>0</v>
      </c>
      <c r="AA189" s="1122">
        <v>0</v>
      </c>
      <c r="AB189" s="75">
        <v>239564.97</v>
      </c>
      <c r="AC189" s="75">
        <v>0</v>
      </c>
      <c r="AD189" s="1122">
        <v>0</v>
      </c>
      <c r="AE189" s="75">
        <v>239564.97</v>
      </c>
      <c r="AF189" s="75">
        <v>0</v>
      </c>
      <c r="AG189" s="1122">
        <v>0</v>
      </c>
      <c r="AH189" s="505">
        <f t="shared" si="31"/>
        <v>958259.88</v>
      </c>
      <c r="AI189" s="132"/>
      <c r="AJ189" s="75">
        <f t="shared" si="30"/>
        <v>0</v>
      </c>
      <c r="AK189" s="132"/>
      <c r="AL189" s="132"/>
      <c r="AM189" s="132"/>
      <c r="AN189" s="64" t="s">
        <v>39</v>
      </c>
      <c r="AO189" s="100"/>
      <c r="AP189" s="100"/>
      <c r="AQ189" s="960"/>
      <c r="AR189" s="100"/>
      <c r="AS189" s="100"/>
      <c r="AT189" s="100"/>
      <c r="AU189" s="964"/>
      <c r="AV189" s="259" t="s">
        <v>279</v>
      </c>
      <c r="AW189" s="67" t="s">
        <v>2822</v>
      </c>
    </row>
    <row r="190" spans="1:49" ht="23.45" hidden="1" customHeight="1" outlineLevel="4" x14ac:dyDescent="0.25">
      <c r="A190" s="99" t="str">
        <f>CONCATENATE(B190,".",C190,".",D190,".",E190,".",F190,".",G190)</f>
        <v>1.3.1.2.31.59</v>
      </c>
      <c r="B190" s="100">
        <v>1</v>
      </c>
      <c r="C190" s="100">
        <v>3</v>
      </c>
      <c r="D190" s="100">
        <v>1</v>
      </c>
      <c r="E190" s="100">
        <v>2</v>
      </c>
      <c r="F190" s="100">
        <v>31</v>
      </c>
      <c r="G190" s="100">
        <v>59</v>
      </c>
      <c r="H190" s="65"/>
      <c r="I190" s="65"/>
      <c r="J190" s="66"/>
      <c r="K190" s="67" t="s">
        <v>298</v>
      </c>
      <c r="L190" s="64" t="s">
        <v>359</v>
      </c>
      <c r="M190" s="64" t="s">
        <v>299</v>
      </c>
      <c r="N190" s="64"/>
      <c r="O190" s="64"/>
      <c r="P190" s="69"/>
      <c r="Q190" s="69"/>
      <c r="R190" s="124"/>
      <c r="S190" s="123"/>
      <c r="T190" s="194"/>
      <c r="U190" s="75">
        <v>0</v>
      </c>
      <c r="V190" s="75"/>
      <c r="W190" s="75">
        <v>0</v>
      </c>
      <c r="X190" s="1122">
        <v>0</v>
      </c>
      <c r="Y190" s="75">
        <v>0</v>
      </c>
      <c r="Z190" s="75">
        <v>0</v>
      </c>
      <c r="AA190" s="1122">
        <v>0</v>
      </c>
      <c r="AB190" s="75">
        <v>0</v>
      </c>
      <c r="AC190" s="75">
        <v>0</v>
      </c>
      <c r="AD190" s="1122">
        <v>0</v>
      </c>
      <c r="AE190" s="75">
        <v>0</v>
      </c>
      <c r="AF190" s="75">
        <v>0</v>
      </c>
      <c r="AG190" s="1122">
        <v>0</v>
      </c>
      <c r="AH190" s="505">
        <f t="shared" si="31"/>
        <v>0</v>
      </c>
      <c r="AI190" s="132"/>
      <c r="AJ190" s="75">
        <f t="shared" si="30"/>
        <v>0</v>
      </c>
      <c r="AK190" s="132"/>
      <c r="AL190" s="132"/>
      <c r="AM190" s="132"/>
      <c r="AN190" s="64" t="s">
        <v>282</v>
      </c>
      <c r="AO190" s="100"/>
      <c r="AP190" s="100"/>
      <c r="AQ190" s="100"/>
      <c r="AR190" s="104"/>
      <c r="AS190" s="104"/>
      <c r="AT190" s="100"/>
      <c r="AU190" s="983"/>
      <c r="AV190" s="259"/>
      <c r="AW190" s="434" t="s">
        <v>2027</v>
      </c>
    </row>
    <row r="191" spans="1:49" ht="44.1" customHeight="1" outlineLevel="1" collapsed="1" x14ac:dyDescent="0.25">
      <c r="A191" s="80" t="str">
        <f t="shared" si="0"/>
        <v>1.3.1.3.0.0</v>
      </c>
      <c r="B191" s="81">
        <v>1</v>
      </c>
      <c r="C191" s="81">
        <v>3</v>
      </c>
      <c r="D191" s="81">
        <v>1</v>
      </c>
      <c r="E191" s="81">
        <v>3</v>
      </c>
      <c r="F191" s="81">
        <v>0</v>
      </c>
      <c r="G191" s="81">
        <v>0</v>
      </c>
      <c r="H191" s="114"/>
      <c r="I191" s="114"/>
      <c r="J191" s="1346" t="s">
        <v>312</v>
      </c>
      <c r="K191" s="1346"/>
      <c r="L191" s="81" t="s">
        <v>236</v>
      </c>
      <c r="M191" s="81" t="s">
        <v>240</v>
      </c>
      <c r="N191" s="81" t="s">
        <v>226</v>
      </c>
      <c r="O191" s="81" t="s">
        <v>241</v>
      </c>
      <c r="P191" s="118">
        <v>44571</v>
      </c>
      <c r="Q191" s="118">
        <v>44925</v>
      </c>
      <c r="R191" s="119">
        <f>+R192+R193</f>
        <v>730000</v>
      </c>
      <c r="S191" s="114" t="s">
        <v>242</v>
      </c>
      <c r="T191" s="1184">
        <f>+T192+T193</f>
        <v>182500</v>
      </c>
      <c r="U191" s="369">
        <f t="shared" ref="U191:AF191" si="32">SUM(U192:U211)</f>
        <v>12774177.511698</v>
      </c>
      <c r="V191" s="369"/>
      <c r="W191" s="676">
        <f t="shared" si="32"/>
        <v>0</v>
      </c>
      <c r="X191" s="1124">
        <f t="shared" si="32"/>
        <v>0</v>
      </c>
      <c r="Y191" s="369">
        <f t="shared" si="32"/>
        <v>13375164.981698001</v>
      </c>
      <c r="Z191" s="840">
        <f t="shared" si="32"/>
        <v>0</v>
      </c>
      <c r="AA191" s="1124">
        <f t="shared" si="32"/>
        <v>0</v>
      </c>
      <c r="AB191" s="369">
        <f t="shared" si="32"/>
        <v>13275557.781698002</v>
      </c>
      <c r="AC191" s="968">
        <f t="shared" si="32"/>
        <v>0</v>
      </c>
      <c r="AD191" s="1216">
        <f t="shared" si="32"/>
        <v>0</v>
      </c>
      <c r="AE191" s="369">
        <f t="shared" si="32"/>
        <v>13275557.781698002</v>
      </c>
      <c r="AF191" s="369">
        <f t="shared" si="32"/>
        <v>0</v>
      </c>
      <c r="AG191" s="1124">
        <f t="shared" ref="AG191" si="33">SUM(AG192:AG211)</f>
        <v>0</v>
      </c>
      <c r="AH191" s="369">
        <f>SUM(AH192:AH211)</f>
        <v>52700458.056792006</v>
      </c>
      <c r="AI191" s="369">
        <f t="shared" ref="AI191" si="34">SUM(AI192:AI211)</f>
        <v>0</v>
      </c>
      <c r="AJ191" s="369">
        <f>SUM(AJ192:AJ211)</f>
        <v>0</v>
      </c>
      <c r="AK191" s="61"/>
      <c r="AL191" s="61"/>
      <c r="AM191" s="61"/>
      <c r="AN191" s="81" t="s">
        <v>243</v>
      </c>
      <c r="AO191" s="570"/>
      <c r="AP191" s="570"/>
      <c r="AQ191" s="569"/>
      <c r="AR191" s="81"/>
      <c r="AS191" s="568"/>
      <c r="AT191" s="81"/>
      <c r="AU191" s="663"/>
      <c r="AV191" s="369"/>
      <c r="AW191" s="433"/>
    </row>
    <row r="192" spans="1:49" ht="135" hidden="1" customHeight="1" outlineLevel="3" x14ac:dyDescent="0.25">
      <c r="A192" s="63" t="str">
        <f t="shared" si="0"/>
        <v>1.3.1.3.1.63</v>
      </c>
      <c r="B192" s="64">
        <v>1</v>
      </c>
      <c r="C192" s="64">
        <v>3</v>
      </c>
      <c r="D192" s="64">
        <v>1</v>
      </c>
      <c r="E192" s="64">
        <v>3</v>
      </c>
      <c r="F192" s="64">
        <v>1</v>
      </c>
      <c r="G192" s="64">
        <v>63</v>
      </c>
      <c r="H192" s="65"/>
      <c r="I192" s="65"/>
      <c r="J192" s="66"/>
      <c r="K192" s="65" t="s">
        <v>245</v>
      </c>
      <c r="L192" s="64" t="s">
        <v>246</v>
      </c>
      <c r="M192" s="64" t="s">
        <v>240</v>
      </c>
      <c r="N192" s="64" t="s">
        <v>247</v>
      </c>
      <c r="O192" s="64" t="s">
        <v>241</v>
      </c>
      <c r="P192" s="69"/>
      <c r="Q192" s="69"/>
      <c r="R192" s="126">
        <v>80000</v>
      </c>
      <c r="S192" s="123" t="s">
        <v>248</v>
      </c>
      <c r="T192" s="194">
        <f>+R192/4</f>
        <v>20000</v>
      </c>
      <c r="U192" s="75">
        <v>0</v>
      </c>
      <c r="V192" s="75"/>
      <c r="W192" s="75">
        <v>0</v>
      </c>
      <c r="X192" s="1122">
        <v>0</v>
      </c>
      <c r="Y192" s="75">
        <v>0</v>
      </c>
      <c r="Z192" s="75">
        <v>0</v>
      </c>
      <c r="AA192" s="1122">
        <v>0</v>
      </c>
      <c r="AB192" s="75">
        <v>0</v>
      </c>
      <c r="AC192" s="75">
        <v>0</v>
      </c>
      <c r="AD192" s="1122">
        <v>0</v>
      </c>
      <c r="AE192" s="75">
        <v>0</v>
      </c>
      <c r="AF192" s="75">
        <v>0</v>
      </c>
      <c r="AG192" s="1122">
        <v>0</v>
      </c>
      <c r="AH192" s="505">
        <f>+U192+Y192+AB192+AE192</f>
        <v>0</v>
      </c>
      <c r="AI192" s="132"/>
      <c r="AJ192" s="75">
        <f t="shared" ref="AJ192:AJ211" si="35">+W193+Z193+AC193+AF193</f>
        <v>0</v>
      </c>
      <c r="AK192" s="75"/>
      <c r="AL192" s="75"/>
      <c r="AM192" s="75"/>
      <c r="AN192" s="64" t="s">
        <v>39</v>
      </c>
      <c r="AO192" s="100"/>
      <c r="AP192" s="100"/>
      <c r="AQ192" s="993"/>
      <c r="AR192" s="100"/>
      <c r="AS192" s="994"/>
      <c r="AT192" s="100"/>
      <c r="AU192" s="983"/>
      <c r="AV192" s="123" t="e">
        <f>#REF!*19*1.1</f>
        <v>#REF!</v>
      </c>
      <c r="AW192" s="67" t="s">
        <v>250</v>
      </c>
    </row>
    <row r="193" spans="1:49" ht="69.599999999999994" hidden="1" customHeight="1" outlineLevel="3" x14ac:dyDescent="0.25">
      <c r="A193" s="63" t="str">
        <f t="shared" si="0"/>
        <v>1.3.1.3.2.63</v>
      </c>
      <c r="B193" s="64">
        <v>1</v>
      </c>
      <c r="C193" s="64">
        <v>3</v>
      </c>
      <c r="D193" s="64">
        <v>1</v>
      </c>
      <c r="E193" s="64">
        <v>3</v>
      </c>
      <c r="F193" s="64">
        <v>2</v>
      </c>
      <c r="G193" s="64">
        <v>63</v>
      </c>
      <c r="H193" s="65"/>
      <c r="I193" s="65"/>
      <c r="J193" s="66"/>
      <c r="K193" s="65" t="s">
        <v>251</v>
      </c>
      <c r="L193" s="64" t="s">
        <v>246</v>
      </c>
      <c r="M193" s="64" t="s">
        <v>240</v>
      </c>
      <c r="N193" s="64" t="s">
        <v>252</v>
      </c>
      <c r="O193" s="64" t="s">
        <v>241</v>
      </c>
      <c r="P193" s="69"/>
      <c r="Q193" s="69"/>
      <c r="R193" s="126">
        <v>650000</v>
      </c>
      <c r="S193" s="123" t="s">
        <v>248</v>
      </c>
      <c r="T193" s="194">
        <f>+R193/4</f>
        <v>162500</v>
      </c>
      <c r="U193" s="75">
        <v>0</v>
      </c>
      <c r="V193" s="75"/>
      <c r="W193" s="75">
        <v>0</v>
      </c>
      <c r="X193" s="1122">
        <v>0</v>
      </c>
      <c r="Y193" s="75">
        <v>0</v>
      </c>
      <c r="Z193" s="75">
        <v>0</v>
      </c>
      <c r="AA193" s="1122">
        <v>0</v>
      </c>
      <c r="AB193" s="75">
        <v>0</v>
      </c>
      <c r="AC193" s="75">
        <v>0</v>
      </c>
      <c r="AD193" s="1122">
        <v>0</v>
      </c>
      <c r="AE193" s="75">
        <v>0</v>
      </c>
      <c r="AF193" s="75">
        <v>0</v>
      </c>
      <c r="AG193" s="1122">
        <v>0</v>
      </c>
      <c r="AH193" s="505">
        <f t="shared" ref="AH193:AH211" si="36">+U193+Y193+AB193+AE193</f>
        <v>0</v>
      </c>
      <c r="AI193" s="132"/>
      <c r="AJ193" s="75">
        <f t="shared" si="35"/>
        <v>0</v>
      </c>
      <c r="AK193" s="75"/>
      <c r="AL193" s="75"/>
      <c r="AM193" s="75"/>
      <c r="AN193" s="64" t="s">
        <v>39</v>
      </c>
      <c r="AO193" s="100"/>
      <c r="AP193" s="100"/>
      <c r="AQ193" s="993"/>
      <c r="AR193" s="100"/>
      <c r="AS193" s="994"/>
      <c r="AT193" s="100"/>
      <c r="AU193" s="983"/>
      <c r="AV193" s="123" t="e">
        <f>#REF!*252*1.1</f>
        <v>#REF!</v>
      </c>
      <c r="AW193" s="67" t="s">
        <v>2583</v>
      </c>
    </row>
    <row r="194" spans="1:49" ht="16.350000000000001" hidden="1" customHeight="1" outlineLevel="3" x14ac:dyDescent="0.25">
      <c r="A194" s="63" t="str">
        <f t="shared" si="0"/>
        <v>1.3.1.3.3.63</v>
      </c>
      <c r="B194" s="64">
        <v>1</v>
      </c>
      <c r="C194" s="64">
        <v>3</v>
      </c>
      <c r="D194" s="64">
        <v>1</v>
      </c>
      <c r="E194" s="64">
        <v>3</v>
      </c>
      <c r="F194" s="64">
        <v>3</v>
      </c>
      <c r="G194" s="100">
        <v>63</v>
      </c>
      <c r="H194" s="65"/>
      <c r="I194" s="65"/>
      <c r="J194" s="66"/>
      <c r="K194" s="125" t="s">
        <v>1910</v>
      </c>
      <c r="L194" s="64" t="s">
        <v>246</v>
      </c>
      <c r="M194" s="64" t="s">
        <v>256</v>
      </c>
      <c r="N194" s="64" t="s">
        <v>257</v>
      </c>
      <c r="O194" s="64" t="s">
        <v>241</v>
      </c>
      <c r="P194" s="69">
        <v>44562</v>
      </c>
      <c r="Q194" s="69">
        <v>44925</v>
      </c>
      <c r="R194" s="124"/>
      <c r="S194" s="123" t="s">
        <v>258</v>
      </c>
      <c r="T194" s="194"/>
      <c r="U194" s="75">
        <f>7893000-2511860.28</f>
        <v>5381139.7200000007</v>
      </c>
      <c r="V194" s="75"/>
      <c r="W194" s="75">
        <v>0</v>
      </c>
      <c r="X194" s="1122">
        <v>0</v>
      </c>
      <c r="Y194" s="75">
        <v>5381139.7200000007</v>
      </c>
      <c r="Z194" s="75">
        <v>0</v>
      </c>
      <c r="AA194" s="1122">
        <v>0</v>
      </c>
      <c r="AB194" s="75">
        <v>5381139.7200000007</v>
      </c>
      <c r="AC194" s="75">
        <v>0</v>
      </c>
      <c r="AD194" s="1122">
        <v>0</v>
      </c>
      <c r="AE194" s="75">
        <v>5381139.7200000007</v>
      </c>
      <c r="AF194" s="75">
        <v>0</v>
      </c>
      <c r="AG194" s="1122">
        <v>0</v>
      </c>
      <c r="AH194" s="505">
        <f t="shared" si="36"/>
        <v>21524558.880000003</v>
      </c>
      <c r="AI194" s="132"/>
      <c r="AJ194" s="75">
        <f t="shared" si="35"/>
        <v>0</v>
      </c>
      <c r="AK194" s="75"/>
      <c r="AL194" s="75"/>
      <c r="AM194" s="75"/>
      <c r="AN194" s="64" t="s">
        <v>39</v>
      </c>
      <c r="AO194" s="100"/>
      <c r="AP194" s="100"/>
      <c r="AQ194" s="1050"/>
      <c r="AR194" s="1051"/>
      <c r="AS194" s="1051"/>
      <c r="AT194" s="100"/>
      <c r="AU194" s="983"/>
      <c r="AV194" s="123" t="s">
        <v>313</v>
      </c>
      <c r="AW194" s="1063"/>
    </row>
    <row r="195" spans="1:49" ht="33.6" hidden="1" customHeight="1" outlineLevel="3" x14ac:dyDescent="0.25">
      <c r="A195" s="63" t="str">
        <f t="shared" si="0"/>
        <v>1.3.1.3.4.63</v>
      </c>
      <c r="B195" s="64">
        <v>1</v>
      </c>
      <c r="C195" s="64">
        <v>3</v>
      </c>
      <c r="D195" s="64">
        <v>1</v>
      </c>
      <c r="E195" s="64">
        <v>3</v>
      </c>
      <c r="F195" s="64">
        <v>4</v>
      </c>
      <c r="G195" s="64">
        <v>63</v>
      </c>
      <c r="H195" s="65"/>
      <c r="I195" s="65"/>
      <c r="J195" s="66"/>
      <c r="K195" s="65" t="s">
        <v>259</v>
      </c>
      <c r="L195" s="64" t="s">
        <v>246</v>
      </c>
      <c r="M195" s="64" t="s">
        <v>240</v>
      </c>
      <c r="N195" s="64" t="s">
        <v>247</v>
      </c>
      <c r="O195" s="64" t="s">
        <v>241</v>
      </c>
      <c r="P195" s="69"/>
      <c r="Q195" s="69"/>
      <c r="R195" s="126">
        <v>80000</v>
      </c>
      <c r="S195" s="123" t="s">
        <v>248</v>
      </c>
      <c r="T195" s="194">
        <f t="shared" ref="T195:T196" si="37">+$R195/4</f>
        <v>20000</v>
      </c>
      <c r="U195" s="75">
        <v>0</v>
      </c>
      <c r="V195" s="75"/>
      <c r="W195" s="75">
        <v>0</v>
      </c>
      <c r="X195" s="1122">
        <v>0</v>
      </c>
      <c r="Y195" s="75">
        <v>0</v>
      </c>
      <c r="Z195" s="75">
        <v>0</v>
      </c>
      <c r="AA195" s="1122">
        <v>0</v>
      </c>
      <c r="AB195" s="75">
        <v>0</v>
      </c>
      <c r="AC195" s="75">
        <v>0</v>
      </c>
      <c r="AD195" s="1122">
        <v>0</v>
      </c>
      <c r="AE195" s="75">
        <v>0</v>
      </c>
      <c r="AF195" s="75">
        <v>0</v>
      </c>
      <c r="AG195" s="1122">
        <v>0</v>
      </c>
      <c r="AH195" s="505">
        <f t="shared" si="36"/>
        <v>0</v>
      </c>
      <c r="AI195" s="132"/>
      <c r="AJ195" s="75">
        <f t="shared" si="35"/>
        <v>0</v>
      </c>
      <c r="AK195" s="75"/>
      <c r="AL195" s="75"/>
      <c r="AM195" s="75"/>
      <c r="AN195" s="64" t="s">
        <v>39</v>
      </c>
      <c r="AO195" s="100"/>
      <c r="AP195" s="100"/>
      <c r="AQ195" s="993"/>
      <c r="AR195" s="100"/>
      <c r="AS195" s="994"/>
      <c r="AT195" s="100"/>
      <c r="AU195" s="983"/>
      <c r="AV195" s="1064" t="s">
        <v>260</v>
      </c>
      <c r="AW195" s="67"/>
    </row>
    <row r="196" spans="1:49" ht="33.6" hidden="1" customHeight="1" outlineLevel="3" x14ac:dyDescent="0.25">
      <c r="A196" s="63" t="str">
        <f t="shared" si="0"/>
        <v>1.3.1.3.5.63</v>
      </c>
      <c r="B196" s="64">
        <v>1</v>
      </c>
      <c r="C196" s="64">
        <v>3</v>
      </c>
      <c r="D196" s="64">
        <v>1</v>
      </c>
      <c r="E196" s="64">
        <v>3</v>
      </c>
      <c r="F196" s="64">
        <v>5</v>
      </c>
      <c r="G196" s="64">
        <v>63</v>
      </c>
      <c r="H196" s="65"/>
      <c r="I196" s="65"/>
      <c r="J196" s="66"/>
      <c r="K196" s="65" t="s">
        <v>305</v>
      </c>
      <c r="L196" s="64" t="s">
        <v>246</v>
      </c>
      <c r="M196" s="64" t="s">
        <v>240</v>
      </c>
      <c r="N196" s="64" t="s">
        <v>252</v>
      </c>
      <c r="O196" s="64" t="s">
        <v>241</v>
      </c>
      <c r="P196" s="69"/>
      <c r="Q196" s="69"/>
      <c r="R196" s="126">
        <v>650000</v>
      </c>
      <c r="S196" s="123" t="s">
        <v>248</v>
      </c>
      <c r="T196" s="194">
        <f t="shared" si="37"/>
        <v>162500</v>
      </c>
      <c r="U196" s="75">
        <v>0</v>
      </c>
      <c r="V196" s="75"/>
      <c r="W196" s="75">
        <v>0</v>
      </c>
      <c r="X196" s="1122">
        <v>0</v>
      </c>
      <c r="Y196" s="75">
        <v>0</v>
      </c>
      <c r="Z196" s="75">
        <v>0</v>
      </c>
      <c r="AA196" s="1122">
        <v>0</v>
      </c>
      <c r="AB196" s="75">
        <v>0</v>
      </c>
      <c r="AC196" s="75">
        <v>0</v>
      </c>
      <c r="AD196" s="1122">
        <v>0</v>
      </c>
      <c r="AE196" s="75">
        <v>0</v>
      </c>
      <c r="AF196" s="75">
        <v>0</v>
      </c>
      <c r="AG196" s="1122">
        <v>0</v>
      </c>
      <c r="AH196" s="505">
        <f t="shared" si="36"/>
        <v>0</v>
      </c>
      <c r="AI196" s="132"/>
      <c r="AJ196" s="75">
        <f t="shared" si="35"/>
        <v>0</v>
      </c>
      <c r="AK196" s="75"/>
      <c r="AL196" s="75"/>
      <c r="AM196" s="75"/>
      <c r="AN196" s="64" t="s">
        <v>39</v>
      </c>
      <c r="AO196" s="100"/>
      <c r="AP196" s="100"/>
      <c r="AQ196" s="993"/>
      <c r="AR196" s="100"/>
      <c r="AS196" s="994"/>
      <c r="AT196" s="100"/>
      <c r="AU196" s="983"/>
      <c r="AV196" s="1064" t="s">
        <v>260</v>
      </c>
      <c r="AW196" s="67"/>
    </row>
    <row r="197" spans="1:49" ht="23.45" hidden="1" customHeight="1" outlineLevel="3" x14ac:dyDescent="0.25">
      <c r="A197" s="63" t="str">
        <f t="shared" si="0"/>
        <v>1.3.1.3.6.63</v>
      </c>
      <c r="B197" s="64">
        <v>1</v>
      </c>
      <c r="C197" s="64">
        <v>3</v>
      </c>
      <c r="D197" s="64">
        <v>1</v>
      </c>
      <c r="E197" s="64">
        <v>3</v>
      </c>
      <c r="F197" s="64">
        <v>6</v>
      </c>
      <c r="G197" s="64">
        <v>63</v>
      </c>
      <c r="H197" s="65"/>
      <c r="I197" s="65"/>
      <c r="J197" s="66"/>
      <c r="K197" s="65" t="s">
        <v>263</v>
      </c>
      <c r="L197" s="64" t="s">
        <v>264</v>
      </c>
      <c r="M197" s="64" t="s">
        <v>144</v>
      </c>
      <c r="N197" s="64" t="s">
        <v>265</v>
      </c>
      <c r="O197" s="64" t="s">
        <v>266</v>
      </c>
      <c r="P197" s="69"/>
      <c r="Q197" s="69"/>
      <c r="R197" s="124"/>
      <c r="S197" s="123" t="s">
        <v>258</v>
      </c>
      <c r="T197" s="194"/>
      <c r="U197" s="75">
        <v>0</v>
      </c>
      <c r="V197" s="75"/>
      <c r="W197" s="75">
        <v>0</v>
      </c>
      <c r="X197" s="1122">
        <v>0</v>
      </c>
      <c r="Y197" s="75">
        <v>0</v>
      </c>
      <c r="Z197" s="75">
        <v>0</v>
      </c>
      <c r="AA197" s="1122">
        <v>0</v>
      </c>
      <c r="AB197" s="75">
        <v>0</v>
      </c>
      <c r="AC197" s="75">
        <v>0</v>
      </c>
      <c r="AD197" s="1122">
        <v>0</v>
      </c>
      <c r="AE197" s="75">
        <v>0</v>
      </c>
      <c r="AF197" s="75">
        <v>0</v>
      </c>
      <c r="AG197" s="1122">
        <v>0</v>
      </c>
      <c r="AH197" s="505">
        <f t="shared" si="36"/>
        <v>0</v>
      </c>
      <c r="AI197" s="132"/>
      <c r="AJ197" s="75">
        <f t="shared" si="35"/>
        <v>0</v>
      </c>
      <c r="AK197" s="75"/>
      <c r="AL197" s="75"/>
      <c r="AM197" s="75"/>
      <c r="AN197" s="64" t="s">
        <v>181</v>
      </c>
      <c r="AO197" s="710"/>
      <c r="AP197" s="710"/>
      <c r="AQ197" s="1052"/>
      <c r="AR197" s="100"/>
      <c r="AS197" s="1053"/>
      <c r="AT197" s="100"/>
      <c r="AU197" s="983"/>
      <c r="AV197" s="123" t="s">
        <v>144</v>
      </c>
      <c r="AW197" s="67"/>
    </row>
    <row r="198" spans="1:49" ht="23.45" hidden="1" customHeight="1" outlineLevel="3" x14ac:dyDescent="0.25">
      <c r="A198" s="63" t="str">
        <f t="shared" si="0"/>
        <v>1.3.1.3.7.63</v>
      </c>
      <c r="B198" s="64">
        <v>1</v>
      </c>
      <c r="C198" s="64">
        <v>3</v>
      </c>
      <c r="D198" s="64">
        <v>1</v>
      </c>
      <c r="E198" s="64">
        <v>3</v>
      </c>
      <c r="F198" s="64">
        <v>7</v>
      </c>
      <c r="G198" s="64">
        <v>63</v>
      </c>
      <c r="H198" s="65"/>
      <c r="I198" s="65"/>
      <c r="J198" s="66"/>
      <c r="K198" s="67" t="s">
        <v>2024</v>
      </c>
      <c r="L198" s="64"/>
      <c r="M198" s="64"/>
      <c r="N198" s="64"/>
      <c r="O198" s="64"/>
      <c r="P198" s="69"/>
      <c r="Q198" s="69"/>
      <c r="R198" s="124"/>
      <c r="S198" s="123"/>
      <c r="T198" s="194"/>
      <c r="U198" s="75">
        <v>0</v>
      </c>
      <c r="V198" s="75"/>
      <c r="W198" s="75">
        <v>0</v>
      </c>
      <c r="X198" s="1122">
        <v>0</v>
      </c>
      <c r="Y198" s="75">
        <v>0</v>
      </c>
      <c r="Z198" s="75">
        <v>0</v>
      </c>
      <c r="AA198" s="1122">
        <v>0</v>
      </c>
      <c r="AB198" s="75">
        <v>0</v>
      </c>
      <c r="AC198" s="75">
        <v>0</v>
      </c>
      <c r="AD198" s="1122">
        <v>0</v>
      </c>
      <c r="AE198" s="75">
        <v>0</v>
      </c>
      <c r="AF198" s="75">
        <v>0</v>
      </c>
      <c r="AG198" s="1122">
        <v>0</v>
      </c>
      <c r="AH198" s="505">
        <f t="shared" si="36"/>
        <v>0</v>
      </c>
      <c r="AI198" s="132"/>
      <c r="AJ198" s="75">
        <f t="shared" si="35"/>
        <v>0</v>
      </c>
      <c r="AK198" s="75"/>
      <c r="AL198" s="75"/>
      <c r="AM198" s="75"/>
      <c r="AN198" s="136" t="s">
        <v>39</v>
      </c>
      <c r="AO198" s="710"/>
      <c r="AP198" s="710"/>
      <c r="AQ198" s="1052"/>
      <c r="AR198" s="104"/>
      <c r="AS198" s="997"/>
      <c r="AT198" s="104"/>
      <c r="AU198" s="964"/>
      <c r="AV198" s="123"/>
      <c r="AW198" s="67"/>
    </row>
    <row r="199" spans="1:49" ht="51.6" hidden="1" customHeight="1" outlineLevel="3" x14ac:dyDescent="0.25">
      <c r="A199" s="63" t="str">
        <f t="shared" si="0"/>
        <v>1.3.1.3.9.63</v>
      </c>
      <c r="B199" s="64">
        <v>1</v>
      </c>
      <c r="C199" s="64">
        <v>3</v>
      </c>
      <c r="D199" s="64">
        <v>1</v>
      </c>
      <c r="E199" s="64">
        <v>3</v>
      </c>
      <c r="F199" s="64">
        <v>9</v>
      </c>
      <c r="G199" s="64">
        <v>63</v>
      </c>
      <c r="H199" s="65"/>
      <c r="I199" s="65"/>
      <c r="J199" s="66"/>
      <c r="K199" s="67" t="s">
        <v>314</v>
      </c>
      <c r="L199" s="68" t="s">
        <v>270</v>
      </c>
      <c r="M199" s="64" t="s">
        <v>279</v>
      </c>
      <c r="N199" s="64"/>
      <c r="O199" s="64"/>
      <c r="P199" s="69"/>
      <c r="Q199" s="69"/>
      <c r="R199" s="124"/>
      <c r="S199" s="123"/>
      <c r="T199" s="194"/>
      <c r="U199" s="75">
        <v>0</v>
      </c>
      <c r="V199" s="75"/>
      <c r="W199" s="75">
        <v>0</v>
      </c>
      <c r="X199" s="1122">
        <v>0</v>
      </c>
      <c r="Y199" s="75">
        <v>0</v>
      </c>
      <c r="Z199" s="75">
        <v>0</v>
      </c>
      <c r="AA199" s="1122">
        <v>0</v>
      </c>
      <c r="AB199" s="75">
        <v>0</v>
      </c>
      <c r="AC199" s="75">
        <v>0</v>
      </c>
      <c r="AD199" s="1122">
        <v>0</v>
      </c>
      <c r="AE199" s="75">
        <v>0</v>
      </c>
      <c r="AF199" s="75">
        <v>0</v>
      </c>
      <c r="AG199" s="1122">
        <v>0</v>
      </c>
      <c r="AH199" s="505">
        <f t="shared" si="36"/>
        <v>0</v>
      </c>
      <c r="AI199" s="132"/>
      <c r="AJ199" s="75">
        <f t="shared" si="35"/>
        <v>0</v>
      </c>
      <c r="AK199" s="75"/>
      <c r="AL199" s="75"/>
      <c r="AM199" s="75"/>
      <c r="AN199" s="64" t="s">
        <v>39</v>
      </c>
      <c r="AO199" s="100"/>
      <c r="AP199" s="100"/>
      <c r="AQ199" s="993"/>
      <c r="AR199" s="100"/>
      <c r="AS199" s="994"/>
      <c r="AT199" s="100"/>
      <c r="AU199" s="983"/>
      <c r="AV199" s="123" t="s">
        <v>272</v>
      </c>
      <c r="AW199" s="67"/>
    </row>
    <row r="200" spans="1:49" ht="52.5" hidden="1" customHeight="1" outlineLevel="3" x14ac:dyDescent="0.25">
      <c r="A200" s="63" t="str">
        <f t="shared" si="0"/>
        <v>1.3.1.3.11.63</v>
      </c>
      <c r="B200" s="64">
        <v>1</v>
      </c>
      <c r="C200" s="64">
        <v>3</v>
      </c>
      <c r="D200" s="64">
        <v>1</v>
      </c>
      <c r="E200" s="64">
        <v>3</v>
      </c>
      <c r="F200" s="64">
        <v>11</v>
      </c>
      <c r="G200" s="100">
        <v>63</v>
      </c>
      <c r="H200" s="65"/>
      <c r="I200" s="65"/>
      <c r="J200" s="66"/>
      <c r="K200" s="86" t="s">
        <v>315</v>
      </c>
      <c r="L200" s="68" t="s">
        <v>72</v>
      </c>
      <c r="M200" s="64" t="s">
        <v>267</v>
      </c>
      <c r="N200" s="64" t="s">
        <v>265</v>
      </c>
      <c r="O200" s="64" t="s">
        <v>275</v>
      </c>
      <c r="P200" s="69"/>
      <c r="Q200" s="69"/>
      <c r="R200" s="124">
        <v>12</v>
      </c>
      <c r="S200" s="123"/>
      <c r="T200" s="194">
        <v>3</v>
      </c>
      <c r="U200" s="75">
        <f>5971694.85+1088474.54</f>
        <v>7060169.3899999997</v>
      </c>
      <c r="V200" s="75"/>
      <c r="W200" s="75">
        <v>0</v>
      </c>
      <c r="X200" s="1122">
        <v>0</v>
      </c>
      <c r="Y200" s="75">
        <f>5971694.85+1632711.81</f>
        <v>7604406.6600000001</v>
      </c>
      <c r="Z200" s="75">
        <v>0</v>
      </c>
      <c r="AA200" s="1122">
        <v>0</v>
      </c>
      <c r="AB200" s="75">
        <f>5971694.85+1632711.81</f>
        <v>7604406.6600000001</v>
      </c>
      <c r="AC200" s="75">
        <v>0</v>
      </c>
      <c r="AD200" s="1122">
        <v>0</v>
      </c>
      <c r="AE200" s="75">
        <f>5971694.85+1632711.81</f>
        <v>7604406.6600000001</v>
      </c>
      <c r="AF200" s="75">
        <v>0</v>
      </c>
      <c r="AG200" s="1122">
        <v>0</v>
      </c>
      <c r="AH200" s="505">
        <f t="shared" si="36"/>
        <v>29873389.370000001</v>
      </c>
      <c r="AI200" s="132"/>
      <c r="AJ200" s="75">
        <f t="shared" si="35"/>
        <v>0</v>
      </c>
      <c r="AK200" s="75"/>
      <c r="AL200" s="75"/>
      <c r="AM200" s="75"/>
      <c r="AN200" s="64" t="s">
        <v>39</v>
      </c>
      <c r="AO200" s="100"/>
      <c r="AP200" s="100"/>
      <c r="AQ200" s="1050"/>
      <c r="AR200" s="1051"/>
      <c r="AS200" s="1051"/>
      <c r="AT200" s="100"/>
      <c r="AU200" s="1043"/>
      <c r="AV200" s="65" t="s">
        <v>2724</v>
      </c>
      <c r="AW200" s="67" t="s">
        <v>2761</v>
      </c>
    </row>
    <row r="201" spans="1:49" ht="40.35" hidden="1" customHeight="1" outlineLevel="3" x14ac:dyDescent="0.25">
      <c r="A201" s="63" t="str">
        <f t="shared" si="0"/>
        <v>1.3.1.3.14.63</v>
      </c>
      <c r="B201" s="64">
        <v>1</v>
      </c>
      <c r="C201" s="64">
        <v>3</v>
      </c>
      <c r="D201" s="64">
        <v>1</v>
      </c>
      <c r="E201" s="64">
        <v>3</v>
      </c>
      <c r="F201" s="64">
        <v>14</v>
      </c>
      <c r="G201" s="64">
        <v>63</v>
      </c>
      <c r="H201" s="65"/>
      <c r="I201" s="65"/>
      <c r="J201" s="66"/>
      <c r="K201" s="67" t="s">
        <v>276</v>
      </c>
      <c r="L201" s="68" t="s">
        <v>72</v>
      </c>
      <c r="M201" s="64" t="s">
        <v>271</v>
      </c>
      <c r="N201" s="64" t="s">
        <v>307</v>
      </c>
      <c r="O201" s="64" t="s">
        <v>277</v>
      </c>
      <c r="P201" s="69"/>
      <c r="Q201" s="69"/>
      <c r="R201" s="124"/>
      <c r="S201" s="123"/>
      <c r="T201" s="194"/>
      <c r="U201" s="75">
        <v>0</v>
      </c>
      <c r="V201" s="75"/>
      <c r="W201" s="75">
        <v>0</v>
      </c>
      <c r="X201" s="1122">
        <v>0</v>
      </c>
      <c r="Y201" s="75">
        <v>0</v>
      </c>
      <c r="Z201" s="75">
        <v>0</v>
      </c>
      <c r="AA201" s="1122">
        <v>0</v>
      </c>
      <c r="AB201" s="75">
        <v>0</v>
      </c>
      <c r="AC201" s="75">
        <v>0</v>
      </c>
      <c r="AD201" s="1122">
        <v>0</v>
      </c>
      <c r="AE201" s="75">
        <v>0</v>
      </c>
      <c r="AF201" s="75">
        <v>0</v>
      </c>
      <c r="AG201" s="1122">
        <v>0</v>
      </c>
      <c r="AH201" s="505">
        <f t="shared" si="36"/>
        <v>0</v>
      </c>
      <c r="AI201" s="132"/>
      <c r="AJ201" s="75">
        <f t="shared" si="35"/>
        <v>0</v>
      </c>
      <c r="AK201" s="129"/>
      <c r="AL201" s="129"/>
      <c r="AM201" s="129"/>
      <c r="AN201" s="189" t="s">
        <v>39</v>
      </c>
      <c r="AO201" s="100"/>
      <c r="AP201" s="1057"/>
      <c r="AQ201" s="1057"/>
      <c r="AR201" s="100"/>
      <c r="AS201" s="100"/>
      <c r="AT201" s="1062"/>
      <c r="AU201" s="1055"/>
      <c r="AV201" s="123" t="s">
        <v>278</v>
      </c>
      <c r="AW201" s="68"/>
    </row>
    <row r="202" spans="1:49" ht="40.35" hidden="1" customHeight="1" outlineLevel="3" x14ac:dyDescent="0.25">
      <c r="A202" s="63" t="str">
        <f t="shared" si="0"/>
        <v>1.3.1.3.15.63</v>
      </c>
      <c r="B202" s="64">
        <v>1</v>
      </c>
      <c r="C202" s="64">
        <v>3</v>
      </c>
      <c r="D202" s="64">
        <v>1</v>
      </c>
      <c r="E202" s="64">
        <v>3</v>
      </c>
      <c r="F202" s="64">
        <v>15</v>
      </c>
      <c r="G202" s="64">
        <v>63</v>
      </c>
      <c r="H202" s="65"/>
      <c r="I202" s="65"/>
      <c r="J202" s="66"/>
      <c r="K202" s="67" t="s">
        <v>1891</v>
      </c>
      <c r="L202" s="64" t="s">
        <v>72</v>
      </c>
      <c r="M202" s="64" t="s">
        <v>279</v>
      </c>
      <c r="N202" s="64" t="s">
        <v>307</v>
      </c>
      <c r="O202" s="68" t="s">
        <v>277</v>
      </c>
      <c r="P202" s="69">
        <v>44562</v>
      </c>
      <c r="Q202" s="69">
        <v>45291</v>
      </c>
      <c r="R202" s="124"/>
      <c r="S202" s="123"/>
      <c r="T202" s="194"/>
      <c r="U202" s="75">
        <v>42857</v>
      </c>
      <c r="V202" s="75"/>
      <c r="W202" s="75">
        <v>0</v>
      </c>
      <c r="X202" s="1122">
        <v>0</v>
      </c>
      <c r="Y202" s="75">
        <v>0</v>
      </c>
      <c r="Z202" s="75">
        <v>0</v>
      </c>
      <c r="AA202" s="1122">
        <v>0</v>
      </c>
      <c r="AB202" s="75">
        <v>0</v>
      </c>
      <c r="AC202" s="75">
        <v>0</v>
      </c>
      <c r="AD202" s="1122">
        <v>0</v>
      </c>
      <c r="AE202" s="75">
        <v>0</v>
      </c>
      <c r="AF202" s="75">
        <v>0</v>
      </c>
      <c r="AG202" s="1122">
        <v>0</v>
      </c>
      <c r="AH202" s="505">
        <f t="shared" si="36"/>
        <v>42857</v>
      </c>
      <c r="AI202" s="132"/>
      <c r="AJ202" s="75">
        <f t="shared" si="35"/>
        <v>0</v>
      </c>
      <c r="AK202" s="75"/>
      <c r="AL202" s="75"/>
      <c r="AM202" s="75"/>
      <c r="AN202" s="189" t="s">
        <v>39</v>
      </c>
      <c r="AO202" s="100"/>
      <c r="AP202" s="960"/>
      <c r="AQ202" s="960"/>
      <c r="AR202" s="1054"/>
      <c r="AS202" s="1054"/>
      <c r="AT202" s="1056"/>
      <c r="AU202" s="1055"/>
      <c r="AV202" s="65" t="s">
        <v>279</v>
      </c>
      <c r="AW202" s="538"/>
    </row>
    <row r="203" spans="1:49" ht="40.35" hidden="1" customHeight="1" outlineLevel="3" x14ac:dyDescent="0.25">
      <c r="A203" s="63" t="str">
        <f t="shared" si="0"/>
        <v>1.3.1.3.19.63</v>
      </c>
      <c r="B203" s="64">
        <v>1</v>
      </c>
      <c r="C203" s="64">
        <v>3</v>
      </c>
      <c r="D203" s="64">
        <v>1</v>
      </c>
      <c r="E203" s="64">
        <v>3</v>
      </c>
      <c r="F203" s="64">
        <v>19</v>
      </c>
      <c r="G203" s="64">
        <v>63</v>
      </c>
      <c r="H203" s="65"/>
      <c r="I203" s="65"/>
      <c r="J203" s="66"/>
      <c r="K203" s="67" t="s">
        <v>280</v>
      </c>
      <c r="L203" s="68" t="s">
        <v>72</v>
      </c>
      <c r="M203" s="64" t="s">
        <v>271</v>
      </c>
      <c r="N203" s="64" t="s">
        <v>307</v>
      </c>
      <c r="O203" s="64" t="s">
        <v>281</v>
      </c>
      <c r="P203" s="69"/>
      <c r="Q203" s="131"/>
      <c r="R203" s="124"/>
      <c r="S203" s="123"/>
      <c r="T203" s="194"/>
      <c r="U203" s="75">
        <v>0</v>
      </c>
      <c r="V203" s="75"/>
      <c r="W203" s="75">
        <v>0</v>
      </c>
      <c r="X203" s="1122">
        <v>0</v>
      </c>
      <c r="Y203" s="75">
        <v>0</v>
      </c>
      <c r="Z203" s="75">
        <v>0</v>
      </c>
      <c r="AA203" s="1122">
        <v>0</v>
      </c>
      <c r="AB203" s="75">
        <v>0</v>
      </c>
      <c r="AC203" s="75">
        <v>0</v>
      </c>
      <c r="AD203" s="1122">
        <v>0</v>
      </c>
      <c r="AE203" s="75">
        <v>0</v>
      </c>
      <c r="AF203" s="75">
        <v>0</v>
      </c>
      <c r="AG203" s="1122">
        <v>0</v>
      </c>
      <c r="AH203" s="505">
        <f t="shared" si="36"/>
        <v>0</v>
      </c>
      <c r="AI203" s="132"/>
      <c r="AJ203" s="75">
        <f t="shared" si="35"/>
        <v>0</v>
      </c>
      <c r="AK203" s="132"/>
      <c r="AL203" s="132"/>
      <c r="AM203" s="132"/>
      <c r="AN203" s="64" t="s">
        <v>39</v>
      </c>
      <c r="AO203" s="100"/>
      <c r="AP203" s="100"/>
      <c r="AQ203" s="100"/>
      <c r="AR203" s="1028"/>
      <c r="AS203" s="100"/>
      <c r="AT203" s="100"/>
      <c r="AU203" s="983"/>
      <c r="AV203" s="123" t="s">
        <v>166</v>
      </c>
      <c r="AW203" s="68"/>
    </row>
    <row r="204" spans="1:49" ht="40.35" hidden="1" customHeight="1" outlineLevel="3" x14ac:dyDescent="0.25">
      <c r="A204" s="164" t="str">
        <f t="shared" si="0"/>
        <v>1.3.1.3.20.63</v>
      </c>
      <c r="B204" s="165">
        <v>1</v>
      </c>
      <c r="C204" s="165">
        <v>3</v>
      </c>
      <c r="D204" s="165">
        <v>1</v>
      </c>
      <c r="E204" s="165">
        <v>3</v>
      </c>
      <c r="F204" s="165">
        <v>20</v>
      </c>
      <c r="G204" s="165">
        <v>63</v>
      </c>
      <c r="H204" s="166"/>
      <c r="I204" s="166"/>
      <c r="J204" s="167"/>
      <c r="K204" s="1003" t="s">
        <v>283</v>
      </c>
      <c r="L204" s="146" t="s">
        <v>72</v>
      </c>
      <c r="M204" s="165" t="s">
        <v>271</v>
      </c>
      <c r="N204" s="165" t="s">
        <v>307</v>
      </c>
      <c r="O204" s="165" t="s">
        <v>281</v>
      </c>
      <c r="P204" s="169"/>
      <c r="Q204" s="1011"/>
      <c r="R204" s="1012"/>
      <c r="S204" s="1013"/>
      <c r="T204" s="1185"/>
      <c r="U204" s="75">
        <v>0</v>
      </c>
      <c r="V204" s="75"/>
      <c r="W204" s="75">
        <v>0</v>
      </c>
      <c r="X204" s="1122">
        <v>0</v>
      </c>
      <c r="Y204" s="75">
        <v>0</v>
      </c>
      <c r="Z204" s="75">
        <v>0</v>
      </c>
      <c r="AA204" s="1122">
        <v>0</v>
      </c>
      <c r="AB204" s="75">
        <v>0</v>
      </c>
      <c r="AC204" s="75">
        <v>0</v>
      </c>
      <c r="AD204" s="1122">
        <v>0</v>
      </c>
      <c r="AE204" s="75">
        <v>0</v>
      </c>
      <c r="AF204" s="75">
        <v>0</v>
      </c>
      <c r="AG204" s="1122">
        <v>0</v>
      </c>
      <c r="AH204" s="505">
        <f t="shared" si="36"/>
        <v>0</v>
      </c>
      <c r="AI204" s="132"/>
      <c r="AJ204" s="75">
        <f t="shared" si="35"/>
        <v>0</v>
      </c>
      <c r="AK204" s="75"/>
      <c r="AL204" s="75"/>
      <c r="AM204" s="75"/>
      <c r="AN204" s="165" t="s">
        <v>39</v>
      </c>
      <c r="AO204" s="710"/>
      <c r="AP204" s="710"/>
      <c r="AQ204" s="710"/>
      <c r="AR204" s="710"/>
      <c r="AS204" s="710"/>
      <c r="AT204" s="710"/>
      <c r="AU204" s="1044"/>
      <c r="AV204" s="123" t="s">
        <v>166</v>
      </c>
      <c r="AW204" s="68"/>
    </row>
    <row r="205" spans="1:49" ht="34.35" hidden="1" customHeight="1" outlineLevel="3" x14ac:dyDescent="0.25">
      <c r="A205" s="63" t="str">
        <f t="shared" si="0"/>
        <v>1.3.1.3.21.63</v>
      </c>
      <c r="B205" s="64">
        <v>1</v>
      </c>
      <c r="C205" s="64">
        <v>3</v>
      </c>
      <c r="D205" s="64">
        <v>1</v>
      </c>
      <c r="E205" s="64">
        <v>3</v>
      </c>
      <c r="F205" s="64">
        <v>21</v>
      </c>
      <c r="G205" s="64">
        <v>63</v>
      </c>
      <c r="H205" s="65"/>
      <c r="I205" s="65"/>
      <c r="J205" s="66"/>
      <c r="K205" s="67" t="s">
        <v>284</v>
      </c>
      <c r="L205" s="68" t="s">
        <v>72</v>
      </c>
      <c r="M205" s="64" t="s">
        <v>271</v>
      </c>
      <c r="N205" s="64" t="s">
        <v>307</v>
      </c>
      <c r="O205" s="64" t="s">
        <v>281</v>
      </c>
      <c r="P205" s="69">
        <v>44972</v>
      </c>
      <c r="Q205" s="131">
        <v>45290</v>
      </c>
      <c r="R205" s="124">
        <v>1</v>
      </c>
      <c r="S205" s="123" t="s">
        <v>76</v>
      </c>
      <c r="T205" s="194"/>
      <c r="U205" s="75">
        <v>0</v>
      </c>
      <c r="V205" s="75"/>
      <c r="W205" s="75">
        <v>0</v>
      </c>
      <c r="X205" s="1122">
        <v>0</v>
      </c>
      <c r="Y205" s="75">
        <v>99607.2</v>
      </c>
      <c r="Z205" s="75">
        <v>0</v>
      </c>
      <c r="AA205" s="1122">
        <v>0</v>
      </c>
      <c r="AB205" s="75">
        <v>0</v>
      </c>
      <c r="AC205" s="75">
        <v>0</v>
      </c>
      <c r="AD205" s="1122">
        <v>0</v>
      </c>
      <c r="AE205" s="75">
        <v>0</v>
      </c>
      <c r="AF205" s="75">
        <v>0</v>
      </c>
      <c r="AG205" s="1122">
        <v>0</v>
      </c>
      <c r="AH205" s="505">
        <f t="shared" si="36"/>
        <v>99607.2</v>
      </c>
      <c r="AI205" s="132"/>
      <c r="AJ205" s="75">
        <f t="shared" si="35"/>
        <v>0</v>
      </c>
      <c r="AK205" s="370"/>
      <c r="AL205" s="75"/>
      <c r="AM205" s="75"/>
      <c r="AN205" s="64" t="s">
        <v>39</v>
      </c>
      <c r="AO205" s="100"/>
      <c r="AP205" s="100"/>
      <c r="AQ205" s="100"/>
      <c r="AR205" s="100"/>
      <c r="AS205" s="100"/>
      <c r="AT205" s="100"/>
      <c r="AU205" s="983"/>
      <c r="AV205" s="123" t="s">
        <v>166</v>
      </c>
      <c r="AW205" s="67" t="s">
        <v>2736</v>
      </c>
    </row>
    <row r="206" spans="1:49" ht="26.1" hidden="1" customHeight="1" outlineLevel="3" x14ac:dyDescent="0.25">
      <c r="A206" s="864" t="str">
        <f t="shared" si="0"/>
        <v>1.3.1.3.24.63</v>
      </c>
      <c r="B206" s="245">
        <v>1</v>
      </c>
      <c r="C206" s="245">
        <v>3</v>
      </c>
      <c r="D206" s="245">
        <v>1</v>
      </c>
      <c r="E206" s="245">
        <v>3</v>
      </c>
      <c r="F206" s="245">
        <v>24</v>
      </c>
      <c r="G206" s="245">
        <v>63</v>
      </c>
      <c r="H206" s="1018"/>
      <c r="I206" s="1018"/>
      <c r="J206" s="1019"/>
      <c r="K206" s="244" t="s">
        <v>286</v>
      </c>
      <c r="L206" s="145" t="s">
        <v>72</v>
      </c>
      <c r="M206" s="245" t="s">
        <v>73</v>
      </c>
      <c r="N206" s="245" t="s">
        <v>307</v>
      </c>
      <c r="O206" s="245" t="s">
        <v>281</v>
      </c>
      <c r="P206" s="1020"/>
      <c r="Q206" s="1021"/>
      <c r="R206" s="1022"/>
      <c r="S206" s="1023"/>
      <c r="T206" s="1186"/>
      <c r="U206" s="75">
        <v>0</v>
      </c>
      <c r="V206" s="75"/>
      <c r="W206" s="75">
        <v>0</v>
      </c>
      <c r="X206" s="1122">
        <v>0</v>
      </c>
      <c r="Y206" s="75">
        <v>0</v>
      </c>
      <c r="Z206" s="75">
        <v>0</v>
      </c>
      <c r="AA206" s="1122">
        <v>0</v>
      </c>
      <c r="AB206" s="75">
        <v>0</v>
      </c>
      <c r="AC206" s="75">
        <v>0</v>
      </c>
      <c r="AD206" s="1122">
        <v>0</v>
      </c>
      <c r="AE206" s="75">
        <v>0</v>
      </c>
      <c r="AF206" s="75">
        <v>0</v>
      </c>
      <c r="AG206" s="1122">
        <v>0</v>
      </c>
      <c r="AH206" s="505">
        <f t="shared" si="36"/>
        <v>0</v>
      </c>
      <c r="AI206" s="132"/>
      <c r="AJ206" s="75">
        <f t="shared" si="35"/>
        <v>0</v>
      </c>
      <c r="AK206" s="75"/>
      <c r="AL206" s="75"/>
      <c r="AM206" s="75"/>
      <c r="AN206" s="245" t="s">
        <v>39</v>
      </c>
      <c r="AO206" s="1028"/>
      <c r="AP206" s="1028"/>
      <c r="AQ206" s="1028"/>
      <c r="AR206" s="1028"/>
      <c r="AS206" s="1028"/>
      <c r="AT206" s="1028"/>
      <c r="AU206" s="1031"/>
      <c r="AV206" s="123" t="s">
        <v>73</v>
      </c>
      <c r="AW206" s="68"/>
    </row>
    <row r="207" spans="1:49" ht="26.1" hidden="1" customHeight="1" outlineLevel="3" x14ac:dyDescent="0.25">
      <c r="A207" s="63" t="str">
        <f t="shared" si="0"/>
        <v>1.3.1.3.25.63</v>
      </c>
      <c r="B207" s="64">
        <v>1</v>
      </c>
      <c r="C207" s="64">
        <v>3</v>
      </c>
      <c r="D207" s="64">
        <v>1</v>
      </c>
      <c r="E207" s="64">
        <v>3</v>
      </c>
      <c r="F207" s="64">
        <v>25</v>
      </c>
      <c r="G207" s="64">
        <v>63</v>
      </c>
      <c r="H207" s="65"/>
      <c r="I207" s="65"/>
      <c r="J207" s="66"/>
      <c r="K207" s="67" t="s">
        <v>287</v>
      </c>
      <c r="L207" s="68" t="s">
        <v>72</v>
      </c>
      <c r="M207" s="64" t="s">
        <v>73</v>
      </c>
      <c r="N207" s="64"/>
      <c r="O207" s="64"/>
      <c r="P207" s="69"/>
      <c r="Q207" s="131"/>
      <c r="R207" s="124"/>
      <c r="S207" s="123"/>
      <c r="T207" s="194"/>
      <c r="U207" s="75">
        <v>0</v>
      </c>
      <c r="V207" s="75"/>
      <c r="W207" s="75">
        <v>0</v>
      </c>
      <c r="X207" s="1122">
        <v>0</v>
      </c>
      <c r="Y207" s="75">
        <v>0</v>
      </c>
      <c r="Z207" s="75">
        <v>0</v>
      </c>
      <c r="AA207" s="1122">
        <v>0</v>
      </c>
      <c r="AB207" s="75">
        <v>0</v>
      </c>
      <c r="AC207" s="75">
        <v>0</v>
      </c>
      <c r="AD207" s="1122">
        <v>0</v>
      </c>
      <c r="AE207" s="75">
        <v>0</v>
      </c>
      <c r="AF207" s="75">
        <v>0</v>
      </c>
      <c r="AG207" s="1122">
        <v>0</v>
      </c>
      <c r="AH207" s="505">
        <f t="shared" si="36"/>
        <v>0</v>
      </c>
      <c r="AI207" s="132"/>
      <c r="AJ207" s="75">
        <f t="shared" si="35"/>
        <v>0</v>
      </c>
      <c r="AK207" s="75"/>
      <c r="AL207" s="75"/>
      <c r="AM207" s="75"/>
      <c r="AN207" s="64" t="s">
        <v>39</v>
      </c>
      <c r="AO207" s="100"/>
      <c r="AP207" s="100"/>
      <c r="AQ207" s="100"/>
      <c r="AR207" s="100"/>
      <c r="AS207" s="100"/>
      <c r="AT207" s="100"/>
      <c r="AU207" s="983"/>
      <c r="AV207" s="123" t="s">
        <v>73</v>
      </c>
      <c r="AW207" s="68"/>
    </row>
    <row r="208" spans="1:49" ht="26.1" hidden="1" customHeight="1" outlineLevel="3" x14ac:dyDescent="0.25">
      <c r="A208" s="63" t="str">
        <f t="shared" si="0"/>
        <v>1.3.1.3.26.63</v>
      </c>
      <c r="B208" s="64">
        <v>1</v>
      </c>
      <c r="C208" s="64">
        <v>3</v>
      </c>
      <c r="D208" s="64">
        <v>1</v>
      </c>
      <c r="E208" s="64">
        <v>3</v>
      </c>
      <c r="F208" s="64">
        <v>26</v>
      </c>
      <c r="G208" s="64">
        <v>63</v>
      </c>
      <c r="H208" s="65"/>
      <c r="I208" s="65"/>
      <c r="J208" s="66"/>
      <c r="K208" s="67" t="s">
        <v>2206</v>
      </c>
      <c r="L208" s="68" t="s">
        <v>72</v>
      </c>
      <c r="M208" s="64" t="s">
        <v>279</v>
      </c>
      <c r="N208" s="64"/>
      <c r="O208" s="64"/>
      <c r="P208" s="69"/>
      <c r="Q208" s="131"/>
      <c r="R208" s="124"/>
      <c r="S208" s="123"/>
      <c r="T208" s="194"/>
      <c r="U208" s="75">
        <v>0</v>
      </c>
      <c r="V208" s="75"/>
      <c r="W208" s="75">
        <v>0</v>
      </c>
      <c r="X208" s="1122">
        <v>0</v>
      </c>
      <c r="Y208" s="75">
        <v>0</v>
      </c>
      <c r="Z208" s="75">
        <v>0</v>
      </c>
      <c r="AA208" s="1122">
        <v>0</v>
      </c>
      <c r="AB208" s="75">
        <v>0</v>
      </c>
      <c r="AC208" s="75">
        <v>0</v>
      </c>
      <c r="AD208" s="1122">
        <v>0</v>
      </c>
      <c r="AE208" s="75">
        <v>0</v>
      </c>
      <c r="AF208" s="75">
        <v>0</v>
      </c>
      <c r="AG208" s="1122">
        <v>0</v>
      </c>
      <c r="AH208" s="505">
        <f t="shared" si="36"/>
        <v>0</v>
      </c>
      <c r="AI208" s="132"/>
      <c r="AJ208" s="75">
        <f t="shared" si="35"/>
        <v>0</v>
      </c>
      <c r="AK208" s="75"/>
      <c r="AL208" s="75"/>
      <c r="AM208" s="75"/>
      <c r="AN208" s="64" t="s">
        <v>39</v>
      </c>
      <c r="AO208" s="100"/>
      <c r="AP208" s="1057"/>
      <c r="AQ208" s="960"/>
      <c r="AR208" s="100"/>
      <c r="AS208" s="100"/>
      <c r="AT208" s="1062"/>
      <c r="AU208" s="983"/>
      <c r="AV208" s="123" t="s">
        <v>73</v>
      </c>
      <c r="AW208" s="68"/>
    </row>
    <row r="209" spans="1:49" ht="72" hidden="1" customHeight="1" outlineLevel="3" x14ac:dyDescent="0.25">
      <c r="A209" s="63" t="str">
        <f t="shared" si="0"/>
        <v>1.3.1.3.28.63</v>
      </c>
      <c r="B209" s="64">
        <v>1</v>
      </c>
      <c r="C209" s="64">
        <v>3</v>
      </c>
      <c r="D209" s="64">
        <v>1</v>
      </c>
      <c r="E209" s="64">
        <v>3</v>
      </c>
      <c r="F209" s="64">
        <v>28</v>
      </c>
      <c r="G209" s="100">
        <v>63</v>
      </c>
      <c r="H209" s="65"/>
      <c r="I209" s="65"/>
      <c r="J209" s="66"/>
      <c r="K209" s="67" t="s">
        <v>293</v>
      </c>
      <c r="L209" s="64" t="s">
        <v>72</v>
      </c>
      <c r="M209" s="64" t="s">
        <v>279</v>
      </c>
      <c r="N209" s="64"/>
      <c r="O209" s="64"/>
      <c r="P209" s="69"/>
      <c r="Q209" s="69"/>
      <c r="R209" s="124"/>
      <c r="S209" s="123"/>
      <c r="T209" s="194"/>
      <c r="U209" s="75">
        <v>50446.431698</v>
      </c>
      <c r="V209" s="75"/>
      <c r="W209" s="75">
        <v>0</v>
      </c>
      <c r="X209" s="1122">
        <v>0</v>
      </c>
      <c r="Y209" s="75">
        <v>50446.431698</v>
      </c>
      <c r="Z209" s="75">
        <v>0</v>
      </c>
      <c r="AA209" s="1122">
        <v>0</v>
      </c>
      <c r="AB209" s="75">
        <v>50446.431698</v>
      </c>
      <c r="AC209" s="75">
        <v>0</v>
      </c>
      <c r="AD209" s="1122">
        <v>0</v>
      </c>
      <c r="AE209" s="75">
        <v>50446.431698</v>
      </c>
      <c r="AF209" s="75">
        <v>0</v>
      </c>
      <c r="AG209" s="1122">
        <v>0</v>
      </c>
      <c r="AH209" s="505">
        <f t="shared" si="36"/>
        <v>201785.726792</v>
      </c>
      <c r="AI209" s="132"/>
      <c r="AJ209" s="75">
        <f t="shared" si="35"/>
        <v>0</v>
      </c>
      <c r="AK209" s="132"/>
      <c r="AL209" s="132"/>
      <c r="AM209" s="132"/>
      <c r="AN209" s="64" t="s">
        <v>39</v>
      </c>
      <c r="AO209" s="100"/>
      <c r="AP209" s="100"/>
      <c r="AQ209" s="100"/>
      <c r="AR209" s="100"/>
      <c r="AS209" s="100"/>
      <c r="AT209" s="100"/>
      <c r="AU209" s="983"/>
      <c r="AV209" s="123" t="s">
        <v>73</v>
      </c>
      <c r="AW209" s="67" t="s">
        <v>2833</v>
      </c>
    </row>
    <row r="210" spans="1:49" ht="23.45" hidden="1" customHeight="1" outlineLevel="3" x14ac:dyDescent="0.25">
      <c r="A210" s="63" t="str">
        <f t="shared" si="0"/>
        <v>1.3.1.3.29.63</v>
      </c>
      <c r="B210" s="64">
        <v>1</v>
      </c>
      <c r="C210" s="64">
        <v>3</v>
      </c>
      <c r="D210" s="64">
        <v>1</v>
      </c>
      <c r="E210" s="64">
        <v>3</v>
      </c>
      <c r="F210" s="64">
        <v>29</v>
      </c>
      <c r="G210" s="64">
        <v>63</v>
      </c>
      <c r="H210" s="65"/>
      <c r="I210" s="65"/>
      <c r="J210" s="66"/>
      <c r="K210" s="67" t="s">
        <v>296</v>
      </c>
      <c r="L210" s="64"/>
      <c r="M210" s="64"/>
      <c r="N210" s="64"/>
      <c r="O210" s="64"/>
      <c r="P210" s="69"/>
      <c r="Q210" s="69"/>
      <c r="R210" s="124"/>
      <c r="S210" s="123"/>
      <c r="T210" s="194"/>
      <c r="U210" s="75">
        <v>239564.97</v>
      </c>
      <c r="V210" s="75"/>
      <c r="W210" s="75">
        <v>0</v>
      </c>
      <c r="X210" s="1122">
        <v>0</v>
      </c>
      <c r="Y210" s="75">
        <v>239564.97</v>
      </c>
      <c r="Z210" s="75">
        <v>0</v>
      </c>
      <c r="AA210" s="1122">
        <v>0</v>
      </c>
      <c r="AB210" s="75">
        <v>239564.97</v>
      </c>
      <c r="AC210" s="75">
        <v>0</v>
      </c>
      <c r="AD210" s="1122">
        <v>0</v>
      </c>
      <c r="AE210" s="75">
        <v>239564.97</v>
      </c>
      <c r="AF210" s="75">
        <v>0</v>
      </c>
      <c r="AG210" s="1122">
        <v>0</v>
      </c>
      <c r="AH210" s="505">
        <f t="shared" si="36"/>
        <v>958259.88</v>
      </c>
      <c r="AI210" s="132"/>
      <c r="AJ210" s="75">
        <f t="shared" si="35"/>
        <v>0</v>
      </c>
      <c r="AK210" s="75"/>
      <c r="AL210" s="75"/>
      <c r="AM210" s="75"/>
      <c r="AN210" s="64" t="s">
        <v>39</v>
      </c>
      <c r="AO210" s="100"/>
      <c r="AP210" s="100"/>
      <c r="AQ210" s="960"/>
      <c r="AR210" s="100"/>
      <c r="AS210" s="100"/>
      <c r="AT210" s="100"/>
      <c r="AU210" s="964"/>
      <c r="AV210" s="123" t="s">
        <v>73</v>
      </c>
      <c r="AW210" s="67" t="s">
        <v>2822</v>
      </c>
    </row>
    <row r="211" spans="1:49" ht="28.35" hidden="1" customHeight="1" outlineLevel="3" x14ac:dyDescent="0.25">
      <c r="A211" s="63" t="str">
        <f>CONCATENATE(B211,".",C211,".",D211,".",E211,".",F211,".",G211)</f>
        <v>1.3.1.3.31.63</v>
      </c>
      <c r="B211" s="100">
        <v>1</v>
      </c>
      <c r="C211" s="100">
        <v>3</v>
      </c>
      <c r="D211" s="100">
        <v>1</v>
      </c>
      <c r="E211" s="100">
        <v>3</v>
      </c>
      <c r="F211" s="100">
        <v>31</v>
      </c>
      <c r="G211" s="100">
        <v>63</v>
      </c>
      <c r="H211" s="65"/>
      <c r="I211" s="65"/>
      <c r="J211" s="66"/>
      <c r="K211" s="67" t="s">
        <v>298</v>
      </c>
      <c r="L211" s="64" t="s">
        <v>359</v>
      </c>
      <c r="M211" s="64" t="s">
        <v>299</v>
      </c>
      <c r="N211" s="64"/>
      <c r="O211" s="64"/>
      <c r="P211" s="69"/>
      <c r="Q211" s="69"/>
      <c r="R211" s="124"/>
      <c r="S211" s="123"/>
      <c r="T211" s="194"/>
      <c r="U211" s="75">
        <v>0</v>
      </c>
      <c r="V211" s="75"/>
      <c r="W211" s="75">
        <v>0</v>
      </c>
      <c r="X211" s="1122">
        <v>0</v>
      </c>
      <c r="Y211" s="75">
        <v>0</v>
      </c>
      <c r="Z211" s="75">
        <v>0</v>
      </c>
      <c r="AA211" s="1122">
        <v>0</v>
      </c>
      <c r="AB211" s="75">
        <v>0</v>
      </c>
      <c r="AC211" s="75">
        <v>0</v>
      </c>
      <c r="AD211" s="1122">
        <v>0</v>
      </c>
      <c r="AE211" s="75">
        <v>0</v>
      </c>
      <c r="AF211" s="75">
        <v>0</v>
      </c>
      <c r="AG211" s="1122">
        <v>0</v>
      </c>
      <c r="AH211" s="505">
        <f t="shared" si="36"/>
        <v>0</v>
      </c>
      <c r="AI211" s="132"/>
      <c r="AJ211" s="75">
        <f t="shared" si="35"/>
        <v>0</v>
      </c>
      <c r="AK211" s="75"/>
      <c r="AL211" s="75"/>
      <c r="AM211" s="75"/>
      <c r="AN211" s="64" t="s">
        <v>282</v>
      </c>
      <c r="AO211" s="100"/>
      <c r="AP211" s="100"/>
      <c r="AQ211" s="100"/>
      <c r="AR211" s="104"/>
      <c r="AS211" s="104"/>
      <c r="AT211" s="100"/>
      <c r="AU211" s="983"/>
      <c r="AV211" s="123"/>
      <c r="AW211" s="68"/>
    </row>
    <row r="212" spans="1:49" s="135" customFormat="1" ht="72" customHeight="1" outlineLevel="1" collapsed="1" x14ac:dyDescent="0.25">
      <c r="A212" s="80" t="str">
        <f t="shared" si="0"/>
        <v>1.3.1.4.0.0</v>
      </c>
      <c r="B212" s="81">
        <v>1</v>
      </c>
      <c r="C212" s="81">
        <v>3</v>
      </c>
      <c r="D212" s="81">
        <v>1</v>
      </c>
      <c r="E212" s="81">
        <v>4</v>
      </c>
      <c r="F212" s="81">
        <v>0</v>
      </c>
      <c r="G212" s="81">
        <v>0</v>
      </c>
      <c r="H212" s="114"/>
      <c r="I212" s="114"/>
      <c r="J212" s="1346" t="s">
        <v>316</v>
      </c>
      <c r="K212" s="1346"/>
      <c r="L212" s="81" t="s">
        <v>236</v>
      </c>
      <c r="M212" s="81" t="s">
        <v>240</v>
      </c>
      <c r="N212" s="81" t="s">
        <v>226</v>
      </c>
      <c r="O212" s="81" t="s">
        <v>241</v>
      </c>
      <c r="P212" s="115">
        <v>44571</v>
      </c>
      <c r="Q212" s="115">
        <v>44925</v>
      </c>
      <c r="R212" s="119">
        <f>+R213+R214</f>
        <v>1211196</v>
      </c>
      <c r="S212" s="114" t="s">
        <v>242</v>
      </c>
      <c r="T212" s="1184">
        <f>T220+T219+T218+T217+T216+T215+T214+T213</f>
        <v>605598</v>
      </c>
      <c r="U212" s="116">
        <f>SUM(U213:U236)</f>
        <v>9883006.4416979998</v>
      </c>
      <c r="V212" s="116"/>
      <c r="W212" s="116">
        <f t="shared" ref="W212:AI212" si="38">SUM(W213:W236)</f>
        <v>0</v>
      </c>
      <c r="X212" s="1125">
        <f t="shared" si="38"/>
        <v>0</v>
      </c>
      <c r="Y212" s="116">
        <f t="shared" si="38"/>
        <v>10483993.911698001</v>
      </c>
      <c r="Z212" s="116">
        <f t="shared" si="38"/>
        <v>0</v>
      </c>
      <c r="AA212" s="1125">
        <f t="shared" si="38"/>
        <v>0</v>
      </c>
      <c r="AB212" s="116">
        <f t="shared" si="38"/>
        <v>10384386.711698001</v>
      </c>
      <c r="AC212" s="116">
        <f t="shared" si="38"/>
        <v>0</v>
      </c>
      <c r="AD212" s="1125">
        <f t="shared" si="38"/>
        <v>0</v>
      </c>
      <c r="AE212" s="116">
        <f t="shared" si="38"/>
        <v>10384386.711698001</v>
      </c>
      <c r="AF212" s="116">
        <f t="shared" si="38"/>
        <v>0</v>
      </c>
      <c r="AG212" s="1125">
        <f t="shared" si="38"/>
        <v>0</v>
      </c>
      <c r="AH212" s="116">
        <f>SUM(AH213:AH236)</f>
        <v>41135773.776792012</v>
      </c>
      <c r="AI212" s="116">
        <f t="shared" si="38"/>
        <v>0</v>
      </c>
      <c r="AJ212" s="116">
        <f>SUM(AJ213:AJ236)</f>
        <v>0</v>
      </c>
      <c r="AK212" s="61"/>
      <c r="AL212" s="61"/>
      <c r="AM212" s="61"/>
      <c r="AN212" s="81" t="s">
        <v>243</v>
      </c>
      <c r="AO212" s="81"/>
      <c r="AP212" s="81"/>
      <c r="AQ212" s="412"/>
      <c r="AR212" s="81"/>
      <c r="AS212" s="474"/>
      <c r="AT212" s="81"/>
      <c r="AU212" s="663"/>
      <c r="AV212" s="116">
        <f t="shared" ref="AV212" si="39">SUM(AV213:AV236)</f>
        <v>0</v>
      </c>
      <c r="AW212" s="433"/>
    </row>
    <row r="213" spans="1:49" ht="139.35" hidden="1" customHeight="1" outlineLevel="3" x14ac:dyDescent="0.25">
      <c r="A213" s="63" t="str">
        <f t="shared" si="0"/>
        <v>1.3.1.4.1.64</v>
      </c>
      <c r="B213" s="64">
        <v>1</v>
      </c>
      <c r="C213" s="64">
        <v>3</v>
      </c>
      <c r="D213" s="64">
        <v>1</v>
      </c>
      <c r="E213" s="64">
        <v>4</v>
      </c>
      <c r="F213" s="64">
        <v>1</v>
      </c>
      <c r="G213" s="64">
        <v>64</v>
      </c>
      <c r="H213" s="65"/>
      <c r="I213" s="65"/>
      <c r="J213" s="66"/>
      <c r="K213" s="65" t="s">
        <v>245</v>
      </c>
      <c r="L213" s="64" t="s">
        <v>246</v>
      </c>
      <c r="M213" s="64" t="s">
        <v>240</v>
      </c>
      <c r="N213" s="64" t="s">
        <v>247</v>
      </c>
      <c r="O213" s="64" t="s">
        <v>241</v>
      </c>
      <c r="P213" s="69">
        <v>44571</v>
      </c>
      <c r="Q213" s="69">
        <v>44925</v>
      </c>
      <c r="R213" s="126">
        <v>86646</v>
      </c>
      <c r="S213" s="123" t="s">
        <v>248</v>
      </c>
      <c r="T213" s="194">
        <f>+R213/4</f>
        <v>21661.5</v>
      </c>
      <c r="U213" s="75">
        <v>0</v>
      </c>
      <c r="V213" s="75"/>
      <c r="W213" s="75">
        <v>0</v>
      </c>
      <c r="X213" s="1122">
        <v>0</v>
      </c>
      <c r="Y213" s="75">
        <v>0</v>
      </c>
      <c r="Z213" s="75">
        <v>0</v>
      </c>
      <c r="AA213" s="1122">
        <v>0</v>
      </c>
      <c r="AB213" s="75">
        <v>0</v>
      </c>
      <c r="AC213" s="75">
        <v>0</v>
      </c>
      <c r="AD213" s="1122">
        <v>0</v>
      </c>
      <c r="AE213" s="75">
        <v>0</v>
      </c>
      <c r="AF213" s="75">
        <v>0</v>
      </c>
      <c r="AG213" s="1122">
        <v>0</v>
      </c>
      <c r="AH213" s="505">
        <f>+U213+Y213+AB213+AE213</f>
        <v>0</v>
      </c>
      <c r="AI213" s="132"/>
      <c r="AJ213" s="75">
        <f t="shared" ref="AJ213:AJ236" si="40">+W214+Z214+AC214+AF214</f>
        <v>0</v>
      </c>
      <c r="AK213" s="75"/>
      <c r="AL213" s="75"/>
      <c r="AM213" s="75"/>
      <c r="AN213" s="64" t="s">
        <v>39</v>
      </c>
      <c r="AO213" s="100"/>
      <c r="AP213" s="100"/>
      <c r="AQ213" s="993"/>
      <c r="AR213" s="100"/>
      <c r="AS213" s="994"/>
      <c r="AT213" s="100"/>
      <c r="AU213" s="983"/>
      <c r="AV213" s="1065"/>
      <c r="AW213" s="335" t="s">
        <v>250</v>
      </c>
    </row>
    <row r="214" spans="1:49" ht="68.45" hidden="1" customHeight="1" outlineLevel="3" x14ac:dyDescent="0.25">
      <c r="A214" s="63" t="str">
        <f t="shared" si="0"/>
        <v>1.3.1.4.2.64</v>
      </c>
      <c r="B214" s="64">
        <v>1</v>
      </c>
      <c r="C214" s="64">
        <v>3</v>
      </c>
      <c r="D214" s="64">
        <v>1</v>
      </c>
      <c r="E214" s="64">
        <v>4</v>
      </c>
      <c r="F214" s="64">
        <v>2</v>
      </c>
      <c r="G214" s="64">
        <v>64</v>
      </c>
      <c r="H214" s="65"/>
      <c r="I214" s="65"/>
      <c r="J214" s="66"/>
      <c r="K214" s="65" t="s">
        <v>251</v>
      </c>
      <c r="L214" s="64" t="s">
        <v>246</v>
      </c>
      <c r="M214" s="64" t="s">
        <v>240</v>
      </c>
      <c r="N214" s="64" t="s">
        <v>252</v>
      </c>
      <c r="O214" s="64" t="s">
        <v>241</v>
      </c>
      <c r="P214" s="69">
        <v>44571</v>
      </c>
      <c r="Q214" s="69">
        <v>44925</v>
      </c>
      <c r="R214" s="126">
        <v>1124550</v>
      </c>
      <c r="S214" s="123" t="s">
        <v>248</v>
      </c>
      <c r="T214" s="194">
        <f>+R214/4</f>
        <v>281137.5</v>
      </c>
      <c r="U214" s="75">
        <v>0</v>
      </c>
      <c r="V214" s="75"/>
      <c r="W214" s="75">
        <v>0</v>
      </c>
      <c r="X214" s="1122">
        <v>0</v>
      </c>
      <c r="Y214" s="75">
        <v>0</v>
      </c>
      <c r="Z214" s="75">
        <v>0</v>
      </c>
      <c r="AA214" s="1122">
        <v>0</v>
      </c>
      <c r="AB214" s="75">
        <v>0</v>
      </c>
      <c r="AC214" s="75">
        <v>0</v>
      </c>
      <c r="AD214" s="1122">
        <v>0</v>
      </c>
      <c r="AE214" s="75">
        <v>0</v>
      </c>
      <c r="AF214" s="75">
        <v>0</v>
      </c>
      <c r="AG214" s="1122">
        <v>0</v>
      </c>
      <c r="AH214" s="505">
        <f t="shared" ref="AH214:AH236" si="41">+U214+Y214+AB214+AE214</f>
        <v>0</v>
      </c>
      <c r="AI214" s="132"/>
      <c r="AJ214" s="75">
        <f t="shared" si="40"/>
        <v>0</v>
      </c>
      <c r="AK214" s="75"/>
      <c r="AL214" s="75"/>
      <c r="AM214" s="75"/>
      <c r="AN214" s="64" t="s">
        <v>39</v>
      </c>
      <c r="AO214" s="100"/>
      <c r="AP214" s="100"/>
      <c r="AQ214" s="993"/>
      <c r="AR214" s="100"/>
      <c r="AS214" s="994"/>
      <c r="AT214" s="100"/>
      <c r="AU214" s="983"/>
      <c r="AV214" s="1065"/>
      <c r="AW214" s="335" t="s">
        <v>2583</v>
      </c>
    </row>
    <row r="215" spans="1:49" ht="14.45" hidden="1" customHeight="1" outlineLevel="3" x14ac:dyDescent="0.25">
      <c r="A215" s="63" t="str">
        <f t="shared" si="0"/>
        <v>1.3.1.4.3.64</v>
      </c>
      <c r="B215" s="64">
        <v>1</v>
      </c>
      <c r="C215" s="64">
        <v>3</v>
      </c>
      <c r="D215" s="64">
        <v>1</v>
      </c>
      <c r="E215" s="64">
        <v>4</v>
      </c>
      <c r="F215" s="64">
        <v>3</v>
      </c>
      <c r="G215" s="64">
        <v>64</v>
      </c>
      <c r="H215" s="65"/>
      <c r="I215" s="65"/>
      <c r="J215" s="66"/>
      <c r="K215" s="125" t="s">
        <v>317</v>
      </c>
      <c r="L215" s="64" t="s">
        <v>246</v>
      </c>
      <c r="M215" s="64" t="s">
        <v>240</v>
      </c>
      <c r="N215" s="64" t="s">
        <v>257</v>
      </c>
      <c r="O215" s="64" t="s">
        <v>241</v>
      </c>
      <c r="P215" s="69">
        <v>44571</v>
      </c>
      <c r="Q215" s="69">
        <v>44925</v>
      </c>
      <c r="R215" s="126">
        <v>0</v>
      </c>
      <c r="S215" s="123" t="s">
        <v>248</v>
      </c>
      <c r="T215" s="194"/>
      <c r="U215" s="75">
        <v>0</v>
      </c>
      <c r="V215" s="75"/>
      <c r="W215" s="75">
        <v>0</v>
      </c>
      <c r="X215" s="1122">
        <v>0</v>
      </c>
      <c r="Y215" s="75">
        <v>0</v>
      </c>
      <c r="Z215" s="75">
        <v>0</v>
      </c>
      <c r="AA215" s="1122">
        <v>0</v>
      </c>
      <c r="AB215" s="75">
        <v>0</v>
      </c>
      <c r="AC215" s="75">
        <v>0</v>
      </c>
      <c r="AD215" s="1122">
        <v>0</v>
      </c>
      <c r="AE215" s="75">
        <v>0</v>
      </c>
      <c r="AF215" s="75">
        <v>0</v>
      </c>
      <c r="AG215" s="1122">
        <v>0</v>
      </c>
      <c r="AH215" s="505">
        <f t="shared" si="41"/>
        <v>0</v>
      </c>
      <c r="AI215" s="132"/>
      <c r="AJ215" s="75">
        <f t="shared" si="40"/>
        <v>0</v>
      </c>
      <c r="AK215" s="75"/>
      <c r="AL215" s="75"/>
      <c r="AM215" s="75"/>
      <c r="AN215" s="136" t="s">
        <v>39</v>
      </c>
      <c r="AO215" s="631"/>
      <c r="AP215" s="631"/>
      <c r="AQ215" s="1066"/>
      <c r="AR215" s="631"/>
      <c r="AS215" s="1067"/>
      <c r="AT215" s="631"/>
      <c r="AU215" s="983"/>
      <c r="AV215" s="632"/>
      <c r="AW215" s="68"/>
    </row>
    <row r="216" spans="1:49" ht="14.45" hidden="1" customHeight="1" outlineLevel="3" x14ac:dyDescent="0.25">
      <c r="A216" s="63" t="str">
        <f t="shared" si="0"/>
        <v>1.3.1.4.4.64</v>
      </c>
      <c r="B216" s="64">
        <v>1</v>
      </c>
      <c r="C216" s="64">
        <v>3</v>
      </c>
      <c r="D216" s="64">
        <v>1</v>
      </c>
      <c r="E216" s="64">
        <v>4</v>
      </c>
      <c r="F216" s="64">
        <v>4</v>
      </c>
      <c r="G216" s="100">
        <v>64</v>
      </c>
      <c r="H216" s="65"/>
      <c r="I216" s="65"/>
      <c r="J216" s="66"/>
      <c r="K216" s="125" t="s">
        <v>1911</v>
      </c>
      <c r="L216" s="64" t="s">
        <v>246</v>
      </c>
      <c r="M216" s="64" t="s">
        <v>256</v>
      </c>
      <c r="N216" s="64" t="s">
        <v>257</v>
      </c>
      <c r="O216" s="64" t="s">
        <v>241</v>
      </c>
      <c r="P216" s="69">
        <v>44571</v>
      </c>
      <c r="Q216" s="69">
        <v>44925</v>
      </c>
      <c r="R216" s="126"/>
      <c r="S216" s="123" t="s">
        <v>258</v>
      </c>
      <c r="T216" s="194"/>
      <c r="U216" s="75">
        <v>1971000</v>
      </c>
      <c r="V216" s="75"/>
      <c r="W216" s="75">
        <v>0</v>
      </c>
      <c r="X216" s="1122">
        <v>0</v>
      </c>
      <c r="Y216" s="75">
        <v>1971000</v>
      </c>
      <c r="Z216" s="75">
        <v>0</v>
      </c>
      <c r="AA216" s="1122">
        <v>0</v>
      </c>
      <c r="AB216" s="75">
        <v>1971000</v>
      </c>
      <c r="AC216" s="75">
        <v>0</v>
      </c>
      <c r="AD216" s="1122">
        <v>0</v>
      </c>
      <c r="AE216" s="75">
        <v>1971000</v>
      </c>
      <c r="AF216" s="75">
        <v>0</v>
      </c>
      <c r="AG216" s="1122">
        <v>0</v>
      </c>
      <c r="AH216" s="505">
        <f t="shared" si="41"/>
        <v>7884000</v>
      </c>
      <c r="AI216" s="132"/>
      <c r="AJ216" s="75">
        <f t="shared" si="40"/>
        <v>0</v>
      </c>
      <c r="AK216" s="75"/>
      <c r="AL216" s="75"/>
      <c r="AM216" s="75"/>
      <c r="AN216" s="136" t="s">
        <v>39</v>
      </c>
      <c r="AO216" s="1050"/>
      <c r="AP216" s="1050"/>
      <c r="AQ216" s="1050"/>
      <c r="AR216" s="1051"/>
      <c r="AS216" s="1051"/>
      <c r="AT216" s="1050"/>
      <c r="AU216" s="1043"/>
      <c r="AV216" s="632"/>
      <c r="AW216" s="1063"/>
    </row>
    <row r="217" spans="1:49" ht="29.1" hidden="1" customHeight="1" outlineLevel="3" x14ac:dyDescent="0.25">
      <c r="A217" s="63" t="str">
        <f t="shared" si="0"/>
        <v>1.3.1.4.5.64</v>
      </c>
      <c r="B217" s="64">
        <v>1</v>
      </c>
      <c r="C217" s="64">
        <v>3</v>
      </c>
      <c r="D217" s="64">
        <v>1</v>
      </c>
      <c r="E217" s="64">
        <v>4</v>
      </c>
      <c r="F217" s="64">
        <v>5</v>
      </c>
      <c r="G217" s="64">
        <v>64</v>
      </c>
      <c r="H217" s="65"/>
      <c r="I217" s="65"/>
      <c r="J217" s="66"/>
      <c r="K217" s="65" t="s">
        <v>259</v>
      </c>
      <c r="L217" s="64" t="s">
        <v>246</v>
      </c>
      <c r="M217" s="64" t="s">
        <v>240</v>
      </c>
      <c r="N217" s="64" t="s">
        <v>247</v>
      </c>
      <c r="O217" s="64" t="s">
        <v>241</v>
      </c>
      <c r="P217" s="69">
        <v>44571</v>
      </c>
      <c r="Q217" s="69">
        <v>44925</v>
      </c>
      <c r="R217" s="126">
        <v>86646</v>
      </c>
      <c r="S217" s="123" t="s">
        <v>248</v>
      </c>
      <c r="T217" s="194">
        <f>+$R217/4</f>
        <v>21661.5</v>
      </c>
      <c r="U217" s="75">
        <v>0</v>
      </c>
      <c r="V217" s="75"/>
      <c r="W217" s="75">
        <v>0</v>
      </c>
      <c r="X217" s="1122">
        <v>0</v>
      </c>
      <c r="Y217" s="75">
        <v>0</v>
      </c>
      <c r="Z217" s="75">
        <v>0</v>
      </c>
      <c r="AA217" s="1122">
        <v>0</v>
      </c>
      <c r="AB217" s="75">
        <v>0</v>
      </c>
      <c r="AC217" s="75">
        <v>0</v>
      </c>
      <c r="AD217" s="1122">
        <v>0</v>
      </c>
      <c r="AE217" s="75">
        <v>0</v>
      </c>
      <c r="AF217" s="75">
        <v>0</v>
      </c>
      <c r="AG217" s="1122">
        <v>0</v>
      </c>
      <c r="AH217" s="505">
        <f t="shared" si="41"/>
        <v>0</v>
      </c>
      <c r="AI217" s="132"/>
      <c r="AJ217" s="75">
        <f t="shared" si="40"/>
        <v>0</v>
      </c>
      <c r="AK217" s="75"/>
      <c r="AL217" s="75"/>
      <c r="AM217" s="75"/>
      <c r="AN217" s="136" t="s">
        <v>39</v>
      </c>
      <c r="AO217" s="631"/>
      <c r="AP217" s="631"/>
      <c r="AQ217" s="1066"/>
      <c r="AR217" s="631"/>
      <c r="AS217" s="1067"/>
      <c r="AT217" s="631"/>
      <c r="AU217" s="983"/>
      <c r="AV217" s="634"/>
      <c r="AW217" s="67"/>
    </row>
    <row r="218" spans="1:49" ht="29.1" hidden="1" customHeight="1" outlineLevel="3" x14ac:dyDescent="0.25">
      <c r="A218" s="63" t="str">
        <f t="shared" si="0"/>
        <v>1.3.1.4.6.64</v>
      </c>
      <c r="B218" s="64">
        <v>1</v>
      </c>
      <c r="C218" s="64">
        <v>3</v>
      </c>
      <c r="D218" s="64">
        <v>1</v>
      </c>
      <c r="E218" s="64">
        <v>4</v>
      </c>
      <c r="F218" s="64">
        <v>6</v>
      </c>
      <c r="G218" s="64">
        <v>64</v>
      </c>
      <c r="H218" s="65"/>
      <c r="I218" s="65"/>
      <c r="J218" s="66"/>
      <c r="K218" s="65" t="s">
        <v>305</v>
      </c>
      <c r="L218" s="64" t="s">
        <v>246</v>
      </c>
      <c r="M218" s="64" t="s">
        <v>240</v>
      </c>
      <c r="N218" s="64" t="s">
        <v>252</v>
      </c>
      <c r="O218" s="64" t="s">
        <v>241</v>
      </c>
      <c r="P218" s="69">
        <v>44571</v>
      </c>
      <c r="Q218" s="69">
        <v>44925</v>
      </c>
      <c r="R218" s="126">
        <v>1124550</v>
      </c>
      <c r="S218" s="123" t="s">
        <v>248</v>
      </c>
      <c r="T218" s="194">
        <f>$R218/4</f>
        <v>281137.5</v>
      </c>
      <c r="U218" s="75">
        <v>0</v>
      </c>
      <c r="V218" s="75"/>
      <c r="W218" s="75">
        <v>0</v>
      </c>
      <c r="X218" s="1122">
        <v>0</v>
      </c>
      <c r="Y218" s="75">
        <v>0</v>
      </c>
      <c r="Z218" s="75">
        <v>0</v>
      </c>
      <c r="AA218" s="1122">
        <v>0</v>
      </c>
      <c r="AB218" s="75">
        <v>0</v>
      </c>
      <c r="AC218" s="75">
        <v>0</v>
      </c>
      <c r="AD218" s="1122">
        <v>0</v>
      </c>
      <c r="AE218" s="75">
        <v>0</v>
      </c>
      <c r="AF218" s="75">
        <v>0</v>
      </c>
      <c r="AG218" s="1122">
        <v>0</v>
      </c>
      <c r="AH218" s="505">
        <f t="shared" si="41"/>
        <v>0</v>
      </c>
      <c r="AI218" s="132"/>
      <c r="AJ218" s="75">
        <f t="shared" si="40"/>
        <v>0</v>
      </c>
      <c r="AK218" s="75"/>
      <c r="AL218" s="75"/>
      <c r="AM218" s="75"/>
      <c r="AN218" s="136" t="s">
        <v>39</v>
      </c>
      <c r="AO218" s="631"/>
      <c r="AP218" s="631"/>
      <c r="AQ218" s="1066"/>
      <c r="AR218" s="631"/>
      <c r="AS218" s="1067"/>
      <c r="AT218" s="631"/>
      <c r="AU218" s="983"/>
      <c r="AV218" s="634"/>
      <c r="AW218" s="67"/>
    </row>
    <row r="219" spans="1:49" ht="29.1" hidden="1" customHeight="1" outlineLevel="3" x14ac:dyDescent="0.25">
      <c r="A219" s="63" t="str">
        <f t="shared" si="0"/>
        <v>1.3.1.4.7.64</v>
      </c>
      <c r="B219" s="64">
        <v>1</v>
      </c>
      <c r="C219" s="64">
        <v>3</v>
      </c>
      <c r="D219" s="64">
        <v>1</v>
      </c>
      <c r="E219" s="64">
        <v>4</v>
      </c>
      <c r="F219" s="64">
        <v>7</v>
      </c>
      <c r="G219" s="64">
        <v>64</v>
      </c>
      <c r="H219" s="65"/>
      <c r="I219" s="65"/>
      <c r="J219" s="66"/>
      <c r="K219" s="65" t="s">
        <v>319</v>
      </c>
      <c r="L219" s="64" t="s">
        <v>246</v>
      </c>
      <c r="M219" s="64" t="s">
        <v>240</v>
      </c>
      <c r="N219" s="64" t="s">
        <v>257</v>
      </c>
      <c r="O219" s="64" t="s">
        <v>241</v>
      </c>
      <c r="P219" s="69">
        <v>44571</v>
      </c>
      <c r="Q219" s="69">
        <v>44925</v>
      </c>
      <c r="R219" s="126">
        <v>0</v>
      </c>
      <c r="S219" s="123" t="s">
        <v>248</v>
      </c>
      <c r="T219" s="194"/>
      <c r="U219" s="75">
        <v>0</v>
      </c>
      <c r="V219" s="75"/>
      <c r="W219" s="75">
        <v>0</v>
      </c>
      <c r="X219" s="1122">
        <v>0</v>
      </c>
      <c r="Y219" s="75">
        <v>0</v>
      </c>
      <c r="Z219" s="75">
        <v>0</v>
      </c>
      <c r="AA219" s="1122">
        <v>0</v>
      </c>
      <c r="AB219" s="75">
        <v>0</v>
      </c>
      <c r="AC219" s="75">
        <v>0</v>
      </c>
      <c r="AD219" s="1122">
        <v>0</v>
      </c>
      <c r="AE219" s="75">
        <v>0</v>
      </c>
      <c r="AF219" s="75">
        <v>0</v>
      </c>
      <c r="AG219" s="1122">
        <v>0</v>
      </c>
      <c r="AH219" s="505">
        <f t="shared" si="41"/>
        <v>0</v>
      </c>
      <c r="AI219" s="132"/>
      <c r="AJ219" s="75">
        <f t="shared" si="40"/>
        <v>0</v>
      </c>
      <c r="AK219" s="75"/>
      <c r="AL219" s="75"/>
      <c r="AM219" s="75"/>
      <c r="AN219" s="136" t="s">
        <v>39</v>
      </c>
      <c r="AO219" s="631"/>
      <c r="AP219" s="631"/>
      <c r="AQ219" s="1066"/>
      <c r="AR219" s="631"/>
      <c r="AS219" s="1067"/>
      <c r="AT219" s="631"/>
      <c r="AU219" s="983"/>
      <c r="AV219" s="634"/>
      <c r="AW219" s="68"/>
    </row>
    <row r="220" spans="1:49" ht="26.1" hidden="1" customHeight="1" outlineLevel="3" x14ac:dyDescent="0.25">
      <c r="A220" s="63" t="str">
        <f t="shared" si="0"/>
        <v>1.3.1.4.8.64</v>
      </c>
      <c r="B220" s="64">
        <v>1</v>
      </c>
      <c r="C220" s="64">
        <v>3</v>
      </c>
      <c r="D220" s="64">
        <v>1</v>
      </c>
      <c r="E220" s="64">
        <v>4</v>
      </c>
      <c r="F220" s="64">
        <v>8</v>
      </c>
      <c r="G220" s="64">
        <v>64</v>
      </c>
      <c r="H220" s="65"/>
      <c r="I220" s="65"/>
      <c r="J220" s="66"/>
      <c r="K220" s="65" t="s">
        <v>263</v>
      </c>
      <c r="L220" s="64" t="s">
        <v>264</v>
      </c>
      <c r="M220" s="64" t="s">
        <v>144</v>
      </c>
      <c r="N220" s="64" t="s">
        <v>265</v>
      </c>
      <c r="O220" s="64" t="s">
        <v>266</v>
      </c>
      <c r="P220" s="69">
        <v>44571</v>
      </c>
      <c r="Q220" s="69">
        <v>44925</v>
      </c>
      <c r="R220" s="124">
        <v>25</v>
      </c>
      <c r="S220" s="123" t="s">
        <v>258</v>
      </c>
      <c r="T220" s="194"/>
      <c r="U220" s="75">
        <v>0</v>
      </c>
      <c r="V220" s="75"/>
      <c r="W220" s="75">
        <v>0</v>
      </c>
      <c r="X220" s="1122">
        <v>0</v>
      </c>
      <c r="Y220" s="75">
        <v>0</v>
      </c>
      <c r="Z220" s="75">
        <v>0</v>
      </c>
      <c r="AA220" s="1122">
        <v>0</v>
      </c>
      <c r="AB220" s="75">
        <v>0</v>
      </c>
      <c r="AC220" s="75">
        <v>0</v>
      </c>
      <c r="AD220" s="1122">
        <v>0</v>
      </c>
      <c r="AE220" s="75">
        <v>0</v>
      </c>
      <c r="AF220" s="75">
        <v>0</v>
      </c>
      <c r="AG220" s="1122">
        <v>0</v>
      </c>
      <c r="AH220" s="505">
        <f t="shared" si="41"/>
        <v>0</v>
      </c>
      <c r="AI220" s="132"/>
      <c r="AJ220" s="75">
        <f t="shared" si="40"/>
        <v>0</v>
      </c>
      <c r="AK220" s="75"/>
      <c r="AL220" s="75"/>
      <c r="AM220" s="75"/>
      <c r="AN220" s="136" t="s">
        <v>181</v>
      </c>
      <c r="AO220" s="631"/>
      <c r="AP220" s="631"/>
      <c r="AQ220" s="1066"/>
      <c r="AR220" s="631"/>
      <c r="AS220" s="1067"/>
      <c r="AT220" s="631"/>
      <c r="AU220" s="983"/>
      <c r="AV220" s="632"/>
      <c r="AW220" s="67"/>
    </row>
    <row r="221" spans="1:49" ht="29.45" hidden="1" customHeight="1" outlineLevel="3" x14ac:dyDescent="0.25">
      <c r="A221" s="63" t="str">
        <f t="shared" si="0"/>
        <v>1.3.1.4.9.64</v>
      </c>
      <c r="B221" s="64">
        <v>1</v>
      </c>
      <c r="C221" s="64">
        <v>3</v>
      </c>
      <c r="D221" s="64">
        <v>1</v>
      </c>
      <c r="E221" s="64">
        <v>4</v>
      </c>
      <c r="F221" s="64">
        <v>9</v>
      </c>
      <c r="G221" s="64">
        <v>64</v>
      </c>
      <c r="H221" s="65"/>
      <c r="I221" s="65"/>
      <c r="J221" s="66"/>
      <c r="K221" s="137" t="s">
        <v>320</v>
      </c>
      <c r="L221" s="64"/>
      <c r="M221" s="64" t="s">
        <v>240</v>
      </c>
      <c r="N221" s="64"/>
      <c r="O221" s="64"/>
      <c r="P221" s="69">
        <v>44571</v>
      </c>
      <c r="Q221" s="69">
        <v>44925</v>
      </c>
      <c r="R221" s="124"/>
      <c r="S221" s="123"/>
      <c r="T221" s="194"/>
      <c r="U221" s="75">
        <v>0</v>
      </c>
      <c r="V221" s="75"/>
      <c r="W221" s="75">
        <v>0</v>
      </c>
      <c r="X221" s="1122">
        <v>0</v>
      </c>
      <c r="Y221" s="75">
        <v>0</v>
      </c>
      <c r="Z221" s="75">
        <v>0</v>
      </c>
      <c r="AA221" s="1122">
        <v>0</v>
      </c>
      <c r="AB221" s="75">
        <v>0</v>
      </c>
      <c r="AC221" s="75">
        <v>0</v>
      </c>
      <c r="AD221" s="1122">
        <v>0</v>
      </c>
      <c r="AE221" s="75">
        <v>0</v>
      </c>
      <c r="AF221" s="75">
        <v>0</v>
      </c>
      <c r="AG221" s="1122">
        <v>0</v>
      </c>
      <c r="AH221" s="505">
        <f t="shared" si="41"/>
        <v>0</v>
      </c>
      <c r="AI221" s="132"/>
      <c r="AJ221" s="75">
        <f t="shared" si="40"/>
        <v>0</v>
      </c>
      <c r="AK221" s="75"/>
      <c r="AL221" s="75"/>
      <c r="AM221" s="75"/>
      <c r="AN221" s="136" t="s">
        <v>39</v>
      </c>
      <c r="AO221" s="710"/>
      <c r="AP221" s="710"/>
      <c r="AQ221" s="1052"/>
      <c r="AR221" s="104"/>
      <c r="AS221" s="997"/>
      <c r="AT221" s="104"/>
      <c r="AU221" s="964"/>
      <c r="AV221" s="632"/>
      <c r="AW221" s="90"/>
    </row>
    <row r="222" spans="1:49" ht="14.45" hidden="1" customHeight="1" outlineLevel="3" x14ac:dyDescent="0.25">
      <c r="A222" s="63" t="str">
        <f t="shared" si="0"/>
        <v>1.3.1.4.10.64</v>
      </c>
      <c r="B222" s="64">
        <v>1</v>
      </c>
      <c r="C222" s="64">
        <v>3</v>
      </c>
      <c r="D222" s="64">
        <v>1</v>
      </c>
      <c r="E222" s="64">
        <v>4</v>
      </c>
      <c r="F222" s="64">
        <v>10</v>
      </c>
      <c r="G222" s="64">
        <v>64</v>
      </c>
      <c r="H222" s="65"/>
      <c r="I222" s="65"/>
      <c r="J222" s="66"/>
      <c r="K222" s="137" t="s">
        <v>321</v>
      </c>
      <c r="L222" s="64"/>
      <c r="M222" s="64"/>
      <c r="N222" s="64"/>
      <c r="O222" s="64"/>
      <c r="P222" s="69">
        <v>44571</v>
      </c>
      <c r="Q222" s="69">
        <v>44925</v>
      </c>
      <c r="R222" s="124"/>
      <c r="S222" s="123"/>
      <c r="T222" s="194"/>
      <c r="U222" s="75">
        <v>0</v>
      </c>
      <c r="V222" s="75"/>
      <c r="W222" s="75">
        <v>0</v>
      </c>
      <c r="X222" s="1122">
        <v>0</v>
      </c>
      <c r="Y222" s="75">
        <v>0</v>
      </c>
      <c r="Z222" s="75">
        <v>0</v>
      </c>
      <c r="AA222" s="1122">
        <v>0</v>
      </c>
      <c r="AB222" s="75">
        <v>0</v>
      </c>
      <c r="AC222" s="75">
        <v>0</v>
      </c>
      <c r="AD222" s="1122">
        <v>0</v>
      </c>
      <c r="AE222" s="75">
        <v>0</v>
      </c>
      <c r="AF222" s="75">
        <v>0</v>
      </c>
      <c r="AG222" s="1122">
        <v>0</v>
      </c>
      <c r="AH222" s="505">
        <f t="shared" si="41"/>
        <v>0</v>
      </c>
      <c r="AI222" s="132"/>
      <c r="AJ222" s="75">
        <f t="shared" si="40"/>
        <v>0</v>
      </c>
      <c r="AK222" s="75"/>
      <c r="AL222" s="75"/>
      <c r="AM222" s="75"/>
      <c r="AN222" s="136" t="s">
        <v>39</v>
      </c>
      <c r="AO222" s="631"/>
      <c r="AP222" s="631"/>
      <c r="AQ222" s="631"/>
      <c r="AR222" s="631"/>
      <c r="AS222" s="631"/>
      <c r="AT222" s="631"/>
      <c r="AU222" s="983"/>
      <c r="AV222" s="632"/>
      <c r="AW222" s="68"/>
    </row>
    <row r="223" spans="1:49" ht="48" hidden="1" customHeight="1" outlineLevel="3" x14ac:dyDescent="0.25">
      <c r="A223" s="63" t="str">
        <f t="shared" si="0"/>
        <v>1.3.1.4.11.64</v>
      </c>
      <c r="B223" s="64">
        <v>1</v>
      </c>
      <c r="C223" s="64">
        <v>3</v>
      </c>
      <c r="D223" s="64">
        <v>1</v>
      </c>
      <c r="E223" s="64">
        <v>4</v>
      </c>
      <c r="F223" s="64">
        <v>11</v>
      </c>
      <c r="G223" s="64">
        <v>64</v>
      </c>
      <c r="H223" s="65"/>
      <c r="I223" s="65"/>
      <c r="J223" s="66"/>
      <c r="K223" s="67" t="s">
        <v>322</v>
      </c>
      <c r="L223" s="68" t="s">
        <v>270</v>
      </c>
      <c r="M223" s="64" t="s">
        <v>323</v>
      </c>
      <c r="N223" s="64"/>
      <c r="O223" s="64"/>
      <c r="P223" s="69">
        <v>44571</v>
      </c>
      <c r="Q223" s="69">
        <v>44925</v>
      </c>
      <c r="R223" s="124">
        <v>1</v>
      </c>
      <c r="S223" s="123"/>
      <c r="T223" s="194"/>
      <c r="U223" s="75">
        <v>0</v>
      </c>
      <c r="V223" s="75"/>
      <c r="W223" s="75">
        <v>0</v>
      </c>
      <c r="X223" s="1122">
        <v>0</v>
      </c>
      <c r="Y223" s="75">
        <v>0</v>
      </c>
      <c r="Z223" s="75">
        <v>0</v>
      </c>
      <c r="AA223" s="1122">
        <v>0</v>
      </c>
      <c r="AB223" s="75">
        <v>0</v>
      </c>
      <c r="AC223" s="75">
        <v>0</v>
      </c>
      <c r="AD223" s="1122">
        <v>0</v>
      </c>
      <c r="AE223" s="75">
        <v>0</v>
      </c>
      <c r="AF223" s="75">
        <v>0</v>
      </c>
      <c r="AG223" s="1122">
        <v>0</v>
      </c>
      <c r="AH223" s="505">
        <f t="shared" si="41"/>
        <v>0</v>
      </c>
      <c r="AI223" s="132"/>
      <c r="AJ223" s="75">
        <f t="shared" si="40"/>
        <v>0</v>
      </c>
      <c r="AK223" s="75"/>
      <c r="AL223" s="75"/>
      <c r="AM223" s="75"/>
      <c r="AN223" s="136" t="s">
        <v>39</v>
      </c>
      <c r="AO223" s="631"/>
      <c r="AP223" s="631"/>
      <c r="AQ223" s="631"/>
      <c r="AR223" s="631"/>
      <c r="AS223" s="631"/>
      <c r="AT223" s="631"/>
      <c r="AU223" s="983"/>
      <c r="AV223" s="632"/>
      <c r="AW223" s="67"/>
    </row>
    <row r="224" spans="1:49" ht="66" hidden="1" customHeight="1" outlineLevel="3" x14ac:dyDescent="0.25">
      <c r="A224" s="63" t="str">
        <f t="shared" si="0"/>
        <v>1.3.1.4.13.64</v>
      </c>
      <c r="B224" s="64">
        <v>1</v>
      </c>
      <c r="C224" s="64">
        <v>3</v>
      </c>
      <c r="D224" s="64">
        <v>1</v>
      </c>
      <c r="E224" s="64">
        <v>4</v>
      </c>
      <c r="F224" s="64">
        <v>13</v>
      </c>
      <c r="G224" s="100">
        <v>64</v>
      </c>
      <c r="H224" s="65"/>
      <c r="I224" s="65"/>
      <c r="J224" s="66"/>
      <c r="K224" s="125" t="s">
        <v>324</v>
      </c>
      <c r="L224" s="64" t="s">
        <v>72</v>
      </c>
      <c r="M224" s="64" t="s">
        <v>267</v>
      </c>
      <c r="N224" s="64" t="s">
        <v>265</v>
      </c>
      <c r="O224" s="64" t="s">
        <v>275</v>
      </c>
      <c r="P224" s="69">
        <v>44571</v>
      </c>
      <c r="Q224" s="69">
        <v>44925</v>
      </c>
      <c r="R224" s="124">
        <v>12</v>
      </c>
      <c r="S224" s="123"/>
      <c r="T224" s="194">
        <v>3</v>
      </c>
      <c r="U224" s="75">
        <f>6490663.5+1088474.54</f>
        <v>7579138.04</v>
      </c>
      <c r="V224" s="75"/>
      <c r="W224" s="75">
        <v>0</v>
      </c>
      <c r="X224" s="1122">
        <v>0</v>
      </c>
      <c r="Y224" s="75">
        <f>6490663.5+1632711.81</f>
        <v>8123375.3100000005</v>
      </c>
      <c r="Z224" s="75">
        <v>0</v>
      </c>
      <c r="AA224" s="1122">
        <v>0</v>
      </c>
      <c r="AB224" s="75">
        <f>6490663.5+1632711.81</f>
        <v>8123375.3100000005</v>
      </c>
      <c r="AC224" s="75">
        <v>0</v>
      </c>
      <c r="AD224" s="1122">
        <v>0</v>
      </c>
      <c r="AE224" s="75">
        <f>6490663.5+1632711.81</f>
        <v>8123375.3100000005</v>
      </c>
      <c r="AF224" s="75">
        <v>0</v>
      </c>
      <c r="AG224" s="1122">
        <v>0</v>
      </c>
      <c r="AH224" s="505">
        <f t="shared" si="41"/>
        <v>31949263.970000006</v>
      </c>
      <c r="AI224" s="132"/>
      <c r="AJ224" s="75">
        <f t="shared" si="40"/>
        <v>0</v>
      </c>
      <c r="AK224" s="75"/>
      <c r="AL224" s="75"/>
      <c r="AM224" s="75"/>
      <c r="AN224" s="136" t="s">
        <v>39</v>
      </c>
      <c r="AO224" s="100"/>
      <c r="AP224" s="1050"/>
      <c r="AQ224" s="1050"/>
      <c r="AR224" s="1051"/>
      <c r="AS224" s="1051"/>
      <c r="AT224" s="1050"/>
      <c r="AU224" s="1068"/>
      <c r="AV224" s="1091" t="s">
        <v>2724</v>
      </c>
      <c r="AW224" s="67" t="s">
        <v>2758</v>
      </c>
    </row>
    <row r="225" spans="1:49" ht="31.35" hidden="1" customHeight="1" outlineLevel="3" x14ac:dyDescent="0.25">
      <c r="A225" s="63" t="str">
        <f t="shared" si="0"/>
        <v>1.3.1.4.16.64</v>
      </c>
      <c r="B225" s="64">
        <v>1</v>
      </c>
      <c r="C225" s="64">
        <v>3</v>
      </c>
      <c r="D225" s="64">
        <v>1</v>
      </c>
      <c r="E225" s="64">
        <v>4</v>
      </c>
      <c r="F225" s="64">
        <v>16</v>
      </c>
      <c r="G225" s="64">
        <v>64</v>
      </c>
      <c r="H225" s="65"/>
      <c r="I225" s="65"/>
      <c r="J225" s="66"/>
      <c r="K225" s="67" t="s">
        <v>276</v>
      </c>
      <c r="L225" s="64" t="s">
        <v>72</v>
      </c>
      <c r="M225" s="64" t="s">
        <v>271</v>
      </c>
      <c r="N225" s="64" t="s">
        <v>74</v>
      </c>
      <c r="O225" s="64" t="s">
        <v>281</v>
      </c>
      <c r="P225" s="69">
        <v>44571</v>
      </c>
      <c r="Q225" s="69">
        <v>44925</v>
      </c>
      <c r="R225" s="124">
        <v>1</v>
      </c>
      <c r="S225" s="123"/>
      <c r="T225" s="194"/>
      <c r="U225" s="75">
        <v>0</v>
      </c>
      <c r="V225" s="75"/>
      <c r="W225" s="75">
        <v>0</v>
      </c>
      <c r="X225" s="1122">
        <v>0</v>
      </c>
      <c r="Y225" s="75">
        <v>0</v>
      </c>
      <c r="Z225" s="75">
        <v>0</v>
      </c>
      <c r="AA225" s="1122">
        <v>0</v>
      </c>
      <c r="AB225" s="75">
        <v>0</v>
      </c>
      <c r="AC225" s="75">
        <v>0</v>
      </c>
      <c r="AD225" s="1122">
        <v>0</v>
      </c>
      <c r="AE225" s="75">
        <v>0</v>
      </c>
      <c r="AF225" s="75">
        <v>0</v>
      </c>
      <c r="AG225" s="1122">
        <v>0</v>
      </c>
      <c r="AH225" s="505">
        <f t="shared" si="41"/>
        <v>0</v>
      </c>
      <c r="AI225" s="132"/>
      <c r="AJ225" s="75">
        <f t="shared" si="40"/>
        <v>0</v>
      </c>
      <c r="AK225" s="129"/>
      <c r="AL225" s="129"/>
      <c r="AM225" s="129"/>
      <c r="AN225" s="414" t="s">
        <v>39</v>
      </c>
      <c r="AO225" s="1050"/>
      <c r="AP225" s="1057"/>
      <c r="AQ225" s="1057"/>
      <c r="AR225" s="1050"/>
      <c r="AS225" s="1050"/>
      <c r="AT225" s="1062"/>
      <c r="AU225" s="1069"/>
      <c r="AV225" s="632"/>
      <c r="AW225" s="538"/>
    </row>
    <row r="226" spans="1:49" ht="31.35" hidden="1" customHeight="1" outlineLevel="3" x14ac:dyDescent="0.25">
      <c r="A226" s="63" t="str">
        <f t="shared" si="0"/>
        <v>1.3.1.4.17.64</v>
      </c>
      <c r="B226" s="64">
        <v>1</v>
      </c>
      <c r="C226" s="64">
        <v>3</v>
      </c>
      <c r="D226" s="64">
        <v>1</v>
      </c>
      <c r="E226" s="64">
        <v>4</v>
      </c>
      <c r="F226" s="64">
        <v>17</v>
      </c>
      <c r="G226" s="64">
        <v>64</v>
      </c>
      <c r="H226" s="65"/>
      <c r="I226" s="65"/>
      <c r="J226" s="66"/>
      <c r="K226" s="67" t="s">
        <v>1892</v>
      </c>
      <c r="L226" s="64" t="s">
        <v>72</v>
      </c>
      <c r="M226" s="64" t="s">
        <v>279</v>
      </c>
      <c r="N226" s="64" t="s">
        <v>74</v>
      </c>
      <c r="O226" s="64" t="s">
        <v>281</v>
      </c>
      <c r="P226" s="69">
        <v>44562</v>
      </c>
      <c r="Q226" s="69">
        <v>45291</v>
      </c>
      <c r="R226" s="124">
        <v>1</v>
      </c>
      <c r="S226" s="123"/>
      <c r="T226" s="194"/>
      <c r="U226" s="75">
        <v>42857</v>
      </c>
      <c r="V226" s="75"/>
      <c r="W226" s="75">
        <v>0</v>
      </c>
      <c r="X226" s="1122">
        <v>0</v>
      </c>
      <c r="Y226" s="75">
        <v>0</v>
      </c>
      <c r="Z226" s="75">
        <v>0</v>
      </c>
      <c r="AA226" s="1122">
        <v>0</v>
      </c>
      <c r="AB226" s="75">
        <v>0</v>
      </c>
      <c r="AC226" s="75">
        <v>0</v>
      </c>
      <c r="AD226" s="1122">
        <v>0</v>
      </c>
      <c r="AE226" s="75">
        <v>0</v>
      </c>
      <c r="AF226" s="75">
        <v>0</v>
      </c>
      <c r="AG226" s="1122">
        <v>0</v>
      </c>
      <c r="AH226" s="505">
        <f t="shared" si="41"/>
        <v>42857</v>
      </c>
      <c r="AI226" s="132"/>
      <c r="AJ226" s="75">
        <f t="shared" si="40"/>
        <v>0</v>
      </c>
      <c r="AK226" s="132"/>
      <c r="AL226" s="132"/>
      <c r="AM226" s="132"/>
      <c r="AN226" s="414" t="s">
        <v>39</v>
      </c>
      <c r="AO226" s="631"/>
      <c r="AP226" s="960"/>
      <c r="AQ226" s="960"/>
      <c r="AR226" s="1054"/>
      <c r="AS226" s="1054"/>
      <c r="AT226" s="1070"/>
      <c r="AU226" s="1055"/>
      <c r="AV226" s="632"/>
      <c r="AW226" s="538"/>
    </row>
    <row r="227" spans="1:49" ht="31.35" hidden="1" customHeight="1" outlineLevel="3" x14ac:dyDescent="0.25">
      <c r="A227" s="63" t="str">
        <f t="shared" si="0"/>
        <v>1.3.1.4.21.64</v>
      </c>
      <c r="B227" s="64">
        <v>1</v>
      </c>
      <c r="C227" s="64">
        <v>3</v>
      </c>
      <c r="D227" s="64">
        <v>1</v>
      </c>
      <c r="E227" s="64">
        <v>4</v>
      </c>
      <c r="F227" s="64">
        <v>21</v>
      </c>
      <c r="G227" s="64">
        <v>64</v>
      </c>
      <c r="H227" s="65"/>
      <c r="I227" s="65"/>
      <c r="J227" s="66"/>
      <c r="K227" s="65" t="s">
        <v>280</v>
      </c>
      <c r="L227" s="64" t="s">
        <v>72</v>
      </c>
      <c r="M227" s="64" t="s">
        <v>271</v>
      </c>
      <c r="N227" s="64" t="s">
        <v>74</v>
      </c>
      <c r="O227" s="64" t="s">
        <v>281</v>
      </c>
      <c r="P227" s="69">
        <v>44571</v>
      </c>
      <c r="Q227" s="69">
        <v>44925</v>
      </c>
      <c r="R227" s="124"/>
      <c r="S227" s="123"/>
      <c r="T227" s="194"/>
      <c r="U227" s="75">
        <v>0</v>
      </c>
      <c r="V227" s="75"/>
      <c r="W227" s="75">
        <v>0</v>
      </c>
      <c r="X227" s="1122">
        <v>0</v>
      </c>
      <c r="Y227" s="75">
        <v>0</v>
      </c>
      <c r="Z227" s="75">
        <v>0</v>
      </c>
      <c r="AA227" s="1122">
        <v>0</v>
      </c>
      <c r="AB227" s="75">
        <v>0</v>
      </c>
      <c r="AC227" s="75">
        <v>0</v>
      </c>
      <c r="AD227" s="1122">
        <v>0</v>
      </c>
      <c r="AE227" s="75">
        <v>0</v>
      </c>
      <c r="AF227" s="75">
        <v>0</v>
      </c>
      <c r="AG227" s="1122">
        <v>0</v>
      </c>
      <c r="AH227" s="505">
        <f t="shared" si="41"/>
        <v>0</v>
      </c>
      <c r="AI227" s="132"/>
      <c r="AJ227" s="75">
        <f t="shared" si="40"/>
        <v>0</v>
      </c>
      <c r="AK227" s="132"/>
      <c r="AL227" s="132"/>
      <c r="AM227" s="132"/>
      <c r="AN227" s="136" t="s">
        <v>39</v>
      </c>
      <c r="AO227" s="631"/>
      <c r="AP227" s="631"/>
      <c r="AQ227" s="631"/>
      <c r="AR227" s="1071"/>
      <c r="AS227" s="631"/>
      <c r="AT227" s="631"/>
      <c r="AU227" s="983"/>
      <c r="AV227" s="632"/>
      <c r="AW227" s="68"/>
    </row>
    <row r="228" spans="1:49" ht="31.35" hidden="1" customHeight="1" outlineLevel="3" x14ac:dyDescent="0.25">
      <c r="A228" s="164" t="str">
        <f t="shared" si="0"/>
        <v>1.3.1.4.22.64</v>
      </c>
      <c r="B228" s="165">
        <v>1</v>
      </c>
      <c r="C228" s="165">
        <v>3</v>
      </c>
      <c r="D228" s="165">
        <v>1</v>
      </c>
      <c r="E228" s="165">
        <v>4</v>
      </c>
      <c r="F228" s="165">
        <v>22</v>
      </c>
      <c r="G228" s="165">
        <v>64</v>
      </c>
      <c r="H228" s="166"/>
      <c r="I228" s="166"/>
      <c r="J228" s="167"/>
      <c r="K228" s="166" t="s">
        <v>283</v>
      </c>
      <c r="L228" s="165" t="s">
        <v>72</v>
      </c>
      <c r="M228" s="165" t="s">
        <v>271</v>
      </c>
      <c r="N228" s="165" t="s">
        <v>74</v>
      </c>
      <c r="O228" s="165" t="s">
        <v>281</v>
      </c>
      <c r="P228" s="169">
        <v>44571</v>
      </c>
      <c r="Q228" s="169">
        <v>44925</v>
      </c>
      <c r="R228" s="1012"/>
      <c r="S228" s="1013"/>
      <c r="T228" s="1185"/>
      <c r="U228" s="75">
        <v>0</v>
      </c>
      <c r="V228" s="75"/>
      <c r="W228" s="75">
        <v>0</v>
      </c>
      <c r="X228" s="1122">
        <v>0</v>
      </c>
      <c r="Y228" s="75">
        <v>0</v>
      </c>
      <c r="Z228" s="75">
        <v>0</v>
      </c>
      <c r="AA228" s="1122">
        <v>0</v>
      </c>
      <c r="AB228" s="75">
        <v>0</v>
      </c>
      <c r="AC228" s="75">
        <v>0</v>
      </c>
      <c r="AD228" s="1122">
        <v>0</v>
      </c>
      <c r="AE228" s="75">
        <v>0</v>
      </c>
      <c r="AF228" s="75">
        <v>0</v>
      </c>
      <c r="AG228" s="1122">
        <v>0</v>
      </c>
      <c r="AH228" s="505">
        <f t="shared" si="41"/>
        <v>0</v>
      </c>
      <c r="AI228" s="132"/>
      <c r="AJ228" s="75">
        <f t="shared" si="40"/>
        <v>0</v>
      </c>
      <c r="AK228" s="132"/>
      <c r="AL228" s="132"/>
      <c r="AM228" s="132"/>
      <c r="AN228" s="571" t="s">
        <v>39</v>
      </c>
      <c r="AO228" s="1072"/>
      <c r="AP228" s="1072"/>
      <c r="AQ228" s="1072"/>
      <c r="AR228" s="1072"/>
      <c r="AS228" s="1072"/>
      <c r="AT228" s="1072"/>
      <c r="AU228" s="1044"/>
      <c r="AV228" s="1073"/>
      <c r="AW228" s="68"/>
    </row>
    <row r="229" spans="1:49" ht="30.6" hidden="1" customHeight="1" outlineLevel="3" x14ac:dyDescent="0.25">
      <c r="A229" s="63" t="str">
        <f t="shared" si="0"/>
        <v>1.3.1.4.23.64</v>
      </c>
      <c r="B229" s="64">
        <v>1</v>
      </c>
      <c r="C229" s="64">
        <v>3</v>
      </c>
      <c r="D229" s="64">
        <v>1</v>
      </c>
      <c r="E229" s="64">
        <v>4</v>
      </c>
      <c r="F229" s="64">
        <v>23</v>
      </c>
      <c r="G229" s="64">
        <v>64</v>
      </c>
      <c r="H229" s="65"/>
      <c r="I229" s="65"/>
      <c r="J229" s="66"/>
      <c r="K229" s="65" t="s">
        <v>284</v>
      </c>
      <c r="L229" s="64" t="s">
        <v>72</v>
      </c>
      <c r="M229" s="64" t="s">
        <v>271</v>
      </c>
      <c r="N229" s="64" t="s">
        <v>74</v>
      </c>
      <c r="O229" s="64" t="s">
        <v>281</v>
      </c>
      <c r="P229" s="69">
        <v>44972</v>
      </c>
      <c r="Q229" s="131">
        <v>45290</v>
      </c>
      <c r="R229" s="124">
        <v>1</v>
      </c>
      <c r="S229" s="123" t="s">
        <v>76</v>
      </c>
      <c r="T229" s="194"/>
      <c r="U229" s="75">
        <v>0</v>
      </c>
      <c r="V229" s="75"/>
      <c r="W229" s="75">
        <v>0</v>
      </c>
      <c r="X229" s="1122">
        <v>0</v>
      </c>
      <c r="Y229" s="75">
        <v>99607.2</v>
      </c>
      <c r="Z229" s="75">
        <v>0</v>
      </c>
      <c r="AA229" s="1122">
        <v>0</v>
      </c>
      <c r="AB229" s="75">
        <v>0</v>
      </c>
      <c r="AC229" s="75">
        <v>0</v>
      </c>
      <c r="AD229" s="1122">
        <v>0</v>
      </c>
      <c r="AE229" s="75">
        <v>0</v>
      </c>
      <c r="AF229" s="75">
        <v>0</v>
      </c>
      <c r="AG229" s="1122">
        <v>0</v>
      </c>
      <c r="AH229" s="505">
        <f t="shared" si="41"/>
        <v>99607.2</v>
      </c>
      <c r="AI229" s="132"/>
      <c r="AJ229" s="75">
        <f t="shared" si="40"/>
        <v>0</v>
      </c>
      <c r="AK229" s="377"/>
      <c r="AL229" s="132"/>
      <c r="AM229" s="132"/>
      <c r="AN229" s="136" t="s">
        <v>39</v>
      </c>
      <c r="AO229" s="631"/>
      <c r="AP229" s="631"/>
      <c r="AQ229" s="631"/>
      <c r="AR229" s="631"/>
      <c r="AS229" s="631"/>
      <c r="AT229" s="631"/>
      <c r="AU229" s="983"/>
      <c r="AV229" s="123" t="s">
        <v>166</v>
      </c>
      <c r="AW229" s="67" t="s">
        <v>2736</v>
      </c>
    </row>
    <row r="230" spans="1:49" ht="24.6" hidden="1" customHeight="1" outlineLevel="3" x14ac:dyDescent="0.25">
      <c r="A230" s="864" t="str">
        <f t="shared" si="0"/>
        <v>1.3.1.4.26.64</v>
      </c>
      <c r="B230" s="245">
        <v>1</v>
      </c>
      <c r="C230" s="245">
        <v>3</v>
      </c>
      <c r="D230" s="245">
        <v>1</v>
      </c>
      <c r="E230" s="245">
        <v>4</v>
      </c>
      <c r="F230" s="245">
        <v>26</v>
      </c>
      <c r="G230" s="245">
        <v>64</v>
      </c>
      <c r="H230" s="1018"/>
      <c r="I230" s="1018"/>
      <c r="J230" s="1019"/>
      <c r="K230" s="1018" t="s">
        <v>286</v>
      </c>
      <c r="L230" s="245" t="s">
        <v>72</v>
      </c>
      <c r="M230" s="245" t="s">
        <v>73</v>
      </c>
      <c r="N230" s="245" t="s">
        <v>74</v>
      </c>
      <c r="O230" s="245" t="s">
        <v>281</v>
      </c>
      <c r="P230" s="1020">
        <v>44571</v>
      </c>
      <c r="Q230" s="1020">
        <v>44925</v>
      </c>
      <c r="R230" s="1022"/>
      <c r="S230" s="1023"/>
      <c r="T230" s="1186"/>
      <c r="U230" s="75">
        <v>0</v>
      </c>
      <c r="V230" s="75"/>
      <c r="W230" s="75">
        <v>0</v>
      </c>
      <c r="X230" s="1122">
        <v>0</v>
      </c>
      <c r="Y230" s="75">
        <v>0</v>
      </c>
      <c r="Z230" s="75">
        <v>0</v>
      </c>
      <c r="AA230" s="1122">
        <v>0</v>
      </c>
      <c r="AB230" s="75">
        <v>0</v>
      </c>
      <c r="AC230" s="75">
        <v>0</v>
      </c>
      <c r="AD230" s="1122">
        <v>0</v>
      </c>
      <c r="AE230" s="75">
        <v>0</v>
      </c>
      <c r="AF230" s="75">
        <v>0</v>
      </c>
      <c r="AG230" s="1122">
        <v>0</v>
      </c>
      <c r="AH230" s="505">
        <f t="shared" si="41"/>
        <v>0</v>
      </c>
      <c r="AI230" s="132"/>
      <c r="AJ230" s="75">
        <f t="shared" si="40"/>
        <v>0</v>
      </c>
      <c r="AK230" s="132"/>
      <c r="AL230" s="132"/>
      <c r="AM230" s="132"/>
      <c r="AN230" s="534" t="s">
        <v>39</v>
      </c>
      <c r="AO230" s="1071"/>
      <c r="AP230" s="1071"/>
      <c r="AQ230" s="1071"/>
      <c r="AR230" s="1071"/>
      <c r="AS230" s="1071"/>
      <c r="AT230" s="1071"/>
      <c r="AU230" s="1031"/>
      <c r="AV230" s="1074"/>
      <c r="AW230" s="68"/>
    </row>
    <row r="231" spans="1:49" ht="24.6" hidden="1" customHeight="1" outlineLevel="3" x14ac:dyDescent="0.25">
      <c r="A231" s="63" t="str">
        <f t="shared" si="0"/>
        <v>1.3.1.4.27.64</v>
      </c>
      <c r="B231" s="64">
        <v>1</v>
      </c>
      <c r="C231" s="64">
        <v>3</v>
      </c>
      <c r="D231" s="64">
        <v>1</v>
      </c>
      <c r="E231" s="64">
        <v>4</v>
      </c>
      <c r="F231" s="64">
        <v>27</v>
      </c>
      <c r="G231" s="64">
        <v>64</v>
      </c>
      <c r="H231" s="65"/>
      <c r="I231" s="65"/>
      <c r="J231" s="66"/>
      <c r="K231" s="65" t="s">
        <v>287</v>
      </c>
      <c r="L231" s="64" t="s">
        <v>72</v>
      </c>
      <c r="M231" s="64" t="s">
        <v>73</v>
      </c>
      <c r="N231" s="64"/>
      <c r="O231" s="64"/>
      <c r="P231" s="69">
        <v>44571</v>
      </c>
      <c r="Q231" s="69">
        <v>44925</v>
      </c>
      <c r="R231" s="124">
        <v>1</v>
      </c>
      <c r="S231" s="123"/>
      <c r="T231" s="194"/>
      <c r="U231" s="75">
        <v>0</v>
      </c>
      <c r="V231" s="75"/>
      <c r="W231" s="75">
        <v>0</v>
      </c>
      <c r="X231" s="1122">
        <v>0</v>
      </c>
      <c r="Y231" s="75">
        <v>0</v>
      </c>
      <c r="Z231" s="75">
        <v>0</v>
      </c>
      <c r="AA231" s="1122">
        <v>0</v>
      </c>
      <c r="AB231" s="75">
        <v>0</v>
      </c>
      <c r="AC231" s="75">
        <v>0</v>
      </c>
      <c r="AD231" s="1122">
        <v>0</v>
      </c>
      <c r="AE231" s="75">
        <v>0</v>
      </c>
      <c r="AF231" s="75">
        <v>0</v>
      </c>
      <c r="AG231" s="1122">
        <v>0</v>
      </c>
      <c r="AH231" s="505">
        <f t="shared" si="41"/>
        <v>0</v>
      </c>
      <c r="AI231" s="132"/>
      <c r="AJ231" s="75">
        <f t="shared" si="40"/>
        <v>0</v>
      </c>
      <c r="AK231" s="132"/>
      <c r="AL231" s="132"/>
      <c r="AM231" s="132"/>
      <c r="AN231" s="136" t="s">
        <v>39</v>
      </c>
      <c r="AO231" s="631"/>
      <c r="AP231" s="631"/>
      <c r="AQ231" s="631"/>
      <c r="AR231" s="631"/>
      <c r="AS231" s="631"/>
      <c r="AT231" s="631"/>
      <c r="AU231" s="983"/>
      <c r="AV231" s="632"/>
      <c r="AW231" s="68"/>
    </row>
    <row r="232" spans="1:49" ht="24.6" hidden="1" customHeight="1" outlineLevel="3" x14ac:dyDescent="0.25">
      <c r="A232" s="63" t="str">
        <f t="shared" si="0"/>
        <v>1.3.1.4.28.64</v>
      </c>
      <c r="B232" s="64">
        <v>1</v>
      </c>
      <c r="C232" s="64">
        <v>3</v>
      </c>
      <c r="D232" s="64">
        <v>1</v>
      </c>
      <c r="E232" s="64">
        <v>4</v>
      </c>
      <c r="F232" s="64">
        <v>28</v>
      </c>
      <c r="G232" s="64">
        <v>64</v>
      </c>
      <c r="H232" s="65"/>
      <c r="I232" s="65"/>
      <c r="J232" s="66"/>
      <c r="K232" s="67" t="s">
        <v>2206</v>
      </c>
      <c r="L232" s="64" t="s">
        <v>72</v>
      </c>
      <c r="M232" s="64" t="s">
        <v>279</v>
      </c>
      <c r="N232" s="64"/>
      <c r="O232" s="64"/>
      <c r="P232" s="69">
        <v>44571</v>
      </c>
      <c r="Q232" s="69">
        <v>44925</v>
      </c>
      <c r="R232" s="124">
        <v>2</v>
      </c>
      <c r="S232" s="123"/>
      <c r="T232" s="194"/>
      <c r="U232" s="75">
        <v>0</v>
      </c>
      <c r="V232" s="75"/>
      <c r="W232" s="75">
        <v>0</v>
      </c>
      <c r="X232" s="1122">
        <v>0</v>
      </c>
      <c r="Y232" s="75">
        <v>0</v>
      </c>
      <c r="Z232" s="75">
        <v>0</v>
      </c>
      <c r="AA232" s="1122">
        <v>0</v>
      </c>
      <c r="AB232" s="75">
        <v>0</v>
      </c>
      <c r="AC232" s="75">
        <v>0</v>
      </c>
      <c r="AD232" s="1122">
        <v>0</v>
      </c>
      <c r="AE232" s="75">
        <v>0</v>
      </c>
      <c r="AF232" s="75">
        <v>0</v>
      </c>
      <c r="AG232" s="1122">
        <v>0</v>
      </c>
      <c r="AH232" s="505">
        <f t="shared" si="41"/>
        <v>0</v>
      </c>
      <c r="AI232" s="132"/>
      <c r="AJ232" s="75">
        <f t="shared" si="40"/>
        <v>0</v>
      </c>
      <c r="AK232" s="75"/>
      <c r="AL232" s="75"/>
      <c r="AM232" s="75"/>
      <c r="AN232" s="136" t="s">
        <v>39</v>
      </c>
      <c r="AO232" s="1050"/>
      <c r="AP232" s="1057"/>
      <c r="AQ232" s="960"/>
      <c r="AR232" s="1050"/>
      <c r="AS232" s="1050"/>
      <c r="AT232" s="1062"/>
      <c r="AU232" s="983"/>
      <c r="AV232" s="632"/>
      <c r="AW232" s="68"/>
    </row>
    <row r="233" spans="1:49" ht="24.6" hidden="1" customHeight="1" outlineLevel="3" x14ac:dyDescent="0.25">
      <c r="A233" s="63" t="str">
        <f t="shared" si="0"/>
        <v>1.3.1.4.29.64</v>
      </c>
      <c r="B233" s="64">
        <v>1</v>
      </c>
      <c r="C233" s="64">
        <v>3</v>
      </c>
      <c r="D233" s="64">
        <v>1</v>
      </c>
      <c r="E233" s="64">
        <v>4</v>
      </c>
      <c r="F233" s="64">
        <v>29</v>
      </c>
      <c r="G233" s="64">
        <v>64</v>
      </c>
      <c r="H233" s="65"/>
      <c r="I233" s="65"/>
      <c r="J233" s="66"/>
      <c r="K233" s="137" t="s">
        <v>325</v>
      </c>
      <c r="L233" s="64"/>
      <c r="M233" s="64"/>
      <c r="N233" s="64"/>
      <c r="O233" s="64"/>
      <c r="P233" s="69">
        <v>44571</v>
      </c>
      <c r="Q233" s="69">
        <v>44925</v>
      </c>
      <c r="R233" s="124"/>
      <c r="S233" s="123"/>
      <c r="T233" s="194"/>
      <c r="U233" s="75">
        <v>0</v>
      </c>
      <c r="V233" s="75"/>
      <c r="W233" s="75">
        <v>0</v>
      </c>
      <c r="X233" s="1122">
        <v>0</v>
      </c>
      <c r="Y233" s="75">
        <v>0</v>
      </c>
      <c r="Z233" s="75">
        <v>0</v>
      </c>
      <c r="AA233" s="1122">
        <v>0</v>
      </c>
      <c r="AB233" s="75">
        <v>0</v>
      </c>
      <c r="AC233" s="75">
        <v>0</v>
      </c>
      <c r="AD233" s="1122">
        <v>0</v>
      </c>
      <c r="AE233" s="75">
        <v>0</v>
      </c>
      <c r="AF233" s="75">
        <v>0</v>
      </c>
      <c r="AG233" s="1122">
        <v>0</v>
      </c>
      <c r="AH233" s="505">
        <f t="shared" si="41"/>
        <v>0</v>
      </c>
      <c r="AI233" s="132"/>
      <c r="AJ233" s="75">
        <f t="shared" si="40"/>
        <v>0</v>
      </c>
      <c r="AK233" s="132"/>
      <c r="AL233" s="132"/>
      <c r="AM233" s="132"/>
      <c r="AN233" s="136" t="s">
        <v>39</v>
      </c>
      <c r="AO233" s="631"/>
      <c r="AP233" s="631"/>
      <c r="AQ233" s="631"/>
      <c r="AR233" s="631"/>
      <c r="AS233" s="631"/>
      <c r="AT233" s="631"/>
      <c r="AU233" s="983"/>
      <c r="AV233" s="632"/>
      <c r="AW233" s="68"/>
    </row>
    <row r="234" spans="1:49" ht="73.349999999999994" hidden="1" customHeight="1" outlineLevel="3" x14ac:dyDescent="0.25">
      <c r="A234" s="63" t="str">
        <f t="shared" si="0"/>
        <v>1.3.1.4.30.64</v>
      </c>
      <c r="B234" s="64">
        <v>1</v>
      </c>
      <c r="C234" s="64">
        <v>3</v>
      </c>
      <c r="D234" s="64">
        <v>1</v>
      </c>
      <c r="E234" s="64">
        <v>4</v>
      </c>
      <c r="F234" s="64">
        <v>30</v>
      </c>
      <c r="G234" s="100">
        <v>64</v>
      </c>
      <c r="H234" s="65"/>
      <c r="I234" s="65"/>
      <c r="J234" s="66"/>
      <c r="K234" s="67" t="s">
        <v>326</v>
      </c>
      <c r="L234" s="64" t="s">
        <v>72</v>
      </c>
      <c r="M234" s="64" t="s">
        <v>279</v>
      </c>
      <c r="N234" s="64"/>
      <c r="O234" s="64"/>
      <c r="P234" s="69">
        <v>44571</v>
      </c>
      <c r="Q234" s="69">
        <v>44925</v>
      </c>
      <c r="R234" s="124">
        <v>1</v>
      </c>
      <c r="S234" s="123"/>
      <c r="T234" s="194"/>
      <c r="U234" s="75">
        <v>50446.431698</v>
      </c>
      <c r="V234" s="75"/>
      <c r="W234" s="75">
        <v>0</v>
      </c>
      <c r="X234" s="1122">
        <v>0</v>
      </c>
      <c r="Y234" s="75">
        <v>50446.431698</v>
      </c>
      <c r="Z234" s="75">
        <v>0</v>
      </c>
      <c r="AA234" s="1122">
        <v>0</v>
      </c>
      <c r="AB234" s="75">
        <v>50446.431698</v>
      </c>
      <c r="AC234" s="75">
        <v>0</v>
      </c>
      <c r="AD234" s="1122">
        <v>0</v>
      </c>
      <c r="AE234" s="75">
        <v>50446.431698</v>
      </c>
      <c r="AF234" s="75">
        <v>0</v>
      </c>
      <c r="AG234" s="1122">
        <v>0</v>
      </c>
      <c r="AH234" s="505">
        <f t="shared" si="41"/>
        <v>201785.726792</v>
      </c>
      <c r="AI234" s="132"/>
      <c r="AJ234" s="75">
        <f t="shared" si="40"/>
        <v>0</v>
      </c>
      <c r="AK234" s="132"/>
      <c r="AL234" s="132"/>
      <c r="AM234" s="132"/>
      <c r="AN234" s="136" t="s">
        <v>39</v>
      </c>
      <c r="AO234" s="631"/>
      <c r="AP234" s="631"/>
      <c r="AQ234" s="631"/>
      <c r="AR234" s="631"/>
      <c r="AS234" s="631"/>
      <c r="AT234" s="631"/>
      <c r="AU234" s="983"/>
      <c r="AV234" s="632"/>
      <c r="AW234" s="67" t="s">
        <v>2833</v>
      </c>
    </row>
    <row r="235" spans="1:49" ht="21" hidden="1" customHeight="1" outlineLevel="3" x14ac:dyDescent="0.25">
      <c r="A235" s="63" t="str">
        <f t="shared" si="0"/>
        <v>1.3.1.4.31.64</v>
      </c>
      <c r="B235" s="64">
        <v>1</v>
      </c>
      <c r="C235" s="64">
        <v>3</v>
      </c>
      <c r="D235" s="64">
        <v>1</v>
      </c>
      <c r="E235" s="64">
        <v>4</v>
      </c>
      <c r="F235" s="64">
        <v>31</v>
      </c>
      <c r="G235" s="64">
        <v>64</v>
      </c>
      <c r="H235" s="65"/>
      <c r="I235" s="65"/>
      <c r="J235" s="66"/>
      <c r="K235" s="67" t="s">
        <v>296</v>
      </c>
      <c r="L235" s="64"/>
      <c r="M235" s="64"/>
      <c r="N235" s="64"/>
      <c r="O235" s="64"/>
      <c r="P235" s="69">
        <v>44571</v>
      </c>
      <c r="Q235" s="69">
        <v>44925</v>
      </c>
      <c r="R235" s="124"/>
      <c r="S235" s="123"/>
      <c r="T235" s="194"/>
      <c r="U235" s="75">
        <v>239564.97</v>
      </c>
      <c r="V235" s="75"/>
      <c r="W235" s="75">
        <v>0</v>
      </c>
      <c r="X235" s="1122">
        <v>0</v>
      </c>
      <c r="Y235" s="75">
        <v>239564.97</v>
      </c>
      <c r="Z235" s="75">
        <v>0</v>
      </c>
      <c r="AA235" s="1122">
        <v>0</v>
      </c>
      <c r="AB235" s="75">
        <v>239564.97</v>
      </c>
      <c r="AC235" s="75">
        <v>0</v>
      </c>
      <c r="AD235" s="1122">
        <v>0</v>
      </c>
      <c r="AE235" s="75">
        <v>239564.97</v>
      </c>
      <c r="AF235" s="75">
        <v>0</v>
      </c>
      <c r="AG235" s="1122">
        <v>0</v>
      </c>
      <c r="AH235" s="505">
        <f t="shared" si="41"/>
        <v>958259.88</v>
      </c>
      <c r="AI235" s="132"/>
      <c r="AJ235" s="75">
        <f t="shared" si="40"/>
        <v>0</v>
      </c>
      <c r="AK235" s="75"/>
      <c r="AL235" s="75"/>
      <c r="AM235" s="75"/>
      <c r="AN235" s="136" t="s">
        <v>39</v>
      </c>
      <c r="AO235" s="631"/>
      <c r="AP235" s="631"/>
      <c r="AQ235" s="960"/>
      <c r="AR235" s="631"/>
      <c r="AS235" s="631"/>
      <c r="AT235" s="631"/>
      <c r="AU235" s="964"/>
      <c r="AV235" s="123" t="s">
        <v>73</v>
      </c>
      <c r="AW235" s="67" t="s">
        <v>2822</v>
      </c>
    </row>
    <row r="236" spans="1:49" ht="21" hidden="1" customHeight="1" outlineLevel="3" x14ac:dyDescent="0.25">
      <c r="A236" s="99" t="str">
        <f>CONCATENATE(B236,".",C236,".",D236,".",E236,".",F236,".",G236)</f>
        <v>1.3.1.4.33.64</v>
      </c>
      <c r="B236" s="100">
        <v>1</v>
      </c>
      <c r="C236" s="100">
        <v>3</v>
      </c>
      <c r="D236" s="100">
        <v>1</v>
      </c>
      <c r="E236" s="100">
        <v>4</v>
      </c>
      <c r="F236" s="100">
        <v>33</v>
      </c>
      <c r="G236" s="100">
        <v>64</v>
      </c>
      <c r="H236" s="65"/>
      <c r="I236" s="65"/>
      <c r="J236" s="66"/>
      <c r="K236" s="67" t="s">
        <v>298</v>
      </c>
      <c r="L236" s="64" t="s">
        <v>359</v>
      </c>
      <c r="M236" s="64" t="s">
        <v>299</v>
      </c>
      <c r="N236" s="64"/>
      <c r="O236" s="64"/>
      <c r="P236" s="69"/>
      <c r="Q236" s="69"/>
      <c r="R236" s="124"/>
      <c r="S236" s="123"/>
      <c r="T236" s="194"/>
      <c r="U236" s="75">
        <v>0</v>
      </c>
      <c r="V236" s="75"/>
      <c r="W236" s="75">
        <v>0</v>
      </c>
      <c r="X236" s="1122">
        <v>0</v>
      </c>
      <c r="Y236" s="75">
        <v>0</v>
      </c>
      <c r="Z236" s="75">
        <v>0</v>
      </c>
      <c r="AA236" s="1122">
        <v>0</v>
      </c>
      <c r="AB236" s="75">
        <v>0</v>
      </c>
      <c r="AC236" s="75">
        <v>0</v>
      </c>
      <c r="AD236" s="1122">
        <v>0</v>
      </c>
      <c r="AE236" s="75">
        <v>0</v>
      </c>
      <c r="AF236" s="75">
        <v>0</v>
      </c>
      <c r="AG236" s="1122">
        <v>0</v>
      </c>
      <c r="AH236" s="505">
        <f t="shared" si="41"/>
        <v>0</v>
      </c>
      <c r="AI236" s="132"/>
      <c r="AJ236" s="75">
        <f t="shared" si="40"/>
        <v>0</v>
      </c>
      <c r="AK236" s="75"/>
      <c r="AL236" s="75"/>
      <c r="AM236" s="75"/>
      <c r="AN236" s="64" t="s">
        <v>282</v>
      </c>
      <c r="AO236" s="100"/>
      <c r="AP236" s="100"/>
      <c r="AQ236" s="100"/>
      <c r="AR236" s="104"/>
      <c r="AS236" s="104"/>
      <c r="AT236" s="100"/>
      <c r="AU236" s="983"/>
      <c r="AV236" s="632"/>
      <c r="AW236" s="68"/>
    </row>
    <row r="237" spans="1:49" ht="73.5" customHeight="1" outlineLevel="1" collapsed="1" x14ac:dyDescent="0.25">
      <c r="A237" s="80" t="str">
        <f t="shared" si="0"/>
        <v>1.3.1.5.0.0</v>
      </c>
      <c r="B237" s="81">
        <v>1</v>
      </c>
      <c r="C237" s="81">
        <v>3</v>
      </c>
      <c r="D237" s="81">
        <v>1</v>
      </c>
      <c r="E237" s="81">
        <v>5</v>
      </c>
      <c r="F237" s="81">
        <v>0</v>
      </c>
      <c r="G237" s="81">
        <v>0</v>
      </c>
      <c r="H237" s="114"/>
      <c r="I237" s="114"/>
      <c r="J237" s="1346" t="s">
        <v>327</v>
      </c>
      <c r="K237" s="1346"/>
      <c r="L237" s="81" t="s">
        <v>236</v>
      </c>
      <c r="M237" s="81" t="s">
        <v>240</v>
      </c>
      <c r="N237" s="81" t="s">
        <v>226</v>
      </c>
      <c r="O237" s="81" t="s">
        <v>241</v>
      </c>
      <c r="P237" s="870">
        <v>44571</v>
      </c>
      <c r="Q237" s="870">
        <v>44925</v>
      </c>
      <c r="R237" s="119">
        <f>R247+R246+R245+R244+R243+R242+R241+R240+R239+R238</f>
        <v>2685754</v>
      </c>
      <c r="S237" s="114" t="s">
        <v>242</v>
      </c>
      <c r="T237" s="1184">
        <f>+T238+T239+T240+T241</f>
        <v>335719.25</v>
      </c>
      <c r="U237" s="369">
        <f>SUM(U238:U264)</f>
        <v>10485356.791698001</v>
      </c>
      <c r="V237" s="369"/>
      <c r="W237" s="369">
        <f t="shared" ref="W237:AM237" si="42">SUM(W238:W264)</f>
        <v>0</v>
      </c>
      <c r="X237" s="1124">
        <f t="shared" si="42"/>
        <v>0</v>
      </c>
      <c r="Y237" s="369">
        <f t="shared" si="42"/>
        <v>11086344.261698</v>
      </c>
      <c r="Z237" s="369">
        <f t="shared" si="42"/>
        <v>0</v>
      </c>
      <c r="AA237" s="1124">
        <f t="shared" si="42"/>
        <v>0</v>
      </c>
      <c r="AB237" s="369">
        <f t="shared" si="42"/>
        <v>10986737.061698001</v>
      </c>
      <c r="AC237" s="369">
        <f t="shared" si="42"/>
        <v>0</v>
      </c>
      <c r="AD237" s="1124">
        <f t="shared" si="42"/>
        <v>0</v>
      </c>
      <c r="AE237" s="369">
        <f t="shared" si="42"/>
        <v>10986737.061698001</v>
      </c>
      <c r="AF237" s="369">
        <f t="shared" si="42"/>
        <v>0</v>
      </c>
      <c r="AG237" s="1124">
        <f t="shared" si="42"/>
        <v>0</v>
      </c>
      <c r="AH237" s="369">
        <f>SUM(AH238:AH264)</f>
        <v>43545175.176792011</v>
      </c>
      <c r="AI237" s="369">
        <f t="shared" si="42"/>
        <v>0</v>
      </c>
      <c r="AJ237" s="369">
        <f>SUM(AJ238:AJ264)</f>
        <v>0</v>
      </c>
      <c r="AK237" s="369">
        <f t="shared" si="42"/>
        <v>0</v>
      </c>
      <c r="AL237" s="369">
        <f t="shared" si="42"/>
        <v>0</v>
      </c>
      <c r="AM237" s="369">
        <f t="shared" si="42"/>
        <v>0</v>
      </c>
      <c r="AN237" s="81" t="s">
        <v>243</v>
      </c>
      <c r="AO237" s="81"/>
      <c r="AP237" s="81"/>
      <c r="AQ237" s="412"/>
      <c r="AR237" s="81"/>
      <c r="AS237" s="474"/>
      <c r="AT237" s="81"/>
      <c r="AU237" s="663"/>
      <c r="AV237" s="369">
        <v>0</v>
      </c>
      <c r="AW237" s="433"/>
    </row>
    <row r="238" spans="1:49" ht="120" hidden="1" customHeight="1" outlineLevel="3" x14ac:dyDescent="0.25">
      <c r="A238" s="63" t="str">
        <f t="shared" si="0"/>
        <v>1.3.1.5.1.61</v>
      </c>
      <c r="B238" s="64">
        <v>1</v>
      </c>
      <c r="C238" s="64">
        <v>3</v>
      </c>
      <c r="D238" s="64">
        <v>1</v>
      </c>
      <c r="E238" s="64">
        <v>5</v>
      </c>
      <c r="F238" s="64">
        <v>1</v>
      </c>
      <c r="G238" s="64">
        <v>61</v>
      </c>
      <c r="H238" s="65"/>
      <c r="I238" s="65"/>
      <c r="J238" s="66"/>
      <c r="K238" s="65" t="s">
        <v>245</v>
      </c>
      <c r="L238" s="64" t="s">
        <v>246</v>
      </c>
      <c r="M238" s="64" t="s">
        <v>240</v>
      </c>
      <c r="N238" s="64" t="s">
        <v>247</v>
      </c>
      <c r="O238" s="64" t="s">
        <v>241</v>
      </c>
      <c r="P238" s="69"/>
      <c r="Q238" s="69"/>
      <c r="R238" s="126">
        <v>85055</v>
      </c>
      <c r="S238" s="123" t="s">
        <v>248</v>
      </c>
      <c r="T238" s="194">
        <f>+R238/4</f>
        <v>21263.75</v>
      </c>
      <c r="U238" s="75">
        <v>0</v>
      </c>
      <c r="V238" s="75"/>
      <c r="W238" s="75">
        <v>0</v>
      </c>
      <c r="X238" s="1122">
        <v>0</v>
      </c>
      <c r="Y238" s="75">
        <v>0</v>
      </c>
      <c r="Z238" s="75">
        <v>0</v>
      </c>
      <c r="AA238" s="1122">
        <v>0</v>
      </c>
      <c r="AB238" s="75">
        <v>0</v>
      </c>
      <c r="AC238" s="75">
        <v>0</v>
      </c>
      <c r="AD238" s="1122">
        <v>0</v>
      </c>
      <c r="AE238" s="75">
        <v>0</v>
      </c>
      <c r="AF238" s="75">
        <v>0</v>
      </c>
      <c r="AG238" s="1122">
        <v>0</v>
      </c>
      <c r="AH238" s="505">
        <f>+U238+Y238+AB238+AE238</f>
        <v>0</v>
      </c>
      <c r="AI238" s="132"/>
      <c r="AJ238" s="75">
        <f t="shared" ref="AJ238:AJ264" si="43">+W239+Z239+AC239+AF239</f>
        <v>0</v>
      </c>
      <c r="AK238" s="75"/>
      <c r="AL238" s="75"/>
      <c r="AM238" s="75"/>
      <c r="AN238" s="64" t="s">
        <v>39</v>
      </c>
      <c r="AO238" s="100"/>
      <c r="AP238" s="100"/>
      <c r="AQ238" s="993"/>
      <c r="AR238" s="100"/>
      <c r="AS238" s="994"/>
      <c r="AT238" s="100"/>
      <c r="AU238" s="983"/>
      <c r="AV238" s="1065"/>
      <c r="AW238" s="67" t="s">
        <v>250</v>
      </c>
    </row>
    <row r="239" spans="1:49" ht="61.35" hidden="1" customHeight="1" outlineLevel="3" x14ac:dyDescent="0.25">
      <c r="A239" s="63" t="str">
        <f t="shared" si="0"/>
        <v>1.3.1.5.2.61</v>
      </c>
      <c r="B239" s="64">
        <v>1</v>
      </c>
      <c r="C239" s="64">
        <v>3</v>
      </c>
      <c r="D239" s="64">
        <v>1</v>
      </c>
      <c r="E239" s="64">
        <v>5</v>
      </c>
      <c r="F239" s="64">
        <v>2</v>
      </c>
      <c r="G239" s="64">
        <v>61</v>
      </c>
      <c r="H239" s="65"/>
      <c r="I239" s="65"/>
      <c r="J239" s="66"/>
      <c r="K239" s="65" t="s">
        <v>251</v>
      </c>
      <c r="L239" s="64" t="s">
        <v>246</v>
      </c>
      <c r="M239" s="64" t="s">
        <v>240</v>
      </c>
      <c r="N239" s="64" t="s">
        <v>252</v>
      </c>
      <c r="O239" s="64" t="s">
        <v>241</v>
      </c>
      <c r="P239" s="69"/>
      <c r="Q239" s="69"/>
      <c r="R239" s="126">
        <v>1240512</v>
      </c>
      <c r="S239" s="123" t="s">
        <v>248</v>
      </c>
      <c r="T239" s="194">
        <f>+R239/4</f>
        <v>310128</v>
      </c>
      <c r="U239" s="75">
        <v>0</v>
      </c>
      <c r="V239" s="75"/>
      <c r="W239" s="75">
        <v>0</v>
      </c>
      <c r="X239" s="1122">
        <v>0</v>
      </c>
      <c r="Y239" s="75">
        <v>0</v>
      </c>
      <c r="Z239" s="75">
        <v>0</v>
      </c>
      <c r="AA239" s="1122">
        <v>0</v>
      </c>
      <c r="AB239" s="75">
        <v>0</v>
      </c>
      <c r="AC239" s="75">
        <v>0</v>
      </c>
      <c r="AD239" s="1122">
        <v>0</v>
      </c>
      <c r="AE239" s="75">
        <v>0</v>
      </c>
      <c r="AF239" s="75">
        <v>0</v>
      </c>
      <c r="AG239" s="1122">
        <v>0</v>
      </c>
      <c r="AH239" s="505">
        <f t="shared" ref="AH239:AH264" si="44">+U239+Y239+AB239+AE239</f>
        <v>0</v>
      </c>
      <c r="AI239" s="132"/>
      <c r="AJ239" s="75">
        <f t="shared" si="43"/>
        <v>0</v>
      </c>
      <c r="AK239" s="75"/>
      <c r="AL239" s="75"/>
      <c r="AM239" s="75"/>
      <c r="AN239" s="64" t="s">
        <v>39</v>
      </c>
      <c r="AO239" s="100"/>
      <c r="AP239" s="100"/>
      <c r="AQ239" s="993"/>
      <c r="AR239" s="100"/>
      <c r="AS239" s="994"/>
      <c r="AT239" s="100"/>
      <c r="AU239" s="983"/>
      <c r="AV239" s="1065"/>
      <c r="AW239" s="67" t="s">
        <v>2583</v>
      </c>
    </row>
    <row r="240" spans="1:49" ht="24.6" hidden="1" customHeight="1" outlineLevel="3" x14ac:dyDescent="0.25">
      <c r="A240" s="63" t="str">
        <f t="shared" si="0"/>
        <v>1.3.1.5.3.61</v>
      </c>
      <c r="B240" s="64">
        <v>1</v>
      </c>
      <c r="C240" s="64">
        <v>3</v>
      </c>
      <c r="D240" s="64">
        <v>1</v>
      </c>
      <c r="E240" s="64">
        <v>5</v>
      </c>
      <c r="F240" s="64">
        <v>3</v>
      </c>
      <c r="G240" s="64">
        <v>61</v>
      </c>
      <c r="H240" s="65"/>
      <c r="I240" s="65"/>
      <c r="J240" s="66"/>
      <c r="K240" s="65" t="s">
        <v>328</v>
      </c>
      <c r="L240" s="64" t="s">
        <v>246</v>
      </c>
      <c r="M240" s="64" t="s">
        <v>240</v>
      </c>
      <c r="N240" s="64" t="s">
        <v>329</v>
      </c>
      <c r="O240" s="64" t="s">
        <v>241</v>
      </c>
      <c r="P240" s="69"/>
      <c r="Q240" s="69"/>
      <c r="R240" s="126">
        <v>7310</v>
      </c>
      <c r="S240" s="123" t="s">
        <v>248</v>
      </c>
      <c r="T240" s="194">
        <f>+R240/4</f>
        <v>1827.5</v>
      </c>
      <c r="U240" s="75">
        <v>0</v>
      </c>
      <c r="V240" s="75"/>
      <c r="W240" s="75">
        <v>0</v>
      </c>
      <c r="X240" s="1122">
        <v>0</v>
      </c>
      <c r="Y240" s="75">
        <v>0</v>
      </c>
      <c r="Z240" s="75">
        <v>0</v>
      </c>
      <c r="AA240" s="1122">
        <v>0</v>
      </c>
      <c r="AB240" s="75">
        <v>0</v>
      </c>
      <c r="AC240" s="75">
        <v>0</v>
      </c>
      <c r="AD240" s="1122">
        <v>0</v>
      </c>
      <c r="AE240" s="75">
        <v>0</v>
      </c>
      <c r="AF240" s="75">
        <v>0</v>
      </c>
      <c r="AG240" s="1122">
        <v>0</v>
      </c>
      <c r="AH240" s="505">
        <f t="shared" si="44"/>
        <v>0</v>
      </c>
      <c r="AI240" s="132"/>
      <c r="AJ240" s="75">
        <f t="shared" si="43"/>
        <v>0</v>
      </c>
      <c r="AK240" s="75"/>
      <c r="AL240" s="75"/>
      <c r="AM240" s="75"/>
      <c r="AN240" s="64" t="s">
        <v>39</v>
      </c>
      <c r="AO240" s="100"/>
      <c r="AP240" s="100"/>
      <c r="AQ240" s="993"/>
      <c r="AR240" s="100"/>
      <c r="AS240" s="994"/>
      <c r="AT240" s="100"/>
      <c r="AU240" s="983"/>
      <c r="AV240" s="1065"/>
      <c r="AW240" s="68"/>
    </row>
    <row r="241" spans="1:49" ht="24.6" hidden="1" customHeight="1" outlineLevel="3" x14ac:dyDescent="0.25">
      <c r="A241" s="63" t="str">
        <f t="shared" si="0"/>
        <v>1.3.1.5.4.61</v>
      </c>
      <c r="B241" s="64">
        <v>1</v>
      </c>
      <c r="C241" s="64">
        <v>3</v>
      </c>
      <c r="D241" s="64">
        <v>1</v>
      </c>
      <c r="E241" s="64">
        <v>5</v>
      </c>
      <c r="F241" s="64">
        <v>4</v>
      </c>
      <c r="G241" s="64">
        <v>61</v>
      </c>
      <c r="H241" s="65"/>
      <c r="I241" s="65"/>
      <c r="J241" s="66"/>
      <c r="K241" s="65" t="s">
        <v>317</v>
      </c>
      <c r="L241" s="64" t="s">
        <v>246</v>
      </c>
      <c r="M241" s="64" t="s">
        <v>240</v>
      </c>
      <c r="N241" s="64" t="s">
        <v>257</v>
      </c>
      <c r="O241" s="64" t="s">
        <v>241</v>
      </c>
      <c r="P241" s="69"/>
      <c r="Q241" s="69"/>
      <c r="R241" s="126">
        <v>10000</v>
      </c>
      <c r="S241" s="123" t="s">
        <v>248</v>
      </c>
      <c r="T241" s="194">
        <f>+R241/4</f>
        <v>2500</v>
      </c>
      <c r="U241" s="75">
        <v>0</v>
      </c>
      <c r="V241" s="75"/>
      <c r="W241" s="75">
        <v>0</v>
      </c>
      <c r="X241" s="1122">
        <v>0</v>
      </c>
      <c r="Y241" s="75">
        <v>0</v>
      </c>
      <c r="Z241" s="75">
        <v>0</v>
      </c>
      <c r="AA241" s="1122">
        <v>0</v>
      </c>
      <c r="AB241" s="75">
        <v>0</v>
      </c>
      <c r="AC241" s="75">
        <v>0</v>
      </c>
      <c r="AD241" s="1122">
        <v>0</v>
      </c>
      <c r="AE241" s="75">
        <v>0</v>
      </c>
      <c r="AF241" s="75">
        <v>0</v>
      </c>
      <c r="AG241" s="1122">
        <v>0</v>
      </c>
      <c r="AH241" s="505">
        <f t="shared" si="44"/>
        <v>0</v>
      </c>
      <c r="AI241" s="132"/>
      <c r="AJ241" s="75">
        <f t="shared" si="43"/>
        <v>0</v>
      </c>
      <c r="AK241" s="75"/>
      <c r="AL241" s="75"/>
      <c r="AM241" s="75"/>
      <c r="AN241" s="64" t="s">
        <v>39</v>
      </c>
      <c r="AO241" s="100"/>
      <c r="AP241" s="100"/>
      <c r="AQ241" s="993"/>
      <c r="AR241" s="100"/>
      <c r="AS241" s="994"/>
      <c r="AT241" s="100"/>
      <c r="AU241" s="983"/>
      <c r="AV241" s="1065"/>
      <c r="AW241" s="68"/>
    </row>
    <row r="242" spans="1:49" ht="24.6" hidden="1" customHeight="1" outlineLevel="3" x14ac:dyDescent="0.25">
      <c r="A242" s="63" t="str">
        <f t="shared" si="0"/>
        <v>1.3.1.5.5.61</v>
      </c>
      <c r="B242" s="64">
        <v>1</v>
      </c>
      <c r="C242" s="64">
        <v>3</v>
      </c>
      <c r="D242" s="64">
        <v>1</v>
      </c>
      <c r="E242" s="64">
        <v>5</v>
      </c>
      <c r="F242" s="64">
        <v>5</v>
      </c>
      <c r="G242" s="100">
        <v>61</v>
      </c>
      <c r="H242" s="65"/>
      <c r="I242" s="65"/>
      <c r="J242" s="66"/>
      <c r="K242" s="65" t="s">
        <v>1912</v>
      </c>
      <c r="L242" s="64" t="s">
        <v>246</v>
      </c>
      <c r="M242" s="64" t="s">
        <v>256</v>
      </c>
      <c r="N242" s="64" t="s">
        <v>257</v>
      </c>
      <c r="O242" s="64" t="s">
        <v>241</v>
      </c>
      <c r="P242" s="69"/>
      <c r="Q242" s="69"/>
      <c r="R242" s="126"/>
      <c r="S242" s="123" t="s">
        <v>330</v>
      </c>
      <c r="T242" s="194"/>
      <c r="U242" s="75">
        <v>3510000</v>
      </c>
      <c r="V242" s="75"/>
      <c r="W242" s="75">
        <v>0</v>
      </c>
      <c r="X242" s="1122">
        <v>0</v>
      </c>
      <c r="Y242" s="75">
        <v>3510000</v>
      </c>
      <c r="Z242" s="75">
        <v>0</v>
      </c>
      <c r="AA242" s="1122">
        <v>0</v>
      </c>
      <c r="AB242" s="75">
        <v>3510000</v>
      </c>
      <c r="AC242" s="75">
        <v>0</v>
      </c>
      <c r="AD242" s="1122">
        <v>0</v>
      </c>
      <c r="AE242" s="75">
        <v>3510000</v>
      </c>
      <c r="AF242" s="75">
        <v>0</v>
      </c>
      <c r="AG242" s="1122">
        <v>0</v>
      </c>
      <c r="AH242" s="505">
        <f t="shared" si="44"/>
        <v>14040000</v>
      </c>
      <c r="AI242" s="132"/>
      <c r="AJ242" s="75">
        <f t="shared" si="43"/>
        <v>0</v>
      </c>
      <c r="AK242" s="75"/>
      <c r="AL242" s="75"/>
      <c r="AM242" s="75"/>
      <c r="AN242" s="64" t="s">
        <v>39</v>
      </c>
      <c r="AO242" s="100"/>
      <c r="AP242" s="100"/>
      <c r="AQ242" s="1050"/>
      <c r="AR242" s="1051"/>
      <c r="AS242" s="1051"/>
      <c r="AT242" s="100"/>
      <c r="AU242" s="983"/>
      <c r="AV242" s="1065"/>
      <c r="AW242" s="1063"/>
    </row>
    <row r="243" spans="1:49" ht="29.1" hidden="1" customHeight="1" outlineLevel="3" x14ac:dyDescent="0.25">
      <c r="A243" s="63" t="str">
        <f t="shared" si="0"/>
        <v>1.3.1.5.6.61</v>
      </c>
      <c r="B243" s="64">
        <v>1</v>
      </c>
      <c r="C243" s="64">
        <v>3</v>
      </c>
      <c r="D243" s="64">
        <v>1</v>
      </c>
      <c r="E243" s="64">
        <v>5</v>
      </c>
      <c r="F243" s="64">
        <v>6</v>
      </c>
      <c r="G243" s="64">
        <v>61</v>
      </c>
      <c r="H243" s="65"/>
      <c r="I243" s="65"/>
      <c r="J243" s="66"/>
      <c r="K243" s="65" t="s">
        <v>304</v>
      </c>
      <c r="L243" s="64" t="s">
        <v>246</v>
      </c>
      <c r="M243" s="64" t="s">
        <v>240</v>
      </c>
      <c r="N243" s="64" t="s">
        <v>247</v>
      </c>
      <c r="O243" s="64" t="s">
        <v>241</v>
      </c>
      <c r="P243" s="69"/>
      <c r="Q243" s="69"/>
      <c r="R243" s="126">
        <v>85055</v>
      </c>
      <c r="S243" s="123" t="s">
        <v>248</v>
      </c>
      <c r="T243" s="194">
        <f t="shared" ref="T243:T246" si="45">+$R243/4</f>
        <v>21263.75</v>
      </c>
      <c r="U243" s="75">
        <v>0</v>
      </c>
      <c r="V243" s="75"/>
      <c r="W243" s="75">
        <v>0</v>
      </c>
      <c r="X243" s="1122">
        <v>0</v>
      </c>
      <c r="Y243" s="75">
        <v>0</v>
      </c>
      <c r="Z243" s="75">
        <v>0</v>
      </c>
      <c r="AA243" s="1122">
        <v>0</v>
      </c>
      <c r="AB243" s="75">
        <v>0</v>
      </c>
      <c r="AC243" s="75">
        <v>0</v>
      </c>
      <c r="AD243" s="1122">
        <v>0</v>
      </c>
      <c r="AE243" s="75">
        <v>0</v>
      </c>
      <c r="AF243" s="75">
        <v>0</v>
      </c>
      <c r="AG243" s="1122">
        <v>0</v>
      </c>
      <c r="AH243" s="505">
        <f t="shared" si="44"/>
        <v>0</v>
      </c>
      <c r="AI243" s="132"/>
      <c r="AJ243" s="75">
        <f t="shared" si="43"/>
        <v>0</v>
      </c>
      <c r="AK243" s="75"/>
      <c r="AL243" s="75"/>
      <c r="AM243" s="75"/>
      <c r="AN243" s="64" t="s">
        <v>39</v>
      </c>
      <c r="AO243" s="100"/>
      <c r="AP243" s="100"/>
      <c r="AQ243" s="993"/>
      <c r="AR243" s="100"/>
      <c r="AS243" s="994"/>
      <c r="AT243" s="100"/>
      <c r="AU243" s="983"/>
      <c r="AV243" s="1076"/>
      <c r="AW243" s="67"/>
    </row>
    <row r="244" spans="1:49" ht="29.1" hidden="1" customHeight="1" outlineLevel="3" x14ac:dyDescent="0.25">
      <c r="A244" s="63" t="str">
        <f t="shared" si="0"/>
        <v>1.3.1.5.7.61</v>
      </c>
      <c r="B244" s="64">
        <v>1</v>
      </c>
      <c r="C244" s="64">
        <v>3</v>
      </c>
      <c r="D244" s="64">
        <v>1</v>
      </c>
      <c r="E244" s="64">
        <v>5</v>
      </c>
      <c r="F244" s="64">
        <v>7</v>
      </c>
      <c r="G244" s="64">
        <v>61</v>
      </c>
      <c r="H244" s="65"/>
      <c r="I244" s="65"/>
      <c r="J244" s="66"/>
      <c r="K244" s="65" t="s">
        <v>262</v>
      </c>
      <c r="L244" s="64" t="s">
        <v>246</v>
      </c>
      <c r="M244" s="64" t="s">
        <v>240</v>
      </c>
      <c r="N244" s="64" t="s">
        <v>252</v>
      </c>
      <c r="O244" s="64" t="s">
        <v>241</v>
      </c>
      <c r="P244" s="69"/>
      <c r="Q244" s="69"/>
      <c r="R244" s="126">
        <v>1240512</v>
      </c>
      <c r="S244" s="123" t="s">
        <v>248</v>
      </c>
      <c r="T244" s="194">
        <f t="shared" si="45"/>
        <v>310128</v>
      </c>
      <c r="U244" s="75">
        <v>0</v>
      </c>
      <c r="V244" s="75"/>
      <c r="W244" s="75">
        <v>0</v>
      </c>
      <c r="X244" s="1122">
        <v>0</v>
      </c>
      <c r="Y244" s="75">
        <v>0</v>
      </c>
      <c r="Z244" s="75">
        <v>0</v>
      </c>
      <c r="AA244" s="1122">
        <v>0</v>
      </c>
      <c r="AB244" s="75">
        <v>0</v>
      </c>
      <c r="AC244" s="75">
        <v>0</v>
      </c>
      <c r="AD244" s="1122">
        <v>0</v>
      </c>
      <c r="AE244" s="75">
        <v>0</v>
      </c>
      <c r="AF244" s="75">
        <v>0</v>
      </c>
      <c r="AG244" s="1122">
        <v>0</v>
      </c>
      <c r="AH244" s="505">
        <f t="shared" si="44"/>
        <v>0</v>
      </c>
      <c r="AI244" s="132"/>
      <c r="AJ244" s="75">
        <f t="shared" si="43"/>
        <v>0</v>
      </c>
      <c r="AK244" s="75"/>
      <c r="AL244" s="75"/>
      <c r="AM244" s="75"/>
      <c r="AN244" s="64" t="s">
        <v>39</v>
      </c>
      <c r="AO244" s="100"/>
      <c r="AP244" s="100"/>
      <c r="AQ244" s="993"/>
      <c r="AR244" s="100"/>
      <c r="AS244" s="994"/>
      <c r="AT244" s="100"/>
      <c r="AU244" s="983"/>
      <c r="AV244" s="1076"/>
      <c r="AW244" s="67"/>
    </row>
    <row r="245" spans="1:49" ht="29.1" hidden="1" customHeight="1" outlineLevel="3" x14ac:dyDescent="0.25">
      <c r="A245" s="63" t="str">
        <f t="shared" si="0"/>
        <v>1.3.1.5.8.61</v>
      </c>
      <c r="B245" s="64">
        <v>1</v>
      </c>
      <c r="C245" s="64">
        <v>3</v>
      </c>
      <c r="D245" s="64">
        <v>1</v>
      </c>
      <c r="E245" s="64">
        <v>5</v>
      </c>
      <c r="F245" s="64">
        <v>8</v>
      </c>
      <c r="G245" s="64">
        <v>61</v>
      </c>
      <c r="H245" s="65"/>
      <c r="I245" s="65"/>
      <c r="J245" s="66"/>
      <c r="K245" s="65" t="s">
        <v>332</v>
      </c>
      <c r="L245" s="64" t="s">
        <v>246</v>
      </c>
      <c r="M245" s="64" t="s">
        <v>240</v>
      </c>
      <c r="N245" s="64" t="s">
        <v>252</v>
      </c>
      <c r="O245" s="64" t="s">
        <v>330</v>
      </c>
      <c r="P245" s="69"/>
      <c r="Q245" s="69"/>
      <c r="R245" s="126">
        <v>7310</v>
      </c>
      <c r="S245" s="123" t="s">
        <v>248</v>
      </c>
      <c r="T245" s="194">
        <f t="shared" si="45"/>
        <v>1827.5</v>
      </c>
      <c r="U245" s="75">
        <v>0</v>
      </c>
      <c r="V245" s="75"/>
      <c r="W245" s="75">
        <v>0</v>
      </c>
      <c r="X245" s="1122">
        <v>0</v>
      </c>
      <c r="Y245" s="75">
        <v>0</v>
      </c>
      <c r="Z245" s="75">
        <v>0</v>
      </c>
      <c r="AA245" s="1122">
        <v>0</v>
      </c>
      <c r="AB245" s="75">
        <v>0</v>
      </c>
      <c r="AC245" s="75">
        <v>0</v>
      </c>
      <c r="AD245" s="1122">
        <v>0</v>
      </c>
      <c r="AE245" s="75">
        <v>0</v>
      </c>
      <c r="AF245" s="75">
        <v>0</v>
      </c>
      <c r="AG245" s="1122">
        <v>0</v>
      </c>
      <c r="AH245" s="505">
        <f t="shared" si="44"/>
        <v>0</v>
      </c>
      <c r="AI245" s="132"/>
      <c r="AJ245" s="75">
        <f t="shared" si="43"/>
        <v>0</v>
      </c>
      <c r="AK245" s="75"/>
      <c r="AL245" s="75"/>
      <c r="AM245" s="75"/>
      <c r="AN245" s="64" t="s">
        <v>39</v>
      </c>
      <c r="AO245" s="100"/>
      <c r="AP245" s="100"/>
      <c r="AQ245" s="993"/>
      <c r="AR245" s="100"/>
      <c r="AS245" s="994"/>
      <c r="AT245" s="100"/>
      <c r="AU245" s="983"/>
      <c r="AV245" s="1076"/>
      <c r="AW245" s="68"/>
    </row>
    <row r="246" spans="1:49" ht="29.1" hidden="1" customHeight="1" outlineLevel="3" x14ac:dyDescent="0.25">
      <c r="A246" s="63" t="str">
        <f t="shared" si="0"/>
        <v>1.3.1.5.9.61</v>
      </c>
      <c r="B246" s="64">
        <v>1</v>
      </c>
      <c r="C246" s="64">
        <v>3</v>
      </c>
      <c r="D246" s="64">
        <v>1</v>
      </c>
      <c r="E246" s="64">
        <v>5</v>
      </c>
      <c r="F246" s="64">
        <v>9</v>
      </c>
      <c r="G246" s="64">
        <v>61</v>
      </c>
      <c r="H246" s="65"/>
      <c r="I246" s="65"/>
      <c r="J246" s="66"/>
      <c r="K246" s="65" t="s">
        <v>333</v>
      </c>
      <c r="L246" s="64" t="s">
        <v>246</v>
      </c>
      <c r="M246" s="64" t="s">
        <v>240</v>
      </c>
      <c r="N246" s="64" t="s">
        <v>257</v>
      </c>
      <c r="O246" s="64" t="s">
        <v>241</v>
      </c>
      <c r="P246" s="69"/>
      <c r="Q246" s="69"/>
      <c r="R246" s="126">
        <v>10000</v>
      </c>
      <c r="S246" s="123" t="s">
        <v>248</v>
      </c>
      <c r="T246" s="194">
        <f t="shared" si="45"/>
        <v>2500</v>
      </c>
      <c r="U246" s="75">
        <v>0</v>
      </c>
      <c r="V246" s="75"/>
      <c r="W246" s="75">
        <v>0</v>
      </c>
      <c r="X246" s="1122">
        <v>0</v>
      </c>
      <c r="Y246" s="75">
        <v>0</v>
      </c>
      <c r="Z246" s="75">
        <v>0</v>
      </c>
      <c r="AA246" s="1122">
        <v>0</v>
      </c>
      <c r="AB246" s="75">
        <v>0</v>
      </c>
      <c r="AC246" s="75">
        <v>0</v>
      </c>
      <c r="AD246" s="1122">
        <v>0</v>
      </c>
      <c r="AE246" s="75">
        <v>0</v>
      </c>
      <c r="AF246" s="75">
        <v>0</v>
      </c>
      <c r="AG246" s="1122">
        <v>0</v>
      </c>
      <c r="AH246" s="505">
        <f t="shared" si="44"/>
        <v>0</v>
      </c>
      <c r="AI246" s="132"/>
      <c r="AJ246" s="75">
        <f t="shared" si="43"/>
        <v>0</v>
      </c>
      <c r="AK246" s="75"/>
      <c r="AL246" s="75"/>
      <c r="AM246" s="75"/>
      <c r="AN246" s="64" t="s">
        <v>39</v>
      </c>
      <c r="AO246" s="100"/>
      <c r="AP246" s="100"/>
      <c r="AQ246" s="993"/>
      <c r="AR246" s="100"/>
      <c r="AS246" s="994"/>
      <c r="AT246" s="100"/>
      <c r="AU246" s="983"/>
      <c r="AV246" s="1076"/>
      <c r="AW246" s="68"/>
    </row>
    <row r="247" spans="1:49" ht="24.6" hidden="1" customHeight="1" outlineLevel="3" x14ac:dyDescent="0.25">
      <c r="A247" s="63" t="str">
        <f t="shared" si="0"/>
        <v>1.3.1.5.10.61</v>
      </c>
      <c r="B247" s="64">
        <v>1</v>
      </c>
      <c r="C247" s="64">
        <v>3</v>
      </c>
      <c r="D247" s="64">
        <v>1</v>
      </c>
      <c r="E247" s="64">
        <v>5</v>
      </c>
      <c r="F247" s="64">
        <v>10</v>
      </c>
      <c r="G247" s="64">
        <v>61</v>
      </c>
      <c r="H247" s="65"/>
      <c r="I247" s="65"/>
      <c r="J247" s="66"/>
      <c r="K247" s="65" t="s">
        <v>263</v>
      </c>
      <c r="L247" s="64" t="s">
        <v>264</v>
      </c>
      <c r="M247" s="64" t="s">
        <v>76</v>
      </c>
      <c r="N247" s="64" t="s">
        <v>265</v>
      </c>
      <c r="O247" s="64" t="s">
        <v>266</v>
      </c>
      <c r="P247" s="69"/>
      <c r="Q247" s="131"/>
      <c r="R247" s="124"/>
      <c r="S247" s="123" t="s">
        <v>258</v>
      </c>
      <c r="T247" s="194"/>
      <c r="U247" s="75">
        <v>0</v>
      </c>
      <c r="V247" s="75"/>
      <c r="W247" s="75">
        <v>0</v>
      </c>
      <c r="X247" s="1122">
        <v>0</v>
      </c>
      <c r="Y247" s="75">
        <v>0</v>
      </c>
      <c r="Z247" s="75">
        <v>0</v>
      </c>
      <c r="AA247" s="1122">
        <v>0</v>
      </c>
      <c r="AB247" s="75">
        <v>0</v>
      </c>
      <c r="AC247" s="75">
        <v>0</v>
      </c>
      <c r="AD247" s="1122">
        <v>0</v>
      </c>
      <c r="AE247" s="75">
        <v>0</v>
      </c>
      <c r="AF247" s="75">
        <v>0</v>
      </c>
      <c r="AG247" s="1122">
        <v>0</v>
      </c>
      <c r="AH247" s="505">
        <f t="shared" si="44"/>
        <v>0</v>
      </c>
      <c r="AI247" s="132"/>
      <c r="AJ247" s="75">
        <f t="shared" si="43"/>
        <v>0</v>
      </c>
      <c r="AK247" s="75"/>
      <c r="AL247" s="75"/>
      <c r="AM247" s="75"/>
      <c r="AN247" s="64" t="s">
        <v>181</v>
      </c>
      <c r="AO247" s="710"/>
      <c r="AP247" s="710"/>
      <c r="AQ247" s="1052"/>
      <c r="AR247" s="100"/>
      <c r="AS247" s="1053"/>
      <c r="AT247" s="100"/>
      <c r="AU247" s="983"/>
      <c r="AV247" s="1065"/>
      <c r="AW247" s="67"/>
    </row>
    <row r="248" spans="1:49" ht="24.6" hidden="1" customHeight="1" outlineLevel="3" x14ac:dyDescent="0.25">
      <c r="A248" s="63" t="str">
        <f t="shared" si="0"/>
        <v>1.3.1.5.11.61</v>
      </c>
      <c r="B248" s="64">
        <v>1</v>
      </c>
      <c r="C248" s="64">
        <v>3</v>
      </c>
      <c r="D248" s="64">
        <v>1</v>
      </c>
      <c r="E248" s="64">
        <v>5</v>
      </c>
      <c r="F248" s="64">
        <v>11</v>
      </c>
      <c r="G248" s="64">
        <v>61</v>
      </c>
      <c r="H248" s="65"/>
      <c r="I248" s="65"/>
      <c r="J248" s="66"/>
      <c r="K248" s="65" t="s">
        <v>2024</v>
      </c>
      <c r="L248" s="64"/>
      <c r="M248" s="64"/>
      <c r="N248" s="64"/>
      <c r="O248" s="64"/>
      <c r="P248" s="69"/>
      <c r="Q248" s="131"/>
      <c r="R248" s="124"/>
      <c r="S248" s="123"/>
      <c r="T248" s="194"/>
      <c r="U248" s="75">
        <v>0</v>
      </c>
      <c r="V248" s="75"/>
      <c r="W248" s="75">
        <v>0</v>
      </c>
      <c r="X248" s="1122">
        <v>0</v>
      </c>
      <c r="Y248" s="75">
        <v>0</v>
      </c>
      <c r="Z248" s="75">
        <v>0</v>
      </c>
      <c r="AA248" s="1122">
        <v>0</v>
      </c>
      <c r="AB248" s="75">
        <v>0</v>
      </c>
      <c r="AC248" s="75">
        <v>0</v>
      </c>
      <c r="AD248" s="1122">
        <v>0</v>
      </c>
      <c r="AE248" s="75">
        <v>0</v>
      </c>
      <c r="AF248" s="75">
        <v>0</v>
      </c>
      <c r="AG248" s="1122">
        <v>0</v>
      </c>
      <c r="AH248" s="505">
        <f t="shared" si="44"/>
        <v>0</v>
      </c>
      <c r="AI248" s="132"/>
      <c r="AJ248" s="75">
        <f t="shared" si="43"/>
        <v>0</v>
      </c>
      <c r="AK248" s="75"/>
      <c r="AL248" s="75"/>
      <c r="AM248" s="75"/>
      <c r="AN248" s="136" t="s">
        <v>39</v>
      </c>
      <c r="AO248" s="710"/>
      <c r="AP248" s="710"/>
      <c r="AQ248" s="1052"/>
      <c r="AR248" s="104"/>
      <c r="AS248" s="997"/>
      <c r="AT248" s="104"/>
      <c r="AU248" s="964"/>
      <c r="AV248" s="1065"/>
      <c r="AW248" s="67"/>
    </row>
    <row r="249" spans="1:49" ht="50.45" hidden="1" customHeight="1" outlineLevel="3" x14ac:dyDescent="0.25">
      <c r="A249" s="63" t="str">
        <f t="shared" si="0"/>
        <v>1.3.1.5.13.61</v>
      </c>
      <c r="B249" s="64">
        <v>1</v>
      </c>
      <c r="C249" s="64">
        <v>3</v>
      </c>
      <c r="D249" s="64">
        <v>1</v>
      </c>
      <c r="E249" s="64">
        <v>5</v>
      </c>
      <c r="F249" s="64">
        <v>13</v>
      </c>
      <c r="G249" s="64">
        <v>61</v>
      </c>
      <c r="H249" s="65"/>
      <c r="I249" s="65"/>
      <c r="J249" s="66"/>
      <c r="K249" s="67" t="s">
        <v>334</v>
      </c>
      <c r="L249" s="68" t="s">
        <v>270</v>
      </c>
      <c r="M249" s="64" t="s">
        <v>279</v>
      </c>
      <c r="N249" s="64"/>
      <c r="O249" s="64"/>
      <c r="P249" s="69"/>
      <c r="Q249" s="69"/>
      <c r="R249" s="124">
        <v>1</v>
      </c>
      <c r="S249" s="123"/>
      <c r="T249" s="194"/>
      <c r="U249" s="75">
        <v>0</v>
      </c>
      <c r="V249" s="75"/>
      <c r="W249" s="75">
        <v>0</v>
      </c>
      <c r="X249" s="1122">
        <v>0</v>
      </c>
      <c r="Y249" s="75">
        <v>0</v>
      </c>
      <c r="Z249" s="75">
        <v>0</v>
      </c>
      <c r="AA249" s="1122">
        <v>0</v>
      </c>
      <c r="AB249" s="75">
        <v>0</v>
      </c>
      <c r="AC249" s="75">
        <v>0</v>
      </c>
      <c r="AD249" s="1122">
        <v>0</v>
      </c>
      <c r="AE249" s="75">
        <v>0</v>
      </c>
      <c r="AF249" s="75">
        <v>0</v>
      </c>
      <c r="AG249" s="1122">
        <v>0</v>
      </c>
      <c r="AH249" s="505">
        <f t="shared" si="44"/>
        <v>0</v>
      </c>
      <c r="AI249" s="132"/>
      <c r="AJ249" s="75">
        <f t="shared" si="43"/>
        <v>0</v>
      </c>
      <c r="AK249" s="75"/>
      <c r="AL249" s="75"/>
      <c r="AM249" s="75"/>
      <c r="AN249" s="64" t="s">
        <v>39</v>
      </c>
      <c r="AO249" s="100"/>
      <c r="AP249" s="100"/>
      <c r="AQ249" s="993"/>
      <c r="AR249" s="100"/>
      <c r="AS249" s="994"/>
      <c r="AT249" s="100"/>
      <c r="AU249" s="983"/>
      <c r="AV249" s="1065"/>
      <c r="AW249" s="67"/>
    </row>
    <row r="250" spans="1:49" ht="34.5" hidden="1" customHeight="1" outlineLevel="3" x14ac:dyDescent="0.25">
      <c r="A250" s="63" t="str">
        <f t="shared" si="0"/>
        <v>1.3.1.5.15.61</v>
      </c>
      <c r="B250" s="64">
        <v>1</v>
      </c>
      <c r="C250" s="64">
        <v>3</v>
      </c>
      <c r="D250" s="64">
        <v>1</v>
      </c>
      <c r="E250" s="64">
        <v>5</v>
      </c>
      <c r="F250" s="64">
        <v>15</v>
      </c>
      <c r="G250" s="100">
        <v>61</v>
      </c>
      <c r="H250" s="65"/>
      <c r="I250" s="65"/>
      <c r="J250" s="66"/>
      <c r="K250" s="65" t="s">
        <v>335</v>
      </c>
      <c r="L250" s="64" t="s">
        <v>72</v>
      </c>
      <c r="M250" s="64" t="s">
        <v>267</v>
      </c>
      <c r="N250" s="64" t="s">
        <v>265</v>
      </c>
      <c r="O250" s="64" t="s">
        <v>275</v>
      </c>
      <c r="P250" s="69"/>
      <c r="Q250" s="69"/>
      <c r="R250" s="124">
        <v>12</v>
      </c>
      <c r="S250" s="123"/>
      <c r="T250" s="194">
        <v>3</v>
      </c>
      <c r="U250" s="75">
        <f>5554013.85+1088474.54</f>
        <v>6642488.3899999997</v>
      </c>
      <c r="V250" s="75"/>
      <c r="W250" s="75">
        <v>0</v>
      </c>
      <c r="X250" s="1122">
        <v>0</v>
      </c>
      <c r="Y250" s="75">
        <f>5554013.85+1632711.81</f>
        <v>7186725.6600000001</v>
      </c>
      <c r="Z250" s="75">
        <v>0</v>
      </c>
      <c r="AA250" s="1122">
        <v>0</v>
      </c>
      <c r="AB250" s="75">
        <f>5554013.85+1632711.81</f>
        <v>7186725.6600000001</v>
      </c>
      <c r="AC250" s="75">
        <v>0</v>
      </c>
      <c r="AD250" s="1122">
        <v>0</v>
      </c>
      <c r="AE250" s="75">
        <f>5554013.85+1632711.81</f>
        <v>7186725.6600000001</v>
      </c>
      <c r="AF250" s="75">
        <v>0</v>
      </c>
      <c r="AG250" s="1122">
        <v>0</v>
      </c>
      <c r="AH250" s="505">
        <f t="shared" si="44"/>
        <v>28202665.370000001</v>
      </c>
      <c r="AI250" s="132"/>
      <c r="AJ250" s="75">
        <f t="shared" si="43"/>
        <v>0</v>
      </c>
      <c r="AK250" s="75"/>
      <c r="AL250" s="75"/>
      <c r="AM250" s="75"/>
      <c r="AN250" s="64" t="s">
        <v>39</v>
      </c>
      <c r="AO250" s="100"/>
      <c r="AP250" s="1050"/>
      <c r="AQ250" s="1050"/>
      <c r="AR250" s="1051"/>
      <c r="AS250" s="1051"/>
      <c r="AT250" s="100"/>
      <c r="AU250" s="1043"/>
      <c r="AV250" s="1092"/>
      <c r="AW250" s="538"/>
    </row>
    <row r="251" spans="1:49" ht="35.1" hidden="1" customHeight="1" outlineLevel="3" x14ac:dyDescent="0.25">
      <c r="A251" s="63" t="str">
        <f t="shared" si="0"/>
        <v>1.3.1.5.17.61</v>
      </c>
      <c r="B251" s="64">
        <v>1</v>
      </c>
      <c r="C251" s="64">
        <v>3</v>
      </c>
      <c r="D251" s="64">
        <v>1</v>
      </c>
      <c r="E251" s="64">
        <v>5</v>
      </c>
      <c r="F251" s="64">
        <v>17</v>
      </c>
      <c r="G251" s="64">
        <v>61</v>
      </c>
      <c r="H251" s="65"/>
      <c r="I251" s="65"/>
      <c r="J251" s="66"/>
      <c r="K251" s="65" t="s">
        <v>336</v>
      </c>
      <c r="L251" s="64" t="s">
        <v>72</v>
      </c>
      <c r="M251" s="64" t="s">
        <v>267</v>
      </c>
      <c r="N251" s="64" t="s">
        <v>337</v>
      </c>
      <c r="O251" s="64" t="s">
        <v>275</v>
      </c>
      <c r="P251" s="69"/>
      <c r="Q251" s="69"/>
      <c r="R251" s="124"/>
      <c r="S251" s="123"/>
      <c r="T251" s="194"/>
      <c r="U251" s="75">
        <v>0</v>
      </c>
      <c r="V251" s="75"/>
      <c r="W251" s="75">
        <v>0</v>
      </c>
      <c r="X251" s="1122">
        <v>0</v>
      </c>
      <c r="Y251" s="75">
        <v>0</v>
      </c>
      <c r="Z251" s="75">
        <v>0</v>
      </c>
      <c r="AA251" s="1122">
        <v>0</v>
      </c>
      <c r="AB251" s="75">
        <v>0</v>
      </c>
      <c r="AC251" s="75">
        <v>0</v>
      </c>
      <c r="AD251" s="1122">
        <v>0</v>
      </c>
      <c r="AE251" s="75">
        <v>0</v>
      </c>
      <c r="AF251" s="75">
        <v>0</v>
      </c>
      <c r="AG251" s="1122">
        <v>0</v>
      </c>
      <c r="AH251" s="505">
        <f t="shared" si="44"/>
        <v>0</v>
      </c>
      <c r="AI251" s="132"/>
      <c r="AJ251" s="75">
        <f t="shared" si="43"/>
        <v>0</v>
      </c>
      <c r="AK251" s="75"/>
      <c r="AL251" s="75"/>
      <c r="AM251" s="75"/>
      <c r="AN251" s="64" t="s">
        <v>39</v>
      </c>
      <c r="AO251" s="100"/>
      <c r="AP251" s="100"/>
      <c r="AQ251" s="100"/>
      <c r="AR251" s="710"/>
      <c r="AS251" s="100"/>
      <c r="AT251" s="100"/>
      <c r="AU251" s="983"/>
      <c r="AV251" s="1065"/>
      <c r="AW251" s="68"/>
    </row>
    <row r="252" spans="1:49" ht="35.1" hidden="1" customHeight="1" outlineLevel="3" x14ac:dyDescent="0.25">
      <c r="A252" s="63" t="str">
        <f t="shared" si="0"/>
        <v>1.3.1.5.18.61</v>
      </c>
      <c r="B252" s="64">
        <v>1</v>
      </c>
      <c r="C252" s="64">
        <v>3</v>
      </c>
      <c r="D252" s="64">
        <v>1</v>
      </c>
      <c r="E252" s="64">
        <v>5</v>
      </c>
      <c r="F252" s="64">
        <v>18</v>
      </c>
      <c r="G252" s="64">
        <v>61</v>
      </c>
      <c r="H252" s="65"/>
      <c r="I252" s="65"/>
      <c r="J252" s="66"/>
      <c r="K252" s="67" t="s">
        <v>276</v>
      </c>
      <c r="L252" s="64" t="s">
        <v>72</v>
      </c>
      <c r="M252" s="64" t="s">
        <v>271</v>
      </c>
      <c r="N252" s="64" t="s">
        <v>307</v>
      </c>
      <c r="O252" s="64" t="s">
        <v>277</v>
      </c>
      <c r="P252" s="69"/>
      <c r="Q252" s="69"/>
      <c r="R252" s="124"/>
      <c r="S252" s="123"/>
      <c r="T252" s="194"/>
      <c r="U252" s="75">
        <v>0</v>
      </c>
      <c r="V252" s="75"/>
      <c r="W252" s="75">
        <v>0</v>
      </c>
      <c r="X252" s="1122">
        <v>0</v>
      </c>
      <c r="Y252" s="75">
        <v>0</v>
      </c>
      <c r="Z252" s="75">
        <v>0</v>
      </c>
      <c r="AA252" s="1122">
        <v>0</v>
      </c>
      <c r="AB252" s="75">
        <v>0</v>
      </c>
      <c r="AC252" s="75">
        <v>0</v>
      </c>
      <c r="AD252" s="1122">
        <v>0</v>
      </c>
      <c r="AE252" s="75">
        <v>0</v>
      </c>
      <c r="AF252" s="75">
        <v>0</v>
      </c>
      <c r="AG252" s="1122">
        <v>0</v>
      </c>
      <c r="AH252" s="505">
        <f t="shared" si="44"/>
        <v>0</v>
      </c>
      <c r="AI252" s="132"/>
      <c r="AJ252" s="75">
        <f t="shared" si="43"/>
        <v>0</v>
      </c>
      <c r="AK252" s="75"/>
      <c r="AL252" s="75"/>
      <c r="AM252" s="75"/>
      <c r="AN252" s="189" t="s">
        <v>39</v>
      </c>
      <c r="AO252" s="100"/>
      <c r="AP252" s="100"/>
      <c r="AQ252" s="100"/>
      <c r="AR252" s="100"/>
      <c r="AS252" s="100"/>
      <c r="AT252" s="100"/>
      <c r="AU252" s="983"/>
      <c r="AV252" s="1065"/>
      <c r="AW252" s="68"/>
    </row>
    <row r="253" spans="1:49" ht="35.1" hidden="1" customHeight="1" outlineLevel="3" x14ac:dyDescent="0.25">
      <c r="A253" s="63" t="str">
        <f t="shared" si="0"/>
        <v>1.3.1.5.19.61</v>
      </c>
      <c r="B253" s="64">
        <v>1</v>
      </c>
      <c r="C253" s="64">
        <v>3</v>
      </c>
      <c r="D253" s="64">
        <v>1</v>
      </c>
      <c r="E253" s="64">
        <v>5</v>
      </c>
      <c r="F253" s="64">
        <v>19</v>
      </c>
      <c r="G253" s="64">
        <v>61</v>
      </c>
      <c r="H253" s="65"/>
      <c r="I253" s="65"/>
      <c r="J253" s="66"/>
      <c r="K253" s="67" t="s">
        <v>1893</v>
      </c>
      <c r="L253" s="64" t="s">
        <v>72</v>
      </c>
      <c r="M253" s="64" t="s">
        <v>279</v>
      </c>
      <c r="N253" s="64" t="s">
        <v>307</v>
      </c>
      <c r="O253" s="68" t="s">
        <v>277</v>
      </c>
      <c r="P253" s="69"/>
      <c r="Q253" s="69"/>
      <c r="R253" s="124"/>
      <c r="S253" s="123"/>
      <c r="T253" s="194"/>
      <c r="U253" s="75">
        <v>42857</v>
      </c>
      <c r="V253" s="75"/>
      <c r="W253" s="75">
        <v>0</v>
      </c>
      <c r="X253" s="1122">
        <v>0</v>
      </c>
      <c r="Y253" s="75">
        <v>0</v>
      </c>
      <c r="Z253" s="75">
        <v>0</v>
      </c>
      <c r="AA253" s="1122">
        <v>0</v>
      </c>
      <c r="AB253" s="75">
        <v>0</v>
      </c>
      <c r="AC253" s="75">
        <v>0</v>
      </c>
      <c r="AD253" s="1122">
        <v>0</v>
      </c>
      <c r="AE253" s="75">
        <v>0</v>
      </c>
      <c r="AF253" s="75">
        <v>0</v>
      </c>
      <c r="AG253" s="1122">
        <v>0</v>
      </c>
      <c r="AH253" s="505">
        <f t="shared" si="44"/>
        <v>42857</v>
      </c>
      <c r="AI253" s="132"/>
      <c r="AJ253" s="75">
        <f t="shared" si="43"/>
        <v>0</v>
      </c>
      <c r="AK253" s="132"/>
      <c r="AL253" s="132"/>
      <c r="AM253" s="132"/>
      <c r="AN253" s="189" t="s">
        <v>39</v>
      </c>
      <c r="AO253" s="100"/>
      <c r="AP253" s="960"/>
      <c r="AQ253" s="960"/>
      <c r="AR253" s="1054"/>
      <c r="AS253" s="1054"/>
      <c r="AT253" s="1056"/>
      <c r="AU253" s="1055"/>
      <c r="AV253" s="101"/>
      <c r="AW253" s="538"/>
    </row>
    <row r="254" spans="1:49" ht="35.1" hidden="1" customHeight="1" outlineLevel="3" x14ac:dyDescent="0.25">
      <c r="A254" s="164" t="str">
        <f t="shared" si="0"/>
        <v>1.3.1.5.25.61</v>
      </c>
      <c r="B254" s="165">
        <v>1</v>
      </c>
      <c r="C254" s="165">
        <v>3</v>
      </c>
      <c r="D254" s="165">
        <v>1</v>
      </c>
      <c r="E254" s="165">
        <v>5</v>
      </c>
      <c r="F254" s="165">
        <v>25</v>
      </c>
      <c r="G254" s="165">
        <v>61</v>
      </c>
      <c r="H254" s="166"/>
      <c r="I254" s="166"/>
      <c r="J254" s="167"/>
      <c r="K254" s="1003" t="s">
        <v>338</v>
      </c>
      <c r="L254" s="165" t="s">
        <v>72</v>
      </c>
      <c r="M254" s="165" t="s">
        <v>271</v>
      </c>
      <c r="N254" s="165" t="s">
        <v>307</v>
      </c>
      <c r="O254" s="165" t="s">
        <v>281</v>
      </c>
      <c r="P254" s="169"/>
      <c r="Q254" s="169"/>
      <c r="R254" s="1012"/>
      <c r="S254" s="1013"/>
      <c r="T254" s="1185"/>
      <c r="U254" s="75">
        <v>0</v>
      </c>
      <c r="V254" s="75"/>
      <c r="W254" s="75">
        <v>0</v>
      </c>
      <c r="X254" s="1122">
        <v>0</v>
      </c>
      <c r="Y254" s="75">
        <v>0</v>
      </c>
      <c r="Z254" s="75">
        <v>0</v>
      </c>
      <c r="AA254" s="1122">
        <v>0</v>
      </c>
      <c r="AB254" s="75">
        <v>0</v>
      </c>
      <c r="AC254" s="75">
        <v>0</v>
      </c>
      <c r="AD254" s="1122">
        <v>0</v>
      </c>
      <c r="AE254" s="75">
        <v>0</v>
      </c>
      <c r="AF254" s="75">
        <v>0</v>
      </c>
      <c r="AG254" s="1122">
        <v>0</v>
      </c>
      <c r="AH254" s="505">
        <f t="shared" si="44"/>
        <v>0</v>
      </c>
      <c r="AI254" s="132"/>
      <c r="AJ254" s="75">
        <f t="shared" si="43"/>
        <v>0</v>
      </c>
      <c r="AK254" s="132"/>
      <c r="AL254" s="132"/>
      <c r="AM254" s="132"/>
      <c r="AN254" s="165" t="s">
        <v>39</v>
      </c>
      <c r="AO254" s="710"/>
      <c r="AP254" s="710"/>
      <c r="AQ254" s="710"/>
      <c r="AR254" s="1075"/>
      <c r="AS254" s="710"/>
      <c r="AT254" s="710"/>
      <c r="AU254" s="1044"/>
      <c r="AV254" s="1065"/>
      <c r="AW254" s="68"/>
    </row>
    <row r="255" spans="1:49" ht="29.1" hidden="1" customHeight="1" outlineLevel="3" x14ac:dyDescent="0.25">
      <c r="A255" s="63" t="str">
        <f t="shared" si="0"/>
        <v>1.3.1.5.26.61</v>
      </c>
      <c r="B255" s="64">
        <v>1</v>
      </c>
      <c r="C255" s="64">
        <v>3</v>
      </c>
      <c r="D255" s="64">
        <v>1</v>
      </c>
      <c r="E255" s="64">
        <v>5</v>
      </c>
      <c r="F255" s="64">
        <v>26</v>
      </c>
      <c r="G255" s="64">
        <v>61</v>
      </c>
      <c r="H255" s="65"/>
      <c r="I255" s="65"/>
      <c r="J255" s="66"/>
      <c r="K255" s="65" t="s">
        <v>284</v>
      </c>
      <c r="L255" s="64" t="s">
        <v>72</v>
      </c>
      <c r="M255" s="64" t="s">
        <v>271</v>
      </c>
      <c r="N255" s="64" t="s">
        <v>307</v>
      </c>
      <c r="O255" s="64" t="s">
        <v>281</v>
      </c>
      <c r="P255" s="69">
        <v>44972</v>
      </c>
      <c r="Q255" s="131">
        <v>45290</v>
      </c>
      <c r="R255" s="124">
        <v>1</v>
      </c>
      <c r="S255" s="123" t="s">
        <v>76</v>
      </c>
      <c r="T255" s="194"/>
      <c r="U255" s="75">
        <v>0</v>
      </c>
      <c r="V255" s="75"/>
      <c r="W255" s="75">
        <v>0</v>
      </c>
      <c r="X255" s="1122">
        <v>0</v>
      </c>
      <c r="Y255" s="75">
        <v>99607.2</v>
      </c>
      <c r="Z255" s="75">
        <v>0</v>
      </c>
      <c r="AA255" s="1122">
        <v>0</v>
      </c>
      <c r="AB255" s="75">
        <v>0</v>
      </c>
      <c r="AC255" s="75">
        <v>0</v>
      </c>
      <c r="AD255" s="1122">
        <v>0</v>
      </c>
      <c r="AE255" s="75">
        <v>0</v>
      </c>
      <c r="AF255" s="75">
        <v>0</v>
      </c>
      <c r="AG255" s="1122">
        <v>0</v>
      </c>
      <c r="AH255" s="505">
        <f t="shared" si="44"/>
        <v>99607.2</v>
      </c>
      <c r="AI255" s="132"/>
      <c r="AJ255" s="75">
        <f t="shared" si="43"/>
        <v>0</v>
      </c>
      <c r="AK255" s="377"/>
      <c r="AL255" s="132"/>
      <c r="AM255" s="132"/>
      <c r="AN255" s="64" t="s">
        <v>39</v>
      </c>
      <c r="AO255" s="100"/>
      <c r="AP255" s="100"/>
      <c r="AQ255" s="100"/>
      <c r="AR255" s="100"/>
      <c r="AS255" s="100"/>
      <c r="AT255" s="100"/>
      <c r="AU255" s="983"/>
      <c r="AV255" s="123" t="s">
        <v>166</v>
      </c>
      <c r="AW255" s="67" t="s">
        <v>2736</v>
      </c>
    </row>
    <row r="256" spans="1:49" ht="27" hidden="1" customHeight="1" outlineLevel="3" x14ac:dyDescent="0.25">
      <c r="A256" s="864" t="str">
        <f t="shared" si="0"/>
        <v>1.3.1.5.27.61</v>
      </c>
      <c r="B256" s="245">
        <v>1</v>
      </c>
      <c r="C256" s="245">
        <v>3</v>
      </c>
      <c r="D256" s="245">
        <v>1</v>
      </c>
      <c r="E256" s="245">
        <v>5</v>
      </c>
      <c r="F256" s="245">
        <v>27</v>
      </c>
      <c r="G256" s="245">
        <v>61</v>
      </c>
      <c r="H256" s="1018"/>
      <c r="I256" s="1018"/>
      <c r="J256" s="1019"/>
      <c r="K256" s="1018" t="s">
        <v>339</v>
      </c>
      <c r="L256" s="245" t="s">
        <v>72</v>
      </c>
      <c r="M256" s="245" t="s">
        <v>73</v>
      </c>
      <c r="N256" s="245" t="s">
        <v>307</v>
      </c>
      <c r="O256" s="245" t="s">
        <v>281</v>
      </c>
      <c r="P256" s="1020"/>
      <c r="Q256" s="1020"/>
      <c r="R256" s="1022"/>
      <c r="S256" s="1023"/>
      <c r="T256" s="1186"/>
      <c r="U256" s="75">
        <v>0</v>
      </c>
      <c r="V256" s="75"/>
      <c r="W256" s="75">
        <v>0</v>
      </c>
      <c r="X256" s="1122">
        <v>0</v>
      </c>
      <c r="Y256" s="75">
        <v>0</v>
      </c>
      <c r="Z256" s="75">
        <v>0</v>
      </c>
      <c r="AA256" s="1122">
        <v>0</v>
      </c>
      <c r="AB256" s="75">
        <v>0</v>
      </c>
      <c r="AC256" s="75">
        <v>0</v>
      </c>
      <c r="AD256" s="1122">
        <v>0</v>
      </c>
      <c r="AE256" s="75">
        <v>0</v>
      </c>
      <c r="AF256" s="75">
        <v>0</v>
      </c>
      <c r="AG256" s="1122">
        <v>0</v>
      </c>
      <c r="AH256" s="505">
        <f t="shared" si="44"/>
        <v>0</v>
      </c>
      <c r="AI256" s="132"/>
      <c r="AJ256" s="75">
        <f t="shared" si="43"/>
        <v>0</v>
      </c>
      <c r="AK256" s="132"/>
      <c r="AL256" s="132"/>
      <c r="AM256" s="132"/>
      <c r="AN256" s="245" t="s">
        <v>39</v>
      </c>
      <c r="AO256" s="1028"/>
      <c r="AP256" s="1028"/>
      <c r="AQ256" s="1028"/>
      <c r="AR256" s="1028"/>
      <c r="AS256" s="1028"/>
      <c r="AT256" s="1028"/>
      <c r="AU256" s="1031"/>
      <c r="AV256" s="1065"/>
      <c r="AW256" s="68"/>
    </row>
    <row r="257" spans="1:61" ht="27" hidden="1" customHeight="1" outlineLevel="3" x14ac:dyDescent="0.25">
      <c r="A257" s="63" t="str">
        <f t="shared" si="0"/>
        <v>1.3.1.5.28.61</v>
      </c>
      <c r="B257" s="64">
        <v>1</v>
      </c>
      <c r="C257" s="64">
        <v>3</v>
      </c>
      <c r="D257" s="64">
        <v>1</v>
      </c>
      <c r="E257" s="64">
        <v>5</v>
      </c>
      <c r="F257" s="64">
        <v>28</v>
      </c>
      <c r="G257" s="64">
        <v>61</v>
      </c>
      <c r="H257" s="65"/>
      <c r="I257" s="65"/>
      <c r="J257" s="66"/>
      <c r="K257" s="65" t="s">
        <v>285</v>
      </c>
      <c r="L257" s="64" t="s">
        <v>72</v>
      </c>
      <c r="M257" s="64" t="s">
        <v>279</v>
      </c>
      <c r="N257" s="64" t="s">
        <v>307</v>
      </c>
      <c r="O257" s="64" t="s">
        <v>281</v>
      </c>
      <c r="P257" s="69"/>
      <c r="Q257" s="69"/>
      <c r="R257" s="124"/>
      <c r="S257" s="123"/>
      <c r="T257" s="194"/>
      <c r="U257" s="75">
        <v>0</v>
      </c>
      <c r="V257" s="75"/>
      <c r="W257" s="75">
        <v>0</v>
      </c>
      <c r="X257" s="1122">
        <v>0</v>
      </c>
      <c r="Y257" s="75">
        <v>0</v>
      </c>
      <c r="Z257" s="75">
        <v>0</v>
      </c>
      <c r="AA257" s="1122">
        <v>0</v>
      </c>
      <c r="AB257" s="75">
        <v>0</v>
      </c>
      <c r="AC257" s="75">
        <v>0</v>
      </c>
      <c r="AD257" s="1122">
        <v>0</v>
      </c>
      <c r="AE257" s="75">
        <v>0</v>
      </c>
      <c r="AF257" s="75">
        <v>0</v>
      </c>
      <c r="AG257" s="1122">
        <v>0</v>
      </c>
      <c r="AH257" s="505">
        <f t="shared" si="44"/>
        <v>0</v>
      </c>
      <c r="AI257" s="132"/>
      <c r="AJ257" s="75">
        <f t="shared" si="43"/>
        <v>0</v>
      </c>
      <c r="AK257" s="132"/>
      <c r="AL257" s="132"/>
      <c r="AM257" s="132"/>
      <c r="AN257" s="64" t="s">
        <v>39</v>
      </c>
      <c r="AO257" s="100"/>
      <c r="AP257" s="100"/>
      <c r="AQ257" s="100"/>
      <c r="AR257" s="100"/>
      <c r="AS257" s="100"/>
      <c r="AT257" s="100"/>
      <c r="AU257" s="983"/>
      <c r="AV257" s="101"/>
      <c r="AW257" s="68"/>
    </row>
    <row r="258" spans="1:61" ht="27" hidden="1" customHeight="1" outlineLevel="3" x14ac:dyDescent="0.25">
      <c r="A258" s="63" t="str">
        <f t="shared" si="0"/>
        <v>1.3.1.5.29.61</v>
      </c>
      <c r="B258" s="64">
        <v>1</v>
      </c>
      <c r="C258" s="64">
        <v>3</v>
      </c>
      <c r="D258" s="64">
        <v>1</v>
      </c>
      <c r="E258" s="64">
        <v>5</v>
      </c>
      <c r="F258" s="64">
        <v>29</v>
      </c>
      <c r="G258" s="64">
        <v>61</v>
      </c>
      <c r="H258" s="65"/>
      <c r="I258" s="65"/>
      <c r="J258" s="66"/>
      <c r="K258" s="65" t="s">
        <v>286</v>
      </c>
      <c r="L258" s="64" t="s">
        <v>72</v>
      </c>
      <c r="M258" s="64" t="s">
        <v>73</v>
      </c>
      <c r="N258" s="64" t="s">
        <v>307</v>
      </c>
      <c r="O258" s="64" t="s">
        <v>281</v>
      </c>
      <c r="P258" s="69"/>
      <c r="Q258" s="69"/>
      <c r="R258" s="124"/>
      <c r="S258" s="123"/>
      <c r="T258" s="194"/>
      <c r="U258" s="75">
        <v>0</v>
      </c>
      <c r="V258" s="75"/>
      <c r="W258" s="75">
        <v>0</v>
      </c>
      <c r="X258" s="1122">
        <v>0</v>
      </c>
      <c r="Y258" s="75">
        <v>0</v>
      </c>
      <c r="Z258" s="75">
        <v>0</v>
      </c>
      <c r="AA258" s="1122">
        <v>0</v>
      </c>
      <c r="AB258" s="75">
        <v>0</v>
      </c>
      <c r="AC258" s="75">
        <v>0</v>
      </c>
      <c r="AD258" s="1122">
        <v>0</v>
      </c>
      <c r="AE258" s="75">
        <v>0</v>
      </c>
      <c r="AF258" s="75">
        <v>0</v>
      </c>
      <c r="AG258" s="1122">
        <v>0</v>
      </c>
      <c r="AH258" s="505">
        <f t="shared" si="44"/>
        <v>0</v>
      </c>
      <c r="AI258" s="132"/>
      <c r="AJ258" s="75">
        <f t="shared" si="43"/>
        <v>0</v>
      </c>
      <c r="AK258" s="132"/>
      <c r="AL258" s="132"/>
      <c r="AM258" s="132"/>
      <c r="AN258" s="64" t="s">
        <v>39</v>
      </c>
      <c r="AO258" s="100"/>
      <c r="AP258" s="100"/>
      <c r="AQ258" s="100"/>
      <c r="AR258" s="100"/>
      <c r="AS258" s="100"/>
      <c r="AT258" s="100"/>
      <c r="AU258" s="983"/>
      <c r="AV258" s="1065"/>
      <c r="AW258" s="68"/>
    </row>
    <row r="259" spans="1:61" ht="27" hidden="1" customHeight="1" outlineLevel="3" x14ac:dyDescent="0.25">
      <c r="A259" s="63" t="str">
        <f t="shared" si="0"/>
        <v>1.3.1.5.30.61</v>
      </c>
      <c r="B259" s="64">
        <v>1</v>
      </c>
      <c r="C259" s="64">
        <v>3</v>
      </c>
      <c r="D259" s="64">
        <v>1</v>
      </c>
      <c r="E259" s="64">
        <v>5</v>
      </c>
      <c r="F259" s="64">
        <v>30</v>
      </c>
      <c r="G259" s="64">
        <v>61</v>
      </c>
      <c r="H259" s="65"/>
      <c r="I259" s="65"/>
      <c r="J259" s="66"/>
      <c r="K259" s="65" t="s">
        <v>287</v>
      </c>
      <c r="L259" s="64" t="s">
        <v>72</v>
      </c>
      <c r="M259" s="64" t="s">
        <v>73</v>
      </c>
      <c r="N259" s="64"/>
      <c r="O259" s="64"/>
      <c r="P259" s="69"/>
      <c r="Q259" s="69"/>
      <c r="R259" s="124">
        <v>1</v>
      </c>
      <c r="S259" s="123"/>
      <c r="T259" s="194"/>
      <c r="U259" s="75">
        <v>0</v>
      </c>
      <c r="V259" s="75"/>
      <c r="W259" s="75">
        <v>0</v>
      </c>
      <c r="X259" s="1122">
        <v>0</v>
      </c>
      <c r="Y259" s="75">
        <v>0</v>
      </c>
      <c r="Z259" s="75">
        <v>0</v>
      </c>
      <c r="AA259" s="1122">
        <v>0</v>
      </c>
      <c r="AB259" s="75">
        <v>0</v>
      </c>
      <c r="AC259" s="75">
        <v>0</v>
      </c>
      <c r="AD259" s="1122">
        <v>0</v>
      </c>
      <c r="AE259" s="75">
        <v>0</v>
      </c>
      <c r="AF259" s="75">
        <v>0</v>
      </c>
      <c r="AG259" s="1122">
        <v>0</v>
      </c>
      <c r="AH259" s="505">
        <f t="shared" si="44"/>
        <v>0</v>
      </c>
      <c r="AI259" s="132"/>
      <c r="AJ259" s="75">
        <f t="shared" si="43"/>
        <v>0</v>
      </c>
      <c r="AK259" s="132"/>
      <c r="AL259" s="132"/>
      <c r="AM259" s="132"/>
      <c r="AN259" s="64" t="s">
        <v>39</v>
      </c>
      <c r="AO259" s="100"/>
      <c r="AP259" s="100"/>
      <c r="AQ259" s="100"/>
      <c r="AR259" s="100"/>
      <c r="AS259" s="100"/>
      <c r="AT259" s="100"/>
      <c r="AU259" s="983"/>
      <c r="AV259" s="1065"/>
      <c r="AW259" s="68"/>
    </row>
    <row r="260" spans="1:61" ht="27" hidden="1" customHeight="1" outlineLevel="3" x14ac:dyDescent="0.25">
      <c r="A260" s="63" t="str">
        <f t="shared" si="0"/>
        <v>1.3.1.5.31.61</v>
      </c>
      <c r="B260" s="64">
        <v>1</v>
      </c>
      <c r="C260" s="64">
        <v>3</v>
      </c>
      <c r="D260" s="64">
        <v>1</v>
      </c>
      <c r="E260" s="64">
        <v>5</v>
      </c>
      <c r="F260" s="64">
        <v>31</v>
      </c>
      <c r="G260" s="64">
        <v>61</v>
      </c>
      <c r="H260" s="65"/>
      <c r="I260" s="65"/>
      <c r="J260" s="66"/>
      <c r="K260" s="67" t="s">
        <v>2206</v>
      </c>
      <c r="L260" s="64" t="s">
        <v>72</v>
      </c>
      <c r="M260" s="64" t="s">
        <v>279</v>
      </c>
      <c r="N260" s="64"/>
      <c r="O260" s="64"/>
      <c r="P260" s="69"/>
      <c r="Q260" s="69"/>
      <c r="R260" s="124"/>
      <c r="S260" s="123"/>
      <c r="T260" s="194"/>
      <c r="U260" s="75">
        <v>0</v>
      </c>
      <c r="V260" s="75"/>
      <c r="W260" s="75">
        <v>0</v>
      </c>
      <c r="X260" s="1122">
        <v>0</v>
      </c>
      <c r="Y260" s="75">
        <v>0</v>
      </c>
      <c r="Z260" s="75">
        <v>0</v>
      </c>
      <c r="AA260" s="1122">
        <v>0</v>
      </c>
      <c r="AB260" s="75">
        <v>0</v>
      </c>
      <c r="AC260" s="75">
        <v>0</v>
      </c>
      <c r="AD260" s="1122">
        <v>0</v>
      </c>
      <c r="AE260" s="75">
        <v>0</v>
      </c>
      <c r="AF260" s="75">
        <v>0</v>
      </c>
      <c r="AG260" s="1122">
        <v>0</v>
      </c>
      <c r="AH260" s="505">
        <f t="shared" si="44"/>
        <v>0</v>
      </c>
      <c r="AI260" s="132"/>
      <c r="AJ260" s="75">
        <f t="shared" si="43"/>
        <v>0</v>
      </c>
      <c r="AK260" s="75"/>
      <c r="AL260" s="75"/>
      <c r="AM260" s="75"/>
      <c r="AN260" s="64" t="s">
        <v>39</v>
      </c>
      <c r="AO260" s="100"/>
      <c r="AP260" s="1057"/>
      <c r="AQ260" s="960"/>
      <c r="AR260" s="100"/>
      <c r="AS260" s="100"/>
      <c r="AT260" s="1062"/>
      <c r="AU260" s="983"/>
      <c r="AV260" s="1065"/>
      <c r="AW260" s="68"/>
    </row>
    <row r="261" spans="1:61" ht="27" hidden="1" customHeight="1" outlineLevel="3" x14ac:dyDescent="0.25">
      <c r="A261" s="63" t="str">
        <f t="shared" ref="A261:A327" si="46">CONCATENATE(B261,".",C261,".",D261,".",E261,".",F261,".",G261)</f>
        <v>1.3.1.5.32.61</v>
      </c>
      <c r="B261" s="64">
        <v>1</v>
      </c>
      <c r="C261" s="64">
        <v>3</v>
      </c>
      <c r="D261" s="64">
        <v>1</v>
      </c>
      <c r="E261" s="64">
        <v>5</v>
      </c>
      <c r="F261" s="64">
        <v>32</v>
      </c>
      <c r="G261" s="64">
        <v>61</v>
      </c>
      <c r="H261" s="65"/>
      <c r="I261" s="65"/>
      <c r="J261" s="66"/>
      <c r="K261" s="137" t="s">
        <v>325</v>
      </c>
      <c r="L261" s="64"/>
      <c r="M261" s="64"/>
      <c r="N261" s="64"/>
      <c r="O261" s="64"/>
      <c r="P261" s="69"/>
      <c r="Q261" s="69"/>
      <c r="R261" s="124"/>
      <c r="S261" s="123"/>
      <c r="T261" s="194"/>
      <c r="U261" s="75">
        <v>0</v>
      </c>
      <c r="V261" s="75"/>
      <c r="W261" s="75">
        <v>0</v>
      </c>
      <c r="X261" s="1122">
        <v>0</v>
      </c>
      <c r="Y261" s="75">
        <v>0</v>
      </c>
      <c r="Z261" s="75">
        <v>0</v>
      </c>
      <c r="AA261" s="1122">
        <v>0</v>
      </c>
      <c r="AB261" s="75">
        <v>0</v>
      </c>
      <c r="AC261" s="75">
        <v>0</v>
      </c>
      <c r="AD261" s="1122">
        <v>0</v>
      </c>
      <c r="AE261" s="75">
        <v>0</v>
      </c>
      <c r="AF261" s="75">
        <v>0</v>
      </c>
      <c r="AG261" s="1122">
        <v>0</v>
      </c>
      <c r="AH261" s="505">
        <f t="shared" si="44"/>
        <v>0</v>
      </c>
      <c r="AI261" s="132"/>
      <c r="AJ261" s="75">
        <f t="shared" si="43"/>
        <v>0</v>
      </c>
      <c r="AK261" s="132"/>
      <c r="AL261" s="132"/>
      <c r="AM261" s="132"/>
      <c r="AN261" s="64" t="s">
        <v>39</v>
      </c>
      <c r="AO261" s="100"/>
      <c r="AP261" s="100"/>
      <c r="AQ261" s="100"/>
      <c r="AR261" s="100"/>
      <c r="AS261" s="100"/>
      <c r="AT261" s="100"/>
      <c r="AU261" s="983"/>
      <c r="AV261" s="1065"/>
      <c r="AW261" s="68"/>
    </row>
    <row r="262" spans="1:61" ht="69.599999999999994" hidden="1" customHeight="1" outlineLevel="3" x14ac:dyDescent="0.25">
      <c r="A262" s="63" t="str">
        <f t="shared" si="46"/>
        <v>1.3.1.5.33.61</v>
      </c>
      <c r="B262" s="64">
        <v>1</v>
      </c>
      <c r="C262" s="64">
        <v>3</v>
      </c>
      <c r="D262" s="64">
        <v>1</v>
      </c>
      <c r="E262" s="64">
        <v>5</v>
      </c>
      <c r="F262" s="64">
        <v>33</v>
      </c>
      <c r="G262" s="100">
        <v>61</v>
      </c>
      <c r="H262" s="65"/>
      <c r="I262" s="65"/>
      <c r="J262" s="66"/>
      <c r="K262" s="67" t="s">
        <v>326</v>
      </c>
      <c r="L262" s="64" t="s">
        <v>72</v>
      </c>
      <c r="M262" s="64" t="s">
        <v>279</v>
      </c>
      <c r="N262" s="64"/>
      <c r="O262" s="64"/>
      <c r="P262" s="69"/>
      <c r="Q262" s="69"/>
      <c r="R262" s="124"/>
      <c r="S262" s="123"/>
      <c r="T262" s="194"/>
      <c r="U262" s="75">
        <v>50446.431698</v>
      </c>
      <c r="V262" s="75"/>
      <c r="W262" s="75">
        <v>0</v>
      </c>
      <c r="X262" s="1122">
        <v>0</v>
      </c>
      <c r="Y262" s="75">
        <v>50446.431698</v>
      </c>
      <c r="Z262" s="75">
        <v>0</v>
      </c>
      <c r="AA262" s="1122">
        <v>0</v>
      </c>
      <c r="AB262" s="75">
        <v>50446.431698</v>
      </c>
      <c r="AC262" s="75">
        <v>0</v>
      </c>
      <c r="AD262" s="1122">
        <v>0</v>
      </c>
      <c r="AE262" s="75">
        <v>50446.431698</v>
      </c>
      <c r="AF262" s="75">
        <v>0</v>
      </c>
      <c r="AG262" s="1122">
        <v>0</v>
      </c>
      <c r="AH262" s="505">
        <f t="shared" si="44"/>
        <v>201785.726792</v>
      </c>
      <c r="AI262" s="132"/>
      <c r="AJ262" s="75">
        <f t="shared" si="43"/>
        <v>0</v>
      </c>
      <c r="AK262" s="132"/>
      <c r="AL262" s="132"/>
      <c r="AM262" s="132"/>
      <c r="AN262" s="64" t="s">
        <v>39</v>
      </c>
      <c r="AO262" s="100"/>
      <c r="AP262" s="100"/>
      <c r="AQ262" s="100"/>
      <c r="AR262" s="100"/>
      <c r="AS262" s="100"/>
      <c r="AT262" s="100"/>
      <c r="AU262" s="983"/>
      <c r="AV262" s="1065"/>
      <c r="AW262" s="67" t="s">
        <v>2833</v>
      </c>
    </row>
    <row r="263" spans="1:61" ht="24.6" hidden="1" customHeight="1" outlineLevel="3" x14ac:dyDescent="0.25">
      <c r="A263" s="63" t="str">
        <f t="shared" si="46"/>
        <v>1.3.1.5.34.61</v>
      </c>
      <c r="B263" s="64">
        <v>1</v>
      </c>
      <c r="C263" s="64">
        <v>3</v>
      </c>
      <c r="D263" s="64">
        <v>1</v>
      </c>
      <c r="E263" s="64">
        <v>5</v>
      </c>
      <c r="F263" s="64">
        <v>34</v>
      </c>
      <c r="G263" s="64">
        <v>61</v>
      </c>
      <c r="H263" s="65"/>
      <c r="I263" s="65"/>
      <c r="J263" s="66"/>
      <c r="K263" s="67" t="s">
        <v>296</v>
      </c>
      <c r="L263" s="64"/>
      <c r="M263" s="64"/>
      <c r="N263" s="64"/>
      <c r="O263" s="64"/>
      <c r="P263" s="69"/>
      <c r="Q263" s="69"/>
      <c r="R263" s="124"/>
      <c r="S263" s="123"/>
      <c r="T263" s="194"/>
      <c r="U263" s="75">
        <v>239564.97</v>
      </c>
      <c r="V263" s="75"/>
      <c r="W263" s="75">
        <v>0</v>
      </c>
      <c r="X263" s="1122">
        <v>0</v>
      </c>
      <c r="Y263" s="75">
        <v>239564.97</v>
      </c>
      <c r="Z263" s="75">
        <v>0</v>
      </c>
      <c r="AA263" s="1122">
        <v>0</v>
      </c>
      <c r="AB263" s="75">
        <v>239564.97</v>
      </c>
      <c r="AC263" s="75">
        <v>0</v>
      </c>
      <c r="AD263" s="1122">
        <v>0</v>
      </c>
      <c r="AE263" s="75">
        <v>239564.97</v>
      </c>
      <c r="AF263" s="75">
        <v>0</v>
      </c>
      <c r="AG263" s="1122">
        <v>0</v>
      </c>
      <c r="AH263" s="505">
        <f t="shared" si="44"/>
        <v>958259.88</v>
      </c>
      <c r="AI263" s="132"/>
      <c r="AJ263" s="75">
        <f t="shared" si="43"/>
        <v>0</v>
      </c>
      <c r="AK263" s="75"/>
      <c r="AL263" s="75"/>
      <c r="AM263" s="75"/>
      <c r="AN263" s="64" t="s">
        <v>39</v>
      </c>
      <c r="AO263" s="100"/>
      <c r="AP263" s="100"/>
      <c r="AQ263" s="960"/>
      <c r="AR263" s="100"/>
      <c r="AS263" s="100"/>
      <c r="AT263" s="100"/>
      <c r="AU263" s="964"/>
      <c r="AV263" s="123" t="s">
        <v>73</v>
      </c>
      <c r="AW263" s="67" t="s">
        <v>2822</v>
      </c>
    </row>
    <row r="264" spans="1:61" ht="24.6" hidden="1" customHeight="1" outlineLevel="3" x14ac:dyDescent="0.25">
      <c r="A264" s="99" t="str">
        <f>CONCATENATE(B264,".",C264,".",D264,".",E264,".",F264,".",G264)</f>
        <v>1.3.1.5.36.61</v>
      </c>
      <c r="B264" s="100">
        <v>1</v>
      </c>
      <c r="C264" s="100">
        <v>3</v>
      </c>
      <c r="D264" s="100">
        <v>1</v>
      </c>
      <c r="E264" s="100">
        <v>5</v>
      </c>
      <c r="F264" s="100">
        <v>36</v>
      </c>
      <c r="G264" s="100">
        <v>61</v>
      </c>
      <c r="H264" s="65"/>
      <c r="I264" s="65"/>
      <c r="J264" s="66"/>
      <c r="K264" s="67" t="s">
        <v>298</v>
      </c>
      <c r="L264" s="64" t="s">
        <v>359</v>
      </c>
      <c r="M264" s="64" t="s">
        <v>299</v>
      </c>
      <c r="N264" s="64"/>
      <c r="O264" s="64"/>
      <c r="P264" s="69"/>
      <c r="Q264" s="69"/>
      <c r="R264" s="124"/>
      <c r="S264" s="123"/>
      <c r="T264" s="194"/>
      <c r="U264" s="75">
        <v>0</v>
      </c>
      <c r="V264" s="75"/>
      <c r="W264" s="75">
        <v>0</v>
      </c>
      <c r="X264" s="1122">
        <v>0</v>
      </c>
      <c r="Y264" s="75">
        <v>0</v>
      </c>
      <c r="Z264" s="75">
        <v>0</v>
      </c>
      <c r="AA264" s="1122">
        <v>0</v>
      </c>
      <c r="AB264" s="75">
        <v>0</v>
      </c>
      <c r="AC264" s="75">
        <v>0</v>
      </c>
      <c r="AD264" s="1122">
        <v>0</v>
      </c>
      <c r="AE264" s="75">
        <v>0</v>
      </c>
      <c r="AF264" s="75">
        <v>0</v>
      </c>
      <c r="AG264" s="1122">
        <v>0</v>
      </c>
      <c r="AH264" s="505">
        <f t="shared" si="44"/>
        <v>0</v>
      </c>
      <c r="AI264" s="132"/>
      <c r="AJ264" s="75">
        <f t="shared" si="43"/>
        <v>0</v>
      </c>
      <c r="AK264" s="75"/>
      <c r="AL264" s="75"/>
      <c r="AM264" s="75"/>
      <c r="AN264" s="64" t="s">
        <v>282</v>
      </c>
      <c r="AO264" s="100"/>
      <c r="AP264" s="100"/>
      <c r="AQ264" s="100"/>
      <c r="AR264" s="104"/>
      <c r="AS264" s="104"/>
      <c r="AT264" s="100"/>
      <c r="AU264" s="983"/>
      <c r="AV264" s="1065"/>
      <c r="AW264" s="68" t="s">
        <v>2027</v>
      </c>
    </row>
    <row r="265" spans="1:61" s="107" customFormat="1" ht="69.75" customHeight="1" outlineLevel="1" collapsed="1" x14ac:dyDescent="0.25">
      <c r="A265" s="80" t="str">
        <f t="shared" si="46"/>
        <v>1.3.1.6.0.0</v>
      </c>
      <c r="B265" s="81">
        <v>1</v>
      </c>
      <c r="C265" s="81">
        <v>3</v>
      </c>
      <c r="D265" s="81">
        <v>1</v>
      </c>
      <c r="E265" s="81">
        <v>6</v>
      </c>
      <c r="F265" s="81">
        <v>0</v>
      </c>
      <c r="G265" s="81">
        <v>0</v>
      </c>
      <c r="H265" s="114"/>
      <c r="I265" s="114"/>
      <c r="J265" s="1346" t="s">
        <v>340</v>
      </c>
      <c r="K265" s="1346"/>
      <c r="L265" s="81" t="s">
        <v>236</v>
      </c>
      <c r="M265" s="81" t="s">
        <v>240</v>
      </c>
      <c r="N265" s="81" t="s">
        <v>226</v>
      </c>
      <c r="O265" s="81" t="s">
        <v>241</v>
      </c>
      <c r="P265" s="870">
        <v>44571</v>
      </c>
      <c r="Q265" s="870">
        <v>44925</v>
      </c>
      <c r="R265" s="119">
        <v>0</v>
      </c>
      <c r="S265" s="114" t="s">
        <v>242</v>
      </c>
      <c r="T265" s="1184">
        <f>+T266+T267</f>
        <v>429250</v>
      </c>
      <c r="U265" s="378">
        <f>SUM(U266:U293)</f>
        <v>9089983.4416979998</v>
      </c>
      <c r="V265" s="378"/>
      <c r="W265" s="378">
        <f t="shared" ref="W265:AI265" si="47">SUM(W266:W293)</f>
        <v>0</v>
      </c>
      <c r="X265" s="1126">
        <f t="shared" si="47"/>
        <v>0</v>
      </c>
      <c r="Y265" s="378">
        <f t="shared" si="47"/>
        <v>9690970.9116980005</v>
      </c>
      <c r="Z265" s="378">
        <f t="shared" si="47"/>
        <v>0</v>
      </c>
      <c r="AA265" s="1126">
        <f t="shared" si="47"/>
        <v>0</v>
      </c>
      <c r="AB265" s="378">
        <f t="shared" si="47"/>
        <v>9591363.7116980013</v>
      </c>
      <c r="AC265" s="378">
        <f t="shared" si="47"/>
        <v>0</v>
      </c>
      <c r="AD265" s="1126">
        <f t="shared" si="47"/>
        <v>0</v>
      </c>
      <c r="AE265" s="378">
        <f t="shared" si="47"/>
        <v>9591363.7116980013</v>
      </c>
      <c r="AF265" s="378">
        <f t="shared" si="47"/>
        <v>0</v>
      </c>
      <c r="AG265" s="1126">
        <f t="shared" si="47"/>
        <v>0</v>
      </c>
      <c r="AH265" s="378">
        <f>SUM(AH266:AH293)</f>
        <v>37963681.776792012</v>
      </c>
      <c r="AI265" s="378">
        <f t="shared" si="47"/>
        <v>0</v>
      </c>
      <c r="AJ265" s="378">
        <f>SUM(AJ266:AJ293)</f>
        <v>0</v>
      </c>
      <c r="AK265" s="139"/>
      <c r="AL265" s="139"/>
      <c r="AM265" s="139"/>
      <c r="AN265" s="81" t="s">
        <v>243</v>
      </c>
      <c r="AO265" s="81"/>
      <c r="AP265" s="81"/>
      <c r="AQ265" s="412"/>
      <c r="AR265" s="81"/>
      <c r="AS265" s="474"/>
      <c r="AT265" s="81"/>
      <c r="AU265" s="663"/>
      <c r="AV265" s="378" t="e">
        <f t="shared" ref="AV265" si="48">SUM(AV266:AV293)</f>
        <v>#REF!</v>
      </c>
      <c r="AW265" s="436"/>
    </row>
    <row r="266" spans="1:61" ht="131.44999999999999" hidden="1" customHeight="1" outlineLevel="3" x14ac:dyDescent="0.25">
      <c r="A266" s="63" t="str">
        <f t="shared" si="46"/>
        <v>1.3.1.6.1.62</v>
      </c>
      <c r="B266" s="64">
        <v>1</v>
      </c>
      <c r="C266" s="64">
        <v>3</v>
      </c>
      <c r="D266" s="64">
        <v>1</v>
      </c>
      <c r="E266" s="64">
        <v>6</v>
      </c>
      <c r="F266" s="64">
        <v>1</v>
      </c>
      <c r="G266" s="64">
        <v>62</v>
      </c>
      <c r="H266" s="65"/>
      <c r="I266" s="65"/>
      <c r="J266" s="66"/>
      <c r="K266" s="65" t="s">
        <v>245</v>
      </c>
      <c r="L266" s="64" t="s">
        <v>246</v>
      </c>
      <c r="M266" s="64" t="s">
        <v>240</v>
      </c>
      <c r="N266" s="64" t="s">
        <v>247</v>
      </c>
      <c r="O266" s="64" t="s">
        <v>341</v>
      </c>
      <c r="P266" s="69"/>
      <c r="Q266" s="69"/>
      <c r="R266" s="126">
        <v>124000</v>
      </c>
      <c r="S266" s="123" t="s">
        <v>248</v>
      </c>
      <c r="T266" s="194">
        <f>+R266/4</f>
        <v>31000</v>
      </c>
      <c r="U266" s="75">
        <v>0</v>
      </c>
      <c r="V266" s="75"/>
      <c r="W266" s="75">
        <v>0</v>
      </c>
      <c r="X266" s="1122">
        <v>0</v>
      </c>
      <c r="Y266" s="75">
        <v>0</v>
      </c>
      <c r="Z266" s="75">
        <v>0</v>
      </c>
      <c r="AA266" s="1122">
        <v>0</v>
      </c>
      <c r="AB266" s="75">
        <v>0</v>
      </c>
      <c r="AC266" s="75">
        <v>0</v>
      </c>
      <c r="AD266" s="1122">
        <v>0</v>
      </c>
      <c r="AE266" s="75">
        <v>0</v>
      </c>
      <c r="AF266" s="75">
        <v>0</v>
      </c>
      <c r="AG266" s="1122">
        <v>0</v>
      </c>
      <c r="AH266" s="505">
        <f>+U266+Y266+AB266+AE266</f>
        <v>0</v>
      </c>
      <c r="AI266" s="132"/>
      <c r="AJ266" s="75">
        <f t="shared" ref="AJ266:AJ293" si="49">+W267+Z267+AC267+AF267</f>
        <v>0</v>
      </c>
      <c r="AK266" s="75"/>
      <c r="AL266" s="75"/>
      <c r="AM266" s="75"/>
      <c r="AN266" s="124" t="s">
        <v>39</v>
      </c>
      <c r="AO266" s="1077"/>
      <c r="AP266" s="1077"/>
      <c r="AQ266" s="1078"/>
      <c r="AR266" s="1077"/>
      <c r="AS266" s="1079"/>
      <c r="AT266" s="1077"/>
      <c r="AU266" s="1080"/>
      <c r="AV266" s="347" t="e">
        <f>#REF!*19</f>
        <v>#REF!</v>
      </c>
      <c r="AW266" s="335" t="s">
        <v>250</v>
      </c>
      <c r="AX266" s="140">
        <v>1500</v>
      </c>
      <c r="AY266" s="141"/>
      <c r="AZ266" s="141"/>
      <c r="BA266" s="142">
        <v>1500</v>
      </c>
      <c r="BB266" s="141"/>
      <c r="BC266" s="141"/>
      <c r="BD266" s="141"/>
      <c r="BE266" s="141"/>
      <c r="BF266" s="141"/>
      <c r="BG266" s="143"/>
      <c r="BH266" s="142" t="e">
        <f>#REF!*19</f>
        <v>#REF!</v>
      </c>
      <c r="BI266" s="144">
        <f>+((78*1500)+(68*1500)+(64*1500))</f>
        <v>315000</v>
      </c>
    </row>
    <row r="267" spans="1:61" ht="59.45" hidden="1" customHeight="1" outlineLevel="3" x14ac:dyDescent="0.25">
      <c r="A267" s="63" t="str">
        <f t="shared" si="46"/>
        <v>1.3.1.6.2.62</v>
      </c>
      <c r="B267" s="64">
        <v>1</v>
      </c>
      <c r="C267" s="64">
        <v>3</v>
      </c>
      <c r="D267" s="64">
        <v>1</v>
      </c>
      <c r="E267" s="64">
        <v>6</v>
      </c>
      <c r="F267" s="64">
        <v>2</v>
      </c>
      <c r="G267" s="64">
        <v>62</v>
      </c>
      <c r="H267" s="65"/>
      <c r="I267" s="65"/>
      <c r="J267" s="66"/>
      <c r="K267" s="65" t="s">
        <v>251</v>
      </c>
      <c r="L267" s="64" t="s">
        <v>246</v>
      </c>
      <c r="M267" s="64" t="s">
        <v>240</v>
      </c>
      <c r="N267" s="64" t="s">
        <v>252</v>
      </c>
      <c r="O267" s="64" t="s">
        <v>341</v>
      </c>
      <c r="P267" s="69"/>
      <c r="Q267" s="69"/>
      <c r="R267" s="126">
        <v>1593000</v>
      </c>
      <c r="S267" s="123" t="s">
        <v>248</v>
      </c>
      <c r="T267" s="194">
        <f>+R267/4</f>
        <v>398250</v>
      </c>
      <c r="U267" s="75">
        <v>0</v>
      </c>
      <c r="V267" s="75"/>
      <c r="W267" s="75">
        <v>0</v>
      </c>
      <c r="X267" s="1122">
        <v>0</v>
      </c>
      <c r="Y267" s="75">
        <v>0</v>
      </c>
      <c r="Z267" s="75">
        <v>0</v>
      </c>
      <c r="AA267" s="1122">
        <v>0</v>
      </c>
      <c r="AB267" s="75">
        <v>0</v>
      </c>
      <c r="AC267" s="75">
        <v>0</v>
      </c>
      <c r="AD267" s="1122">
        <v>0</v>
      </c>
      <c r="AE267" s="75">
        <v>0</v>
      </c>
      <c r="AF267" s="75">
        <v>0</v>
      </c>
      <c r="AG267" s="1122">
        <v>0</v>
      </c>
      <c r="AH267" s="505">
        <f t="shared" ref="AH267:AH293" si="50">+U267+Y267+AB267+AE267</f>
        <v>0</v>
      </c>
      <c r="AI267" s="132"/>
      <c r="AJ267" s="75">
        <f t="shared" si="49"/>
        <v>0</v>
      </c>
      <c r="AK267" s="75"/>
      <c r="AL267" s="75"/>
      <c r="AM267" s="75"/>
      <c r="AN267" s="64" t="s">
        <v>39</v>
      </c>
      <c r="AO267" s="100"/>
      <c r="AP267" s="100"/>
      <c r="AQ267" s="993"/>
      <c r="AR267" s="100"/>
      <c r="AS267" s="994"/>
      <c r="AT267" s="100"/>
      <c r="AU267" s="983"/>
      <c r="AV267" s="347" t="e">
        <f>+#REF!*252*1.1</f>
        <v>#REF!</v>
      </c>
      <c r="AW267" s="335" t="s">
        <v>2583</v>
      </c>
    </row>
    <row r="268" spans="1:61" ht="14.45" hidden="1" customHeight="1" outlineLevel="3" x14ac:dyDescent="0.25">
      <c r="A268" s="63" t="str">
        <f>CONCATENATE(B268,".",C268,".",D268,".",E268,".",F268,".",G268)</f>
        <v>1.3.1.6.3.62</v>
      </c>
      <c r="B268" s="64">
        <v>1</v>
      </c>
      <c r="C268" s="64">
        <v>3</v>
      </c>
      <c r="D268" s="64">
        <v>1</v>
      </c>
      <c r="E268" s="64">
        <v>6</v>
      </c>
      <c r="F268" s="64">
        <v>3</v>
      </c>
      <c r="G268" s="100">
        <v>62</v>
      </c>
      <c r="H268" s="65"/>
      <c r="I268" s="65"/>
      <c r="J268" s="66"/>
      <c r="K268" s="65" t="s">
        <v>1913</v>
      </c>
      <c r="L268" s="64" t="s">
        <v>246</v>
      </c>
      <c r="M268" s="64" t="s">
        <v>256</v>
      </c>
      <c r="N268" s="64" t="s">
        <v>257</v>
      </c>
      <c r="O268" s="64" t="s">
        <v>341</v>
      </c>
      <c r="P268" s="69"/>
      <c r="Q268" s="131"/>
      <c r="R268" s="126"/>
      <c r="S268" s="123" t="s">
        <v>258</v>
      </c>
      <c r="T268" s="194"/>
      <c r="U268" s="75">
        <v>2565000</v>
      </c>
      <c r="V268" s="75"/>
      <c r="W268" s="75">
        <v>0</v>
      </c>
      <c r="X268" s="1122">
        <v>0</v>
      </c>
      <c r="Y268" s="75">
        <v>2565000</v>
      </c>
      <c r="Z268" s="75">
        <v>0</v>
      </c>
      <c r="AA268" s="1122">
        <v>0</v>
      </c>
      <c r="AB268" s="75">
        <v>2565000</v>
      </c>
      <c r="AC268" s="75">
        <v>0</v>
      </c>
      <c r="AD268" s="1122">
        <v>0</v>
      </c>
      <c r="AE268" s="75">
        <v>2565000</v>
      </c>
      <c r="AF268" s="75">
        <v>0</v>
      </c>
      <c r="AG268" s="1122">
        <v>0</v>
      </c>
      <c r="AH268" s="505">
        <f t="shared" si="50"/>
        <v>10260000</v>
      </c>
      <c r="AI268" s="132"/>
      <c r="AJ268" s="75">
        <f t="shared" si="49"/>
        <v>0</v>
      </c>
      <c r="AK268" s="75"/>
      <c r="AL268" s="75"/>
      <c r="AM268" s="75"/>
      <c r="AN268" s="64" t="s">
        <v>39</v>
      </c>
      <c r="AO268" s="100"/>
      <c r="AP268" s="100"/>
      <c r="AQ268" s="1050"/>
      <c r="AR268" s="1051"/>
      <c r="AS268" s="1051"/>
      <c r="AT268" s="100"/>
      <c r="AU268" s="983"/>
      <c r="AV268" s="123" t="s">
        <v>342</v>
      </c>
      <c r="AW268" s="1063"/>
    </row>
    <row r="269" spans="1:61" ht="29.1" hidden="1" customHeight="1" outlineLevel="3" x14ac:dyDescent="0.25">
      <c r="A269" s="63" t="str">
        <f t="shared" si="46"/>
        <v>1.3.1.6.5.62</v>
      </c>
      <c r="B269" s="64">
        <v>1</v>
      </c>
      <c r="C269" s="64">
        <v>3</v>
      </c>
      <c r="D269" s="64">
        <v>1</v>
      </c>
      <c r="E269" s="64">
        <v>6</v>
      </c>
      <c r="F269" s="64">
        <v>5</v>
      </c>
      <c r="G269" s="64">
        <v>62</v>
      </c>
      <c r="H269" s="65"/>
      <c r="I269" s="65"/>
      <c r="J269" s="66"/>
      <c r="K269" s="65" t="s">
        <v>259</v>
      </c>
      <c r="L269" s="64" t="s">
        <v>246</v>
      </c>
      <c r="M269" s="64" t="s">
        <v>240</v>
      </c>
      <c r="N269" s="64" t="s">
        <v>247</v>
      </c>
      <c r="O269" s="64" t="s">
        <v>341</v>
      </c>
      <c r="P269" s="69"/>
      <c r="Q269" s="69"/>
      <c r="R269" s="126">
        <v>124000</v>
      </c>
      <c r="S269" s="123" t="s">
        <v>343</v>
      </c>
      <c r="T269" s="194">
        <f t="shared" ref="T269:T270" si="51">+$R269/4</f>
        <v>31000</v>
      </c>
      <c r="U269" s="75">
        <v>0</v>
      </c>
      <c r="V269" s="75"/>
      <c r="W269" s="75">
        <v>0</v>
      </c>
      <c r="X269" s="1122">
        <v>0</v>
      </c>
      <c r="Y269" s="75">
        <v>0</v>
      </c>
      <c r="Z269" s="75">
        <v>0</v>
      </c>
      <c r="AA269" s="1122">
        <v>0</v>
      </c>
      <c r="AB269" s="75">
        <v>0</v>
      </c>
      <c r="AC269" s="75">
        <v>0</v>
      </c>
      <c r="AD269" s="1122">
        <v>0</v>
      </c>
      <c r="AE269" s="75">
        <v>0</v>
      </c>
      <c r="AF269" s="75">
        <v>0</v>
      </c>
      <c r="AG269" s="1122">
        <v>0</v>
      </c>
      <c r="AH269" s="505">
        <f t="shared" si="50"/>
        <v>0</v>
      </c>
      <c r="AI269" s="132"/>
      <c r="AJ269" s="75">
        <f t="shared" si="49"/>
        <v>0</v>
      </c>
      <c r="AK269" s="132"/>
      <c r="AL269" s="132"/>
      <c r="AM269" s="132"/>
      <c r="AN269" s="64" t="s">
        <v>39</v>
      </c>
      <c r="AO269" s="100"/>
      <c r="AP269" s="100"/>
      <c r="AQ269" s="993"/>
      <c r="AR269" s="100"/>
      <c r="AS269" s="994"/>
      <c r="AT269" s="100"/>
      <c r="AU269" s="983"/>
      <c r="AV269" s="1064" t="s">
        <v>260</v>
      </c>
      <c r="AW269" s="67"/>
    </row>
    <row r="270" spans="1:61" ht="33" hidden="1" customHeight="1" outlineLevel="3" x14ac:dyDescent="0.25">
      <c r="A270" s="63" t="str">
        <f t="shared" si="46"/>
        <v>1.3.1.6.6.62</v>
      </c>
      <c r="B270" s="64">
        <v>1</v>
      </c>
      <c r="C270" s="64">
        <v>3</v>
      </c>
      <c r="D270" s="64">
        <v>1</v>
      </c>
      <c r="E270" s="64">
        <v>6</v>
      </c>
      <c r="F270" s="64">
        <v>6</v>
      </c>
      <c r="G270" s="64">
        <v>62</v>
      </c>
      <c r="H270" s="65"/>
      <c r="I270" s="65"/>
      <c r="J270" s="66"/>
      <c r="K270" s="65" t="s">
        <v>305</v>
      </c>
      <c r="L270" s="64" t="s">
        <v>246</v>
      </c>
      <c r="M270" s="64" t="s">
        <v>240</v>
      </c>
      <c r="N270" s="64" t="s">
        <v>257</v>
      </c>
      <c r="O270" s="64" t="s">
        <v>341</v>
      </c>
      <c r="P270" s="69"/>
      <c r="Q270" s="69"/>
      <c r="R270" s="126">
        <v>1593000</v>
      </c>
      <c r="S270" s="123" t="s">
        <v>248</v>
      </c>
      <c r="T270" s="194">
        <f t="shared" si="51"/>
        <v>398250</v>
      </c>
      <c r="U270" s="75">
        <v>0</v>
      </c>
      <c r="V270" s="75"/>
      <c r="W270" s="75">
        <v>0</v>
      </c>
      <c r="X270" s="1122">
        <v>0</v>
      </c>
      <c r="Y270" s="75">
        <v>0</v>
      </c>
      <c r="Z270" s="75">
        <v>0</v>
      </c>
      <c r="AA270" s="1122">
        <v>0</v>
      </c>
      <c r="AB270" s="75">
        <v>0</v>
      </c>
      <c r="AC270" s="75">
        <v>0</v>
      </c>
      <c r="AD270" s="1122">
        <v>0</v>
      </c>
      <c r="AE270" s="75">
        <v>0</v>
      </c>
      <c r="AF270" s="75">
        <v>0</v>
      </c>
      <c r="AG270" s="1122">
        <v>0</v>
      </c>
      <c r="AH270" s="505">
        <f t="shared" si="50"/>
        <v>0</v>
      </c>
      <c r="AI270" s="132"/>
      <c r="AJ270" s="75">
        <f t="shared" si="49"/>
        <v>0</v>
      </c>
      <c r="AK270" s="132"/>
      <c r="AL270" s="132"/>
      <c r="AM270" s="132"/>
      <c r="AN270" s="64" t="s">
        <v>39</v>
      </c>
      <c r="AO270" s="100"/>
      <c r="AP270" s="100"/>
      <c r="AQ270" s="993"/>
      <c r="AR270" s="100"/>
      <c r="AS270" s="994"/>
      <c r="AT270" s="100"/>
      <c r="AU270" s="983"/>
      <c r="AV270" s="1064" t="s">
        <v>260</v>
      </c>
      <c r="AW270" s="67"/>
    </row>
    <row r="271" spans="1:61" ht="27" hidden="1" customHeight="1" outlineLevel="3" x14ac:dyDescent="0.25">
      <c r="A271" s="63" t="str">
        <f t="shared" si="46"/>
        <v>1.3.1.6.7.62</v>
      </c>
      <c r="B271" s="64">
        <v>1</v>
      </c>
      <c r="C271" s="64">
        <v>3</v>
      </c>
      <c r="D271" s="64">
        <v>1</v>
      </c>
      <c r="E271" s="64">
        <v>6</v>
      </c>
      <c r="F271" s="64">
        <v>7</v>
      </c>
      <c r="G271" s="64">
        <v>62</v>
      </c>
      <c r="H271" s="65"/>
      <c r="I271" s="65"/>
      <c r="J271" s="66"/>
      <c r="K271" s="65" t="s">
        <v>263</v>
      </c>
      <c r="L271" s="64" t="s">
        <v>264</v>
      </c>
      <c r="M271" s="64" t="s">
        <v>76</v>
      </c>
      <c r="N271" s="64" t="s">
        <v>265</v>
      </c>
      <c r="O271" s="64" t="s">
        <v>266</v>
      </c>
      <c r="P271" s="69"/>
      <c r="Q271" s="69"/>
      <c r="R271" s="124"/>
      <c r="S271" s="123"/>
      <c r="T271" s="194"/>
      <c r="U271" s="75">
        <v>0</v>
      </c>
      <c r="V271" s="75"/>
      <c r="W271" s="75">
        <v>0</v>
      </c>
      <c r="X271" s="1122">
        <v>0</v>
      </c>
      <c r="Y271" s="75">
        <v>0</v>
      </c>
      <c r="Z271" s="75">
        <v>0</v>
      </c>
      <c r="AA271" s="1122">
        <v>0</v>
      </c>
      <c r="AB271" s="75">
        <v>0</v>
      </c>
      <c r="AC271" s="75">
        <v>0</v>
      </c>
      <c r="AD271" s="1122">
        <v>0</v>
      </c>
      <c r="AE271" s="75">
        <v>0</v>
      </c>
      <c r="AF271" s="75">
        <v>0</v>
      </c>
      <c r="AG271" s="1122">
        <v>0</v>
      </c>
      <c r="AH271" s="505">
        <f t="shared" si="50"/>
        <v>0</v>
      </c>
      <c r="AI271" s="132"/>
      <c r="AJ271" s="75">
        <f t="shared" si="49"/>
        <v>0</v>
      </c>
      <c r="AK271" s="132"/>
      <c r="AL271" s="132"/>
      <c r="AM271" s="132"/>
      <c r="AN271" s="64" t="s">
        <v>181</v>
      </c>
      <c r="AO271" s="710"/>
      <c r="AP271" s="710"/>
      <c r="AQ271" s="1052"/>
      <c r="AR271" s="100"/>
      <c r="AS271" s="1053"/>
      <c r="AT271" s="100"/>
      <c r="AU271" s="983"/>
      <c r="AV271" s="123" t="s">
        <v>144</v>
      </c>
      <c r="AW271" s="67"/>
    </row>
    <row r="272" spans="1:61" ht="27" hidden="1" customHeight="1" outlineLevel="3" x14ac:dyDescent="0.25">
      <c r="A272" s="63" t="str">
        <f t="shared" si="46"/>
        <v>1.3.1.6.8.62</v>
      </c>
      <c r="B272" s="64">
        <v>1</v>
      </c>
      <c r="C272" s="64">
        <v>3</v>
      </c>
      <c r="D272" s="64">
        <v>1</v>
      </c>
      <c r="E272" s="64">
        <v>6</v>
      </c>
      <c r="F272" s="64">
        <v>8</v>
      </c>
      <c r="G272" s="64">
        <v>62</v>
      </c>
      <c r="H272" s="65"/>
      <c r="I272" s="65"/>
      <c r="J272" s="66"/>
      <c r="K272" s="65" t="s">
        <v>2024</v>
      </c>
      <c r="L272" s="64"/>
      <c r="M272" s="64"/>
      <c r="N272" s="64"/>
      <c r="O272" s="64"/>
      <c r="P272" s="69"/>
      <c r="Q272" s="69"/>
      <c r="R272" s="124"/>
      <c r="S272" s="123"/>
      <c r="T272" s="194"/>
      <c r="U272" s="75">
        <v>0</v>
      </c>
      <c r="V272" s="75"/>
      <c r="W272" s="75">
        <v>0</v>
      </c>
      <c r="X272" s="1122">
        <v>0</v>
      </c>
      <c r="Y272" s="75">
        <v>0</v>
      </c>
      <c r="Z272" s="75">
        <v>0</v>
      </c>
      <c r="AA272" s="1122">
        <v>0</v>
      </c>
      <c r="AB272" s="75">
        <v>0</v>
      </c>
      <c r="AC272" s="75">
        <v>0</v>
      </c>
      <c r="AD272" s="1122">
        <v>0</v>
      </c>
      <c r="AE272" s="75">
        <v>0</v>
      </c>
      <c r="AF272" s="75">
        <v>0</v>
      </c>
      <c r="AG272" s="1122">
        <v>0</v>
      </c>
      <c r="AH272" s="505">
        <f t="shared" si="50"/>
        <v>0</v>
      </c>
      <c r="AI272" s="132"/>
      <c r="AJ272" s="75">
        <f t="shared" si="49"/>
        <v>0</v>
      </c>
      <c r="AK272" s="132"/>
      <c r="AL272" s="132"/>
      <c r="AM272" s="132"/>
      <c r="AN272" s="136" t="s">
        <v>39</v>
      </c>
      <c r="AO272" s="710"/>
      <c r="AP272" s="710"/>
      <c r="AQ272" s="1052"/>
      <c r="AR272" s="104"/>
      <c r="AS272" s="997"/>
      <c r="AT272" s="104"/>
      <c r="AU272" s="964"/>
      <c r="AV272" s="123"/>
      <c r="AW272" s="67"/>
    </row>
    <row r="273" spans="1:49" ht="51.6" hidden="1" customHeight="1" outlineLevel="3" x14ac:dyDescent="0.25">
      <c r="A273" s="63" t="str">
        <f t="shared" si="46"/>
        <v>1.3.1.6.10.62</v>
      </c>
      <c r="B273" s="64">
        <v>1</v>
      </c>
      <c r="C273" s="64">
        <v>3</v>
      </c>
      <c r="D273" s="64">
        <v>1</v>
      </c>
      <c r="E273" s="64">
        <v>6</v>
      </c>
      <c r="F273" s="64">
        <v>10</v>
      </c>
      <c r="G273" s="64">
        <v>62</v>
      </c>
      <c r="H273" s="65"/>
      <c r="I273" s="65"/>
      <c r="J273" s="66"/>
      <c r="K273" s="67" t="s">
        <v>1722</v>
      </c>
      <c r="L273" s="68" t="s">
        <v>270</v>
      </c>
      <c r="M273" s="64" t="s">
        <v>279</v>
      </c>
      <c r="N273" s="64"/>
      <c r="O273" s="64"/>
      <c r="P273" s="69"/>
      <c r="Q273" s="69"/>
      <c r="R273" s="124"/>
      <c r="S273" s="123"/>
      <c r="T273" s="194"/>
      <c r="U273" s="75">
        <v>0</v>
      </c>
      <c r="V273" s="75"/>
      <c r="W273" s="75">
        <v>0</v>
      </c>
      <c r="X273" s="1122">
        <v>0</v>
      </c>
      <c r="Y273" s="75">
        <v>0</v>
      </c>
      <c r="Z273" s="75">
        <v>0</v>
      </c>
      <c r="AA273" s="1122">
        <v>0</v>
      </c>
      <c r="AB273" s="75">
        <v>0</v>
      </c>
      <c r="AC273" s="75">
        <v>0</v>
      </c>
      <c r="AD273" s="1122">
        <v>0</v>
      </c>
      <c r="AE273" s="75">
        <v>0</v>
      </c>
      <c r="AF273" s="75">
        <v>0</v>
      </c>
      <c r="AG273" s="1122">
        <v>0</v>
      </c>
      <c r="AH273" s="505">
        <f t="shared" si="50"/>
        <v>0</v>
      </c>
      <c r="AI273" s="132"/>
      <c r="AJ273" s="75">
        <f t="shared" si="49"/>
        <v>0</v>
      </c>
      <c r="AK273" s="75"/>
      <c r="AL273" s="75"/>
      <c r="AM273" s="75"/>
      <c r="AN273" s="64" t="s">
        <v>39</v>
      </c>
      <c r="AO273" s="100"/>
      <c r="AP273" s="100"/>
      <c r="AQ273" s="993"/>
      <c r="AR273" s="100"/>
      <c r="AS273" s="994"/>
      <c r="AT273" s="100"/>
      <c r="AU273" s="983"/>
      <c r="AV273" s="123" t="s">
        <v>272</v>
      </c>
      <c r="AW273" s="67"/>
    </row>
    <row r="274" spans="1:49" ht="36" hidden="1" customHeight="1" outlineLevel="3" x14ac:dyDescent="0.25">
      <c r="A274" s="63" t="str">
        <f t="shared" si="46"/>
        <v>1.3.1.6.11.62</v>
      </c>
      <c r="B274" s="64">
        <v>1</v>
      </c>
      <c r="C274" s="64">
        <v>3</v>
      </c>
      <c r="D274" s="64">
        <v>1</v>
      </c>
      <c r="E274" s="64">
        <v>6</v>
      </c>
      <c r="F274" s="64">
        <v>11</v>
      </c>
      <c r="G274" s="64">
        <v>62</v>
      </c>
      <c r="H274" s="65"/>
      <c r="I274" s="65"/>
      <c r="J274" s="66"/>
      <c r="K274" s="556" t="s">
        <v>344</v>
      </c>
      <c r="L274" s="64"/>
      <c r="M274" s="64"/>
      <c r="N274" s="64"/>
      <c r="O274" s="64"/>
      <c r="P274" s="69"/>
      <c r="Q274" s="69"/>
      <c r="R274" s="124"/>
      <c r="S274" s="123"/>
      <c r="T274" s="194"/>
      <c r="U274" s="75">
        <v>0</v>
      </c>
      <c r="V274" s="75"/>
      <c r="W274" s="75">
        <v>0</v>
      </c>
      <c r="X274" s="1122">
        <v>0</v>
      </c>
      <c r="Y274" s="75">
        <v>0</v>
      </c>
      <c r="Z274" s="75">
        <v>0</v>
      </c>
      <c r="AA274" s="1122">
        <v>0</v>
      </c>
      <c r="AB274" s="75">
        <v>0</v>
      </c>
      <c r="AC274" s="75">
        <v>0</v>
      </c>
      <c r="AD274" s="1122">
        <v>0</v>
      </c>
      <c r="AE274" s="75">
        <v>0</v>
      </c>
      <c r="AF274" s="75">
        <v>0</v>
      </c>
      <c r="AG274" s="1122">
        <v>0</v>
      </c>
      <c r="AH274" s="505">
        <f t="shared" si="50"/>
        <v>0</v>
      </c>
      <c r="AI274" s="132"/>
      <c r="AJ274" s="75">
        <f t="shared" si="49"/>
        <v>0</v>
      </c>
      <c r="AK274" s="132"/>
      <c r="AL274" s="132"/>
      <c r="AM274" s="132"/>
      <c r="AN274" s="64" t="s">
        <v>39</v>
      </c>
      <c r="AO274" s="100"/>
      <c r="AP274" s="100"/>
      <c r="AQ274" s="993"/>
      <c r="AR274" s="100"/>
      <c r="AS274" s="994"/>
      <c r="AT274" s="100"/>
      <c r="AU274" s="983"/>
      <c r="AV274" s="123" t="s">
        <v>345</v>
      </c>
      <c r="AW274" s="68"/>
    </row>
    <row r="275" spans="1:49" ht="36" hidden="1" customHeight="1" outlineLevel="3" x14ac:dyDescent="0.25">
      <c r="A275" s="63" t="str">
        <f t="shared" si="46"/>
        <v>1.3.1.6.12.62</v>
      </c>
      <c r="B275" s="64">
        <v>1</v>
      </c>
      <c r="C275" s="64">
        <v>3</v>
      </c>
      <c r="D275" s="64">
        <v>1</v>
      </c>
      <c r="E275" s="64">
        <v>6</v>
      </c>
      <c r="F275" s="64">
        <v>12</v>
      </c>
      <c r="G275" s="100">
        <v>62</v>
      </c>
      <c r="H275" s="65"/>
      <c r="I275" s="65"/>
      <c r="J275" s="66"/>
      <c r="K275" s="86" t="s">
        <v>1723</v>
      </c>
      <c r="L275" s="64" t="s">
        <v>72</v>
      </c>
      <c r="M275" s="64" t="s">
        <v>267</v>
      </c>
      <c r="N275" s="64" t="s">
        <v>265</v>
      </c>
      <c r="O275" s="64" t="s">
        <v>275</v>
      </c>
      <c r="P275" s="69"/>
      <c r="Q275" s="69"/>
      <c r="R275" s="124">
        <v>12</v>
      </c>
      <c r="S275" s="123"/>
      <c r="T275" s="194">
        <v>3</v>
      </c>
      <c r="U275" s="75">
        <f>5103640.5+1088474.54</f>
        <v>6192115.04</v>
      </c>
      <c r="V275" s="75"/>
      <c r="W275" s="75">
        <v>0</v>
      </c>
      <c r="X275" s="1122">
        <v>0</v>
      </c>
      <c r="Y275" s="75">
        <f>5103640.5+1632711.81</f>
        <v>6736352.3100000005</v>
      </c>
      <c r="Z275" s="75">
        <v>0</v>
      </c>
      <c r="AA275" s="1122">
        <v>0</v>
      </c>
      <c r="AB275" s="75">
        <f>5103640.5+1632711.81</f>
        <v>6736352.3100000005</v>
      </c>
      <c r="AC275" s="75">
        <v>0</v>
      </c>
      <c r="AD275" s="1122">
        <v>0</v>
      </c>
      <c r="AE275" s="75">
        <f>5103640.5+1632711.81</f>
        <v>6736352.3100000005</v>
      </c>
      <c r="AF275" s="75">
        <v>0</v>
      </c>
      <c r="AG275" s="1122">
        <v>0</v>
      </c>
      <c r="AH275" s="505">
        <f t="shared" si="50"/>
        <v>26401171.970000006</v>
      </c>
      <c r="AI275" s="132"/>
      <c r="AJ275" s="75">
        <f t="shared" si="49"/>
        <v>0</v>
      </c>
      <c r="AK275" s="132"/>
      <c r="AL275" s="132"/>
      <c r="AM275" s="132"/>
      <c r="AN275" s="64" t="s">
        <v>39</v>
      </c>
      <c r="AO275" s="100"/>
      <c r="AP275" s="1050"/>
      <c r="AQ275" s="1050"/>
      <c r="AR275" s="1051"/>
      <c r="AS275" s="1051"/>
      <c r="AT275" s="100"/>
      <c r="AU275" s="983"/>
      <c r="AV275" s="259" t="s">
        <v>2724</v>
      </c>
      <c r="AW275" s="67" t="s">
        <v>2746</v>
      </c>
    </row>
    <row r="276" spans="1:49" ht="36" hidden="1" customHeight="1" outlineLevel="3" x14ac:dyDescent="0.25">
      <c r="A276" s="63" t="str">
        <f t="shared" si="46"/>
        <v>1.3.1.6.14.62</v>
      </c>
      <c r="B276" s="64">
        <v>1</v>
      </c>
      <c r="C276" s="64">
        <v>3</v>
      </c>
      <c r="D276" s="64">
        <v>1</v>
      </c>
      <c r="E276" s="64">
        <v>6</v>
      </c>
      <c r="F276" s="64">
        <v>14</v>
      </c>
      <c r="G276" s="64">
        <v>62</v>
      </c>
      <c r="H276" s="65"/>
      <c r="I276" s="65"/>
      <c r="J276" s="66"/>
      <c r="K276" s="86" t="s">
        <v>346</v>
      </c>
      <c r="L276" s="64" t="s">
        <v>72</v>
      </c>
      <c r="M276" s="64" t="s">
        <v>267</v>
      </c>
      <c r="N276" s="64" t="s">
        <v>337</v>
      </c>
      <c r="O276" s="64" t="s">
        <v>275</v>
      </c>
      <c r="P276" s="69"/>
      <c r="Q276" s="69"/>
      <c r="R276" s="124"/>
      <c r="S276" s="123"/>
      <c r="T276" s="194"/>
      <c r="U276" s="75">
        <v>0</v>
      </c>
      <c r="V276" s="75"/>
      <c r="W276" s="75">
        <v>0</v>
      </c>
      <c r="X276" s="1122">
        <v>0</v>
      </c>
      <c r="Y276" s="75">
        <v>0</v>
      </c>
      <c r="Z276" s="75">
        <v>0</v>
      </c>
      <c r="AA276" s="1122">
        <v>0</v>
      </c>
      <c r="AB276" s="75">
        <v>0</v>
      </c>
      <c r="AC276" s="75">
        <v>0</v>
      </c>
      <c r="AD276" s="1122">
        <v>0</v>
      </c>
      <c r="AE276" s="75">
        <v>0</v>
      </c>
      <c r="AF276" s="75">
        <v>0</v>
      </c>
      <c r="AG276" s="1122">
        <v>0</v>
      </c>
      <c r="AH276" s="505">
        <f t="shared" si="50"/>
        <v>0</v>
      </c>
      <c r="AI276" s="132"/>
      <c r="AJ276" s="75">
        <f t="shared" si="49"/>
        <v>0</v>
      </c>
      <c r="AK276" s="132"/>
      <c r="AL276" s="132"/>
      <c r="AM276" s="132"/>
      <c r="AN276" s="64" t="s">
        <v>39</v>
      </c>
      <c r="AO276" s="710"/>
      <c r="AP276" s="100"/>
      <c r="AQ276" s="993"/>
      <c r="AR276" s="100"/>
      <c r="AS276" s="994"/>
      <c r="AT276" s="100"/>
      <c r="AU276" s="983"/>
      <c r="AV276" s="123" t="s">
        <v>73</v>
      </c>
      <c r="AW276" s="68"/>
    </row>
    <row r="277" spans="1:49" ht="36" hidden="1" customHeight="1" outlineLevel="3" x14ac:dyDescent="0.25">
      <c r="A277" s="63" t="str">
        <f t="shared" si="46"/>
        <v>1.3.1.6.15.62</v>
      </c>
      <c r="B277" s="64">
        <v>1</v>
      </c>
      <c r="C277" s="64">
        <v>3</v>
      </c>
      <c r="D277" s="64">
        <v>1</v>
      </c>
      <c r="E277" s="64">
        <v>6</v>
      </c>
      <c r="F277" s="64">
        <v>15</v>
      </c>
      <c r="G277" s="64">
        <v>62</v>
      </c>
      <c r="H277" s="65"/>
      <c r="I277" s="65"/>
      <c r="J277" s="66"/>
      <c r="K277" s="86" t="s">
        <v>276</v>
      </c>
      <c r="L277" s="64" t="s">
        <v>72</v>
      </c>
      <c r="M277" s="64" t="s">
        <v>271</v>
      </c>
      <c r="N277" s="64" t="s">
        <v>307</v>
      </c>
      <c r="O277" s="64" t="s">
        <v>277</v>
      </c>
      <c r="P277" s="69"/>
      <c r="Q277" s="69"/>
      <c r="R277" s="124"/>
      <c r="S277" s="123"/>
      <c r="T277" s="194"/>
      <c r="U277" s="75">
        <v>0</v>
      </c>
      <c r="V277" s="75"/>
      <c r="W277" s="75">
        <v>0</v>
      </c>
      <c r="X277" s="1122">
        <v>0</v>
      </c>
      <c r="Y277" s="75">
        <v>0</v>
      </c>
      <c r="Z277" s="75">
        <v>0</v>
      </c>
      <c r="AA277" s="1122">
        <v>0</v>
      </c>
      <c r="AB277" s="75">
        <v>0</v>
      </c>
      <c r="AC277" s="75">
        <v>0</v>
      </c>
      <c r="AD277" s="1122">
        <v>0</v>
      </c>
      <c r="AE277" s="75">
        <v>0</v>
      </c>
      <c r="AF277" s="75">
        <v>0</v>
      </c>
      <c r="AG277" s="1122">
        <v>0</v>
      </c>
      <c r="AH277" s="505">
        <f t="shared" si="50"/>
        <v>0</v>
      </c>
      <c r="AI277" s="132"/>
      <c r="AJ277" s="75">
        <f t="shared" si="49"/>
        <v>0</v>
      </c>
      <c r="AK277" s="129"/>
      <c r="AL277" s="129"/>
      <c r="AM277" s="129"/>
      <c r="AN277" s="189" t="s">
        <v>39</v>
      </c>
      <c r="AO277" s="1050"/>
      <c r="AP277" s="1057"/>
      <c r="AQ277" s="1057"/>
      <c r="AR277" s="1050"/>
      <c r="AS277" s="1050"/>
      <c r="AT277" s="1062"/>
      <c r="AU277" s="983"/>
      <c r="AV277" s="123" t="s">
        <v>278</v>
      </c>
      <c r="AW277" s="538"/>
    </row>
    <row r="278" spans="1:49" ht="36" hidden="1" customHeight="1" outlineLevel="3" x14ac:dyDescent="0.25">
      <c r="A278" s="63" t="str">
        <f t="shared" si="46"/>
        <v>1.3.1.6.16.62</v>
      </c>
      <c r="B278" s="64">
        <v>1</v>
      </c>
      <c r="C278" s="64">
        <v>3</v>
      </c>
      <c r="D278" s="64">
        <v>1</v>
      </c>
      <c r="E278" s="64">
        <v>6</v>
      </c>
      <c r="F278" s="64">
        <v>16</v>
      </c>
      <c r="G278" s="64">
        <v>62</v>
      </c>
      <c r="H278" s="65"/>
      <c r="I278" s="65"/>
      <c r="J278" s="66"/>
      <c r="K278" s="86" t="s">
        <v>1894</v>
      </c>
      <c r="L278" s="64" t="s">
        <v>72</v>
      </c>
      <c r="M278" s="64" t="s">
        <v>279</v>
      </c>
      <c r="N278" s="64" t="s">
        <v>307</v>
      </c>
      <c r="O278" s="68" t="s">
        <v>277</v>
      </c>
      <c r="P278" s="69"/>
      <c r="Q278" s="69"/>
      <c r="R278" s="124"/>
      <c r="S278" s="123"/>
      <c r="T278" s="194"/>
      <c r="U278" s="75">
        <v>42857</v>
      </c>
      <c r="V278" s="75"/>
      <c r="W278" s="75">
        <v>0</v>
      </c>
      <c r="X278" s="1122">
        <v>0</v>
      </c>
      <c r="Y278" s="75">
        <v>0</v>
      </c>
      <c r="Z278" s="75">
        <v>0</v>
      </c>
      <c r="AA278" s="1122">
        <v>0</v>
      </c>
      <c r="AB278" s="75">
        <v>0</v>
      </c>
      <c r="AC278" s="75">
        <v>0</v>
      </c>
      <c r="AD278" s="1122">
        <v>0</v>
      </c>
      <c r="AE278" s="75">
        <v>0</v>
      </c>
      <c r="AF278" s="75">
        <v>0</v>
      </c>
      <c r="AG278" s="1122">
        <v>0</v>
      </c>
      <c r="AH278" s="505">
        <f t="shared" si="50"/>
        <v>42857</v>
      </c>
      <c r="AI278" s="132"/>
      <c r="AJ278" s="75">
        <f t="shared" si="49"/>
        <v>0</v>
      </c>
      <c r="AK278" s="132"/>
      <c r="AL278" s="132"/>
      <c r="AM278" s="132"/>
      <c r="AN278" s="64" t="s">
        <v>39</v>
      </c>
      <c r="AO278" s="100"/>
      <c r="AP278" s="960"/>
      <c r="AQ278" s="960"/>
      <c r="AR278" s="1054"/>
      <c r="AS278" s="1054"/>
      <c r="AT278" s="1056"/>
      <c r="AU278" s="1055"/>
      <c r="AV278" s="65" t="s">
        <v>279</v>
      </c>
      <c r="AW278" s="538"/>
    </row>
    <row r="279" spans="1:49" ht="36" hidden="1" customHeight="1" outlineLevel="3" x14ac:dyDescent="0.25">
      <c r="A279" s="63" t="str">
        <f t="shared" si="46"/>
        <v>1.3.1.6.17.62</v>
      </c>
      <c r="B279" s="64">
        <v>1</v>
      </c>
      <c r="C279" s="64">
        <v>3</v>
      </c>
      <c r="D279" s="64">
        <v>1</v>
      </c>
      <c r="E279" s="64">
        <v>6</v>
      </c>
      <c r="F279" s="64">
        <v>17</v>
      </c>
      <c r="G279" s="64">
        <v>62</v>
      </c>
      <c r="H279" s="65"/>
      <c r="I279" s="65"/>
      <c r="J279" s="66"/>
      <c r="K279" s="86" t="s">
        <v>347</v>
      </c>
      <c r="L279" s="64" t="s">
        <v>72</v>
      </c>
      <c r="M279" s="64" t="s">
        <v>271</v>
      </c>
      <c r="N279" s="64" t="s">
        <v>307</v>
      </c>
      <c r="O279" s="64" t="s">
        <v>281</v>
      </c>
      <c r="P279" s="69"/>
      <c r="Q279" s="69"/>
      <c r="R279" s="124"/>
      <c r="S279" s="123"/>
      <c r="T279" s="194"/>
      <c r="U279" s="75">
        <v>0</v>
      </c>
      <c r="V279" s="75"/>
      <c r="W279" s="75">
        <v>0</v>
      </c>
      <c r="X279" s="1122">
        <v>0</v>
      </c>
      <c r="Y279" s="75">
        <v>0</v>
      </c>
      <c r="Z279" s="75">
        <v>0</v>
      </c>
      <c r="AA279" s="1122">
        <v>0</v>
      </c>
      <c r="AB279" s="75">
        <v>0</v>
      </c>
      <c r="AC279" s="75">
        <v>0</v>
      </c>
      <c r="AD279" s="1122">
        <v>0</v>
      </c>
      <c r="AE279" s="75">
        <v>0</v>
      </c>
      <c r="AF279" s="75">
        <v>0</v>
      </c>
      <c r="AG279" s="1122">
        <v>0</v>
      </c>
      <c r="AH279" s="505">
        <f t="shared" si="50"/>
        <v>0</v>
      </c>
      <c r="AI279" s="132"/>
      <c r="AJ279" s="75">
        <f t="shared" si="49"/>
        <v>0</v>
      </c>
      <c r="AK279" s="132"/>
      <c r="AL279" s="132"/>
      <c r="AM279" s="132"/>
      <c r="AN279" s="64" t="s">
        <v>39</v>
      </c>
      <c r="AO279" s="100"/>
      <c r="AP279" s="100"/>
      <c r="AQ279" s="1029"/>
      <c r="AR279" s="1028"/>
      <c r="AS279" s="1030"/>
      <c r="AT279" s="100"/>
      <c r="AU279" s="983"/>
      <c r="AV279" s="123" t="s">
        <v>166</v>
      </c>
      <c r="AW279" s="538"/>
    </row>
    <row r="280" spans="1:49" ht="36" hidden="1" customHeight="1" outlineLevel="3" x14ac:dyDescent="0.25">
      <c r="A280" s="63" t="str">
        <f t="shared" si="46"/>
        <v>1.3.1.6.18.62</v>
      </c>
      <c r="B280" s="64">
        <v>1</v>
      </c>
      <c r="C280" s="64">
        <v>3</v>
      </c>
      <c r="D280" s="64">
        <v>1</v>
      </c>
      <c r="E280" s="64">
        <v>6</v>
      </c>
      <c r="F280" s="64">
        <v>18</v>
      </c>
      <c r="G280" s="64">
        <v>62</v>
      </c>
      <c r="H280" s="65"/>
      <c r="I280" s="65"/>
      <c r="J280" s="66"/>
      <c r="K280" s="86" t="s">
        <v>348</v>
      </c>
      <c r="L280" s="64" t="s">
        <v>72</v>
      </c>
      <c r="M280" s="64" t="s">
        <v>271</v>
      </c>
      <c r="N280" s="64" t="s">
        <v>307</v>
      </c>
      <c r="O280" s="64" t="s">
        <v>281</v>
      </c>
      <c r="P280" s="69"/>
      <c r="Q280" s="69"/>
      <c r="R280" s="124"/>
      <c r="S280" s="123"/>
      <c r="T280" s="194"/>
      <c r="U280" s="75">
        <v>0</v>
      </c>
      <c r="V280" s="75"/>
      <c r="W280" s="75">
        <v>0</v>
      </c>
      <c r="X280" s="1122">
        <v>0</v>
      </c>
      <c r="Y280" s="75">
        <v>0</v>
      </c>
      <c r="Z280" s="75">
        <v>0</v>
      </c>
      <c r="AA280" s="1122">
        <v>0</v>
      </c>
      <c r="AB280" s="75">
        <v>0</v>
      </c>
      <c r="AC280" s="75">
        <v>0</v>
      </c>
      <c r="AD280" s="1122">
        <v>0</v>
      </c>
      <c r="AE280" s="75">
        <v>0</v>
      </c>
      <c r="AF280" s="75">
        <v>0</v>
      </c>
      <c r="AG280" s="1122">
        <v>0</v>
      </c>
      <c r="AH280" s="505">
        <f t="shared" si="50"/>
        <v>0</v>
      </c>
      <c r="AI280" s="132"/>
      <c r="AJ280" s="75">
        <f t="shared" si="49"/>
        <v>0</v>
      </c>
      <c r="AK280" s="132"/>
      <c r="AL280" s="132"/>
      <c r="AM280" s="132"/>
      <c r="AN280" s="64" t="s">
        <v>39</v>
      </c>
      <c r="AO280" s="100"/>
      <c r="AP280" s="100"/>
      <c r="AQ280" s="993"/>
      <c r="AR280" s="100"/>
      <c r="AS280" s="994"/>
      <c r="AT280" s="100"/>
      <c r="AU280" s="983"/>
      <c r="AV280" s="123" t="s">
        <v>166</v>
      </c>
      <c r="AW280" s="68"/>
    </row>
    <row r="281" spans="1:49" ht="36" hidden="1" customHeight="1" outlineLevel="3" x14ac:dyDescent="0.25">
      <c r="A281" s="63" t="str">
        <f t="shared" si="46"/>
        <v>1.3.1.6.19.62</v>
      </c>
      <c r="B281" s="64">
        <v>1</v>
      </c>
      <c r="C281" s="64">
        <v>3</v>
      </c>
      <c r="D281" s="64">
        <v>1</v>
      </c>
      <c r="E281" s="64">
        <v>6</v>
      </c>
      <c r="F281" s="64">
        <v>19</v>
      </c>
      <c r="G281" s="64">
        <v>62</v>
      </c>
      <c r="H281" s="65"/>
      <c r="I281" s="65"/>
      <c r="J281" s="66"/>
      <c r="K281" s="86" t="s">
        <v>349</v>
      </c>
      <c r="L281" s="64" t="s">
        <v>72</v>
      </c>
      <c r="M281" s="64" t="s">
        <v>271</v>
      </c>
      <c r="N281" s="64" t="s">
        <v>307</v>
      </c>
      <c r="O281" s="64" t="s">
        <v>281</v>
      </c>
      <c r="P281" s="69"/>
      <c r="Q281" s="69"/>
      <c r="R281" s="124"/>
      <c r="S281" s="123"/>
      <c r="T281" s="194"/>
      <c r="U281" s="75">
        <v>0</v>
      </c>
      <c r="V281" s="75"/>
      <c r="W281" s="75">
        <v>0</v>
      </c>
      <c r="X281" s="1122">
        <v>0</v>
      </c>
      <c r="Y281" s="75">
        <v>0</v>
      </c>
      <c r="Z281" s="75">
        <v>0</v>
      </c>
      <c r="AA281" s="1122">
        <v>0</v>
      </c>
      <c r="AB281" s="75">
        <v>0</v>
      </c>
      <c r="AC281" s="75">
        <v>0</v>
      </c>
      <c r="AD281" s="1122">
        <v>0</v>
      </c>
      <c r="AE281" s="75">
        <v>0</v>
      </c>
      <c r="AF281" s="75">
        <v>0</v>
      </c>
      <c r="AG281" s="1122">
        <v>0</v>
      </c>
      <c r="AH281" s="505">
        <f t="shared" si="50"/>
        <v>0</v>
      </c>
      <c r="AI281" s="132"/>
      <c r="AJ281" s="75">
        <f t="shared" si="49"/>
        <v>0</v>
      </c>
      <c r="AK281" s="132"/>
      <c r="AL281" s="132"/>
      <c r="AM281" s="132"/>
      <c r="AN281" s="64" t="s">
        <v>39</v>
      </c>
      <c r="AO281" s="100"/>
      <c r="AP281" s="100"/>
      <c r="AQ281" s="993"/>
      <c r="AR281" s="100"/>
      <c r="AS281" s="994"/>
      <c r="AT281" s="100"/>
      <c r="AU281" s="983"/>
      <c r="AV281" s="124" t="s">
        <v>166</v>
      </c>
      <c r="AW281" s="68"/>
    </row>
    <row r="282" spans="1:49" ht="36" hidden="1" customHeight="1" outlineLevel="3" x14ac:dyDescent="0.25">
      <c r="A282" s="63" t="str">
        <f t="shared" si="46"/>
        <v>1.3.1.6.20.62</v>
      </c>
      <c r="B282" s="64">
        <v>1</v>
      </c>
      <c r="C282" s="64">
        <v>3</v>
      </c>
      <c r="D282" s="64">
        <v>1</v>
      </c>
      <c r="E282" s="64">
        <v>6</v>
      </c>
      <c r="F282" s="64">
        <v>20</v>
      </c>
      <c r="G282" s="64">
        <v>62</v>
      </c>
      <c r="H282" s="65"/>
      <c r="I282" s="65"/>
      <c r="J282" s="66"/>
      <c r="K282" s="86" t="s">
        <v>280</v>
      </c>
      <c r="L282" s="64" t="s">
        <v>72</v>
      </c>
      <c r="M282" s="64" t="s">
        <v>271</v>
      </c>
      <c r="N282" s="64" t="s">
        <v>307</v>
      </c>
      <c r="O282" s="64" t="s">
        <v>281</v>
      </c>
      <c r="P282" s="69"/>
      <c r="Q282" s="69"/>
      <c r="R282" s="124"/>
      <c r="S282" s="123"/>
      <c r="T282" s="194"/>
      <c r="U282" s="75">
        <v>0</v>
      </c>
      <c r="V282" s="75"/>
      <c r="W282" s="75">
        <v>0</v>
      </c>
      <c r="X282" s="1122">
        <v>0</v>
      </c>
      <c r="Y282" s="75">
        <v>0</v>
      </c>
      <c r="Z282" s="75">
        <v>0</v>
      </c>
      <c r="AA282" s="1122">
        <v>0</v>
      </c>
      <c r="AB282" s="75">
        <v>0</v>
      </c>
      <c r="AC282" s="75">
        <v>0</v>
      </c>
      <c r="AD282" s="1122">
        <v>0</v>
      </c>
      <c r="AE282" s="75">
        <v>0</v>
      </c>
      <c r="AF282" s="75">
        <v>0</v>
      </c>
      <c r="AG282" s="1122">
        <v>0</v>
      </c>
      <c r="AH282" s="505">
        <f t="shared" si="50"/>
        <v>0</v>
      </c>
      <c r="AI282" s="132"/>
      <c r="AJ282" s="75">
        <f t="shared" si="49"/>
        <v>0</v>
      </c>
      <c r="AK282" s="132"/>
      <c r="AL282" s="132"/>
      <c r="AM282" s="132"/>
      <c r="AN282" s="64" t="s">
        <v>39</v>
      </c>
      <c r="AO282" s="100"/>
      <c r="AP282" s="100"/>
      <c r="AQ282" s="993"/>
      <c r="AR282" s="100"/>
      <c r="AS282" s="994"/>
      <c r="AT282" s="100"/>
      <c r="AU282" s="983"/>
      <c r="AV282" s="123" t="s">
        <v>166</v>
      </c>
      <c r="AW282" s="68"/>
    </row>
    <row r="283" spans="1:49" ht="36" hidden="1" customHeight="1" outlineLevel="3" x14ac:dyDescent="0.25">
      <c r="A283" s="164" t="str">
        <f t="shared" si="46"/>
        <v>1.3.1.6.21.62</v>
      </c>
      <c r="B283" s="165">
        <v>1</v>
      </c>
      <c r="C283" s="165">
        <v>3</v>
      </c>
      <c r="D283" s="165">
        <v>1</v>
      </c>
      <c r="E283" s="165">
        <v>6</v>
      </c>
      <c r="F283" s="165">
        <v>21</v>
      </c>
      <c r="G283" s="165">
        <v>62</v>
      </c>
      <c r="H283" s="166"/>
      <c r="I283" s="166"/>
      <c r="J283" s="167"/>
      <c r="K283" s="979" t="s">
        <v>283</v>
      </c>
      <c r="L283" s="165" t="s">
        <v>72</v>
      </c>
      <c r="M283" s="165" t="s">
        <v>271</v>
      </c>
      <c r="N283" s="165" t="s">
        <v>307</v>
      </c>
      <c r="O283" s="165" t="s">
        <v>281</v>
      </c>
      <c r="P283" s="169"/>
      <c r="Q283" s="169"/>
      <c r="R283" s="1012"/>
      <c r="S283" s="1013"/>
      <c r="T283" s="1185"/>
      <c r="U283" s="75">
        <v>0</v>
      </c>
      <c r="V283" s="75"/>
      <c r="W283" s="75">
        <v>0</v>
      </c>
      <c r="X283" s="1122">
        <v>0</v>
      </c>
      <c r="Y283" s="75">
        <v>0</v>
      </c>
      <c r="Z283" s="75">
        <v>0</v>
      </c>
      <c r="AA283" s="1122">
        <v>0</v>
      </c>
      <c r="AB283" s="75">
        <v>0</v>
      </c>
      <c r="AC283" s="75">
        <v>0</v>
      </c>
      <c r="AD283" s="1122">
        <v>0</v>
      </c>
      <c r="AE283" s="75">
        <v>0</v>
      </c>
      <c r="AF283" s="75">
        <v>0</v>
      </c>
      <c r="AG283" s="1122">
        <v>0</v>
      </c>
      <c r="AH283" s="505">
        <f t="shared" si="50"/>
        <v>0</v>
      </c>
      <c r="AI283" s="132"/>
      <c r="AJ283" s="75">
        <f t="shared" si="49"/>
        <v>0</v>
      </c>
      <c r="AK283" s="132"/>
      <c r="AL283" s="132"/>
      <c r="AM283" s="132"/>
      <c r="AN283" s="165" t="s">
        <v>39</v>
      </c>
      <c r="AO283" s="710"/>
      <c r="AP283" s="710"/>
      <c r="AQ283" s="1052"/>
      <c r="AR283" s="710"/>
      <c r="AS283" s="1053"/>
      <c r="AT283" s="710"/>
      <c r="AU283" s="1044"/>
      <c r="AV283" s="123" t="s">
        <v>166</v>
      </c>
      <c r="AW283" s="68"/>
    </row>
    <row r="284" spans="1:49" ht="36" hidden="1" customHeight="1" outlineLevel="3" x14ac:dyDescent="0.25">
      <c r="A284" s="63" t="str">
        <f t="shared" si="46"/>
        <v>1.3.1.6.22.62</v>
      </c>
      <c r="B284" s="64">
        <v>1</v>
      </c>
      <c r="C284" s="64">
        <v>3</v>
      </c>
      <c r="D284" s="64">
        <v>1</v>
      </c>
      <c r="E284" s="64">
        <v>6</v>
      </c>
      <c r="F284" s="64">
        <v>22</v>
      </c>
      <c r="G284" s="64">
        <v>62</v>
      </c>
      <c r="H284" s="65"/>
      <c r="I284" s="65"/>
      <c r="J284" s="66"/>
      <c r="K284" s="86" t="s">
        <v>284</v>
      </c>
      <c r="L284" s="64" t="s">
        <v>72</v>
      </c>
      <c r="M284" s="64" t="s">
        <v>271</v>
      </c>
      <c r="N284" s="64" t="s">
        <v>307</v>
      </c>
      <c r="O284" s="64" t="s">
        <v>281</v>
      </c>
      <c r="P284" s="69">
        <v>44972</v>
      </c>
      <c r="Q284" s="131">
        <v>45290</v>
      </c>
      <c r="R284" s="124">
        <v>1</v>
      </c>
      <c r="S284" s="123" t="s">
        <v>76</v>
      </c>
      <c r="T284" s="194"/>
      <c r="U284" s="75">
        <v>0</v>
      </c>
      <c r="V284" s="75"/>
      <c r="W284" s="75">
        <v>0</v>
      </c>
      <c r="X284" s="1122">
        <v>0</v>
      </c>
      <c r="Y284" s="75">
        <v>99607.2</v>
      </c>
      <c r="Z284" s="75">
        <v>0</v>
      </c>
      <c r="AA284" s="1122">
        <v>0</v>
      </c>
      <c r="AB284" s="75">
        <v>0</v>
      </c>
      <c r="AC284" s="75">
        <v>0</v>
      </c>
      <c r="AD284" s="1122">
        <v>0</v>
      </c>
      <c r="AE284" s="75">
        <v>0</v>
      </c>
      <c r="AF284" s="75">
        <v>0</v>
      </c>
      <c r="AG284" s="1122">
        <v>0</v>
      </c>
      <c r="AH284" s="505">
        <f t="shared" si="50"/>
        <v>99607.2</v>
      </c>
      <c r="AI284" s="132"/>
      <c r="AJ284" s="75">
        <f t="shared" si="49"/>
        <v>0</v>
      </c>
      <c r="AK284" s="377"/>
      <c r="AL284" s="132"/>
      <c r="AM284" s="132"/>
      <c r="AN284" s="64" t="s">
        <v>39</v>
      </c>
      <c r="AO284" s="100"/>
      <c r="AP284" s="100"/>
      <c r="AQ284" s="100"/>
      <c r="AR284" s="100"/>
      <c r="AS284" s="100"/>
      <c r="AT284" s="100"/>
      <c r="AU284" s="983"/>
      <c r="AV284" s="123" t="s">
        <v>166</v>
      </c>
      <c r="AW284" s="67" t="s">
        <v>2736</v>
      </c>
    </row>
    <row r="285" spans="1:49" ht="36" hidden="1" customHeight="1" outlineLevel="3" x14ac:dyDescent="0.25">
      <c r="A285" s="864" t="str">
        <f t="shared" si="46"/>
        <v>1.3.1.6.23.62</v>
      </c>
      <c r="B285" s="245">
        <v>1</v>
      </c>
      <c r="C285" s="245">
        <v>3</v>
      </c>
      <c r="D285" s="245">
        <v>1</v>
      </c>
      <c r="E285" s="245">
        <v>6</v>
      </c>
      <c r="F285" s="245">
        <v>23</v>
      </c>
      <c r="G285" s="245">
        <v>62</v>
      </c>
      <c r="H285" s="1018"/>
      <c r="I285" s="1018"/>
      <c r="J285" s="1019"/>
      <c r="K285" s="980" t="s">
        <v>350</v>
      </c>
      <c r="L285" s="245" t="s">
        <v>72</v>
      </c>
      <c r="M285" s="245" t="s">
        <v>73</v>
      </c>
      <c r="N285" s="245" t="s">
        <v>307</v>
      </c>
      <c r="O285" s="245" t="s">
        <v>281</v>
      </c>
      <c r="P285" s="1020"/>
      <c r="Q285" s="1020"/>
      <c r="R285" s="1022"/>
      <c r="S285" s="1023"/>
      <c r="T285" s="1186"/>
      <c r="U285" s="75">
        <v>0</v>
      </c>
      <c r="V285" s="75"/>
      <c r="W285" s="75">
        <v>0</v>
      </c>
      <c r="X285" s="1122">
        <v>0</v>
      </c>
      <c r="Y285" s="75">
        <v>0</v>
      </c>
      <c r="Z285" s="75">
        <v>0</v>
      </c>
      <c r="AA285" s="1122">
        <v>0</v>
      </c>
      <c r="AB285" s="75">
        <v>0</v>
      </c>
      <c r="AC285" s="75">
        <v>0</v>
      </c>
      <c r="AD285" s="1122">
        <v>0</v>
      </c>
      <c r="AE285" s="75">
        <v>0</v>
      </c>
      <c r="AF285" s="75">
        <v>0</v>
      </c>
      <c r="AG285" s="1122">
        <v>0</v>
      </c>
      <c r="AH285" s="505">
        <f t="shared" si="50"/>
        <v>0</v>
      </c>
      <c r="AI285" s="132"/>
      <c r="AJ285" s="75">
        <f t="shared" si="49"/>
        <v>0</v>
      </c>
      <c r="AK285" s="132"/>
      <c r="AL285" s="132"/>
      <c r="AM285" s="132"/>
      <c r="AN285" s="245" t="s">
        <v>39</v>
      </c>
      <c r="AO285" s="1028"/>
      <c r="AP285" s="1028"/>
      <c r="AQ285" s="1029"/>
      <c r="AR285" s="1028"/>
      <c r="AS285" s="1030"/>
      <c r="AT285" s="1028"/>
      <c r="AU285" s="1031"/>
      <c r="AV285" s="123" t="s">
        <v>166</v>
      </c>
      <c r="AW285" s="68"/>
    </row>
    <row r="286" spans="1:49" ht="36" hidden="1" customHeight="1" outlineLevel="3" x14ac:dyDescent="0.25">
      <c r="A286" s="63" t="str">
        <f t="shared" si="46"/>
        <v>1.3.1.6.24.62</v>
      </c>
      <c r="B286" s="64">
        <v>1</v>
      </c>
      <c r="C286" s="64">
        <v>3</v>
      </c>
      <c r="D286" s="64">
        <v>1</v>
      </c>
      <c r="E286" s="64">
        <v>6</v>
      </c>
      <c r="F286" s="64">
        <v>24</v>
      </c>
      <c r="G286" s="64">
        <v>62</v>
      </c>
      <c r="H286" s="65"/>
      <c r="I286" s="65"/>
      <c r="J286" s="66"/>
      <c r="K286" s="86" t="s">
        <v>351</v>
      </c>
      <c r="L286" s="64" t="s">
        <v>72</v>
      </c>
      <c r="M286" s="64" t="s">
        <v>279</v>
      </c>
      <c r="N286" s="64" t="s">
        <v>307</v>
      </c>
      <c r="O286" s="64" t="s">
        <v>281</v>
      </c>
      <c r="P286" s="69"/>
      <c r="Q286" s="69"/>
      <c r="R286" s="124"/>
      <c r="S286" s="123"/>
      <c r="T286" s="194"/>
      <c r="U286" s="75">
        <v>0</v>
      </c>
      <c r="V286" s="75"/>
      <c r="W286" s="75">
        <v>0</v>
      </c>
      <c r="X286" s="1122">
        <v>0</v>
      </c>
      <c r="Y286" s="75">
        <v>0</v>
      </c>
      <c r="Z286" s="75">
        <v>0</v>
      </c>
      <c r="AA286" s="1122">
        <v>0</v>
      </c>
      <c r="AB286" s="75">
        <v>0</v>
      </c>
      <c r="AC286" s="75">
        <v>0</v>
      </c>
      <c r="AD286" s="1122">
        <v>0</v>
      </c>
      <c r="AE286" s="75">
        <v>0</v>
      </c>
      <c r="AF286" s="75">
        <v>0</v>
      </c>
      <c r="AG286" s="1122">
        <v>0</v>
      </c>
      <c r="AH286" s="505">
        <f t="shared" si="50"/>
        <v>0</v>
      </c>
      <c r="AI286" s="132"/>
      <c r="AJ286" s="75">
        <f t="shared" si="49"/>
        <v>0</v>
      </c>
      <c r="AK286" s="132"/>
      <c r="AL286" s="132"/>
      <c r="AM286" s="132"/>
      <c r="AN286" s="64" t="s">
        <v>39</v>
      </c>
      <c r="AO286" s="100"/>
      <c r="AP286" s="100"/>
      <c r="AQ286" s="993"/>
      <c r="AR286" s="100"/>
      <c r="AS286" s="994"/>
      <c r="AT286" s="100"/>
      <c r="AU286" s="983"/>
      <c r="AV286" s="65" t="s">
        <v>279</v>
      </c>
      <c r="AW286" s="68"/>
    </row>
    <row r="287" spans="1:49" ht="36" hidden="1" customHeight="1" outlineLevel="3" x14ac:dyDescent="0.25">
      <c r="A287" s="63" t="str">
        <f t="shared" si="46"/>
        <v>1.3.1.6.25.62</v>
      </c>
      <c r="B287" s="64">
        <v>1</v>
      </c>
      <c r="C287" s="64">
        <v>3</v>
      </c>
      <c r="D287" s="64">
        <v>1</v>
      </c>
      <c r="E287" s="64">
        <v>6</v>
      </c>
      <c r="F287" s="64">
        <v>25</v>
      </c>
      <c r="G287" s="64">
        <v>62</v>
      </c>
      <c r="H287" s="65"/>
      <c r="I287" s="65"/>
      <c r="J287" s="66"/>
      <c r="K287" s="86" t="s">
        <v>286</v>
      </c>
      <c r="L287" s="64" t="s">
        <v>72</v>
      </c>
      <c r="M287" s="64" t="s">
        <v>73</v>
      </c>
      <c r="N287" s="64" t="s">
        <v>307</v>
      </c>
      <c r="O287" s="64" t="s">
        <v>281</v>
      </c>
      <c r="P287" s="69"/>
      <c r="Q287" s="69"/>
      <c r="R287" s="124"/>
      <c r="S287" s="123"/>
      <c r="T287" s="194"/>
      <c r="U287" s="75">
        <v>0</v>
      </c>
      <c r="V287" s="75"/>
      <c r="W287" s="75">
        <v>0</v>
      </c>
      <c r="X287" s="1122">
        <v>0</v>
      </c>
      <c r="Y287" s="75">
        <v>0</v>
      </c>
      <c r="Z287" s="75">
        <v>0</v>
      </c>
      <c r="AA287" s="1122">
        <v>0</v>
      </c>
      <c r="AB287" s="75">
        <v>0</v>
      </c>
      <c r="AC287" s="75">
        <v>0</v>
      </c>
      <c r="AD287" s="1122">
        <v>0</v>
      </c>
      <c r="AE287" s="75">
        <v>0</v>
      </c>
      <c r="AF287" s="75">
        <v>0</v>
      </c>
      <c r="AG287" s="1122">
        <v>0</v>
      </c>
      <c r="AH287" s="505">
        <f t="shared" si="50"/>
        <v>0</v>
      </c>
      <c r="AI287" s="132"/>
      <c r="AJ287" s="75">
        <f t="shared" si="49"/>
        <v>0</v>
      </c>
      <c r="AK287" s="132"/>
      <c r="AL287" s="132"/>
      <c r="AM287" s="132"/>
      <c r="AN287" s="64" t="s">
        <v>39</v>
      </c>
      <c r="AO287" s="100"/>
      <c r="AP287" s="100"/>
      <c r="AQ287" s="993"/>
      <c r="AR287" s="100"/>
      <c r="AS287" s="994"/>
      <c r="AT287" s="100"/>
      <c r="AU287" s="983"/>
      <c r="AV287" s="123" t="s">
        <v>73</v>
      </c>
      <c r="AW287" s="68"/>
    </row>
    <row r="288" spans="1:49" ht="36" hidden="1" customHeight="1" outlineLevel="3" x14ac:dyDescent="0.25">
      <c r="A288" s="63" t="str">
        <f t="shared" si="46"/>
        <v>1.3.1.6.26.62</v>
      </c>
      <c r="B288" s="64">
        <v>1</v>
      </c>
      <c r="C288" s="64">
        <v>3</v>
      </c>
      <c r="D288" s="64">
        <v>1</v>
      </c>
      <c r="E288" s="64">
        <v>6</v>
      </c>
      <c r="F288" s="64">
        <v>26</v>
      </c>
      <c r="G288" s="64">
        <v>62</v>
      </c>
      <c r="H288" s="65"/>
      <c r="I288" s="65"/>
      <c r="J288" s="66"/>
      <c r="K288" s="86" t="s">
        <v>287</v>
      </c>
      <c r="L288" s="64" t="s">
        <v>72</v>
      </c>
      <c r="M288" s="64" t="s">
        <v>73</v>
      </c>
      <c r="N288" s="64"/>
      <c r="O288" s="64"/>
      <c r="P288" s="69"/>
      <c r="Q288" s="69"/>
      <c r="R288" s="124">
        <v>1</v>
      </c>
      <c r="S288" s="123"/>
      <c r="T288" s="194"/>
      <c r="U288" s="75">
        <v>0</v>
      </c>
      <c r="V288" s="75"/>
      <c r="W288" s="75">
        <v>0</v>
      </c>
      <c r="X288" s="1122">
        <v>0</v>
      </c>
      <c r="Y288" s="75">
        <v>0</v>
      </c>
      <c r="Z288" s="75">
        <v>0</v>
      </c>
      <c r="AA288" s="1122">
        <v>0</v>
      </c>
      <c r="AB288" s="75">
        <v>0</v>
      </c>
      <c r="AC288" s="75">
        <v>0</v>
      </c>
      <c r="AD288" s="1122">
        <v>0</v>
      </c>
      <c r="AE288" s="75">
        <v>0</v>
      </c>
      <c r="AF288" s="75">
        <v>0</v>
      </c>
      <c r="AG288" s="1122">
        <v>0</v>
      </c>
      <c r="AH288" s="505">
        <f t="shared" si="50"/>
        <v>0</v>
      </c>
      <c r="AI288" s="132"/>
      <c r="AJ288" s="75">
        <f t="shared" si="49"/>
        <v>0</v>
      </c>
      <c r="AK288" s="132"/>
      <c r="AL288" s="132"/>
      <c r="AM288" s="132"/>
      <c r="AN288" s="64" t="s">
        <v>181</v>
      </c>
      <c r="AO288" s="100"/>
      <c r="AP288" s="100"/>
      <c r="AQ288" s="993"/>
      <c r="AR288" s="100"/>
      <c r="AS288" s="994"/>
      <c r="AT288" s="100"/>
      <c r="AU288" s="983"/>
      <c r="AV288" s="123" t="s">
        <v>73</v>
      </c>
      <c r="AW288" s="68"/>
    </row>
    <row r="289" spans="1:49" ht="36" hidden="1" customHeight="1" outlineLevel="3" x14ac:dyDescent="0.25">
      <c r="A289" s="63" t="str">
        <f t="shared" si="46"/>
        <v>1.3.1.6.27.62</v>
      </c>
      <c r="B289" s="64">
        <v>1</v>
      </c>
      <c r="C289" s="64">
        <v>3</v>
      </c>
      <c r="D289" s="64">
        <v>1</v>
      </c>
      <c r="E289" s="64">
        <v>6</v>
      </c>
      <c r="F289" s="64">
        <v>27</v>
      </c>
      <c r="G289" s="64">
        <v>62</v>
      </c>
      <c r="H289" s="65"/>
      <c r="I289" s="65"/>
      <c r="J289" s="66"/>
      <c r="K289" s="67" t="s">
        <v>2206</v>
      </c>
      <c r="L289" s="64" t="s">
        <v>72</v>
      </c>
      <c r="M289" s="64" t="s">
        <v>279</v>
      </c>
      <c r="N289" s="64"/>
      <c r="O289" s="64"/>
      <c r="P289" s="69"/>
      <c r="Q289" s="69"/>
      <c r="R289" s="124"/>
      <c r="S289" s="123"/>
      <c r="T289" s="194"/>
      <c r="U289" s="75">
        <v>0</v>
      </c>
      <c r="V289" s="75"/>
      <c r="W289" s="75">
        <v>0</v>
      </c>
      <c r="X289" s="1122">
        <v>0</v>
      </c>
      <c r="Y289" s="75">
        <v>0</v>
      </c>
      <c r="Z289" s="75">
        <v>0</v>
      </c>
      <c r="AA289" s="1122">
        <v>0</v>
      </c>
      <c r="AB289" s="75">
        <v>0</v>
      </c>
      <c r="AC289" s="75">
        <v>0</v>
      </c>
      <c r="AD289" s="1122">
        <v>0</v>
      </c>
      <c r="AE289" s="75">
        <v>0</v>
      </c>
      <c r="AF289" s="75">
        <v>0</v>
      </c>
      <c r="AG289" s="1122">
        <v>0</v>
      </c>
      <c r="AH289" s="505">
        <f t="shared" si="50"/>
        <v>0</v>
      </c>
      <c r="AI289" s="132"/>
      <c r="AJ289" s="75">
        <f t="shared" si="49"/>
        <v>0</v>
      </c>
      <c r="AK289" s="75"/>
      <c r="AL289" s="75"/>
      <c r="AM289" s="75"/>
      <c r="AN289" s="64" t="s">
        <v>39</v>
      </c>
      <c r="AO289" s="1081"/>
      <c r="AP289" s="1057"/>
      <c r="AQ289" s="960"/>
      <c r="AR289" s="100"/>
      <c r="AS289" s="1082"/>
      <c r="AT289" s="1062"/>
      <c r="AU289" s="983"/>
      <c r="AV289" s="123" t="s">
        <v>73</v>
      </c>
      <c r="AW289" s="538"/>
    </row>
    <row r="290" spans="1:49" ht="36" hidden="1" customHeight="1" outlineLevel="3" x14ac:dyDescent="0.25">
      <c r="A290" s="63" t="str">
        <f t="shared" si="46"/>
        <v>1.3.1.6.28.62</v>
      </c>
      <c r="B290" s="64">
        <v>1</v>
      </c>
      <c r="C290" s="64">
        <v>3</v>
      </c>
      <c r="D290" s="64">
        <v>1</v>
      </c>
      <c r="E290" s="64">
        <v>6</v>
      </c>
      <c r="F290" s="64">
        <v>28</v>
      </c>
      <c r="G290" s="64">
        <v>62</v>
      </c>
      <c r="H290" s="65"/>
      <c r="I290" s="65"/>
      <c r="J290" s="66"/>
      <c r="K290" s="556" t="s">
        <v>352</v>
      </c>
      <c r="L290" s="64"/>
      <c r="M290" s="64"/>
      <c r="N290" s="64"/>
      <c r="O290" s="64"/>
      <c r="P290" s="69"/>
      <c r="Q290" s="69"/>
      <c r="R290" s="124"/>
      <c r="S290" s="123"/>
      <c r="T290" s="194"/>
      <c r="U290" s="75">
        <v>0</v>
      </c>
      <c r="V290" s="75"/>
      <c r="W290" s="75">
        <v>0</v>
      </c>
      <c r="X290" s="1122">
        <v>0</v>
      </c>
      <c r="Y290" s="75">
        <v>0</v>
      </c>
      <c r="Z290" s="75">
        <v>0</v>
      </c>
      <c r="AA290" s="1122">
        <v>0</v>
      </c>
      <c r="AB290" s="75">
        <v>0</v>
      </c>
      <c r="AC290" s="75">
        <v>0</v>
      </c>
      <c r="AD290" s="1122">
        <v>0</v>
      </c>
      <c r="AE290" s="75">
        <v>0</v>
      </c>
      <c r="AF290" s="75">
        <v>0</v>
      </c>
      <c r="AG290" s="1122">
        <v>0</v>
      </c>
      <c r="AH290" s="505">
        <f t="shared" si="50"/>
        <v>0</v>
      </c>
      <c r="AI290" s="132"/>
      <c r="AJ290" s="75">
        <f t="shared" si="49"/>
        <v>0</v>
      </c>
      <c r="AK290" s="132"/>
      <c r="AL290" s="132"/>
      <c r="AM290" s="132"/>
      <c r="AN290" s="64" t="s">
        <v>39</v>
      </c>
      <c r="AO290" s="710"/>
      <c r="AP290" s="710"/>
      <c r="AQ290" s="1052"/>
      <c r="AR290" s="100"/>
      <c r="AS290" s="1053"/>
      <c r="AT290" s="100"/>
      <c r="AU290" s="983"/>
      <c r="AV290" s="123" t="s">
        <v>73</v>
      </c>
      <c r="AW290" s="68"/>
    </row>
    <row r="291" spans="1:49" ht="36" hidden="1" customHeight="1" outlineLevel="3" x14ac:dyDescent="0.25">
      <c r="A291" s="63" t="str">
        <f t="shared" si="46"/>
        <v>1.3.1.6.29.62</v>
      </c>
      <c r="B291" s="64">
        <v>1</v>
      </c>
      <c r="C291" s="64">
        <v>3</v>
      </c>
      <c r="D291" s="64">
        <v>1</v>
      </c>
      <c r="E291" s="64">
        <v>6</v>
      </c>
      <c r="F291" s="64">
        <v>29</v>
      </c>
      <c r="G291" s="100">
        <v>62</v>
      </c>
      <c r="H291" s="65"/>
      <c r="I291" s="65"/>
      <c r="J291" s="66"/>
      <c r="K291" s="67" t="s">
        <v>326</v>
      </c>
      <c r="L291" s="64" t="s">
        <v>72</v>
      </c>
      <c r="M291" s="64" t="s">
        <v>279</v>
      </c>
      <c r="N291" s="64"/>
      <c r="O291" s="64"/>
      <c r="P291" s="69"/>
      <c r="Q291" s="69"/>
      <c r="R291" s="124"/>
      <c r="S291" s="123"/>
      <c r="T291" s="194"/>
      <c r="U291" s="75">
        <v>50446.431698</v>
      </c>
      <c r="V291" s="75"/>
      <c r="W291" s="75">
        <v>0</v>
      </c>
      <c r="X291" s="1122">
        <v>0</v>
      </c>
      <c r="Y291" s="75">
        <v>50446.431698</v>
      </c>
      <c r="Z291" s="75">
        <v>0</v>
      </c>
      <c r="AA291" s="1122">
        <v>0</v>
      </c>
      <c r="AB291" s="75">
        <v>50446.431698</v>
      </c>
      <c r="AC291" s="75">
        <v>0</v>
      </c>
      <c r="AD291" s="1122">
        <v>0</v>
      </c>
      <c r="AE291" s="75">
        <v>50446.431698</v>
      </c>
      <c r="AF291" s="75">
        <v>0</v>
      </c>
      <c r="AG291" s="1122">
        <v>0</v>
      </c>
      <c r="AH291" s="505">
        <f t="shared" si="50"/>
        <v>201785.726792</v>
      </c>
      <c r="AI291" s="132"/>
      <c r="AJ291" s="75">
        <f t="shared" si="49"/>
        <v>0</v>
      </c>
      <c r="AK291" s="132"/>
      <c r="AL291" s="132"/>
      <c r="AM291" s="132"/>
      <c r="AN291" s="64" t="s">
        <v>39</v>
      </c>
      <c r="AO291" s="100"/>
      <c r="AP291" s="100"/>
      <c r="AQ291" s="100"/>
      <c r="AR291" s="100"/>
      <c r="AS291" s="100"/>
      <c r="AT291" s="100"/>
      <c r="AU291" s="983"/>
      <c r="AV291" s="123" t="s">
        <v>73</v>
      </c>
      <c r="AW291" s="67" t="s">
        <v>2833</v>
      </c>
    </row>
    <row r="292" spans="1:49" ht="26.1" hidden="1" customHeight="1" outlineLevel="3" x14ac:dyDescent="0.25">
      <c r="A292" s="63" t="str">
        <f t="shared" si="46"/>
        <v>1.3.1.6.30.62</v>
      </c>
      <c r="B292" s="64">
        <v>1</v>
      </c>
      <c r="C292" s="64">
        <v>3</v>
      </c>
      <c r="D292" s="64">
        <v>1</v>
      </c>
      <c r="E292" s="64">
        <v>6</v>
      </c>
      <c r="F292" s="64">
        <v>30</v>
      </c>
      <c r="G292" s="64">
        <v>62</v>
      </c>
      <c r="H292" s="65"/>
      <c r="I292" s="65"/>
      <c r="J292" s="66"/>
      <c r="K292" s="67" t="s">
        <v>296</v>
      </c>
      <c r="L292" s="64"/>
      <c r="M292" s="64"/>
      <c r="N292" s="64"/>
      <c r="O292" s="64"/>
      <c r="P292" s="69"/>
      <c r="Q292" s="69"/>
      <c r="R292" s="124"/>
      <c r="S292" s="123"/>
      <c r="T292" s="194"/>
      <c r="U292" s="75">
        <v>239564.97</v>
      </c>
      <c r="V292" s="75"/>
      <c r="W292" s="75">
        <v>0</v>
      </c>
      <c r="X292" s="1122">
        <v>0</v>
      </c>
      <c r="Y292" s="75">
        <v>239564.97</v>
      </c>
      <c r="Z292" s="75">
        <v>0</v>
      </c>
      <c r="AA292" s="1122">
        <v>0</v>
      </c>
      <c r="AB292" s="75">
        <v>239564.97</v>
      </c>
      <c r="AC292" s="75">
        <v>0</v>
      </c>
      <c r="AD292" s="1122">
        <v>0</v>
      </c>
      <c r="AE292" s="75">
        <v>239564.97</v>
      </c>
      <c r="AF292" s="75">
        <v>0</v>
      </c>
      <c r="AG292" s="1122">
        <v>0</v>
      </c>
      <c r="AH292" s="505">
        <f t="shared" si="50"/>
        <v>958259.88</v>
      </c>
      <c r="AI292" s="132"/>
      <c r="AJ292" s="75">
        <f t="shared" si="49"/>
        <v>0</v>
      </c>
      <c r="AK292" s="132"/>
      <c r="AL292" s="132"/>
      <c r="AM292" s="132"/>
      <c r="AN292" s="64" t="s">
        <v>39</v>
      </c>
      <c r="AO292" s="100"/>
      <c r="AP292" s="100"/>
      <c r="AQ292" s="960"/>
      <c r="AR292" s="100"/>
      <c r="AS292" s="100"/>
      <c r="AT292" s="100"/>
      <c r="AU292" s="964"/>
      <c r="AV292" s="123" t="s">
        <v>73</v>
      </c>
      <c r="AW292" s="67" t="s">
        <v>2822</v>
      </c>
    </row>
    <row r="293" spans="1:49" ht="26.1" hidden="1" customHeight="1" outlineLevel="3" x14ac:dyDescent="0.25">
      <c r="A293" s="63" t="str">
        <f>CONCATENATE(B293,".",C293,".",D293,".",E293,".",F293,".",G293)</f>
        <v>1.3.1.6.32.62</v>
      </c>
      <c r="B293" s="64">
        <v>1</v>
      </c>
      <c r="C293" s="64">
        <v>3</v>
      </c>
      <c r="D293" s="64">
        <v>1</v>
      </c>
      <c r="E293" s="64">
        <v>6</v>
      </c>
      <c r="F293" s="64">
        <v>32</v>
      </c>
      <c r="G293" s="64">
        <v>62</v>
      </c>
      <c r="H293" s="65"/>
      <c r="I293" s="65"/>
      <c r="J293" s="66"/>
      <c r="K293" s="67" t="s">
        <v>298</v>
      </c>
      <c r="L293" s="64" t="s">
        <v>359</v>
      </c>
      <c r="M293" s="64" t="s">
        <v>299</v>
      </c>
      <c r="N293" s="64"/>
      <c r="O293" s="64"/>
      <c r="P293" s="69"/>
      <c r="Q293" s="69"/>
      <c r="R293" s="124"/>
      <c r="S293" s="123"/>
      <c r="T293" s="194"/>
      <c r="U293" s="75">
        <v>0</v>
      </c>
      <c r="V293" s="75"/>
      <c r="W293" s="75">
        <v>0</v>
      </c>
      <c r="X293" s="1122">
        <v>0</v>
      </c>
      <c r="Y293" s="75">
        <v>0</v>
      </c>
      <c r="Z293" s="75">
        <v>0</v>
      </c>
      <c r="AA293" s="1122">
        <v>0</v>
      </c>
      <c r="AB293" s="75">
        <v>0</v>
      </c>
      <c r="AC293" s="75">
        <v>0</v>
      </c>
      <c r="AD293" s="1122">
        <v>0</v>
      </c>
      <c r="AE293" s="75">
        <v>0</v>
      </c>
      <c r="AF293" s="75">
        <v>0</v>
      </c>
      <c r="AG293" s="1122">
        <v>0</v>
      </c>
      <c r="AH293" s="505">
        <f t="shared" si="50"/>
        <v>0</v>
      </c>
      <c r="AI293" s="132"/>
      <c r="AJ293" s="75">
        <f t="shared" si="49"/>
        <v>0</v>
      </c>
      <c r="AK293" s="132"/>
      <c r="AL293" s="132"/>
      <c r="AM293" s="132"/>
      <c r="AN293" s="64" t="s">
        <v>282</v>
      </c>
      <c r="AO293" s="100"/>
      <c r="AP293" s="100"/>
      <c r="AQ293" s="100"/>
      <c r="AR293" s="104"/>
      <c r="AS293" s="104"/>
      <c r="AT293" s="100"/>
      <c r="AU293" s="983"/>
      <c r="AV293" s="123"/>
      <c r="AW293" s="68"/>
    </row>
    <row r="294" spans="1:49" s="107" customFormat="1" ht="78" customHeight="1" outlineLevel="1" collapsed="1" x14ac:dyDescent="0.25">
      <c r="A294" s="80" t="str">
        <f t="shared" si="46"/>
        <v>1.3.1.7.0.0</v>
      </c>
      <c r="B294" s="81">
        <v>1</v>
      </c>
      <c r="C294" s="81">
        <v>3</v>
      </c>
      <c r="D294" s="81">
        <v>1</v>
      </c>
      <c r="E294" s="81">
        <v>7</v>
      </c>
      <c r="F294" s="81">
        <v>0</v>
      </c>
      <c r="G294" s="81">
        <v>0</v>
      </c>
      <c r="H294" s="114"/>
      <c r="I294" s="114"/>
      <c r="J294" s="1346" t="s">
        <v>353</v>
      </c>
      <c r="K294" s="1346"/>
      <c r="L294" s="81" t="s">
        <v>236</v>
      </c>
      <c r="M294" s="81" t="s">
        <v>240</v>
      </c>
      <c r="N294" s="81" t="s">
        <v>226</v>
      </c>
      <c r="O294" s="81" t="s">
        <v>241</v>
      </c>
      <c r="P294" s="115">
        <v>44571</v>
      </c>
      <c r="Q294" s="115">
        <v>44925</v>
      </c>
      <c r="R294" s="119">
        <v>0</v>
      </c>
      <c r="S294" s="114" t="s">
        <v>242</v>
      </c>
      <c r="T294" s="1184">
        <f>+T295+T296+T297</f>
        <v>266250</v>
      </c>
      <c r="U294" s="369">
        <f>SUM(U295:U317)</f>
        <v>14962226.791698001</v>
      </c>
      <c r="V294" s="369"/>
      <c r="W294" s="677">
        <f t="shared" ref="W294:AI294" si="52">SUM(W295:W317)</f>
        <v>0</v>
      </c>
      <c r="X294" s="1124">
        <f t="shared" si="52"/>
        <v>0</v>
      </c>
      <c r="Y294" s="369">
        <f t="shared" si="52"/>
        <v>15563214.261698</v>
      </c>
      <c r="Z294" s="840">
        <f t="shared" si="52"/>
        <v>0</v>
      </c>
      <c r="AA294" s="1124">
        <f t="shared" si="52"/>
        <v>0</v>
      </c>
      <c r="AB294" s="369">
        <f t="shared" si="52"/>
        <v>15463607.061698001</v>
      </c>
      <c r="AC294" s="968">
        <f t="shared" si="52"/>
        <v>0</v>
      </c>
      <c r="AD294" s="1124">
        <f t="shared" si="52"/>
        <v>0</v>
      </c>
      <c r="AE294" s="369">
        <f t="shared" si="52"/>
        <v>15463607.061698001</v>
      </c>
      <c r="AF294" s="369">
        <f t="shared" si="52"/>
        <v>0</v>
      </c>
      <c r="AG294" s="1124">
        <f t="shared" si="52"/>
        <v>0</v>
      </c>
      <c r="AH294" s="369">
        <f>SUM(AH295:AH317)</f>
        <v>61452655.176792011</v>
      </c>
      <c r="AI294" s="369">
        <f t="shared" si="52"/>
        <v>0</v>
      </c>
      <c r="AJ294" s="369">
        <f>SUM(AJ295:AJ317)</f>
        <v>411757.14</v>
      </c>
      <c r="AK294" s="61"/>
      <c r="AL294" s="61"/>
      <c r="AM294" s="61"/>
      <c r="AN294" s="81" t="s">
        <v>243</v>
      </c>
      <c r="AO294" s="318"/>
      <c r="AP294" s="318"/>
      <c r="AQ294" s="318"/>
      <c r="AR294" s="81"/>
      <c r="AS294" s="331"/>
      <c r="AT294" s="81"/>
      <c r="AU294" s="663"/>
      <c r="AV294" s="576"/>
      <c r="AW294" s="439"/>
    </row>
    <row r="295" spans="1:49" ht="127.35" hidden="1" customHeight="1" outlineLevel="4" x14ac:dyDescent="0.25">
      <c r="A295" s="63" t="str">
        <f t="shared" si="46"/>
        <v>1.3.1.7.1.60</v>
      </c>
      <c r="B295" s="64">
        <v>1</v>
      </c>
      <c r="C295" s="64">
        <v>3</v>
      </c>
      <c r="D295" s="64">
        <v>1</v>
      </c>
      <c r="E295" s="64">
        <v>7</v>
      </c>
      <c r="F295" s="64">
        <v>1</v>
      </c>
      <c r="G295" s="64">
        <v>60</v>
      </c>
      <c r="H295" s="65"/>
      <c r="I295" s="65"/>
      <c r="J295" s="66"/>
      <c r="K295" s="65" t="s">
        <v>245</v>
      </c>
      <c r="L295" s="64" t="s">
        <v>246</v>
      </c>
      <c r="M295" s="64" t="s">
        <v>240</v>
      </c>
      <c r="N295" s="64" t="s">
        <v>247</v>
      </c>
      <c r="O295" s="64" t="s">
        <v>241</v>
      </c>
      <c r="P295" s="69"/>
      <c r="Q295" s="69"/>
      <c r="R295" s="126">
        <v>50000</v>
      </c>
      <c r="S295" s="123" t="s">
        <v>248</v>
      </c>
      <c r="T295" s="194">
        <f>+R295/4</f>
        <v>12500</v>
      </c>
      <c r="U295" s="75">
        <v>0</v>
      </c>
      <c r="V295" s="75"/>
      <c r="W295" s="75">
        <v>0</v>
      </c>
      <c r="X295" s="1122">
        <v>0</v>
      </c>
      <c r="Y295" s="75">
        <v>0</v>
      </c>
      <c r="Z295" s="75">
        <v>0</v>
      </c>
      <c r="AA295" s="1122">
        <v>0</v>
      </c>
      <c r="AB295" s="75">
        <v>0</v>
      </c>
      <c r="AC295" s="75">
        <v>0</v>
      </c>
      <c r="AD295" s="1122">
        <v>0</v>
      </c>
      <c r="AE295" s="75">
        <v>0</v>
      </c>
      <c r="AF295" s="75">
        <v>0</v>
      </c>
      <c r="AG295" s="1122">
        <v>0</v>
      </c>
      <c r="AH295" s="505">
        <f>+U295+Y295+AB295+AE295</f>
        <v>0</v>
      </c>
      <c r="AI295" s="132"/>
      <c r="AJ295" s="75">
        <f t="shared" ref="AJ295:AJ317" si="53">+W296+Z296+AC296+AF296</f>
        <v>0</v>
      </c>
      <c r="AK295" s="75"/>
      <c r="AL295" s="75"/>
      <c r="AM295" s="75"/>
      <c r="AN295" s="64" t="s">
        <v>39</v>
      </c>
      <c r="AO295" s="100"/>
      <c r="AP295" s="100"/>
      <c r="AQ295" s="993"/>
      <c r="AR295" s="100"/>
      <c r="AS295" s="994"/>
      <c r="AT295" s="100"/>
      <c r="AU295" s="983"/>
      <c r="AV295" s="347" t="e">
        <f>#REF!*19</f>
        <v>#REF!</v>
      </c>
      <c r="AW295" s="335" t="s">
        <v>250</v>
      </c>
    </row>
    <row r="296" spans="1:49" ht="63.6" hidden="1" customHeight="1" outlineLevel="4" x14ac:dyDescent="0.25">
      <c r="A296" s="63" t="str">
        <f t="shared" si="46"/>
        <v>1.3.1.7.2.60</v>
      </c>
      <c r="B296" s="64">
        <v>1</v>
      </c>
      <c r="C296" s="64">
        <v>3</v>
      </c>
      <c r="D296" s="64">
        <v>1</v>
      </c>
      <c r="E296" s="64">
        <v>7</v>
      </c>
      <c r="F296" s="64">
        <v>2</v>
      </c>
      <c r="G296" s="64">
        <v>60</v>
      </c>
      <c r="H296" s="65"/>
      <c r="I296" s="65"/>
      <c r="J296" s="66"/>
      <c r="K296" s="65" t="s">
        <v>251</v>
      </c>
      <c r="L296" s="64" t="s">
        <v>246</v>
      </c>
      <c r="M296" s="64" t="s">
        <v>240</v>
      </c>
      <c r="N296" s="64" t="s">
        <v>252</v>
      </c>
      <c r="O296" s="64" t="s">
        <v>241</v>
      </c>
      <c r="P296" s="69"/>
      <c r="Q296" s="69"/>
      <c r="R296" s="126">
        <v>1000000</v>
      </c>
      <c r="S296" s="123" t="s">
        <v>248</v>
      </c>
      <c r="T296" s="194">
        <f>+R296/4</f>
        <v>250000</v>
      </c>
      <c r="U296" s="75">
        <v>0</v>
      </c>
      <c r="V296" s="75"/>
      <c r="W296" s="75">
        <v>0</v>
      </c>
      <c r="X296" s="1122">
        <v>0</v>
      </c>
      <c r="Y296" s="75">
        <v>0</v>
      </c>
      <c r="Z296" s="75">
        <v>0</v>
      </c>
      <c r="AA296" s="1122">
        <v>0</v>
      </c>
      <c r="AB296" s="75">
        <v>0</v>
      </c>
      <c r="AC296" s="75">
        <v>0</v>
      </c>
      <c r="AD296" s="1122">
        <v>0</v>
      </c>
      <c r="AE296" s="75">
        <v>0</v>
      </c>
      <c r="AF296" s="75">
        <v>0</v>
      </c>
      <c r="AG296" s="1122">
        <v>0</v>
      </c>
      <c r="AH296" s="505">
        <f t="shared" ref="AH296:AH317" si="54">+U296+Y296+AB296+AE296</f>
        <v>0</v>
      </c>
      <c r="AI296" s="132"/>
      <c r="AJ296" s="75">
        <f t="shared" si="53"/>
        <v>0</v>
      </c>
      <c r="AK296" s="75"/>
      <c r="AL296" s="75"/>
      <c r="AM296" s="75"/>
      <c r="AN296" s="64" t="s">
        <v>39</v>
      </c>
      <c r="AO296" s="100"/>
      <c r="AP296" s="100"/>
      <c r="AQ296" s="993"/>
      <c r="AR296" s="100"/>
      <c r="AS296" s="994"/>
      <c r="AT296" s="100"/>
      <c r="AU296" s="983"/>
      <c r="AV296" s="347" t="e">
        <f>+#REF!*210*(1.5)</f>
        <v>#REF!</v>
      </c>
      <c r="AW296" s="335" t="s">
        <v>2583</v>
      </c>
    </row>
    <row r="297" spans="1:49" ht="33.6" hidden="1" customHeight="1" outlineLevel="4" x14ac:dyDescent="0.25">
      <c r="A297" s="63" t="str">
        <f t="shared" si="46"/>
        <v>1.3.1.7.3.60</v>
      </c>
      <c r="B297" s="64">
        <v>1</v>
      </c>
      <c r="C297" s="64">
        <v>3</v>
      </c>
      <c r="D297" s="64">
        <v>1</v>
      </c>
      <c r="E297" s="64">
        <v>7</v>
      </c>
      <c r="F297" s="64">
        <v>3</v>
      </c>
      <c r="G297" s="64">
        <v>60</v>
      </c>
      <c r="H297" s="65"/>
      <c r="I297" s="65"/>
      <c r="J297" s="66"/>
      <c r="K297" s="65" t="s">
        <v>328</v>
      </c>
      <c r="L297" s="64" t="s">
        <v>246</v>
      </c>
      <c r="M297" s="64" t="s">
        <v>240</v>
      </c>
      <c r="N297" s="64" t="s">
        <v>329</v>
      </c>
      <c r="O297" s="64" t="s">
        <v>241</v>
      </c>
      <c r="P297" s="69"/>
      <c r="Q297" s="69"/>
      <c r="R297" s="126">
        <v>15000</v>
      </c>
      <c r="S297" s="123" t="s">
        <v>248</v>
      </c>
      <c r="T297" s="194">
        <f>+R297/4</f>
        <v>3750</v>
      </c>
      <c r="U297" s="75">
        <v>0</v>
      </c>
      <c r="V297" s="75"/>
      <c r="W297" s="75">
        <v>0</v>
      </c>
      <c r="X297" s="1122">
        <v>0</v>
      </c>
      <c r="Y297" s="75">
        <v>0</v>
      </c>
      <c r="Z297" s="75">
        <v>0</v>
      </c>
      <c r="AA297" s="1122">
        <v>0</v>
      </c>
      <c r="AB297" s="75">
        <v>0</v>
      </c>
      <c r="AC297" s="75">
        <v>0</v>
      </c>
      <c r="AD297" s="1122">
        <v>0</v>
      </c>
      <c r="AE297" s="75">
        <v>0</v>
      </c>
      <c r="AF297" s="75">
        <v>0</v>
      </c>
      <c r="AG297" s="1122">
        <v>0</v>
      </c>
      <c r="AH297" s="505">
        <f t="shared" si="54"/>
        <v>0</v>
      </c>
      <c r="AI297" s="132"/>
      <c r="AJ297" s="75">
        <f t="shared" si="53"/>
        <v>0</v>
      </c>
      <c r="AK297" s="75"/>
      <c r="AL297" s="75"/>
      <c r="AM297" s="75"/>
      <c r="AN297" s="64" t="s">
        <v>2573</v>
      </c>
      <c r="AO297" s="100"/>
      <c r="AP297" s="100"/>
      <c r="AQ297" s="993"/>
      <c r="AR297" s="100"/>
      <c r="AS297" s="994"/>
      <c r="AT297" s="100"/>
      <c r="AU297" s="983"/>
      <c r="AV297" s="347" t="e">
        <f>+(#REF!*40)*1.1</f>
        <v>#REF!</v>
      </c>
      <c r="AW297" s="433"/>
    </row>
    <row r="298" spans="1:49" ht="33.6" hidden="1" customHeight="1" outlineLevel="4" x14ac:dyDescent="0.25">
      <c r="A298" s="63" t="str">
        <f t="shared" si="46"/>
        <v>1.3.1.7.4.60</v>
      </c>
      <c r="B298" s="64">
        <v>1</v>
      </c>
      <c r="C298" s="64">
        <v>3</v>
      </c>
      <c r="D298" s="64">
        <v>1</v>
      </c>
      <c r="E298" s="64">
        <v>7</v>
      </c>
      <c r="F298" s="64">
        <v>4</v>
      </c>
      <c r="G298" s="100">
        <v>60</v>
      </c>
      <c r="H298" s="65"/>
      <c r="I298" s="65"/>
      <c r="J298" s="66"/>
      <c r="K298" s="65" t="s">
        <v>1914</v>
      </c>
      <c r="L298" s="64" t="s">
        <v>246</v>
      </c>
      <c r="M298" s="64" t="s">
        <v>256</v>
      </c>
      <c r="N298" s="64" t="s">
        <v>257</v>
      </c>
      <c r="O298" s="64" t="s">
        <v>241</v>
      </c>
      <c r="P298" s="69"/>
      <c r="Q298" s="69"/>
      <c r="R298" s="126"/>
      <c r="S298" s="123" t="s">
        <v>258</v>
      </c>
      <c r="T298" s="194"/>
      <c r="U298" s="75">
        <v>7641000</v>
      </c>
      <c r="V298" s="75"/>
      <c r="W298" s="75">
        <v>0</v>
      </c>
      <c r="X298" s="1122">
        <v>0</v>
      </c>
      <c r="Y298" s="75">
        <v>7641000</v>
      </c>
      <c r="Z298" s="75">
        <v>0</v>
      </c>
      <c r="AA298" s="1122">
        <v>0</v>
      </c>
      <c r="AB298" s="75">
        <v>7641000</v>
      </c>
      <c r="AC298" s="75">
        <v>0</v>
      </c>
      <c r="AD298" s="1122">
        <v>0</v>
      </c>
      <c r="AE298" s="75">
        <v>7641000</v>
      </c>
      <c r="AF298" s="75">
        <v>0</v>
      </c>
      <c r="AG298" s="1122">
        <v>0</v>
      </c>
      <c r="AH298" s="505">
        <f t="shared" si="54"/>
        <v>30564000</v>
      </c>
      <c r="AI298" s="132"/>
      <c r="AJ298" s="75">
        <f t="shared" si="53"/>
        <v>0</v>
      </c>
      <c r="AK298" s="75"/>
      <c r="AL298" s="75"/>
      <c r="AM298" s="75"/>
      <c r="AN298" s="64" t="s">
        <v>39</v>
      </c>
      <c r="AO298" s="100"/>
      <c r="AP298" s="100"/>
      <c r="AQ298" s="1050"/>
      <c r="AR298" s="1051"/>
      <c r="AS298" s="1051"/>
      <c r="AT298" s="100"/>
      <c r="AU298" s="983"/>
      <c r="AV298" s="347" t="s">
        <v>342</v>
      </c>
      <c r="AW298" s="561"/>
    </row>
    <row r="299" spans="1:49" ht="33.6" hidden="1" customHeight="1" outlineLevel="4" x14ac:dyDescent="0.25">
      <c r="A299" s="63" t="str">
        <f t="shared" si="46"/>
        <v>1.3.1.7.5.60</v>
      </c>
      <c r="B299" s="64">
        <v>1</v>
      </c>
      <c r="C299" s="64">
        <v>3</v>
      </c>
      <c r="D299" s="64">
        <v>1</v>
      </c>
      <c r="E299" s="64">
        <v>7</v>
      </c>
      <c r="F299" s="64">
        <v>5</v>
      </c>
      <c r="G299" s="64">
        <v>60</v>
      </c>
      <c r="H299" s="65"/>
      <c r="I299" s="65"/>
      <c r="J299" s="66"/>
      <c r="K299" s="65" t="s">
        <v>304</v>
      </c>
      <c r="L299" s="64" t="s">
        <v>246</v>
      </c>
      <c r="M299" s="64" t="s">
        <v>240</v>
      </c>
      <c r="N299" s="64" t="s">
        <v>247</v>
      </c>
      <c r="O299" s="64" t="s">
        <v>241</v>
      </c>
      <c r="P299" s="69"/>
      <c r="Q299" s="69"/>
      <c r="R299" s="126">
        <v>50000</v>
      </c>
      <c r="S299" s="123" t="s">
        <v>248</v>
      </c>
      <c r="T299" s="194">
        <f t="shared" ref="T299:T301" si="55">+$R299/4</f>
        <v>12500</v>
      </c>
      <c r="U299" s="75">
        <v>0</v>
      </c>
      <c r="V299" s="75"/>
      <c r="W299" s="75">
        <v>0</v>
      </c>
      <c r="X299" s="1122">
        <v>0</v>
      </c>
      <c r="Y299" s="75">
        <v>0</v>
      </c>
      <c r="Z299" s="75">
        <v>0</v>
      </c>
      <c r="AA299" s="1122">
        <v>0</v>
      </c>
      <c r="AB299" s="75">
        <v>0</v>
      </c>
      <c r="AC299" s="75">
        <v>0</v>
      </c>
      <c r="AD299" s="1122">
        <v>0</v>
      </c>
      <c r="AE299" s="75">
        <v>0</v>
      </c>
      <c r="AF299" s="75">
        <v>0</v>
      </c>
      <c r="AG299" s="1122">
        <v>0</v>
      </c>
      <c r="AH299" s="505">
        <f t="shared" si="54"/>
        <v>0</v>
      </c>
      <c r="AI299" s="132"/>
      <c r="AJ299" s="75">
        <f t="shared" si="53"/>
        <v>0</v>
      </c>
      <c r="AK299" s="75"/>
      <c r="AL299" s="75"/>
      <c r="AM299" s="75"/>
      <c r="AN299" s="64" t="s">
        <v>39</v>
      </c>
      <c r="AO299" s="100"/>
      <c r="AP299" s="100"/>
      <c r="AQ299" s="993"/>
      <c r="AR299" s="100"/>
      <c r="AS299" s="994"/>
      <c r="AT299" s="100"/>
      <c r="AU299" s="983"/>
      <c r="AV299" s="348" t="s">
        <v>260</v>
      </c>
      <c r="AW299" s="335"/>
    </row>
    <row r="300" spans="1:49" ht="33.6" hidden="1" customHeight="1" outlineLevel="4" x14ac:dyDescent="0.25">
      <c r="A300" s="63" t="str">
        <f t="shared" si="46"/>
        <v>1.3.1.7.6.60</v>
      </c>
      <c r="B300" s="64">
        <v>1</v>
      </c>
      <c r="C300" s="64">
        <v>3</v>
      </c>
      <c r="D300" s="64">
        <v>1</v>
      </c>
      <c r="E300" s="64">
        <v>7</v>
      </c>
      <c r="F300" s="64">
        <v>6</v>
      </c>
      <c r="G300" s="64">
        <v>60</v>
      </c>
      <c r="H300" s="65"/>
      <c r="I300" s="65"/>
      <c r="J300" s="66"/>
      <c r="K300" s="65" t="s">
        <v>305</v>
      </c>
      <c r="L300" s="64" t="s">
        <v>246</v>
      </c>
      <c r="M300" s="64" t="s">
        <v>240</v>
      </c>
      <c r="N300" s="64" t="s">
        <v>354</v>
      </c>
      <c r="O300" s="64" t="s">
        <v>241</v>
      </c>
      <c r="P300" s="69"/>
      <c r="Q300" s="69"/>
      <c r="R300" s="126">
        <v>1000000</v>
      </c>
      <c r="S300" s="123" t="s">
        <v>248</v>
      </c>
      <c r="T300" s="194">
        <f t="shared" si="55"/>
        <v>250000</v>
      </c>
      <c r="U300" s="75">
        <v>0</v>
      </c>
      <c r="V300" s="75"/>
      <c r="W300" s="75">
        <v>0</v>
      </c>
      <c r="X300" s="1122">
        <v>0</v>
      </c>
      <c r="Y300" s="75">
        <v>0</v>
      </c>
      <c r="Z300" s="75">
        <v>0</v>
      </c>
      <c r="AA300" s="1122">
        <v>0</v>
      </c>
      <c r="AB300" s="75">
        <v>0</v>
      </c>
      <c r="AC300" s="75">
        <v>0</v>
      </c>
      <c r="AD300" s="1122">
        <v>0</v>
      </c>
      <c r="AE300" s="75">
        <v>0</v>
      </c>
      <c r="AF300" s="75">
        <v>0</v>
      </c>
      <c r="AG300" s="1122">
        <v>0</v>
      </c>
      <c r="AH300" s="505">
        <f t="shared" si="54"/>
        <v>0</v>
      </c>
      <c r="AI300" s="132"/>
      <c r="AJ300" s="75">
        <f t="shared" si="53"/>
        <v>0</v>
      </c>
      <c r="AK300" s="75"/>
      <c r="AL300" s="75"/>
      <c r="AM300" s="75"/>
      <c r="AN300" s="64" t="s">
        <v>39</v>
      </c>
      <c r="AO300" s="100"/>
      <c r="AP300" s="100"/>
      <c r="AQ300" s="993"/>
      <c r="AR300" s="100"/>
      <c r="AS300" s="994"/>
      <c r="AT300" s="100"/>
      <c r="AU300" s="983"/>
      <c r="AV300" s="348" t="s">
        <v>260</v>
      </c>
      <c r="AW300" s="335"/>
    </row>
    <row r="301" spans="1:49" ht="33.6" hidden="1" customHeight="1" outlineLevel="4" x14ac:dyDescent="0.25">
      <c r="A301" s="63" t="str">
        <f t="shared" si="46"/>
        <v>1.3.1.7.7.60</v>
      </c>
      <c r="B301" s="64">
        <v>1</v>
      </c>
      <c r="C301" s="64">
        <v>3</v>
      </c>
      <c r="D301" s="64">
        <v>1</v>
      </c>
      <c r="E301" s="64">
        <v>7</v>
      </c>
      <c r="F301" s="64">
        <v>7</v>
      </c>
      <c r="G301" s="64">
        <v>60</v>
      </c>
      <c r="H301" s="65"/>
      <c r="I301" s="65"/>
      <c r="J301" s="66"/>
      <c r="K301" s="65" t="s">
        <v>332</v>
      </c>
      <c r="L301" s="64" t="s">
        <v>246</v>
      </c>
      <c r="M301" s="64" t="s">
        <v>240</v>
      </c>
      <c r="N301" s="64" t="s">
        <v>329</v>
      </c>
      <c r="O301" s="64" t="s">
        <v>241</v>
      </c>
      <c r="P301" s="69"/>
      <c r="Q301" s="69"/>
      <c r="R301" s="126">
        <v>15000</v>
      </c>
      <c r="S301" s="123" t="s">
        <v>248</v>
      </c>
      <c r="T301" s="194">
        <f t="shared" si="55"/>
        <v>3750</v>
      </c>
      <c r="U301" s="75">
        <v>0</v>
      </c>
      <c r="V301" s="75"/>
      <c r="W301" s="75">
        <v>0</v>
      </c>
      <c r="X301" s="1122">
        <v>0</v>
      </c>
      <c r="Y301" s="75">
        <v>0</v>
      </c>
      <c r="Z301" s="75">
        <v>0</v>
      </c>
      <c r="AA301" s="1122">
        <v>0</v>
      </c>
      <c r="AB301" s="75">
        <v>0</v>
      </c>
      <c r="AC301" s="75">
        <v>0</v>
      </c>
      <c r="AD301" s="1122">
        <v>0</v>
      </c>
      <c r="AE301" s="75">
        <v>0</v>
      </c>
      <c r="AF301" s="75">
        <v>0</v>
      </c>
      <c r="AG301" s="1122">
        <v>0</v>
      </c>
      <c r="AH301" s="505">
        <f t="shared" si="54"/>
        <v>0</v>
      </c>
      <c r="AI301" s="132"/>
      <c r="AJ301" s="75">
        <f t="shared" si="53"/>
        <v>0</v>
      </c>
      <c r="AK301" s="75"/>
      <c r="AL301" s="75"/>
      <c r="AM301" s="75"/>
      <c r="AN301" s="64" t="s">
        <v>39</v>
      </c>
      <c r="AO301" s="100"/>
      <c r="AP301" s="100"/>
      <c r="AQ301" s="993"/>
      <c r="AR301" s="100"/>
      <c r="AS301" s="994"/>
      <c r="AT301" s="100"/>
      <c r="AU301" s="983"/>
      <c r="AV301" s="348" t="s">
        <v>260</v>
      </c>
      <c r="AW301" s="185"/>
    </row>
    <row r="302" spans="1:49" ht="33.6" hidden="1" customHeight="1" outlineLevel="4" x14ac:dyDescent="0.25">
      <c r="A302" s="63" t="str">
        <f t="shared" si="46"/>
        <v>1.3.1.7.8.60</v>
      </c>
      <c r="B302" s="64">
        <v>1</v>
      </c>
      <c r="C302" s="64">
        <v>3</v>
      </c>
      <c r="D302" s="64">
        <v>1</v>
      </c>
      <c r="E302" s="64">
        <v>7</v>
      </c>
      <c r="F302" s="64">
        <v>8</v>
      </c>
      <c r="G302" s="64">
        <v>60</v>
      </c>
      <c r="H302" s="65"/>
      <c r="I302" s="65"/>
      <c r="J302" s="66"/>
      <c r="K302" s="65" t="s">
        <v>263</v>
      </c>
      <c r="L302" s="64" t="s">
        <v>264</v>
      </c>
      <c r="M302" s="64" t="s">
        <v>76</v>
      </c>
      <c r="N302" s="64" t="s">
        <v>265</v>
      </c>
      <c r="O302" s="64" t="s">
        <v>266</v>
      </c>
      <c r="P302" s="69"/>
      <c r="Q302" s="69"/>
      <c r="R302" s="124"/>
      <c r="S302" s="123" t="s">
        <v>258</v>
      </c>
      <c r="T302" s="194"/>
      <c r="U302" s="75">
        <v>0</v>
      </c>
      <c r="V302" s="75"/>
      <c r="W302" s="75">
        <v>0</v>
      </c>
      <c r="X302" s="1122">
        <v>0</v>
      </c>
      <c r="Y302" s="75">
        <v>0</v>
      </c>
      <c r="Z302" s="75">
        <v>0</v>
      </c>
      <c r="AA302" s="1122">
        <v>0</v>
      </c>
      <c r="AB302" s="75">
        <v>0</v>
      </c>
      <c r="AC302" s="75">
        <v>0</v>
      </c>
      <c r="AD302" s="1122">
        <v>0</v>
      </c>
      <c r="AE302" s="75">
        <v>0</v>
      </c>
      <c r="AF302" s="75">
        <v>0</v>
      </c>
      <c r="AG302" s="1122">
        <v>0</v>
      </c>
      <c r="AH302" s="505">
        <f t="shared" si="54"/>
        <v>0</v>
      </c>
      <c r="AI302" s="132"/>
      <c r="AJ302" s="75">
        <f t="shared" si="53"/>
        <v>0</v>
      </c>
      <c r="AK302" s="75"/>
      <c r="AL302" s="75"/>
      <c r="AM302" s="75"/>
      <c r="AN302" s="64" t="s">
        <v>181</v>
      </c>
      <c r="AO302" s="710"/>
      <c r="AP302" s="710"/>
      <c r="AQ302" s="1052"/>
      <c r="AR302" s="100"/>
      <c r="AS302" s="1053"/>
      <c r="AT302" s="100"/>
      <c r="AU302" s="983"/>
      <c r="AV302" s="347" t="s">
        <v>144</v>
      </c>
      <c r="AW302" s="432"/>
    </row>
    <row r="303" spans="1:49" ht="33.6" hidden="1" customHeight="1" outlineLevel="4" x14ac:dyDescent="0.25">
      <c r="A303" s="63" t="str">
        <f t="shared" si="46"/>
        <v>1.3.1.7.9.60</v>
      </c>
      <c r="B303" s="64">
        <v>1</v>
      </c>
      <c r="C303" s="64">
        <v>3</v>
      </c>
      <c r="D303" s="64">
        <v>1</v>
      </c>
      <c r="E303" s="64">
        <v>7</v>
      </c>
      <c r="F303" s="64">
        <v>9</v>
      </c>
      <c r="G303" s="64">
        <v>60</v>
      </c>
      <c r="H303" s="65"/>
      <c r="I303" s="65"/>
      <c r="J303" s="66"/>
      <c r="K303" s="65" t="s">
        <v>2024</v>
      </c>
      <c r="L303" s="64"/>
      <c r="M303" s="64"/>
      <c r="N303" s="64"/>
      <c r="O303" s="64"/>
      <c r="P303" s="69"/>
      <c r="Q303" s="69"/>
      <c r="R303" s="124"/>
      <c r="S303" s="123"/>
      <c r="T303" s="194"/>
      <c r="U303" s="75">
        <v>0</v>
      </c>
      <c r="V303" s="75"/>
      <c r="W303" s="75">
        <v>0</v>
      </c>
      <c r="X303" s="1122">
        <v>0</v>
      </c>
      <c r="Y303" s="75">
        <v>0</v>
      </c>
      <c r="Z303" s="75">
        <v>0</v>
      </c>
      <c r="AA303" s="1122">
        <v>0</v>
      </c>
      <c r="AB303" s="75">
        <v>0</v>
      </c>
      <c r="AC303" s="75">
        <v>0</v>
      </c>
      <c r="AD303" s="1122">
        <v>0</v>
      </c>
      <c r="AE303" s="75">
        <v>0</v>
      </c>
      <c r="AF303" s="75">
        <v>0</v>
      </c>
      <c r="AG303" s="1122">
        <v>0</v>
      </c>
      <c r="AH303" s="505">
        <f t="shared" si="54"/>
        <v>0</v>
      </c>
      <c r="AI303" s="132"/>
      <c r="AJ303" s="75">
        <f t="shared" si="53"/>
        <v>0</v>
      </c>
      <c r="AK303" s="75"/>
      <c r="AL303" s="75"/>
      <c r="AM303" s="75"/>
      <c r="AN303" s="136" t="s">
        <v>39</v>
      </c>
      <c r="AO303" s="710"/>
      <c r="AP303" s="710"/>
      <c r="AQ303" s="1052"/>
      <c r="AR303" s="104"/>
      <c r="AS303" s="997"/>
      <c r="AT303" s="104"/>
      <c r="AU303" s="964"/>
      <c r="AV303" s="347"/>
      <c r="AW303" s="432"/>
    </row>
    <row r="304" spans="1:49" ht="33.6" hidden="1" customHeight="1" outlineLevel="4" x14ac:dyDescent="0.25">
      <c r="A304" s="63" t="str">
        <f t="shared" si="46"/>
        <v>1.3.1.7.11.60</v>
      </c>
      <c r="B304" s="64">
        <v>1</v>
      </c>
      <c r="C304" s="64">
        <v>3</v>
      </c>
      <c r="D304" s="64">
        <v>1</v>
      </c>
      <c r="E304" s="64">
        <v>7</v>
      </c>
      <c r="F304" s="64">
        <v>11</v>
      </c>
      <c r="G304" s="64">
        <v>60</v>
      </c>
      <c r="H304" s="65"/>
      <c r="I304" s="65"/>
      <c r="J304" s="66"/>
      <c r="K304" s="67" t="s">
        <v>355</v>
      </c>
      <c r="L304" s="68" t="s">
        <v>270</v>
      </c>
      <c r="M304" s="64" t="s">
        <v>279</v>
      </c>
      <c r="N304" s="64"/>
      <c r="O304" s="64"/>
      <c r="P304" s="69"/>
      <c r="Q304" s="69"/>
      <c r="R304" s="124"/>
      <c r="S304" s="123"/>
      <c r="T304" s="194"/>
      <c r="U304" s="75">
        <v>0</v>
      </c>
      <c r="V304" s="75"/>
      <c r="W304" s="75">
        <v>0</v>
      </c>
      <c r="X304" s="1122">
        <v>0</v>
      </c>
      <c r="Y304" s="75">
        <v>0</v>
      </c>
      <c r="Z304" s="75">
        <v>0</v>
      </c>
      <c r="AA304" s="1122">
        <v>0</v>
      </c>
      <c r="AB304" s="75">
        <v>0</v>
      </c>
      <c r="AC304" s="75">
        <v>0</v>
      </c>
      <c r="AD304" s="1122">
        <v>0</v>
      </c>
      <c r="AE304" s="75">
        <v>0</v>
      </c>
      <c r="AF304" s="75">
        <v>0</v>
      </c>
      <c r="AG304" s="1122">
        <v>0</v>
      </c>
      <c r="AH304" s="505">
        <f t="shared" si="54"/>
        <v>0</v>
      </c>
      <c r="AI304" s="132"/>
      <c r="AJ304" s="75">
        <f t="shared" si="53"/>
        <v>0</v>
      </c>
      <c r="AK304" s="75"/>
      <c r="AL304" s="75"/>
      <c r="AM304" s="75"/>
      <c r="AN304" s="64" t="s">
        <v>39</v>
      </c>
      <c r="AO304" s="100"/>
      <c r="AP304" s="100"/>
      <c r="AQ304" s="993"/>
      <c r="AR304" s="100"/>
      <c r="AS304" s="994"/>
      <c r="AT304" s="100"/>
      <c r="AU304" s="983"/>
      <c r="AV304" s="347" t="s">
        <v>272</v>
      </c>
      <c r="AW304" s="335"/>
    </row>
    <row r="305" spans="1:49" ht="33.6" hidden="1" customHeight="1" outlineLevel="4" x14ac:dyDescent="0.25">
      <c r="A305" s="63" t="str">
        <f t="shared" si="46"/>
        <v>1.3.1.7.13.60</v>
      </c>
      <c r="B305" s="64">
        <v>1</v>
      </c>
      <c r="C305" s="64">
        <v>3</v>
      </c>
      <c r="D305" s="64">
        <v>1</v>
      </c>
      <c r="E305" s="64">
        <v>7</v>
      </c>
      <c r="F305" s="64">
        <v>13</v>
      </c>
      <c r="G305" s="100">
        <v>60</v>
      </c>
      <c r="H305" s="65"/>
      <c r="I305" s="65"/>
      <c r="J305" s="66"/>
      <c r="K305" s="67" t="s">
        <v>356</v>
      </c>
      <c r="L305" s="64" t="s">
        <v>72</v>
      </c>
      <c r="M305" s="64" t="s">
        <v>267</v>
      </c>
      <c r="N305" s="64" t="s">
        <v>265</v>
      </c>
      <c r="O305" s="64" t="s">
        <v>275</v>
      </c>
      <c r="P305" s="69"/>
      <c r="Q305" s="69"/>
      <c r="R305" s="124">
        <v>12</v>
      </c>
      <c r="S305" s="123"/>
      <c r="T305" s="194">
        <v>3</v>
      </c>
      <c r="U305" s="75">
        <f>5899883.85+1088474.54</f>
        <v>6988358.3899999997</v>
      </c>
      <c r="V305" s="75"/>
      <c r="W305" s="75">
        <v>0</v>
      </c>
      <c r="X305" s="1122">
        <v>0</v>
      </c>
      <c r="Y305" s="75">
        <f>5899883.85+1632711.81</f>
        <v>7532595.6600000001</v>
      </c>
      <c r="Z305" s="75">
        <v>0</v>
      </c>
      <c r="AA305" s="1122">
        <v>0</v>
      </c>
      <c r="AB305" s="75">
        <f>5899883.85+1632711.81</f>
        <v>7532595.6600000001</v>
      </c>
      <c r="AC305" s="75">
        <v>0</v>
      </c>
      <c r="AD305" s="1122">
        <v>0</v>
      </c>
      <c r="AE305" s="75">
        <f>5899883.85+1632711.81</f>
        <v>7532595.6600000001</v>
      </c>
      <c r="AF305" s="75">
        <v>0</v>
      </c>
      <c r="AG305" s="1122">
        <v>0</v>
      </c>
      <c r="AH305" s="505">
        <f t="shared" si="54"/>
        <v>29586145.370000001</v>
      </c>
      <c r="AI305" s="132"/>
      <c r="AJ305" s="75">
        <f t="shared" si="53"/>
        <v>0</v>
      </c>
      <c r="AK305" s="75"/>
      <c r="AL305" s="75"/>
      <c r="AM305" s="75"/>
      <c r="AN305" s="64" t="s">
        <v>39</v>
      </c>
      <c r="AO305" s="100"/>
      <c r="AP305" s="1050"/>
      <c r="AQ305" s="1050"/>
      <c r="AR305" s="1051"/>
      <c r="AS305" s="1051"/>
      <c r="AT305" s="100"/>
      <c r="AU305" s="1043"/>
      <c r="AV305" s="259" t="s">
        <v>2724</v>
      </c>
      <c r="AW305" s="67" t="s">
        <v>2747</v>
      </c>
    </row>
    <row r="306" spans="1:49" ht="33.6" hidden="1" customHeight="1" outlineLevel="4" x14ac:dyDescent="0.25">
      <c r="A306" s="63" t="str">
        <f t="shared" si="46"/>
        <v>1.3.1.7.16.60</v>
      </c>
      <c r="B306" s="64">
        <v>1</v>
      </c>
      <c r="C306" s="64">
        <v>3</v>
      </c>
      <c r="D306" s="64">
        <v>1</v>
      </c>
      <c r="E306" s="64">
        <v>7</v>
      </c>
      <c r="F306" s="64">
        <v>16</v>
      </c>
      <c r="G306" s="64">
        <v>60</v>
      </c>
      <c r="H306" s="65"/>
      <c r="I306" s="65"/>
      <c r="J306" s="66"/>
      <c r="K306" s="67" t="s">
        <v>357</v>
      </c>
      <c r="L306" s="64" t="s">
        <v>72</v>
      </c>
      <c r="M306" s="64" t="s">
        <v>271</v>
      </c>
      <c r="N306" s="64" t="s">
        <v>307</v>
      </c>
      <c r="O306" s="64" t="s">
        <v>277</v>
      </c>
      <c r="P306" s="69"/>
      <c r="Q306" s="69"/>
      <c r="R306" s="124"/>
      <c r="S306" s="123"/>
      <c r="T306" s="194"/>
      <c r="U306" s="75">
        <v>0</v>
      </c>
      <c r="V306" s="75"/>
      <c r="W306" s="75">
        <v>0</v>
      </c>
      <c r="X306" s="1122">
        <v>0</v>
      </c>
      <c r="Y306" s="75">
        <v>0</v>
      </c>
      <c r="Z306" s="75">
        <v>0</v>
      </c>
      <c r="AA306" s="1122">
        <v>0</v>
      </c>
      <c r="AB306" s="75">
        <v>0</v>
      </c>
      <c r="AC306" s="75">
        <v>0</v>
      </c>
      <c r="AD306" s="1122">
        <v>0</v>
      </c>
      <c r="AE306" s="75">
        <v>0</v>
      </c>
      <c r="AF306" s="75">
        <v>0</v>
      </c>
      <c r="AG306" s="1122">
        <v>0</v>
      </c>
      <c r="AH306" s="505">
        <f t="shared" si="54"/>
        <v>0</v>
      </c>
      <c r="AI306" s="132"/>
      <c r="AJ306" s="75">
        <f t="shared" si="53"/>
        <v>0</v>
      </c>
      <c r="AK306" s="75"/>
      <c r="AL306" s="75"/>
      <c r="AM306" s="75"/>
      <c r="AN306" s="64" t="s">
        <v>39</v>
      </c>
      <c r="AO306" s="100"/>
      <c r="AP306" s="100"/>
      <c r="AQ306" s="1052"/>
      <c r="AR306" s="710"/>
      <c r="AS306" s="1053"/>
      <c r="AT306" s="100"/>
      <c r="AU306" s="983"/>
      <c r="AV306" s="347" t="s">
        <v>278</v>
      </c>
      <c r="AW306" s="540"/>
    </row>
    <row r="307" spans="1:49" ht="33.6" hidden="1" customHeight="1" outlineLevel="4" x14ac:dyDescent="0.25">
      <c r="A307" s="63" t="str">
        <f t="shared" si="46"/>
        <v>1.3.1.7.17.60</v>
      </c>
      <c r="B307" s="64">
        <v>1</v>
      </c>
      <c r="C307" s="64">
        <v>3</v>
      </c>
      <c r="D307" s="64">
        <v>1</v>
      </c>
      <c r="E307" s="64">
        <v>7</v>
      </c>
      <c r="F307" s="64">
        <v>17</v>
      </c>
      <c r="G307" s="64">
        <v>60</v>
      </c>
      <c r="H307" s="65"/>
      <c r="I307" s="65"/>
      <c r="J307" s="66"/>
      <c r="K307" s="67" t="s">
        <v>1895</v>
      </c>
      <c r="L307" s="64" t="s">
        <v>72</v>
      </c>
      <c r="M307" s="64" t="s">
        <v>279</v>
      </c>
      <c r="N307" s="64" t="s">
        <v>307</v>
      </c>
      <c r="O307" s="68" t="s">
        <v>277</v>
      </c>
      <c r="P307" s="69"/>
      <c r="Q307" s="69"/>
      <c r="R307" s="124"/>
      <c r="S307" s="123"/>
      <c r="T307" s="194"/>
      <c r="U307" s="75">
        <v>42857</v>
      </c>
      <c r="V307" s="75"/>
      <c r="W307" s="75">
        <v>0</v>
      </c>
      <c r="X307" s="1122">
        <v>0</v>
      </c>
      <c r="Y307" s="75">
        <v>0</v>
      </c>
      <c r="Z307" s="75">
        <v>0</v>
      </c>
      <c r="AA307" s="1122">
        <v>0</v>
      </c>
      <c r="AB307" s="75">
        <v>0</v>
      </c>
      <c r="AC307" s="75">
        <v>0</v>
      </c>
      <c r="AD307" s="1122">
        <v>0</v>
      </c>
      <c r="AE307" s="75">
        <v>0</v>
      </c>
      <c r="AF307" s="75">
        <v>0</v>
      </c>
      <c r="AG307" s="1122">
        <v>0</v>
      </c>
      <c r="AH307" s="505">
        <f t="shared" si="54"/>
        <v>42857</v>
      </c>
      <c r="AI307" s="132"/>
      <c r="AJ307" s="75">
        <f t="shared" si="53"/>
        <v>0</v>
      </c>
      <c r="AK307" s="75"/>
      <c r="AL307" s="75"/>
      <c r="AM307" s="75"/>
      <c r="AN307" s="64" t="s">
        <v>39</v>
      </c>
      <c r="AO307" s="100"/>
      <c r="AP307" s="960"/>
      <c r="AQ307" s="960"/>
      <c r="AR307" s="1054"/>
      <c r="AS307" s="1054"/>
      <c r="AT307" s="1056"/>
      <c r="AU307" s="1055"/>
      <c r="AV307" s="259" t="s">
        <v>279</v>
      </c>
      <c r="AW307" s="538"/>
    </row>
    <row r="308" spans="1:49" ht="33.6" hidden="1" customHeight="1" outlineLevel="4" x14ac:dyDescent="0.25">
      <c r="A308" s="63" t="str">
        <f t="shared" si="46"/>
        <v>1.3.1.7.21.60</v>
      </c>
      <c r="B308" s="64">
        <v>1</v>
      </c>
      <c r="C308" s="64">
        <v>3</v>
      </c>
      <c r="D308" s="64">
        <v>1</v>
      </c>
      <c r="E308" s="64">
        <v>7</v>
      </c>
      <c r="F308" s="64">
        <v>21</v>
      </c>
      <c r="G308" s="64">
        <v>60</v>
      </c>
      <c r="H308" s="65"/>
      <c r="I308" s="65"/>
      <c r="J308" s="66"/>
      <c r="K308" s="67" t="s">
        <v>280</v>
      </c>
      <c r="L308" s="64" t="s">
        <v>72</v>
      </c>
      <c r="M308" s="64" t="s">
        <v>271</v>
      </c>
      <c r="N308" s="64" t="s">
        <v>307</v>
      </c>
      <c r="O308" s="64" t="s">
        <v>281</v>
      </c>
      <c r="P308" s="69"/>
      <c r="Q308" s="69"/>
      <c r="R308" s="124"/>
      <c r="S308" s="123"/>
      <c r="T308" s="194"/>
      <c r="U308" s="75">
        <v>0</v>
      </c>
      <c r="V308" s="75"/>
      <c r="W308" s="75">
        <v>0</v>
      </c>
      <c r="X308" s="1122">
        <v>0</v>
      </c>
      <c r="Y308" s="75">
        <v>0</v>
      </c>
      <c r="Z308" s="75">
        <v>0</v>
      </c>
      <c r="AA308" s="1122">
        <v>0</v>
      </c>
      <c r="AB308" s="75">
        <v>0</v>
      </c>
      <c r="AC308" s="75">
        <v>0</v>
      </c>
      <c r="AD308" s="1122">
        <v>0</v>
      </c>
      <c r="AE308" s="75">
        <v>0</v>
      </c>
      <c r="AF308" s="75">
        <v>0</v>
      </c>
      <c r="AG308" s="1122">
        <v>0</v>
      </c>
      <c r="AH308" s="505">
        <f t="shared" si="54"/>
        <v>0</v>
      </c>
      <c r="AI308" s="132"/>
      <c r="AJ308" s="75">
        <f t="shared" si="53"/>
        <v>0</v>
      </c>
      <c r="AK308" s="75"/>
      <c r="AL308" s="75"/>
      <c r="AM308" s="75"/>
      <c r="AN308" s="64" t="s">
        <v>39</v>
      </c>
      <c r="AO308" s="100"/>
      <c r="AP308" s="100"/>
      <c r="AQ308" s="1029"/>
      <c r="AR308" s="1028"/>
      <c r="AS308" s="1030"/>
      <c r="AT308" s="100"/>
      <c r="AU308" s="983"/>
      <c r="AV308" s="347" t="s">
        <v>166</v>
      </c>
      <c r="AW308" s="542"/>
    </row>
    <row r="309" spans="1:49" ht="33.6" hidden="1" customHeight="1" outlineLevel="4" x14ac:dyDescent="0.25">
      <c r="A309" s="164" t="str">
        <f t="shared" si="46"/>
        <v>1.3.1.7.22.60</v>
      </c>
      <c r="B309" s="165">
        <v>1</v>
      </c>
      <c r="C309" s="165">
        <v>3</v>
      </c>
      <c r="D309" s="165">
        <v>1</v>
      </c>
      <c r="E309" s="165">
        <v>7</v>
      </c>
      <c r="F309" s="165">
        <v>22</v>
      </c>
      <c r="G309" s="165">
        <v>60</v>
      </c>
      <c r="H309" s="166"/>
      <c r="I309" s="166"/>
      <c r="J309" s="167"/>
      <c r="K309" s="1003" t="s">
        <v>283</v>
      </c>
      <c r="L309" s="165" t="s">
        <v>72</v>
      </c>
      <c r="M309" s="165" t="s">
        <v>271</v>
      </c>
      <c r="N309" s="165" t="s">
        <v>307</v>
      </c>
      <c r="O309" s="165" t="s">
        <v>281</v>
      </c>
      <c r="P309" s="169"/>
      <c r="Q309" s="169"/>
      <c r="R309" s="1012"/>
      <c r="S309" s="1013"/>
      <c r="T309" s="1185"/>
      <c r="U309" s="75">
        <v>0</v>
      </c>
      <c r="V309" s="75"/>
      <c r="W309" s="75">
        <v>0</v>
      </c>
      <c r="X309" s="1122">
        <v>0</v>
      </c>
      <c r="Y309" s="75">
        <v>0</v>
      </c>
      <c r="Z309" s="75">
        <v>0</v>
      </c>
      <c r="AA309" s="1122">
        <v>0</v>
      </c>
      <c r="AB309" s="75">
        <v>0</v>
      </c>
      <c r="AC309" s="75">
        <v>0</v>
      </c>
      <c r="AD309" s="1122">
        <v>0</v>
      </c>
      <c r="AE309" s="75">
        <v>0</v>
      </c>
      <c r="AF309" s="75">
        <v>0</v>
      </c>
      <c r="AG309" s="1122">
        <v>0</v>
      </c>
      <c r="AH309" s="505">
        <f t="shared" si="54"/>
        <v>0</v>
      </c>
      <c r="AI309" s="132"/>
      <c r="AJ309" s="75">
        <f t="shared" si="53"/>
        <v>0</v>
      </c>
      <c r="AK309" s="75"/>
      <c r="AL309" s="75"/>
      <c r="AM309" s="75"/>
      <c r="AN309" s="165" t="s">
        <v>39</v>
      </c>
      <c r="AO309" s="710"/>
      <c r="AP309" s="710"/>
      <c r="AQ309" s="1052"/>
      <c r="AR309" s="710"/>
      <c r="AS309" s="1053"/>
      <c r="AT309" s="710"/>
      <c r="AU309" s="1044"/>
      <c r="AV309" s="1014" t="s">
        <v>166</v>
      </c>
      <c r="AW309" s="639"/>
    </row>
    <row r="310" spans="1:49" ht="33.6" hidden="1" customHeight="1" outlineLevel="4" x14ac:dyDescent="0.25">
      <c r="A310" s="63" t="str">
        <f t="shared" si="46"/>
        <v>1.3.1.7.23.60</v>
      </c>
      <c r="B310" s="64">
        <v>1</v>
      </c>
      <c r="C310" s="64">
        <v>3</v>
      </c>
      <c r="D310" s="64">
        <v>1</v>
      </c>
      <c r="E310" s="64">
        <v>7</v>
      </c>
      <c r="F310" s="64">
        <v>23</v>
      </c>
      <c r="G310" s="64">
        <v>60</v>
      </c>
      <c r="H310" s="65"/>
      <c r="I310" s="65"/>
      <c r="J310" s="66"/>
      <c r="K310" s="67" t="s">
        <v>284</v>
      </c>
      <c r="L310" s="64" t="s">
        <v>72</v>
      </c>
      <c r="M310" s="64" t="s">
        <v>271</v>
      </c>
      <c r="N310" s="64" t="s">
        <v>307</v>
      </c>
      <c r="O310" s="64" t="s">
        <v>281</v>
      </c>
      <c r="P310" s="69">
        <v>44972</v>
      </c>
      <c r="Q310" s="131">
        <v>45290</v>
      </c>
      <c r="R310" s="124">
        <v>1</v>
      </c>
      <c r="S310" s="123" t="s">
        <v>76</v>
      </c>
      <c r="T310" s="194"/>
      <c r="U310" s="75">
        <v>0</v>
      </c>
      <c r="V310" s="75"/>
      <c r="W310" s="75">
        <v>0</v>
      </c>
      <c r="X310" s="1122">
        <v>0</v>
      </c>
      <c r="Y310" s="75">
        <v>99607.2</v>
      </c>
      <c r="Z310" s="75">
        <v>0</v>
      </c>
      <c r="AA310" s="1122">
        <v>0</v>
      </c>
      <c r="AB310" s="75">
        <v>0</v>
      </c>
      <c r="AC310" s="75">
        <v>0</v>
      </c>
      <c r="AD310" s="1122">
        <v>0</v>
      </c>
      <c r="AE310" s="75">
        <v>0</v>
      </c>
      <c r="AF310" s="75">
        <v>0</v>
      </c>
      <c r="AG310" s="1122">
        <v>0</v>
      </c>
      <c r="AH310" s="505">
        <f t="shared" si="54"/>
        <v>99607.2</v>
      </c>
      <c r="AI310" s="132"/>
      <c r="AJ310" s="75">
        <f t="shared" si="53"/>
        <v>0</v>
      </c>
      <c r="AK310" s="370"/>
      <c r="AL310" s="75"/>
      <c r="AM310" s="75"/>
      <c r="AN310" s="64" t="s">
        <v>39</v>
      </c>
      <c r="AO310" s="100"/>
      <c r="AP310" s="100"/>
      <c r="AQ310" s="100"/>
      <c r="AR310" s="100"/>
      <c r="AS310" s="100"/>
      <c r="AT310" s="100"/>
      <c r="AU310" s="983"/>
      <c r="AV310" s="123" t="s">
        <v>166</v>
      </c>
      <c r="AW310" s="67" t="s">
        <v>2736</v>
      </c>
    </row>
    <row r="311" spans="1:49" ht="33.6" hidden="1" customHeight="1" outlineLevel="4" x14ac:dyDescent="0.25">
      <c r="A311" s="864" t="str">
        <f t="shared" si="46"/>
        <v>1.3.1.7.26.60</v>
      </c>
      <c r="B311" s="245">
        <v>1</v>
      </c>
      <c r="C311" s="245">
        <v>3</v>
      </c>
      <c r="D311" s="245">
        <v>1</v>
      </c>
      <c r="E311" s="245">
        <v>7</v>
      </c>
      <c r="F311" s="245">
        <v>26</v>
      </c>
      <c r="G311" s="245">
        <v>60</v>
      </c>
      <c r="H311" s="1018"/>
      <c r="I311" s="1018"/>
      <c r="J311" s="1019"/>
      <c r="K311" s="244" t="s">
        <v>286</v>
      </c>
      <c r="L311" s="245" t="s">
        <v>72</v>
      </c>
      <c r="M311" s="245" t="s">
        <v>73</v>
      </c>
      <c r="N311" s="245" t="s">
        <v>307</v>
      </c>
      <c r="O311" s="245" t="s">
        <v>281</v>
      </c>
      <c r="P311" s="1020"/>
      <c r="Q311" s="1020"/>
      <c r="R311" s="1022"/>
      <c r="S311" s="1023"/>
      <c r="T311" s="1186"/>
      <c r="U311" s="75">
        <v>0</v>
      </c>
      <c r="V311" s="75"/>
      <c r="W311" s="75">
        <v>0</v>
      </c>
      <c r="X311" s="1122">
        <v>0</v>
      </c>
      <c r="Y311" s="75">
        <v>0</v>
      </c>
      <c r="Z311" s="75">
        <v>0</v>
      </c>
      <c r="AA311" s="1122">
        <v>0</v>
      </c>
      <c r="AB311" s="75">
        <v>0</v>
      </c>
      <c r="AC311" s="75">
        <v>0</v>
      </c>
      <c r="AD311" s="1122">
        <v>0</v>
      </c>
      <c r="AE311" s="75">
        <v>0</v>
      </c>
      <c r="AF311" s="75">
        <v>0</v>
      </c>
      <c r="AG311" s="1122">
        <v>0</v>
      </c>
      <c r="AH311" s="505">
        <f t="shared" si="54"/>
        <v>0</v>
      </c>
      <c r="AI311" s="132"/>
      <c r="AJ311" s="75">
        <f t="shared" si="53"/>
        <v>0</v>
      </c>
      <c r="AK311" s="75"/>
      <c r="AL311" s="75"/>
      <c r="AM311" s="75"/>
      <c r="AN311" s="245" t="s">
        <v>39</v>
      </c>
      <c r="AO311" s="1028"/>
      <c r="AP311" s="1028"/>
      <c r="AQ311" s="1029"/>
      <c r="AR311" s="1028"/>
      <c r="AS311" s="1030"/>
      <c r="AT311" s="1028"/>
      <c r="AU311" s="1031"/>
      <c r="AV311" s="1025" t="s">
        <v>73</v>
      </c>
      <c r="AW311" s="640"/>
    </row>
    <row r="312" spans="1:49" ht="33.6" hidden="1" customHeight="1" outlineLevel="4" x14ac:dyDescent="0.25">
      <c r="A312" s="63" t="str">
        <f t="shared" si="46"/>
        <v>1.3.1.7.27.60</v>
      </c>
      <c r="B312" s="64">
        <v>1</v>
      </c>
      <c r="C312" s="64">
        <v>3</v>
      </c>
      <c r="D312" s="64">
        <v>1</v>
      </c>
      <c r="E312" s="64">
        <v>7</v>
      </c>
      <c r="F312" s="64">
        <v>27</v>
      </c>
      <c r="G312" s="64">
        <v>60</v>
      </c>
      <c r="H312" s="65"/>
      <c r="I312" s="65"/>
      <c r="J312" s="66"/>
      <c r="K312" s="67" t="s">
        <v>287</v>
      </c>
      <c r="L312" s="64" t="s">
        <v>72</v>
      </c>
      <c r="M312" s="64" t="s">
        <v>73</v>
      </c>
      <c r="N312" s="64"/>
      <c r="O312" s="64"/>
      <c r="P312" s="69"/>
      <c r="Q312" s="69"/>
      <c r="R312" s="124"/>
      <c r="S312" s="123"/>
      <c r="T312" s="194"/>
      <c r="U312" s="75">
        <v>0</v>
      </c>
      <c r="V312" s="75"/>
      <c r="W312" s="75">
        <v>0</v>
      </c>
      <c r="X312" s="1122">
        <v>0</v>
      </c>
      <c r="Y312" s="75">
        <v>0</v>
      </c>
      <c r="Z312" s="75">
        <v>0</v>
      </c>
      <c r="AA312" s="1122">
        <v>0</v>
      </c>
      <c r="AB312" s="75">
        <v>0</v>
      </c>
      <c r="AC312" s="75">
        <v>0</v>
      </c>
      <c r="AD312" s="1122">
        <v>0</v>
      </c>
      <c r="AE312" s="75">
        <v>0</v>
      </c>
      <c r="AF312" s="75">
        <v>0</v>
      </c>
      <c r="AG312" s="1122">
        <v>0</v>
      </c>
      <c r="AH312" s="505">
        <f t="shared" si="54"/>
        <v>0</v>
      </c>
      <c r="AI312" s="132"/>
      <c r="AJ312" s="75">
        <f t="shared" si="53"/>
        <v>0</v>
      </c>
      <c r="AK312" s="75"/>
      <c r="AL312" s="75"/>
      <c r="AM312" s="75"/>
      <c r="AN312" s="64" t="s">
        <v>181</v>
      </c>
      <c r="AO312" s="100"/>
      <c r="AP312" s="100"/>
      <c r="AQ312" s="993"/>
      <c r="AR312" s="100"/>
      <c r="AS312" s="994"/>
      <c r="AT312" s="100"/>
      <c r="AU312" s="983"/>
      <c r="AV312" s="347" t="s">
        <v>73</v>
      </c>
      <c r="AW312" s="185"/>
    </row>
    <row r="313" spans="1:49" ht="33.6" hidden="1" customHeight="1" outlineLevel="4" x14ac:dyDescent="0.25">
      <c r="A313" s="63" t="str">
        <f t="shared" si="46"/>
        <v>1.3.1.7.28.60</v>
      </c>
      <c r="B313" s="64">
        <v>1</v>
      </c>
      <c r="C313" s="64">
        <v>3</v>
      </c>
      <c r="D313" s="64">
        <v>1</v>
      </c>
      <c r="E313" s="64">
        <v>7</v>
      </c>
      <c r="F313" s="64">
        <v>28</v>
      </c>
      <c r="G313" s="64">
        <v>60</v>
      </c>
      <c r="H313" s="65"/>
      <c r="I313" s="65"/>
      <c r="J313" s="66"/>
      <c r="K313" s="67" t="s">
        <v>2206</v>
      </c>
      <c r="L313" s="64" t="s">
        <v>72</v>
      </c>
      <c r="M313" s="64" t="s">
        <v>279</v>
      </c>
      <c r="N313" s="64"/>
      <c r="O313" s="64"/>
      <c r="P313" s="69"/>
      <c r="Q313" s="69"/>
      <c r="R313" s="124"/>
      <c r="S313" s="123"/>
      <c r="T313" s="194"/>
      <c r="U313" s="75">
        <v>0</v>
      </c>
      <c r="V313" s="75"/>
      <c r="W313" s="75">
        <v>0</v>
      </c>
      <c r="X313" s="1122">
        <v>0</v>
      </c>
      <c r="Y313" s="75">
        <v>0</v>
      </c>
      <c r="Z313" s="75">
        <v>0</v>
      </c>
      <c r="AA313" s="1122">
        <v>0</v>
      </c>
      <c r="AB313" s="75">
        <v>0</v>
      </c>
      <c r="AC313" s="75">
        <v>0</v>
      </c>
      <c r="AD313" s="1122">
        <v>0</v>
      </c>
      <c r="AE313" s="75">
        <v>0</v>
      </c>
      <c r="AF313" s="75">
        <v>0</v>
      </c>
      <c r="AG313" s="1122">
        <v>0</v>
      </c>
      <c r="AH313" s="505">
        <f t="shared" si="54"/>
        <v>0</v>
      </c>
      <c r="AI313" s="132"/>
      <c r="AJ313" s="75">
        <f t="shared" si="53"/>
        <v>0</v>
      </c>
      <c r="AK313" s="75"/>
      <c r="AL313" s="75"/>
      <c r="AM313" s="75"/>
      <c r="AN313" s="64" t="s">
        <v>39</v>
      </c>
      <c r="AO313" s="1081"/>
      <c r="AP313" s="1057"/>
      <c r="AQ313" s="960"/>
      <c r="AR313" s="100"/>
      <c r="AS313" s="1082"/>
      <c r="AT313" s="1062"/>
      <c r="AU313" s="983"/>
      <c r="AV313" s="347" t="s">
        <v>73</v>
      </c>
      <c r="AW313" s="791"/>
    </row>
    <row r="314" spans="1:49" ht="33.6" hidden="1" customHeight="1" outlineLevel="4" x14ac:dyDescent="0.25">
      <c r="A314" s="63" t="str">
        <f t="shared" si="46"/>
        <v>1.3.1.7.29.60</v>
      </c>
      <c r="B314" s="64">
        <v>1</v>
      </c>
      <c r="C314" s="64">
        <v>3</v>
      </c>
      <c r="D314" s="64">
        <v>1</v>
      </c>
      <c r="E314" s="64">
        <v>7</v>
      </c>
      <c r="F314" s="64">
        <v>29</v>
      </c>
      <c r="G314" s="64">
        <v>60</v>
      </c>
      <c r="H314" s="65"/>
      <c r="I314" s="65"/>
      <c r="J314" s="66"/>
      <c r="K314" s="137" t="s">
        <v>352</v>
      </c>
      <c r="L314" s="64"/>
      <c r="M314" s="64"/>
      <c r="N314" s="64"/>
      <c r="O314" s="64"/>
      <c r="P314" s="69"/>
      <c r="Q314" s="69"/>
      <c r="R314" s="124"/>
      <c r="S314" s="123"/>
      <c r="T314" s="194"/>
      <c r="U314" s="75">
        <v>0</v>
      </c>
      <c r="V314" s="75"/>
      <c r="W314" s="75">
        <v>0</v>
      </c>
      <c r="X314" s="1122">
        <v>0</v>
      </c>
      <c r="Y314" s="75">
        <v>0</v>
      </c>
      <c r="Z314" s="75">
        <v>0</v>
      </c>
      <c r="AA314" s="1122">
        <v>0</v>
      </c>
      <c r="AB314" s="75">
        <v>0</v>
      </c>
      <c r="AC314" s="75">
        <v>0</v>
      </c>
      <c r="AD314" s="1122">
        <v>0</v>
      </c>
      <c r="AE314" s="75">
        <v>0</v>
      </c>
      <c r="AF314" s="75">
        <v>0</v>
      </c>
      <c r="AG314" s="1122">
        <v>0</v>
      </c>
      <c r="AH314" s="505">
        <f t="shared" si="54"/>
        <v>0</v>
      </c>
      <c r="AI314" s="132"/>
      <c r="AJ314" s="75">
        <f t="shared" si="53"/>
        <v>0</v>
      </c>
      <c r="AK314" s="75"/>
      <c r="AL314" s="75"/>
      <c r="AM314" s="75"/>
      <c r="AN314" s="64" t="s">
        <v>39</v>
      </c>
      <c r="AO314" s="100"/>
      <c r="AP314" s="100"/>
      <c r="AQ314" s="993"/>
      <c r="AR314" s="100"/>
      <c r="AS314" s="994"/>
      <c r="AT314" s="100"/>
      <c r="AU314" s="983"/>
      <c r="AV314" s="347" t="s">
        <v>73</v>
      </c>
      <c r="AW314" s="185"/>
    </row>
    <row r="315" spans="1:49" ht="33.6" hidden="1" customHeight="1" outlineLevel="4" x14ac:dyDescent="0.25">
      <c r="A315" s="63" t="str">
        <f t="shared" si="46"/>
        <v>1.3.1.7.30.60</v>
      </c>
      <c r="B315" s="64">
        <v>1</v>
      </c>
      <c r="C315" s="64">
        <v>3</v>
      </c>
      <c r="D315" s="64">
        <v>1</v>
      </c>
      <c r="E315" s="64">
        <v>7</v>
      </c>
      <c r="F315" s="64">
        <v>30</v>
      </c>
      <c r="G315" s="100">
        <v>60</v>
      </c>
      <c r="H315" s="65"/>
      <c r="I315" s="65"/>
      <c r="J315" s="66"/>
      <c r="K315" s="67" t="s">
        <v>326</v>
      </c>
      <c r="L315" s="64" t="s">
        <v>72</v>
      </c>
      <c r="M315" s="64" t="s">
        <v>279</v>
      </c>
      <c r="N315" s="64"/>
      <c r="O315" s="64"/>
      <c r="P315" s="69"/>
      <c r="Q315" s="69"/>
      <c r="R315" s="124"/>
      <c r="S315" s="123"/>
      <c r="T315" s="194"/>
      <c r="U315" s="75">
        <v>50446.431698</v>
      </c>
      <c r="V315" s="75"/>
      <c r="W315" s="75">
        <v>0</v>
      </c>
      <c r="X315" s="1122">
        <v>0</v>
      </c>
      <c r="Y315" s="75">
        <v>50446.431698</v>
      </c>
      <c r="Z315" s="75">
        <v>0</v>
      </c>
      <c r="AA315" s="1122">
        <v>0</v>
      </c>
      <c r="AB315" s="75">
        <v>50446.431698</v>
      </c>
      <c r="AC315" s="75">
        <v>0</v>
      </c>
      <c r="AD315" s="1122">
        <v>0</v>
      </c>
      <c r="AE315" s="75">
        <v>50446.431698</v>
      </c>
      <c r="AF315" s="75">
        <v>0</v>
      </c>
      <c r="AG315" s="1122">
        <v>0</v>
      </c>
      <c r="AH315" s="505">
        <f t="shared" si="54"/>
        <v>201785.726792</v>
      </c>
      <c r="AI315" s="132"/>
      <c r="AJ315" s="75">
        <f t="shared" si="53"/>
        <v>0</v>
      </c>
      <c r="AK315" s="75"/>
      <c r="AL315" s="75"/>
      <c r="AM315" s="75"/>
      <c r="AN315" s="64" t="s">
        <v>39</v>
      </c>
      <c r="AO315" s="100"/>
      <c r="AP315" s="100"/>
      <c r="AQ315" s="993"/>
      <c r="AR315" s="100"/>
      <c r="AS315" s="994"/>
      <c r="AT315" s="100"/>
      <c r="AU315" s="983"/>
      <c r="AV315" s="123" t="s">
        <v>272</v>
      </c>
      <c r="AW315" s="67" t="s">
        <v>2833</v>
      </c>
    </row>
    <row r="316" spans="1:49" ht="33.6" hidden="1" customHeight="1" outlineLevel="4" x14ac:dyDescent="0.25">
      <c r="A316" s="63" t="str">
        <f t="shared" si="46"/>
        <v>1.3.1.7.31.60</v>
      </c>
      <c r="B316" s="64">
        <v>1</v>
      </c>
      <c r="C316" s="64">
        <v>3</v>
      </c>
      <c r="D316" s="64">
        <v>1</v>
      </c>
      <c r="E316" s="64">
        <v>7</v>
      </c>
      <c r="F316" s="64">
        <v>31</v>
      </c>
      <c r="G316" s="64">
        <v>60</v>
      </c>
      <c r="H316" s="65"/>
      <c r="I316" s="65"/>
      <c r="J316" s="66"/>
      <c r="K316" s="67" t="s">
        <v>296</v>
      </c>
      <c r="L316" s="64" t="s">
        <v>359</v>
      </c>
      <c r="M316" s="64" t="s">
        <v>272</v>
      </c>
      <c r="N316" s="64" t="s">
        <v>360</v>
      </c>
      <c r="O316" s="64" t="s">
        <v>361</v>
      </c>
      <c r="P316" s="147"/>
      <c r="Q316" s="147"/>
      <c r="R316" s="124"/>
      <c r="S316" s="123"/>
      <c r="T316" s="194"/>
      <c r="U316" s="75">
        <v>239564.97</v>
      </c>
      <c r="V316" s="75"/>
      <c r="W316" s="75">
        <v>0</v>
      </c>
      <c r="X316" s="1122">
        <v>0</v>
      </c>
      <c r="Y316" s="75">
        <v>239564.97</v>
      </c>
      <c r="Z316" s="75">
        <v>0</v>
      </c>
      <c r="AA316" s="1122">
        <v>0</v>
      </c>
      <c r="AB316" s="75">
        <v>239564.97</v>
      </c>
      <c r="AC316" s="75">
        <v>0</v>
      </c>
      <c r="AD316" s="1122">
        <v>0</v>
      </c>
      <c r="AE316" s="75">
        <v>239564.97</v>
      </c>
      <c r="AF316" s="75">
        <v>0</v>
      </c>
      <c r="AG316" s="1122">
        <v>0</v>
      </c>
      <c r="AH316" s="505">
        <f t="shared" si="54"/>
        <v>958259.88</v>
      </c>
      <c r="AI316" s="132"/>
      <c r="AJ316" s="75">
        <f t="shared" si="53"/>
        <v>0</v>
      </c>
      <c r="AK316" s="75"/>
      <c r="AL316" s="75"/>
      <c r="AM316" s="75"/>
      <c r="AN316" s="64" t="s">
        <v>39</v>
      </c>
      <c r="AO316" s="100"/>
      <c r="AP316" s="100"/>
      <c r="AQ316" s="960"/>
      <c r="AR316" s="100"/>
      <c r="AS316" s="994"/>
      <c r="AT316" s="100"/>
      <c r="AU316" s="964"/>
      <c r="AV316" s="348" t="s">
        <v>362</v>
      </c>
      <c r="AW316" s="67" t="s">
        <v>2822</v>
      </c>
    </row>
    <row r="317" spans="1:49" ht="33.6" hidden="1" customHeight="1" outlineLevel="4" x14ac:dyDescent="0.25">
      <c r="A317" s="63" t="str">
        <f>CONCATENATE(B317,".",C317,".",D317,".",E317,".",F317,".",G317)</f>
        <v>1.3.1.7.33.60</v>
      </c>
      <c r="B317" s="64">
        <v>1</v>
      </c>
      <c r="C317" s="64">
        <v>3</v>
      </c>
      <c r="D317" s="64">
        <v>1</v>
      </c>
      <c r="E317" s="64">
        <v>7</v>
      </c>
      <c r="F317" s="64">
        <v>33</v>
      </c>
      <c r="G317" s="64">
        <v>60</v>
      </c>
      <c r="H317" s="65"/>
      <c r="I317" s="65"/>
      <c r="J317" s="66"/>
      <c r="K317" s="67" t="s">
        <v>298</v>
      </c>
      <c r="L317" s="64" t="s">
        <v>359</v>
      </c>
      <c r="M317" s="64" t="s">
        <v>299</v>
      </c>
      <c r="N317" s="64"/>
      <c r="O317" s="64"/>
      <c r="P317" s="147"/>
      <c r="Q317" s="147"/>
      <c r="R317" s="124"/>
      <c r="S317" s="123"/>
      <c r="T317" s="194"/>
      <c r="U317" s="75">
        <v>0</v>
      </c>
      <c r="V317" s="75"/>
      <c r="W317" s="75">
        <v>0</v>
      </c>
      <c r="X317" s="1122">
        <v>0</v>
      </c>
      <c r="Y317" s="75">
        <v>0</v>
      </c>
      <c r="Z317" s="75">
        <v>0</v>
      </c>
      <c r="AA317" s="1122">
        <v>0</v>
      </c>
      <c r="AB317" s="75">
        <v>0</v>
      </c>
      <c r="AC317" s="75">
        <v>0</v>
      </c>
      <c r="AD317" s="1122">
        <v>0</v>
      </c>
      <c r="AE317" s="75">
        <v>0</v>
      </c>
      <c r="AF317" s="75">
        <v>0</v>
      </c>
      <c r="AG317" s="1122">
        <v>0</v>
      </c>
      <c r="AH317" s="505">
        <f t="shared" si="54"/>
        <v>0</v>
      </c>
      <c r="AI317" s="132"/>
      <c r="AJ317" s="75">
        <f t="shared" si="53"/>
        <v>411757.14</v>
      </c>
      <c r="AK317" s="75"/>
      <c r="AL317" s="75"/>
      <c r="AM317" s="75"/>
      <c r="AN317" s="64" t="s">
        <v>282</v>
      </c>
      <c r="AO317" s="100"/>
      <c r="AP317" s="100"/>
      <c r="AQ317" s="100"/>
      <c r="AR317" s="104"/>
      <c r="AS317" s="104"/>
      <c r="AT317" s="100"/>
      <c r="AU317" s="983"/>
      <c r="AV317" s="348"/>
      <c r="AW317" s="434"/>
    </row>
    <row r="318" spans="1:49" s="153" customFormat="1" ht="26.25" customHeight="1" outlineLevel="1" collapsed="1" x14ac:dyDescent="0.25">
      <c r="A318" s="148" t="str">
        <f t="shared" si="46"/>
        <v>1.3.1.8.0.0</v>
      </c>
      <c r="B318" s="82">
        <v>1</v>
      </c>
      <c r="C318" s="82">
        <v>3</v>
      </c>
      <c r="D318" s="82">
        <v>1</v>
      </c>
      <c r="E318" s="82">
        <v>8</v>
      </c>
      <c r="F318" s="82">
        <v>0</v>
      </c>
      <c r="G318" s="82">
        <v>0</v>
      </c>
      <c r="H318" s="149"/>
      <c r="I318" s="149"/>
      <c r="J318" s="1260" t="s">
        <v>363</v>
      </c>
      <c r="K318" s="1260"/>
      <c r="L318" s="82" t="s">
        <v>236</v>
      </c>
      <c r="M318" s="82" t="s">
        <v>240</v>
      </c>
      <c r="N318" s="82" t="s">
        <v>226</v>
      </c>
      <c r="O318" s="82">
        <v>0</v>
      </c>
      <c r="P318" s="82"/>
      <c r="Q318" s="82"/>
      <c r="R318" s="369">
        <f t="shared" ref="R318:AH318" si="56">SUM(R319)</f>
        <v>0</v>
      </c>
      <c r="S318" s="369">
        <f t="shared" si="56"/>
        <v>0</v>
      </c>
      <c r="T318" s="1124">
        <f t="shared" si="56"/>
        <v>0</v>
      </c>
      <c r="U318" s="369">
        <f>SUM(U319)</f>
        <v>0</v>
      </c>
      <c r="V318" s="369"/>
      <c r="W318" s="677">
        <f t="shared" si="56"/>
        <v>0</v>
      </c>
      <c r="X318" s="1124">
        <f t="shared" si="56"/>
        <v>0</v>
      </c>
      <c r="Y318" s="369">
        <f t="shared" si="56"/>
        <v>0</v>
      </c>
      <c r="Z318" s="840">
        <f t="shared" si="56"/>
        <v>0</v>
      </c>
      <c r="AA318" s="1124">
        <f t="shared" si="56"/>
        <v>0</v>
      </c>
      <c r="AB318" s="369">
        <f t="shared" si="56"/>
        <v>0</v>
      </c>
      <c r="AC318" s="968">
        <f t="shared" si="56"/>
        <v>411757.14</v>
      </c>
      <c r="AD318" s="1124">
        <f t="shared" si="56"/>
        <v>0</v>
      </c>
      <c r="AE318" s="369">
        <f t="shared" si="56"/>
        <v>0</v>
      </c>
      <c r="AF318" s="369">
        <f t="shared" si="56"/>
        <v>0</v>
      </c>
      <c r="AG318" s="1124">
        <f t="shared" si="56"/>
        <v>0</v>
      </c>
      <c r="AH318" s="369">
        <f t="shared" si="56"/>
        <v>0</v>
      </c>
      <c r="AI318" s="369">
        <f>SUM(AI319)</f>
        <v>0</v>
      </c>
      <c r="AJ318" s="369">
        <f>SUM(AJ319)</f>
        <v>411757.14</v>
      </c>
      <c r="AK318" s="61"/>
      <c r="AL318" s="61"/>
      <c r="AM318" s="61"/>
      <c r="AN318" s="81" t="s">
        <v>181</v>
      </c>
      <c r="AO318" s="81"/>
      <c r="AP318" s="81"/>
      <c r="AQ318" s="412"/>
      <c r="AR318" s="81"/>
      <c r="AS318" s="474"/>
      <c r="AT318" s="81"/>
      <c r="AU318" s="663"/>
      <c r="AV318" s="369">
        <f t="shared" ref="AV318" si="57">SUM(AV319)</f>
        <v>0</v>
      </c>
      <c r="AW318" s="427"/>
    </row>
    <row r="319" spans="1:49" ht="25.5" hidden="1" customHeight="1" outlineLevel="2" x14ac:dyDescent="0.25">
      <c r="A319" s="63" t="str">
        <f t="shared" si="46"/>
        <v>1.3.1.8.1.07</v>
      </c>
      <c r="B319" s="64">
        <v>1</v>
      </c>
      <c r="C319" s="64">
        <v>3</v>
      </c>
      <c r="D319" s="64">
        <v>1</v>
      </c>
      <c r="E319" s="64">
        <v>8</v>
      </c>
      <c r="F319" s="64">
        <v>1</v>
      </c>
      <c r="G319" s="206" t="s">
        <v>723</v>
      </c>
      <c r="H319" s="65"/>
      <c r="I319" s="65"/>
      <c r="J319" s="66"/>
      <c r="K319" s="65" t="s">
        <v>364</v>
      </c>
      <c r="L319" s="64" t="s">
        <v>246</v>
      </c>
      <c r="M319" s="64" t="s">
        <v>365</v>
      </c>
      <c r="N319" s="64" t="s">
        <v>247</v>
      </c>
      <c r="O319" s="64" t="s">
        <v>241</v>
      </c>
      <c r="P319" s="64"/>
      <c r="Q319" s="64"/>
      <c r="R319" s="124"/>
      <c r="S319" s="123"/>
      <c r="T319" s="194"/>
      <c r="U319" s="75">
        <v>0</v>
      </c>
      <c r="V319" s="75"/>
      <c r="W319" s="821">
        <v>0</v>
      </c>
      <c r="X319" s="1122">
        <v>0</v>
      </c>
      <c r="Y319" s="75">
        <v>0</v>
      </c>
      <c r="Z319" s="834">
        <v>0</v>
      </c>
      <c r="AA319" s="1122">
        <v>0</v>
      </c>
      <c r="AB319" s="75">
        <v>0</v>
      </c>
      <c r="AC319" s="969">
        <f>+AJ319-W319-Z319</f>
        <v>411757.14</v>
      </c>
      <c r="AD319" s="1217">
        <v>0</v>
      </c>
      <c r="AE319" s="75">
        <v>0</v>
      </c>
      <c r="AF319" s="592">
        <v>0</v>
      </c>
      <c r="AG319" s="1122">
        <v>0</v>
      </c>
      <c r="AH319" s="505">
        <f t="shared" ref="AH319" si="58">+W319+Y319+AB319+AE319</f>
        <v>0</v>
      </c>
      <c r="AI319" s="132"/>
      <c r="AJ319" s="75">
        <f t="shared" ref="AJ319" si="59">+W320+Z320+AC320+AF320</f>
        <v>411757.14</v>
      </c>
      <c r="AK319" s="154"/>
      <c r="AL319" s="154"/>
      <c r="AM319" s="154"/>
      <c r="AN319" s="98" t="s">
        <v>181</v>
      </c>
      <c r="AO319" s="98"/>
      <c r="AP319" s="98"/>
      <c r="AQ319" s="184"/>
      <c r="AR319" s="98"/>
      <c r="AS319" s="481"/>
      <c r="AT319" s="98"/>
      <c r="AU319" s="646"/>
      <c r="AV319" s="347"/>
      <c r="AW319" s="440"/>
    </row>
    <row r="320" spans="1:49" s="153" customFormat="1" ht="69" customHeight="1" outlineLevel="1" collapsed="1" x14ac:dyDescent="0.25">
      <c r="A320" s="148" t="str">
        <f t="shared" si="46"/>
        <v>1.3.1.9.0.0</v>
      </c>
      <c r="B320" s="82">
        <v>1</v>
      </c>
      <c r="C320" s="82">
        <v>3</v>
      </c>
      <c r="D320" s="82">
        <v>1</v>
      </c>
      <c r="E320" s="82">
        <v>9</v>
      </c>
      <c r="F320" s="82">
        <v>0</v>
      </c>
      <c r="G320" s="82">
        <v>0</v>
      </c>
      <c r="H320" s="149"/>
      <c r="I320" s="149"/>
      <c r="J320" s="1260" t="s">
        <v>366</v>
      </c>
      <c r="K320" s="1260"/>
      <c r="L320" s="82" t="s">
        <v>72</v>
      </c>
      <c r="M320" s="82" t="s">
        <v>73</v>
      </c>
      <c r="N320" s="82" t="s">
        <v>74</v>
      </c>
      <c r="O320" s="82" t="s">
        <v>367</v>
      </c>
      <c r="P320" s="82"/>
      <c r="Q320" s="82"/>
      <c r="R320" s="150">
        <v>0</v>
      </c>
      <c r="S320" s="151"/>
      <c r="T320" s="193" t="e">
        <f>T505+#REF!+T491+#REF!+T477+#REF!+T475+T468+T461+T454+T447+T440+T433+T426+T419+#REF!+T405+T398+T391+T384+T377+T370+T363+T356+T342+T335+T335</f>
        <v>#REF!</v>
      </c>
      <c r="U320" s="369">
        <f>SUM(U321:U575)</f>
        <v>196445248.44071436</v>
      </c>
      <c r="V320" s="369"/>
      <c r="W320" s="369">
        <f t="shared" ref="W320:AM320" si="60">SUM(W321:W575)</f>
        <v>411757.14</v>
      </c>
      <c r="X320" s="1124">
        <f t="shared" si="60"/>
        <v>0</v>
      </c>
      <c r="Y320" s="369">
        <f t="shared" si="60"/>
        <v>229555638.26500008</v>
      </c>
      <c r="Z320" s="369">
        <f t="shared" si="60"/>
        <v>0</v>
      </c>
      <c r="AA320" s="1124">
        <f t="shared" si="60"/>
        <v>0</v>
      </c>
      <c r="AB320" s="369">
        <f t="shared" si="60"/>
        <v>96530416.485000044</v>
      </c>
      <c r="AC320" s="369">
        <f t="shared" si="60"/>
        <v>0</v>
      </c>
      <c r="AD320" s="1124">
        <f t="shared" si="60"/>
        <v>0</v>
      </c>
      <c r="AE320" s="369">
        <f t="shared" si="60"/>
        <v>29142081.274999991</v>
      </c>
      <c r="AF320" s="369">
        <f t="shared" si="60"/>
        <v>0</v>
      </c>
      <c r="AG320" s="1124">
        <f t="shared" si="60"/>
        <v>0</v>
      </c>
      <c r="AH320" s="369">
        <f>SUM(AH321:AH575)</f>
        <v>551673384.4657141</v>
      </c>
      <c r="AI320" s="369">
        <f t="shared" si="60"/>
        <v>0</v>
      </c>
      <c r="AJ320" s="369">
        <f>SUM(AJ321:AJ575)</f>
        <v>411757.14</v>
      </c>
      <c r="AK320" s="369">
        <f t="shared" si="60"/>
        <v>0</v>
      </c>
      <c r="AL320" s="369">
        <f t="shared" si="60"/>
        <v>0</v>
      </c>
      <c r="AM320" s="369">
        <f t="shared" si="60"/>
        <v>0</v>
      </c>
      <c r="AN320" s="81" t="s">
        <v>39</v>
      </c>
      <c r="AO320" s="81"/>
      <c r="AP320" s="81"/>
      <c r="AQ320" s="412"/>
      <c r="AR320" s="81"/>
      <c r="AS320" s="474"/>
      <c r="AT320" s="81"/>
      <c r="AU320" s="663"/>
      <c r="AV320" s="369"/>
      <c r="AW320" s="428" t="s">
        <v>368</v>
      </c>
    </row>
    <row r="321" spans="1:49" ht="31.35" hidden="1" customHeight="1" outlineLevel="4" x14ac:dyDescent="0.25">
      <c r="A321" s="63" t="str">
        <f t="shared" si="46"/>
        <v>1.3.1.9.1.58</v>
      </c>
      <c r="B321" s="64">
        <v>1</v>
      </c>
      <c r="C321" s="64">
        <v>3</v>
      </c>
      <c r="D321" s="64">
        <v>1</v>
      </c>
      <c r="E321" s="64">
        <v>9</v>
      </c>
      <c r="F321" s="64">
        <v>1</v>
      </c>
      <c r="G321" s="64">
        <v>58</v>
      </c>
      <c r="H321" s="65"/>
      <c r="I321" s="65"/>
      <c r="J321" s="66"/>
      <c r="K321" s="67" t="s">
        <v>369</v>
      </c>
      <c r="L321" s="64" t="s">
        <v>72</v>
      </c>
      <c r="M321" s="64" t="s">
        <v>73</v>
      </c>
      <c r="N321" s="64" t="s">
        <v>74</v>
      </c>
      <c r="O321" s="64" t="s">
        <v>367</v>
      </c>
      <c r="P321" s="64"/>
      <c r="Q321" s="64"/>
      <c r="R321" s="124"/>
      <c r="S321" s="123"/>
      <c r="T321" s="194"/>
      <c r="U321" s="75">
        <v>0</v>
      </c>
      <c r="V321" s="75"/>
      <c r="W321" s="75">
        <v>0</v>
      </c>
      <c r="X321" s="1122">
        <v>0</v>
      </c>
      <c r="Y321" s="75">
        <v>0</v>
      </c>
      <c r="Z321" s="75">
        <v>0</v>
      </c>
      <c r="AA321" s="1122">
        <v>0</v>
      </c>
      <c r="AB321" s="75">
        <v>0</v>
      </c>
      <c r="AC321" s="75">
        <v>0</v>
      </c>
      <c r="AD321" s="1122">
        <v>0</v>
      </c>
      <c r="AE321" s="75">
        <v>0</v>
      </c>
      <c r="AF321" s="75">
        <v>0</v>
      </c>
      <c r="AG321" s="1122">
        <v>0</v>
      </c>
      <c r="AH321" s="505">
        <f>+U321+Y321+AB321+AE321</f>
        <v>0</v>
      </c>
      <c r="AI321" s="132"/>
      <c r="AJ321" s="75">
        <f t="shared" ref="AJ321:AJ384" si="61">+W322+Z322+AC322+AF322</f>
        <v>0</v>
      </c>
      <c r="AK321" s="75"/>
      <c r="AL321" s="75"/>
      <c r="AM321" s="75"/>
      <c r="AN321" s="64" t="s">
        <v>39</v>
      </c>
      <c r="AO321" s="64"/>
      <c r="AP321" s="64"/>
      <c r="AQ321" s="189"/>
      <c r="AR321" s="64"/>
      <c r="AS321" s="476"/>
      <c r="AT321" s="64"/>
      <c r="AU321" s="646"/>
      <c r="AV321" s="348"/>
      <c r="AW321" s="335"/>
    </row>
    <row r="322" spans="1:49" ht="31.35" hidden="1" customHeight="1" outlineLevel="4" x14ac:dyDescent="0.25">
      <c r="A322" s="63" t="str">
        <f t="shared" si="46"/>
        <v>1.3.1.9.1.59</v>
      </c>
      <c r="B322" s="64">
        <v>1</v>
      </c>
      <c r="C322" s="64">
        <v>3</v>
      </c>
      <c r="D322" s="64">
        <v>1</v>
      </c>
      <c r="E322" s="64">
        <v>9</v>
      </c>
      <c r="F322" s="64">
        <v>1</v>
      </c>
      <c r="G322" s="64">
        <v>59</v>
      </c>
      <c r="H322" s="65"/>
      <c r="I322" s="65"/>
      <c r="J322" s="66"/>
      <c r="K322" s="67" t="s">
        <v>369</v>
      </c>
      <c r="L322" s="64"/>
      <c r="M322" s="64"/>
      <c r="N322" s="64"/>
      <c r="O322" s="64"/>
      <c r="P322" s="64"/>
      <c r="Q322" s="64"/>
      <c r="R322" s="124"/>
      <c r="S322" s="123"/>
      <c r="T322" s="194"/>
      <c r="U322" s="75">
        <v>0</v>
      </c>
      <c r="V322" s="75"/>
      <c r="W322" s="75">
        <v>0</v>
      </c>
      <c r="X322" s="1122">
        <v>0</v>
      </c>
      <c r="Y322" s="75">
        <v>0</v>
      </c>
      <c r="Z322" s="75">
        <v>0</v>
      </c>
      <c r="AA322" s="1122">
        <v>0</v>
      </c>
      <c r="AB322" s="75">
        <v>0</v>
      </c>
      <c r="AC322" s="75">
        <v>0</v>
      </c>
      <c r="AD322" s="1122">
        <v>0</v>
      </c>
      <c r="AE322" s="75">
        <v>0</v>
      </c>
      <c r="AF322" s="75">
        <v>0</v>
      </c>
      <c r="AG322" s="1122">
        <v>0</v>
      </c>
      <c r="AH322" s="505">
        <f t="shared" ref="AH322:AH385" si="62">+U322+Y322+AB322+AE322</f>
        <v>0</v>
      </c>
      <c r="AI322" s="132"/>
      <c r="AJ322" s="75">
        <f t="shared" si="61"/>
        <v>0</v>
      </c>
      <c r="AK322" s="75"/>
      <c r="AL322" s="75"/>
      <c r="AM322" s="75"/>
      <c r="AN322" s="64" t="s">
        <v>39</v>
      </c>
      <c r="AO322" s="64"/>
      <c r="AP322" s="64"/>
      <c r="AQ322" s="189"/>
      <c r="AR322" s="64"/>
      <c r="AS322" s="476"/>
      <c r="AT322" s="64"/>
      <c r="AU322" s="646"/>
      <c r="AV322" s="348"/>
      <c r="AW322" s="335"/>
    </row>
    <row r="323" spans="1:49" ht="31.35" hidden="1" customHeight="1" outlineLevel="4" x14ac:dyDescent="0.25">
      <c r="A323" s="63" t="str">
        <f t="shared" si="46"/>
        <v>1.3.1.9.1.60</v>
      </c>
      <c r="B323" s="64">
        <v>1</v>
      </c>
      <c r="C323" s="64">
        <v>3</v>
      </c>
      <c r="D323" s="64">
        <v>1</v>
      </c>
      <c r="E323" s="64">
        <v>9</v>
      </c>
      <c r="F323" s="64">
        <v>1</v>
      </c>
      <c r="G323" s="64">
        <v>60</v>
      </c>
      <c r="H323" s="65"/>
      <c r="I323" s="65"/>
      <c r="J323" s="66"/>
      <c r="K323" s="67" t="s">
        <v>369</v>
      </c>
      <c r="L323" s="64"/>
      <c r="M323" s="64"/>
      <c r="N323" s="64"/>
      <c r="O323" s="64"/>
      <c r="P323" s="64"/>
      <c r="Q323" s="64"/>
      <c r="R323" s="124"/>
      <c r="S323" s="123"/>
      <c r="T323" s="194"/>
      <c r="U323" s="75">
        <v>0</v>
      </c>
      <c r="V323" s="75"/>
      <c r="W323" s="75">
        <v>0</v>
      </c>
      <c r="X323" s="1122">
        <v>0</v>
      </c>
      <c r="Y323" s="75">
        <v>0</v>
      </c>
      <c r="Z323" s="75">
        <v>0</v>
      </c>
      <c r="AA323" s="1122">
        <v>0</v>
      </c>
      <c r="AB323" s="75">
        <v>0</v>
      </c>
      <c r="AC323" s="75">
        <v>0</v>
      </c>
      <c r="AD323" s="1122">
        <v>0</v>
      </c>
      <c r="AE323" s="75">
        <v>0</v>
      </c>
      <c r="AF323" s="75">
        <v>0</v>
      </c>
      <c r="AG323" s="1122">
        <v>0</v>
      </c>
      <c r="AH323" s="505">
        <f t="shared" si="62"/>
        <v>0</v>
      </c>
      <c r="AI323" s="132"/>
      <c r="AJ323" s="75">
        <f t="shared" si="61"/>
        <v>0</v>
      </c>
      <c r="AK323" s="75"/>
      <c r="AL323" s="75"/>
      <c r="AM323" s="75"/>
      <c r="AN323" s="64" t="s">
        <v>39</v>
      </c>
      <c r="AO323" s="64"/>
      <c r="AP323" s="64"/>
      <c r="AQ323" s="189"/>
      <c r="AR323" s="64"/>
      <c r="AS323" s="476"/>
      <c r="AT323" s="64"/>
      <c r="AU323" s="646"/>
      <c r="AV323" s="348"/>
      <c r="AW323" s="335"/>
    </row>
    <row r="324" spans="1:49" ht="31.35" hidden="1" customHeight="1" outlineLevel="4" x14ac:dyDescent="0.25">
      <c r="A324" s="63" t="str">
        <f t="shared" si="46"/>
        <v>1.3.1.9.1.61</v>
      </c>
      <c r="B324" s="64">
        <v>1</v>
      </c>
      <c r="C324" s="64">
        <v>3</v>
      </c>
      <c r="D324" s="64">
        <v>1</v>
      </c>
      <c r="E324" s="64">
        <v>9</v>
      </c>
      <c r="F324" s="64">
        <v>1</v>
      </c>
      <c r="G324" s="64">
        <v>61</v>
      </c>
      <c r="H324" s="65"/>
      <c r="I324" s="65"/>
      <c r="J324" s="66"/>
      <c r="K324" s="67" t="s">
        <v>369</v>
      </c>
      <c r="L324" s="64"/>
      <c r="M324" s="64"/>
      <c r="N324" s="64"/>
      <c r="O324" s="64"/>
      <c r="P324" s="64"/>
      <c r="Q324" s="64"/>
      <c r="R324" s="124"/>
      <c r="S324" s="123"/>
      <c r="T324" s="194"/>
      <c r="U324" s="75">
        <v>0</v>
      </c>
      <c r="V324" s="75"/>
      <c r="W324" s="75">
        <v>0</v>
      </c>
      <c r="X324" s="1122">
        <v>0</v>
      </c>
      <c r="Y324" s="75">
        <v>0</v>
      </c>
      <c r="Z324" s="75">
        <v>0</v>
      </c>
      <c r="AA324" s="1122">
        <v>0</v>
      </c>
      <c r="AB324" s="75">
        <v>0</v>
      </c>
      <c r="AC324" s="75">
        <v>0</v>
      </c>
      <c r="AD324" s="1122">
        <v>0</v>
      </c>
      <c r="AE324" s="75">
        <v>0</v>
      </c>
      <c r="AF324" s="75">
        <v>0</v>
      </c>
      <c r="AG324" s="1122">
        <v>0</v>
      </c>
      <c r="AH324" s="505">
        <f t="shared" si="62"/>
        <v>0</v>
      </c>
      <c r="AI324" s="132"/>
      <c r="AJ324" s="75">
        <f t="shared" si="61"/>
        <v>0</v>
      </c>
      <c r="AK324" s="75"/>
      <c r="AL324" s="75"/>
      <c r="AM324" s="75"/>
      <c r="AN324" s="64" t="s">
        <v>39</v>
      </c>
      <c r="AO324" s="64"/>
      <c r="AP324" s="64"/>
      <c r="AQ324" s="189"/>
      <c r="AR324" s="64"/>
      <c r="AS324" s="476"/>
      <c r="AT324" s="64"/>
      <c r="AU324" s="646"/>
      <c r="AV324" s="348"/>
      <c r="AW324" s="335"/>
    </row>
    <row r="325" spans="1:49" ht="31.35" hidden="1" customHeight="1" outlineLevel="4" x14ac:dyDescent="0.25">
      <c r="A325" s="63" t="str">
        <f t="shared" si="46"/>
        <v>1.3.1.9.1.62</v>
      </c>
      <c r="B325" s="64">
        <v>1</v>
      </c>
      <c r="C325" s="64">
        <v>3</v>
      </c>
      <c r="D325" s="64">
        <v>1</v>
      </c>
      <c r="E325" s="64">
        <v>9</v>
      </c>
      <c r="F325" s="64">
        <v>1</v>
      </c>
      <c r="G325" s="64">
        <v>62</v>
      </c>
      <c r="H325" s="65"/>
      <c r="I325" s="65"/>
      <c r="J325" s="66"/>
      <c r="K325" s="67" t="s">
        <v>369</v>
      </c>
      <c r="L325" s="64"/>
      <c r="M325" s="64"/>
      <c r="N325" s="64"/>
      <c r="O325" s="64"/>
      <c r="P325" s="64"/>
      <c r="Q325" s="64"/>
      <c r="R325" s="124"/>
      <c r="S325" s="123"/>
      <c r="T325" s="194"/>
      <c r="U325" s="75">
        <v>0</v>
      </c>
      <c r="V325" s="75"/>
      <c r="W325" s="75">
        <v>0</v>
      </c>
      <c r="X325" s="1122">
        <v>0</v>
      </c>
      <c r="Y325" s="75">
        <v>0</v>
      </c>
      <c r="Z325" s="75">
        <v>0</v>
      </c>
      <c r="AA325" s="1122">
        <v>0</v>
      </c>
      <c r="AB325" s="75">
        <v>0</v>
      </c>
      <c r="AC325" s="75">
        <v>0</v>
      </c>
      <c r="AD325" s="1122">
        <v>0</v>
      </c>
      <c r="AE325" s="75">
        <v>0</v>
      </c>
      <c r="AF325" s="75">
        <v>0</v>
      </c>
      <c r="AG325" s="1122">
        <v>0</v>
      </c>
      <c r="AH325" s="505">
        <f t="shared" si="62"/>
        <v>0</v>
      </c>
      <c r="AI325" s="132"/>
      <c r="AJ325" s="75">
        <f t="shared" si="61"/>
        <v>0</v>
      </c>
      <c r="AK325" s="75"/>
      <c r="AL325" s="75"/>
      <c r="AM325" s="75"/>
      <c r="AN325" s="64" t="s">
        <v>39</v>
      </c>
      <c r="AO325" s="64"/>
      <c r="AP325" s="64"/>
      <c r="AQ325" s="189"/>
      <c r="AR325" s="64"/>
      <c r="AS325" s="476"/>
      <c r="AT325" s="64"/>
      <c r="AU325" s="646"/>
      <c r="AV325" s="348"/>
      <c r="AW325" s="335"/>
    </row>
    <row r="326" spans="1:49" ht="31.35" hidden="1" customHeight="1" outlineLevel="4" x14ac:dyDescent="0.25">
      <c r="A326" s="63" t="str">
        <f t="shared" si="46"/>
        <v>1.3.1.9.1.63</v>
      </c>
      <c r="B326" s="64">
        <v>1</v>
      </c>
      <c r="C326" s="64">
        <v>3</v>
      </c>
      <c r="D326" s="64">
        <v>1</v>
      </c>
      <c r="E326" s="64">
        <v>9</v>
      </c>
      <c r="F326" s="64">
        <v>1</v>
      </c>
      <c r="G326" s="64">
        <v>63</v>
      </c>
      <c r="H326" s="65"/>
      <c r="I326" s="65"/>
      <c r="J326" s="66"/>
      <c r="K326" s="67" t="s">
        <v>369</v>
      </c>
      <c r="L326" s="64"/>
      <c r="M326" s="64"/>
      <c r="N326" s="64"/>
      <c r="O326" s="64"/>
      <c r="P326" s="64"/>
      <c r="Q326" s="64"/>
      <c r="R326" s="124"/>
      <c r="S326" s="123"/>
      <c r="T326" s="194"/>
      <c r="U326" s="75">
        <v>0</v>
      </c>
      <c r="V326" s="75"/>
      <c r="W326" s="75">
        <v>0</v>
      </c>
      <c r="X326" s="1122">
        <v>0</v>
      </c>
      <c r="Y326" s="75">
        <v>0</v>
      </c>
      <c r="Z326" s="75">
        <v>0</v>
      </c>
      <c r="AA326" s="1122">
        <v>0</v>
      </c>
      <c r="AB326" s="75">
        <v>0</v>
      </c>
      <c r="AC326" s="75">
        <v>0</v>
      </c>
      <c r="AD326" s="1122">
        <v>0</v>
      </c>
      <c r="AE326" s="75">
        <v>0</v>
      </c>
      <c r="AF326" s="75">
        <v>0</v>
      </c>
      <c r="AG326" s="1122">
        <v>0</v>
      </c>
      <c r="AH326" s="505">
        <f t="shared" si="62"/>
        <v>0</v>
      </c>
      <c r="AI326" s="132"/>
      <c r="AJ326" s="75">
        <f t="shared" si="61"/>
        <v>0</v>
      </c>
      <c r="AK326" s="75"/>
      <c r="AL326" s="75"/>
      <c r="AM326" s="75"/>
      <c r="AN326" s="64" t="s">
        <v>39</v>
      </c>
      <c r="AO326" s="64"/>
      <c r="AP326" s="64"/>
      <c r="AQ326" s="189"/>
      <c r="AR326" s="64"/>
      <c r="AS326" s="476"/>
      <c r="AT326" s="64"/>
      <c r="AU326" s="646"/>
      <c r="AV326" s="348"/>
      <c r="AW326" s="335"/>
    </row>
    <row r="327" spans="1:49" ht="31.35" hidden="1" customHeight="1" outlineLevel="4" x14ac:dyDescent="0.25">
      <c r="A327" s="63" t="str">
        <f t="shared" si="46"/>
        <v>1.3.1.9.1.64</v>
      </c>
      <c r="B327" s="64">
        <v>1</v>
      </c>
      <c r="C327" s="64">
        <v>3</v>
      </c>
      <c r="D327" s="64">
        <v>1</v>
      </c>
      <c r="E327" s="64">
        <v>9</v>
      </c>
      <c r="F327" s="64">
        <v>1</v>
      </c>
      <c r="G327" s="64">
        <v>64</v>
      </c>
      <c r="H327" s="65"/>
      <c r="I327" s="65"/>
      <c r="J327" s="66"/>
      <c r="K327" s="67" t="s">
        <v>369</v>
      </c>
      <c r="L327" s="64"/>
      <c r="M327" s="64"/>
      <c r="N327" s="64"/>
      <c r="O327" s="64"/>
      <c r="P327" s="64"/>
      <c r="Q327" s="64"/>
      <c r="R327" s="124"/>
      <c r="S327" s="123"/>
      <c r="T327" s="194"/>
      <c r="U327" s="75">
        <v>0</v>
      </c>
      <c r="V327" s="75"/>
      <c r="W327" s="75">
        <v>0</v>
      </c>
      <c r="X327" s="1122">
        <v>0</v>
      </c>
      <c r="Y327" s="75">
        <v>0</v>
      </c>
      <c r="Z327" s="75">
        <v>0</v>
      </c>
      <c r="AA327" s="1122">
        <v>0</v>
      </c>
      <c r="AB327" s="75">
        <v>0</v>
      </c>
      <c r="AC327" s="75">
        <v>0</v>
      </c>
      <c r="AD327" s="1122">
        <v>0</v>
      </c>
      <c r="AE327" s="75">
        <v>0</v>
      </c>
      <c r="AF327" s="75">
        <v>0</v>
      </c>
      <c r="AG327" s="1122">
        <v>0</v>
      </c>
      <c r="AH327" s="505">
        <f t="shared" si="62"/>
        <v>0</v>
      </c>
      <c r="AI327" s="132"/>
      <c r="AJ327" s="75">
        <f t="shared" si="61"/>
        <v>0</v>
      </c>
      <c r="AK327" s="75"/>
      <c r="AL327" s="75"/>
      <c r="AM327" s="75"/>
      <c r="AN327" s="64" t="s">
        <v>39</v>
      </c>
      <c r="AO327" s="64"/>
      <c r="AP327" s="64"/>
      <c r="AQ327" s="189"/>
      <c r="AR327" s="64"/>
      <c r="AS327" s="476"/>
      <c r="AT327" s="64"/>
      <c r="AU327" s="646"/>
      <c r="AV327" s="348"/>
      <c r="AW327" s="335"/>
    </row>
    <row r="328" spans="1:49" ht="22.35" hidden="1" customHeight="1" outlineLevel="4" x14ac:dyDescent="0.25">
      <c r="A328" s="63" t="str">
        <f t="shared" ref="A328:A525" si="63">CONCATENATE(B328,".",C328,".",D328,".",E328,".",F328,".",G328)</f>
        <v>1.3.1.9.2.58</v>
      </c>
      <c r="B328" s="64">
        <v>1</v>
      </c>
      <c r="C328" s="64">
        <v>3</v>
      </c>
      <c r="D328" s="64">
        <v>1</v>
      </c>
      <c r="E328" s="64">
        <v>9</v>
      </c>
      <c r="F328" s="64">
        <v>2</v>
      </c>
      <c r="G328" s="64">
        <v>58</v>
      </c>
      <c r="H328" s="65"/>
      <c r="I328" s="65"/>
      <c r="J328" s="66"/>
      <c r="K328" s="65" t="s">
        <v>371</v>
      </c>
      <c r="L328" s="64" t="s">
        <v>72</v>
      </c>
      <c r="M328" s="64" t="s">
        <v>73</v>
      </c>
      <c r="N328" s="64" t="s">
        <v>74</v>
      </c>
      <c r="O328" s="64" t="s">
        <v>367</v>
      </c>
      <c r="P328" s="69">
        <v>44930</v>
      </c>
      <c r="Q328" s="69">
        <v>45291</v>
      </c>
      <c r="R328" s="124">
        <v>100</v>
      </c>
      <c r="S328" s="123" t="s">
        <v>372</v>
      </c>
      <c r="T328" s="194">
        <v>100</v>
      </c>
      <c r="U328" s="75">
        <v>0</v>
      </c>
      <c r="V328" s="75"/>
      <c r="W328" s="75">
        <v>0</v>
      </c>
      <c r="X328" s="1122">
        <v>0</v>
      </c>
      <c r="Y328" s="75">
        <v>0</v>
      </c>
      <c r="Z328" s="75">
        <v>0</v>
      </c>
      <c r="AA328" s="1122">
        <v>0</v>
      </c>
      <c r="AB328" s="75">
        <v>0</v>
      </c>
      <c r="AC328" s="75">
        <v>0</v>
      </c>
      <c r="AD328" s="1122">
        <v>0</v>
      </c>
      <c r="AE328" s="75">
        <v>0</v>
      </c>
      <c r="AF328" s="75">
        <v>0</v>
      </c>
      <c r="AG328" s="1122">
        <v>0</v>
      </c>
      <c r="AH328" s="505">
        <f t="shared" si="62"/>
        <v>0</v>
      </c>
      <c r="AI328" s="132"/>
      <c r="AJ328" s="75">
        <f t="shared" si="61"/>
        <v>0</v>
      </c>
      <c r="AK328" s="75"/>
      <c r="AL328" s="75"/>
      <c r="AM328" s="75"/>
      <c r="AN328" s="64" t="s">
        <v>39</v>
      </c>
      <c r="AO328" s="64"/>
      <c r="AP328" s="64"/>
      <c r="AQ328" s="189"/>
      <c r="AR328" s="64"/>
      <c r="AS328" s="476"/>
      <c r="AT328" s="64"/>
      <c r="AU328" s="646"/>
      <c r="AV328" s="352">
        <v>100</v>
      </c>
      <c r="AW328" s="185"/>
    </row>
    <row r="329" spans="1:49" ht="22.35" hidden="1" customHeight="1" outlineLevel="4" x14ac:dyDescent="0.25">
      <c r="A329" s="63" t="str">
        <f t="shared" si="63"/>
        <v>1.3.1.9.2.59</v>
      </c>
      <c r="B329" s="64">
        <v>1</v>
      </c>
      <c r="C329" s="64">
        <v>3</v>
      </c>
      <c r="D329" s="64">
        <v>1</v>
      </c>
      <c r="E329" s="64">
        <v>9</v>
      </c>
      <c r="F329" s="64">
        <v>2</v>
      </c>
      <c r="G329" s="64">
        <v>59</v>
      </c>
      <c r="H329" s="65"/>
      <c r="I329" s="65"/>
      <c r="J329" s="66"/>
      <c r="K329" s="65" t="s">
        <v>371</v>
      </c>
      <c r="L329" s="64"/>
      <c r="M329" s="64"/>
      <c r="N329" s="64"/>
      <c r="O329" s="64"/>
      <c r="P329" s="69">
        <v>44930</v>
      </c>
      <c r="Q329" s="69">
        <v>45291</v>
      </c>
      <c r="R329" s="124"/>
      <c r="S329" s="123"/>
      <c r="T329" s="194"/>
      <c r="U329" s="75">
        <v>0</v>
      </c>
      <c r="V329" s="75"/>
      <c r="W329" s="75">
        <v>0</v>
      </c>
      <c r="X329" s="1122">
        <v>0</v>
      </c>
      <c r="Y329" s="75">
        <v>0</v>
      </c>
      <c r="Z329" s="75">
        <v>0</v>
      </c>
      <c r="AA329" s="1122">
        <v>0</v>
      </c>
      <c r="AB329" s="75">
        <v>0</v>
      </c>
      <c r="AC329" s="75">
        <v>0</v>
      </c>
      <c r="AD329" s="1122">
        <v>0</v>
      </c>
      <c r="AE329" s="75">
        <v>0</v>
      </c>
      <c r="AF329" s="75">
        <v>0</v>
      </c>
      <c r="AG329" s="1122">
        <v>0</v>
      </c>
      <c r="AH329" s="505">
        <f t="shared" si="62"/>
        <v>0</v>
      </c>
      <c r="AI329" s="132"/>
      <c r="AJ329" s="75">
        <f t="shared" si="61"/>
        <v>0</v>
      </c>
      <c r="AK329" s="75"/>
      <c r="AL329" s="75"/>
      <c r="AM329" s="75"/>
      <c r="AN329" s="64" t="s">
        <v>39</v>
      </c>
      <c r="AO329" s="64" t="s">
        <v>1819</v>
      </c>
      <c r="AP329" s="68" t="s">
        <v>2584</v>
      </c>
      <c r="AQ329" s="189" t="s">
        <v>2585</v>
      </c>
      <c r="AR329" s="64"/>
      <c r="AS329" s="476"/>
      <c r="AT329" s="64"/>
      <c r="AU329" s="879" t="s">
        <v>2128</v>
      </c>
      <c r="AV329" s="347"/>
      <c r="AW329" s="185" t="s">
        <v>2129</v>
      </c>
    </row>
    <row r="330" spans="1:49" ht="22.35" hidden="1" customHeight="1" outlineLevel="4" x14ac:dyDescent="0.25">
      <c r="A330" s="63" t="str">
        <f t="shared" si="63"/>
        <v>1.3.1.9.2.60</v>
      </c>
      <c r="B330" s="64">
        <v>1</v>
      </c>
      <c r="C330" s="64">
        <v>3</v>
      </c>
      <c r="D330" s="64">
        <v>1</v>
      </c>
      <c r="E330" s="64">
        <v>9</v>
      </c>
      <c r="F330" s="64">
        <v>2</v>
      </c>
      <c r="G330" s="64">
        <v>60</v>
      </c>
      <c r="H330" s="65"/>
      <c r="I330" s="65"/>
      <c r="J330" s="66"/>
      <c r="K330" s="65" t="s">
        <v>371</v>
      </c>
      <c r="L330" s="64"/>
      <c r="M330" s="64"/>
      <c r="N330" s="64"/>
      <c r="O330" s="64"/>
      <c r="P330" s="69">
        <v>44930</v>
      </c>
      <c r="Q330" s="69">
        <v>45291</v>
      </c>
      <c r="R330" s="124"/>
      <c r="S330" s="123"/>
      <c r="T330" s="194"/>
      <c r="U330" s="75">
        <v>0</v>
      </c>
      <c r="V330" s="75"/>
      <c r="W330" s="75">
        <v>0</v>
      </c>
      <c r="X330" s="1122">
        <v>0</v>
      </c>
      <c r="Y330" s="75">
        <v>0</v>
      </c>
      <c r="Z330" s="75">
        <v>0</v>
      </c>
      <c r="AA330" s="1122">
        <v>0</v>
      </c>
      <c r="AB330" s="75">
        <v>0</v>
      </c>
      <c r="AC330" s="75">
        <v>0</v>
      </c>
      <c r="AD330" s="1122">
        <v>0</v>
      </c>
      <c r="AE330" s="75">
        <v>0</v>
      </c>
      <c r="AF330" s="75">
        <v>0</v>
      </c>
      <c r="AG330" s="1122">
        <v>0</v>
      </c>
      <c r="AH330" s="505">
        <f t="shared" si="62"/>
        <v>0</v>
      </c>
      <c r="AI330" s="132"/>
      <c r="AJ330" s="75">
        <f t="shared" si="61"/>
        <v>0</v>
      </c>
      <c r="AK330" s="75"/>
      <c r="AL330" s="75"/>
      <c r="AM330" s="75"/>
      <c r="AN330" s="64" t="s">
        <v>39</v>
      </c>
      <c r="AO330" s="64"/>
      <c r="AP330" s="64"/>
      <c r="AQ330" s="189"/>
      <c r="AR330" s="64"/>
      <c r="AS330" s="476"/>
      <c r="AT330" s="64"/>
      <c r="AU330" s="646"/>
      <c r="AV330" s="347"/>
      <c r="AW330" s="185"/>
    </row>
    <row r="331" spans="1:49" ht="22.35" hidden="1" customHeight="1" outlineLevel="4" x14ac:dyDescent="0.25">
      <c r="A331" s="63" t="str">
        <f t="shared" si="63"/>
        <v>1.3.1.9.2.61</v>
      </c>
      <c r="B331" s="64">
        <v>1</v>
      </c>
      <c r="C331" s="64">
        <v>3</v>
      </c>
      <c r="D331" s="64">
        <v>1</v>
      </c>
      <c r="E331" s="64">
        <v>9</v>
      </c>
      <c r="F331" s="64">
        <v>2</v>
      </c>
      <c r="G331" s="64">
        <v>61</v>
      </c>
      <c r="H331" s="65"/>
      <c r="I331" s="65"/>
      <c r="J331" s="66"/>
      <c r="K331" s="65" t="s">
        <v>371</v>
      </c>
      <c r="L331" s="64"/>
      <c r="M331" s="64"/>
      <c r="N331" s="64"/>
      <c r="O331" s="64"/>
      <c r="P331" s="69">
        <v>44930</v>
      </c>
      <c r="Q331" s="69">
        <v>45291</v>
      </c>
      <c r="R331" s="124"/>
      <c r="S331" s="123"/>
      <c r="T331" s="194"/>
      <c r="U331" s="75">
        <v>0</v>
      </c>
      <c r="V331" s="75"/>
      <c r="W331" s="75">
        <v>0</v>
      </c>
      <c r="X331" s="1122">
        <v>0</v>
      </c>
      <c r="Y331" s="75">
        <v>0</v>
      </c>
      <c r="Z331" s="75">
        <v>0</v>
      </c>
      <c r="AA331" s="1122">
        <v>0</v>
      </c>
      <c r="AB331" s="75">
        <v>0</v>
      </c>
      <c r="AC331" s="75">
        <v>0</v>
      </c>
      <c r="AD331" s="1122">
        <v>0</v>
      </c>
      <c r="AE331" s="75">
        <v>0</v>
      </c>
      <c r="AF331" s="75">
        <v>0</v>
      </c>
      <c r="AG331" s="1122">
        <v>0</v>
      </c>
      <c r="AH331" s="505">
        <f t="shared" si="62"/>
        <v>0</v>
      </c>
      <c r="AI331" s="132"/>
      <c r="AJ331" s="75">
        <f t="shared" si="61"/>
        <v>0</v>
      </c>
      <c r="AK331" s="75"/>
      <c r="AL331" s="75"/>
      <c r="AM331" s="75"/>
      <c r="AN331" s="64" t="s">
        <v>39</v>
      </c>
      <c r="AO331" s="64"/>
      <c r="AP331" s="64"/>
      <c r="AQ331" s="189"/>
      <c r="AR331" s="64"/>
      <c r="AS331" s="476"/>
      <c r="AT331" s="64"/>
      <c r="AU331" s="646"/>
      <c r="AV331" s="347"/>
      <c r="AW331" s="185"/>
    </row>
    <row r="332" spans="1:49" ht="22.35" hidden="1" customHeight="1" outlineLevel="4" x14ac:dyDescent="0.25">
      <c r="A332" s="63" t="str">
        <f t="shared" si="63"/>
        <v>1.3.1.9.2.62</v>
      </c>
      <c r="B332" s="64">
        <v>1</v>
      </c>
      <c r="C332" s="64">
        <v>3</v>
      </c>
      <c r="D332" s="64">
        <v>1</v>
      </c>
      <c r="E332" s="64">
        <v>9</v>
      </c>
      <c r="F332" s="64">
        <v>2</v>
      </c>
      <c r="G332" s="64">
        <v>62</v>
      </c>
      <c r="H332" s="65"/>
      <c r="I332" s="65"/>
      <c r="J332" s="66"/>
      <c r="K332" s="65" t="s">
        <v>371</v>
      </c>
      <c r="L332" s="64"/>
      <c r="M332" s="64"/>
      <c r="N332" s="64"/>
      <c r="O332" s="64"/>
      <c r="P332" s="69">
        <v>44930</v>
      </c>
      <c r="Q332" s="69">
        <v>45291</v>
      </c>
      <c r="R332" s="124"/>
      <c r="S332" s="123"/>
      <c r="T332" s="194"/>
      <c r="U332" s="75">
        <v>0</v>
      </c>
      <c r="V332" s="75"/>
      <c r="W332" s="75">
        <v>0</v>
      </c>
      <c r="X332" s="1122">
        <v>0</v>
      </c>
      <c r="Y332" s="75">
        <v>0</v>
      </c>
      <c r="Z332" s="75">
        <v>0</v>
      </c>
      <c r="AA332" s="1122">
        <v>0</v>
      </c>
      <c r="AB332" s="75">
        <v>0</v>
      </c>
      <c r="AC332" s="75">
        <v>0</v>
      </c>
      <c r="AD332" s="1122">
        <v>0</v>
      </c>
      <c r="AE332" s="75">
        <v>0</v>
      </c>
      <c r="AF332" s="75">
        <v>0</v>
      </c>
      <c r="AG332" s="1122">
        <v>0</v>
      </c>
      <c r="AH332" s="505">
        <f t="shared" si="62"/>
        <v>0</v>
      </c>
      <c r="AI332" s="132"/>
      <c r="AJ332" s="75">
        <f t="shared" si="61"/>
        <v>0</v>
      </c>
      <c r="AK332" s="75"/>
      <c r="AL332" s="75"/>
      <c r="AM332" s="75"/>
      <c r="AN332" s="64" t="s">
        <v>39</v>
      </c>
      <c r="AO332" s="64"/>
      <c r="AP332" s="64"/>
      <c r="AQ332" s="189"/>
      <c r="AR332" s="64"/>
      <c r="AS332" s="476"/>
      <c r="AT332" s="64"/>
      <c r="AU332" s="646"/>
      <c r="AV332" s="347"/>
      <c r="AW332" s="185"/>
    </row>
    <row r="333" spans="1:49" ht="22.35" hidden="1" customHeight="1" outlineLevel="4" x14ac:dyDescent="0.25">
      <c r="A333" s="63" t="str">
        <f t="shared" si="63"/>
        <v>1.3.1.9.2.63</v>
      </c>
      <c r="B333" s="64">
        <v>1</v>
      </c>
      <c r="C333" s="64">
        <v>3</v>
      </c>
      <c r="D333" s="64">
        <v>1</v>
      </c>
      <c r="E333" s="64">
        <v>9</v>
      </c>
      <c r="F333" s="64">
        <v>2</v>
      </c>
      <c r="G333" s="64">
        <v>63</v>
      </c>
      <c r="H333" s="65"/>
      <c r="I333" s="65"/>
      <c r="J333" s="66"/>
      <c r="K333" s="65" t="s">
        <v>371</v>
      </c>
      <c r="L333" s="64"/>
      <c r="M333" s="64"/>
      <c r="N333" s="64"/>
      <c r="O333" s="64"/>
      <c r="P333" s="69">
        <v>44930</v>
      </c>
      <c r="Q333" s="69">
        <v>45291</v>
      </c>
      <c r="R333" s="124"/>
      <c r="S333" s="123"/>
      <c r="T333" s="194"/>
      <c r="U333" s="75">
        <v>0</v>
      </c>
      <c r="V333" s="75"/>
      <c r="W333" s="75">
        <v>0</v>
      </c>
      <c r="X333" s="1122">
        <v>0</v>
      </c>
      <c r="Y333" s="75">
        <v>0</v>
      </c>
      <c r="Z333" s="75">
        <v>0</v>
      </c>
      <c r="AA333" s="1122">
        <v>0</v>
      </c>
      <c r="AB333" s="75">
        <v>0</v>
      </c>
      <c r="AC333" s="75">
        <v>0</v>
      </c>
      <c r="AD333" s="1122">
        <v>0</v>
      </c>
      <c r="AE333" s="75">
        <v>0</v>
      </c>
      <c r="AF333" s="75">
        <v>0</v>
      </c>
      <c r="AG333" s="1122">
        <v>0</v>
      </c>
      <c r="AH333" s="505">
        <f t="shared" si="62"/>
        <v>0</v>
      </c>
      <c r="AI333" s="132"/>
      <c r="AJ333" s="75">
        <f t="shared" si="61"/>
        <v>0</v>
      </c>
      <c r="AK333" s="75"/>
      <c r="AL333" s="75"/>
      <c r="AM333" s="75"/>
      <c r="AN333" s="64" t="s">
        <v>39</v>
      </c>
      <c r="AO333" s="64"/>
      <c r="AP333" s="64"/>
      <c r="AQ333" s="189"/>
      <c r="AR333" s="64"/>
      <c r="AS333" s="476"/>
      <c r="AT333" s="64"/>
      <c r="AU333" s="646"/>
      <c r="AV333" s="347"/>
      <c r="AW333" s="185"/>
    </row>
    <row r="334" spans="1:49" ht="22.35" hidden="1" customHeight="1" outlineLevel="4" x14ac:dyDescent="0.25">
      <c r="A334" s="63" t="str">
        <f t="shared" si="63"/>
        <v>1.3.1.9.2.64</v>
      </c>
      <c r="B334" s="64">
        <v>1</v>
      </c>
      <c r="C334" s="64">
        <v>3</v>
      </c>
      <c r="D334" s="64">
        <v>1</v>
      </c>
      <c r="E334" s="64">
        <v>9</v>
      </c>
      <c r="F334" s="64">
        <v>2</v>
      </c>
      <c r="G334" s="64">
        <v>64</v>
      </c>
      <c r="H334" s="65"/>
      <c r="I334" s="65"/>
      <c r="J334" s="66"/>
      <c r="K334" s="65" t="s">
        <v>371</v>
      </c>
      <c r="L334" s="64"/>
      <c r="M334" s="64"/>
      <c r="N334" s="64"/>
      <c r="O334" s="64"/>
      <c r="P334" s="69">
        <v>44930</v>
      </c>
      <c r="Q334" s="69">
        <v>45291</v>
      </c>
      <c r="R334" s="124"/>
      <c r="S334" s="123"/>
      <c r="T334" s="194"/>
      <c r="U334" s="75">
        <v>0</v>
      </c>
      <c r="V334" s="75"/>
      <c r="W334" s="75">
        <v>0</v>
      </c>
      <c r="X334" s="1122">
        <v>0</v>
      </c>
      <c r="Y334" s="75">
        <v>0</v>
      </c>
      <c r="Z334" s="75">
        <v>0</v>
      </c>
      <c r="AA334" s="1122">
        <v>0</v>
      </c>
      <c r="AB334" s="75">
        <v>0</v>
      </c>
      <c r="AC334" s="75">
        <v>0</v>
      </c>
      <c r="AD334" s="1122">
        <v>0</v>
      </c>
      <c r="AE334" s="75">
        <v>0</v>
      </c>
      <c r="AF334" s="75">
        <v>0</v>
      </c>
      <c r="AG334" s="1122">
        <v>0</v>
      </c>
      <c r="AH334" s="505">
        <f t="shared" si="62"/>
        <v>0</v>
      </c>
      <c r="AI334" s="132"/>
      <c r="AJ334" s="75">
        <f t="shared" si="61"/>
        <v>0</v>
      </c>
      <c r="AK334" s="75"/>
      <c r="AL334" s="75"/>
      <c r="AM334" s="75"/>
      <c r="AN334" s="64" t="s">
        <v>39</v>
      </c>
      <c r="AO334" s="64"/>
      <c r="AP334" s="64"/>
      <c r="AQ334" s="189"/>
      <c r="AR334" s="64"/>
      <c r="AS334" s="476"/>
      <c r="AT334" s="64"/>
      <c r="AU334" s="646"/>
      <c r="AV334" s="347"/>
      <c r="AW334" s="185"/>
    </row>
    <row r="335" spans="1:49" ht="22.35" hidden="1" customHeight="1" outlineLevel="4" x14ac:dyDescent="0.25">
      <c r="A335" s="63" t="str">
        <f t="shared" si="63"/>
        <v>1.3.1.9.3.58</v>
      </c>
      <c r="B335" s="64">
        <v>1</v>
      </c>
      <c r="C335" s="64">
        <v>3</v>
      </c>
      <c r="D335" s="64">
        <v>1</v>
      </c>
      <c r="E335" s="64">
        <v>9</v>
      </c>
      <c r="F335" s="64">
        <v>3</v>
      </c>
      <c r="G335" s="64">
        <v>58</v>
      </c>
      <c r="H335" s="65"/>
      <c r="I335" s="65"/>
      <c r="J335" s="66"/>
      <c r="K335" s="125" t="s">
        <v>373</v>
      </c>
      <c r="L335" s="64" t="s">
        <v>72</v>
      </c>
      <c r="M335" s="64" t="s">
        <v>73</v>
      </c>
      <c r="N335" s="64" t="s">
        <v>74</v>
      </c>
      <c r="O335" s="64" t="s">
        <v>367</v>
      </c>
      <c r="P335" s="64"/>
      <c r="Q335" s="64"/>
      <c r="R335" s="124"/>
      <c r="S335" s="123"/>
      <c r="T335" s="194"/>
      <c r="U335" s="75">
        <v>0</v>
      </c>
      <c r="V335" s="75"/>
      <c r="W335" s="75">
        <v>0</v>
      </c>
      <c r="X335" s="1122">
        <v>0</v>
      </c>
      <c r="Y335" s="75">
        <v>0</v>
      </c>
      <c r="Z335" s="75">
        <v>0</v>
      </c>
      <c r="AA335" s="1122">
        <v>0</v>
      </c>
      <c r="AB335" s="75">
        <v>0</v>
      </c>
      <c r="AC335" s="75">
        <v>0</v>
      </c>
      <c r="AD335" s="1122">
        <v>0</v>
      </c>
      <c r="AE335" s="75">
        <v>0</v>
      </c>
      <c r="AF335" s="75">
        <v>0</v>
      </c>
      <c r="AG335" s="1122">
        <v>0</v>
      </c>
      <c r="AH335" s="505">
        <f t="shared" si="62"/>
        <v>0</v>
      </c>
      <c r="AI335" s="132"/>
      <c r="AJ335" s="75">
        <f t="shared" si="61"/>
        <v>0</v>
      </c>
      <c r="AK335" s="75"/>
      <c r="AL335" s="75"/>
      <c r="AM335" s="75"/>
      <c r="AN335" s="64" t="s">
        <v>39</v>
      </c>
      <c r="AO335" s="64"/>
      <c r="AP335" s="64"/>
      <c r="AQ335" s="189"/>
      <c r="AR335" s="64"/>
      <c r="AS335" s="476"/>
      <c r="AT335" s="64"/>
      <c r="AU335" s="646"/>
      <c r="AV335" s="347"/>
      <c r="AW335" s="185"/>
    </row>
    <row r="336" spans="1:49" ht="22.35" hidden="1" customHeight="1" outlineLevel="4" x14ac:dyDescent="0.25">
      <c r="A336" s="63" t="str">
        <f t="shared" si="63"/>
        <v>1.3.1.9.3.59</v>
      </c>
      <c r="B336" s="64">
        <v>1</v>
      </c>
      <c r="C336" s="64">
        <v>3</v>
      </c>
      <c r="D336" s="64">
        <v>1</v>
      </c>
      <c r="E336" s="64">
        <v>9</v>
      </c>
      <c r="F336" s="64">
        <v>3</v>
      </c>
      <c r="G336" s="64">
        <v>59</v>
      </c>
      <c r="H336" s="65"/>
      <c r="I336" s="65"/>
      <c r="J336" s="66"/>
      <c r="K336" s="125" t="s">
        <v>373</v>
      </c>
      <c r="L336" s="64"/>
      <c r="M336" s="64"/>
      <c r="N336" s="64"/>
      <c r="O336" s="64"/>
      <c r="P336" s="64"/>
      <c r="Q336" s="64"/>
      <c r="R336" s="124"/>
      <c r="S336" s="123"/>
      <c r="T336" s="194"/>
      <c r="U336" s="75">
        <v>0</v>
      </c>
      <c r="V336" s="75"/>
      <c r="W336" s="75">
        <v>0</v>
      </c>
      <c r="X336" s="1122">
        <v>0</v>
      </c>
      <c r="Y336" s="75">
        <v>0</v>
      </c>
      <c r="Z336" s="75">
        <v>0</v>
      </c>
      <c r="AA336" s="1122">
        <v>0</v>
      </c>
      <c r="AB336" s="75">
        <v>0</v>
      </c>
      <c r="AC336" s="75">
        <v>0</v>
      </c>
      <c r="AD336" s="1122">
        <v>0</v>
      </c>
      <c r="AE336" s="75">
        <v>0</v>
      </c>
      <c r="AF336" s="75">
        <v>0</v>
      </c>
      <c r="AG336" s="1122">
        <v>0</v>
      </c>
      <c r="AH336" s="505">
        <f t="shared" si="62"/>
        <v>0</v>
      </c>
      <c r="AI336" s="132"/>
      <c r="AJ336" s="75">
        <f t="shared" si="61"/>
        <v>0</v>
      </c>
      <c r="AK336" s="75"/>
      <c r="AL336" s="75"/>
      <c r="AM336" s="75"/>
      <c r="AN336" s="64" t="s">
        <v>39</v>
      </c>
      <c r="AO336" s="64"/>
      <c r="AP336" s="64"/>
      <c r="AQ336" s="189"/>
      <c r="AR336" s="64"/>
      <c r="AS336" s="476"/>
      <c r="AT336" s="64"/>
      <c r="AU336" s="646"/>
      <c r="AV336" s="347"/>
      <c r="AW336" s="185"/>
    </row>
    <row r="337" spans="1:50" ht="22.35" hidden="1" customHeight="1" outlineLevel="4" x14ac:dyDescent="0.25">
      <c r="A337" s="63" t="str">
        <f t="shared" si="63"/>
        <v>1.3.1.9.3.60</v>
      </c>
      <c r="B337" s="64">
        <v>1</v>
      </c>
      <c r="C337" s="64">
        <v>3</v>
      </c>
      <c r="D337" s="64">
        <v>1</v>
      </c>
      <c r="E337" s="64">
        <v>9</v>
      </c>
      <c r="F337" s="64">
        <v>3</v>
      </c>
      <c r="G337" s="64">
        <v>60</v>
      </c>
      <c r="H337" s="65"/>
      <c r="I337" s="65"/>
      <c r="J337" s="66"/>
      <c r="K337" s="125" t="s">
        <v>373</v>
      </c>
      <c r="L337" s="64"/>
      <c r="M337" s="64"/>
      <c r="N337" s="64"/>
      <c r="O337" s="64"/>
      <c r="P337" s="64"/>
      <c r="Q337" s="64"/>
      <c r="R337" s="124"/>
      <c r="S337" s="123"/>
      <c r="T337" s="194"/>
      <c r="U337" s="75">
        <v>0</v>
      </c>
      <c r="V337" s="75"/>
      <c r="W337" s="75">
        <v>0</v>
      </c>
      <c r="X337" s="1122">
        <v>0</v>
      </c>
      <c r="Y337" s="75">
        <v>0</v>
      </c>
      <c r="Z337" s="75">
        <v>0</v>
      </c>
      <c r="AA337" s="1122">
        <v>0</v>
      </c>
      <c r="AB337" s="75">
        <v>0</v>
      </c>
      <c r="AC337" s="75">
        <v>0</v>
      </c>
      <c r="AD337" s="1122">
        <v>0</v>
      </c>
      <c r="AE337" s="75">
        <v>0</v>
      </c>
      <c r="AF337" s="75">
        <v>0</v>
      </c>
      <c r="AG337" s="1122">
        <v>0</v>
      </c>
      <c r="AH337" s="505">
        <f t="shared" si="62"/>
        <v>0</v>
      </c>
      <c r="AI337" s="132"/>
      <c r="AJ337" s="75">
        <f t="shared" si="61"/>
        <v>0</v>
      </c>
      <c r="AK337" s="75"/>
      <c r="AL337" s="75"/>
      <c r="AM337" s="75"/>
      <c r="AN337" s="64" t="s">
        <v>39</v>
      </c>
      <c r="AO337" s="64"/>
      <c r="AP337" s="64"/>
      <c r="AQ337" s="189"/>
      <c r="AR337" s="64"/>
      <c r="AS337" s="476"/>
      <c r="AT337" s="64"/>
      <c r="AU337" s="646"/>
      <c r="AV337" s="347"/>
      <c r="AW337" s="185"/>
    </row>
    <row r="338" spans="1:50" ht="22.35" hidden="1" customHeight="1" outlineLevel="4" x14ac:dyDescent="0.25">
      <c r="A338" s="63" t="str">
        <f t="shared" si="63"/>
        <v>1.3.1.9.3.61</v>
      </c>
      <c r="B338" s="64">
        <v>1</v>
      </c>
      <c r="C338" s="64">
        <v>3</v>
      </c>
      <c r="D338" s="64">
        <v>1</v>
      </c>
      <c r="E338" s="64">
        <v>9</v>
      </c>
      <c r="F338" s="64">
        <v>3</v>
      </c>
      <c r="G338" s="64">
        <v>61</v>
      </c>
      <c r="H338" s="65"/>
      <c r="I338" s="65"/>
      <c r="J338" s="66"/>
      <c r="K338" s="125" t="s">
        <v>373</v>
      </c>
      <c r="L338" s="64"/>
      <c r="M338" s="64"/>
      <c r="N338" s="64"/>
      <c r="O338" s="64"/>
      <c r="P338" s="64"/>
      <c r="Q338" s="64"/>
      <c r="R338" s="124"/>
      <c r="S338" s="123"/>
      <c r="T338" s="194"/>
      <c r="U338" s="75">
        <v>0</v>
      </c>
      <c r="V338" s="75"/>
      <c r="W338" s="75">
        <v>0</v>
      </c>
      <c r="X338" s="1122">
        <v>0</v>
      </c>
      <c r="Y338" s="75">
        <v>0</v>
      </c>
      <c r="Z338" s="75">
        <v>0</v>
      </c>
      <c r="AA338" s="1122">
        <v>0</v>
      </c>
      <c r="AB338" s="75">
        <v>0</v>
      </c>
      <c r="AC338" s="75">
        <v>0</v>
      </c>
      <c r="AD338" s="1122">
        <v>0</v>
      </c>
      <c r="AE338" s="75">
        <v>0</v>
      </c>
      <c r="AF338" s="75">
        <v>0</v>
      </c>
      <c r="AG338" s="1122">
        <v>0</v>
      </c>
      <c r="AH338" s="505">
        <f t="shared" si="62"/>
        <v>0</v>
      </c>
      <c r="AI338" s="132"/>
      <c r="AJ338" s="75">
        <f t="shared" si="61"/>
        <v>0</v>
      </c>
      <c r="AK338" s="75"/>
      <c r="AL338" s="75"/>
      <c r="AM338" s="75"/>
      <c r="AN338" s="64" t="s">
        <v>39</v>
      </c>
      <c r="AO338" s="64"/>
      <c r="AP338" s="64"/>
      <c r="AQ338" s="189"/>
      <c r="AR338" s="64"/>
      <c r="AS338" s="476"/>
      <c r="AT338" s="64"/>
      <c r="AU338" s="646"/>
      <c r="AV338" s="347"/>
      <c r="AW338" s="185"/>
    </row>
    <row r="339" spans="1:50" ht="22.35" hidden="1" customHeight="1" outlineLevel="4" x14ac:dyDescent="0.25">
      <c r="A339" s="63" t="str">
        <f t="shared" si="63"/>
        <v>1.3.1.9.3.62</v>
      </c>
      <c r="B339" s="64">
        <v>1</v>
      </c>
      <c r="C339" s="64">
        <v>3</v>
      </c>
      <c r="D339" s="64">
        <v>1</v>
      </c>
      <c r="E339" s="64">
        <v>9</v>
      </c>
      <c r="F339" s="64">
        <v>3</v>
      </c>
      <c r="G339" s="64">
        <v>62</v>
      </c>
      <c r="H339" s="65"/>
      <c r="I339" s="65"/>
      <c r="J339" s="66"/>
      <c r="K339" s="125" t="s">
        <v>373</v>
      </c>
      <c r="L339" s="64"/>
      <c r="M339" s="64"/>
      <c r="N339" s="64"/>
      <c r="O339" s="64"/>
      <c r="P339" s="64"/>
      <c r="Q339" s="64"/>
      <c r="R339" s="124"/>
      <c r="S339" s="123"/>
      <c r="T339" s="194"/>
      <c r="U339" s="75">
        <v>0</v>
      </c>
      <c r="V339" s="75"/>
      <c r="W339" s="75">
        <v>0</v>
      </c>
      <c r="X339" s="1122">
        <v>0</v>
      </c>
      <c r="Y339" s="75">
        <v>0</v>
      </c>
      <c r="Z339" s="75">
        <v>0</v>
      </c>
      <c r="AA339" s="1122">
        <v>0</v>
      </c>
      <c r="AB339" s="75">
        <v>0</v>
      </c>
      <c r="AC339" s="75">
        <v>0</v>
      </c>
      <c r="AD339" s="1122">
        <v>0</v>
      </c>
      <c r="AE339" s="75">
        <v>0</v>
      </c>
      <c r="AF339" s="75">
        <v>0</v>
      </c>
      <c r="AG339" s="1122">
        <v>0</v>
      </c>
      <c r="AH339" s="505">
        <f t="shared" si="62"/>
        <v>0</v>
      </c>
      <c r="AI339" s="132"/>
      <c r="AJ339" s="75">
        <f t="shared" si="61"/>
        <v>0</v>
      </c>
      <c r="AK339" s="75"/>
      <c r="AL339" s="75"/>
      <c r="AM339" s="75"/>
      <c r="AN339" s="64" t="s">
        <v>39</v>
      </c>
      <c r="AO339" s="64"/>
      <c r="AP339" s="64"/>
      <c r="AQ339" s="189"/>
      <c r="AR339" s="64"/>
      <c r="AS339" s="476"/>
      <c r="AT339" s="64"/>
      <c r="AU339" s="646"/>
      <c r="AV339" s="347"/>
      <c r="AW339" s="185"/>
    </row>
    <row r="340" spans="1:50" ht="22.35" hidden="1" customHeight="1" outlineLevel="4" x14ac:dyDescent="0.25">
      <c r="A340" s="63" t="str">
        <f t="shared" si="63"/>
        <v>1.3.1.9.3.63</v>
      </c>
      <c r="B340" s="64">
        <v>1</v>
      </c>
      <c r="C340" s="64">
        <v>3</v>
      </c>
      <c r="D340" s="64">
        <v>1</v>
      </c>
      <c r="E340" s="64">
        <v>9</v>
      </c>
      <c r="F340" s="64">
        <v>3</v>
      </c>
      <c r="G340" s="64">
        <v>63</v>
      </c>
      <c r="H340" s="65"/>
      <c r="I340" s="65"/>
      <c r="J340" s="66"/>
      <c r="K340" s="125" t="s">
        <v>373</v>
      </c>
      <c r="L340" s="64"/>
      <c r="M340" s="64"/>
      <c r="N340" s="64"/>
      <c r="O340" s="64"/>
      <c r="P340" s="64"/>
      <c r="Q340" s="64"/>
      <c r="R340" s="124"/>
      <c r="S340" s="123"/>
      <c r="T340" s="194"/>
      <c r="U340" s="75">
        <v>0</v>
      </c>
      <c r="V340" s="75"/>
      <c r="W340" s="75">
        <v>0</v>
      </c>
      <c r="X340" s="1122">
        <v>0</v>
      </c>
      <c r="Y340" s="75">
        <v>0</v>
      </c>
      <c r="Z340" s="75">
        <v>0</v>
      </c>
      <c r="AA340" s="1122">
        <v>0</v>
      </c>
      <c r="AB340" s="75">
        <v>0</v>
      </c>
      <c r="AC340" s="75">
        <v>0</v>
      </c>
      <c r="AD340" s="1122">
        <v>0</v>
      </c>
      <c r="AE340" s="75">
        <v>0</v>
      </c>
      <c r="AF340" s="75">
        <v>0</v>
      </c>
      <c r="AG340" s="1122">
        <v>0</v>
      </c>
      <c r="AH340" s="505">
        <f t="shared" si="62"/>
        <v>0</v>
      </c>
      <c r="AI340" s="132"/>
      <c r="AJ340" s="75">
        <f t="shared" si="61"/>
        <v>0</v>
      </c>
      <c r="AK340" s="75"/>
      <c r="AL340" s="75"/>
      <c r="AM340" s="75"/>
      <c r="AN340" s="64" t="s">
        <v>39</v>
      </c>
      <c r="AO340" s="64"/>
      <c r="AP340" s="64"/>
      <c r="AQ340" s="189"/>
      <c r="AR340" s="64"/>
      <c r="AS340" s="476"/>
      <c r="AT340" s="64"/>
      <c r="AU340" s="646"/>
      <c r="AV340" s="347"/>
      <c r="AW340" s="185"/>
    </row>
    <row r="341" spans="1:50" ht="22.35" hidden="1" customHeight="1" outlineLevel="4" x14ac:dyDescent="0.25">
      <c r="A341" s="63" t="str">
        <f t="shared" si="63"/>
        <v>1.3.1.9.3.64</v>
      </c>
      <c r="B341" s="64">
        <v>1</v>
      </c>
      <c r="C341" s="64">
        <v>3</v>
      </c>
      <c r="D341" s="64">
        <v>1</v>
      </c>
      <c r="E341" s="64">
        <v>9</v>
      </c>
      <c r="F341" s="64">
        <v>3</v>
      </c>
      <c r="G341" s="64">
        <v>64</v>
      </c>
      <c r="H341" s="65"/>
      <c r="I341" s="65"/>
      <c r="J341" s="66"/>
      <c r="K341" s="125" t="s">
        <v>373</v>
      </c>
      <c r="L341" s="64"/>
      <c r="M341" s="64"/>
      <c r="N341" s="64"/>
      <c r="O341" s="64"/>
      <c r="P341" s="64"/>
      <c r="Q341" s="64"/>
      <c r="R341" s="124"/>
      <c r="S341" s="123"/>
      <c r="T341" s="194"/>
      <c r="U341" s="75">
        <v>0</v>
      </c>
      <c r="V341" s="75"/>
      <c r="W341" s="75">
        <v>0</v>
      </c>
      <c r="X341" s="1122">
        <v>0</v>
      </c>
      <c r="Y341" s="75">
        <v>0</v>
      </c>
      <c r="Z341" s="75">
        <v>0</v>
      </c>
      <c r="AA341" s="1122">
        <v>0</v>
      </c>
      <c r="AB341" s="75">
        <v>0</v>
      </c>
      <c r="AC341" s="75">
        <v>0</v>
      </c>
      <c r="AD341" s="1122">
        <v>0</v>
      </c>
      <c r="AE341" s="75">
        <v>0</v>
      </c>
      <c r="AF341" s="75">
        <v>0</v>
      </c>
      <c r="AG341" s="1122">
        <v>0</v>
      </c>
      <c r="AH341" s="505">
        <f t="shared" si="62"/>
        <v>0</v>
      </c>
      <c r="AI341" s="132"/>
      <c r="AJ341" s="75">
        <f t="shared" si="61"/>
        <v>0</v>
      </c>
      <c r="AK341" s="75"/>
      <c r="AL341" s="75"/>
      <c r="AM341" s="75"/>
      <c r="AN341" s="64" t="s">
        <v>39</v>
      </c>
      <c r="AO341" s="64"/>
      <c r="AP341" s="64"/>
      <c r="AQ341" s="189"/>
      <c r="AR341" s="64"/>
      <c r="AS341" s="476"/>
      <c r="AT341" s="64"/>
      <c r="AU341" s="646"/>
      <c r="AV341" s="347"/>
      <c r="AW341" s="185"/>
    </row>
    <row r="342" spans="1:50" ht="22.35" hidden="1" customHeight="1" outlineLevel="4" x14ac:dyDescent="0.25">
      <c r="A342" s="63" t="str">
        <f t="shared" si="63"/>
        <v>1.3.1.9.4.58</v>
      </c>
      <c r="B342" s="64">
        <v>1</v>
      </c>
      <c r="C342" s="64">
        <v>3</v>
      </c>
      <c r="D342" s="64">
        <v>1</v>
      </c>
      <c r="E342" s="64">
        <v>9</v>
      </c>
      <c r="F342" s="64">
        <v>4</v>
      </c>
      <c r="G342" s="64">
        <v>58</v>
      </c>
      <c r="H342" s="65"/>
      <c r="I342" s="65"/>
      <c r="J342" s="66"/>
      <c r="K342" s="125" t="s">
        <v>374</v>
      </c>
      <c r="L342" s="64" t="s">
        <v>72</v>
      </c>
      <c r="M342" s="64" t="s">
        <v>73</v>
      </c>
      <c r="N342" s="64" t="s">
        <v>74</v>
      </c>
      <c r="O342" s="64" t="s">
        <v>367</v>
      </c>
      <c r="P342" s="64"/>
      <c r="Q342" s="64"/>
      <c r="R342" s="124"/>
      <c r="S342" s="123"/>
      <c r="T342" s="194"/>
      <c r="U342" s="75">
        <v>0</v>
      </c>
      <c r="V342" s="75"/>
      <c r="W342" s="75">
        <v>0</v>
      </c>
      <c r="X342" s="1122">
        <v>0</v>
      </c>
      <c r="Y342" s="75">
        <v>0</v>
      </c>
      <c r="Z342" s="75">
        <v>0</v>
      </c>
      <c r="AA342" s="1122">
        <v>0</v>
      </c>
      <c r="AB342" s="75">
        <v>0</v>
      </c>
      <c r="AC342" s="75">
        <v>0</v>
      </c>
      <c r="AD342" s="1122">
        <v>0</v>
      </c>
      <c r="AE342" s="75">
        <v>0</v>
      </c>
      <c r="AF342" s="75">
        <v>0</v>
      </c>
      <c r="AG342" s="1122">
        <v>0</v>
      </c>
      <c r="AH342" s="505">
        <f t="shared" si="62"/>
        <v>0</v>
      </c>
      <c r="AI342" s="132"/>
      <c r="AJ342" s="75">
        <f t="shared" si="61"/>
        <v>0</v>
      </c>
      <c r="AK342" s="75"/>
      <c r="AL342" s="75"/>
      <c r="AM342" s="75"/>
      <c r="AN342" s="64" t="s">
        <v>39</v>
      </c>
      <c r="AO342" s="64"/>
      <c r="AP342" s="64"/>
      <c r="AQ342" s="189"/>
      <c r="AR342" s="64"/>
      <c r="AS342" s="476"/>
      <c r="AT342" s="64"/>
      <c r="AU342" s="646"/>
      <c r="AV342" s="347"/>
      <c r="AW342" s="185"/>
    </row>
    <row r="343" spans="1:50" ht="22.35" hidden="1" customHeight="1" outlineLevel="4" x14ac:dyDescent="0.25">
      <c r="A343" s="63" t="str">
        <f t="shared" si="63"/>
        <v>1.3.1.9.4.59</v>
      </c>
      <c r="B343" s="64">
        <v>1</v>
      </c>
      <c r="C343" s="64">
        <v>3</v>
      </c>
      <c r="D343" s="64">
        <v>1</v>
      </c>
      <c r="E343" s="64">
        <v>9</v>
      </c>
      <c r="F343" s="64">
        <v>4</v>
      </c>
      <c r="G343" s="64">
        <v>59</v>
      </c>
      <c r="H343" s="65"/>
      <c r="I343" s="65"/>
      <c r="J343" s="66"/>
      <c r="K343" s="125" t="s">
        <v>375</v>
      </c>
      <c r="L343" s="64"/>
      <c r="M343" s="64"/>
      <c r="N343" s="64"/>
      <c r="O343" s="64"/>
      <c r="P343" s="64"/>
      <c r="Q343" s="64"/>
      <c r="R343" s="124"/>
      <c r="S343" s="123"/>
      <c r="T343" s="194"/>
      <c r="U343" s="75">
        <v>0</v>
      </c>
      <c r="V343" s="75"/>
      <c r="W343" s="75">
        <v>0</v>
      </c>
      <c r="X343" s="1122">
        <v>0</v>
      </c>
      <c r="Y343" s="75">
        <v>0</v>
      </c>
      <c r="Z343" s="75">
        <v>0</v>
      </c>
      <c r="AA343" s="1122">
        <v>0</v>
      </c>
      <c r="AB343" s="75">
        <v>0</v>
      </c>
      <c r="AC343" s="75">
        <v>0</v>
      </c>
      <c r="AD343" s="1122">
        <v>0</v>
      </c>
      <c r="AE343" s="75">
        <v>0</v>
      </c>
      <c r="AF343" s="75">
        <v>0</v>
      </c>
      <c r="AG343" s="1122">
        <v>0</v>
      </c>
      <c r="AH343" s="505">
        <f t="shared" si="62"/>
        <v>0</v>
      </c>
      <c r="AI343" s="132"/>
      <c r="AJ343" s="75">
        <f t="shared" si="61"/>
        <v>0</v>
      </c>
      <c r="AK343" s="75"/>
      <c r="AL343" s="75"/>
      <c r="AM343" s="75"/>
      <c r="AN343" s="64" t="s">
        <v>39</v>
      </c>
      <c r="AO343" s="64"/>
      <c r="AP343" s="64"/>
      <c r="AQ343" s="189"/>
      <c r="AR343" s="64"/>
      <c r="AS343" s="476"/>
      <c r="AT343" s="64"/>
      <c r="AU343" s="646"/>
      <c r="AV343" s="347"/>
      <c r="AW343" s="185"/>
    </row>
    <row r="344" spans="1:50" ht="22.35" hidden="1" customHeight="1" outlineLevel="4" x14ac:dyDescent="0.25">
      <c r="A344" s="63" t="str">
        <f t="shared" si="63"/>
        <v>1.3.1.9.4.60</v>
      </c>
      <c r="B344" s="64">
        <v>1</v>
      </c>
      <c r="C344" s="64">
        <v>3</v>
      </c>
      <c r="D344" s="64">
        <v>1</v>
      </c>
      <c r="E344" s="64">
        <v>9</v>
      </c>
      <c r="F344" s="64">
        <v>4</v>
      </c>
      <c r="G344" s="64">
        <v>60</v>
      </c>
      <c r="H344" s="65"/>
      <c r="I344" s="65"/>
      <c r="J344" s="66"/>
      <c r="K344" s="125" t="s">
        <v>376</v>
      </c>
      <c r="L344" s="64"/>
      <c r="M344" s="64"/>
      <c r="N344" s="64"/>
      <c r="O344" s="64"/>
      <c r="P344" s="64"/>
      <c r="Q344" s="64"/>
      <c r="R344" s="124"/>
      <c r="S344" s="123"/>
      <c r="T344" s="194"/>
      <c r="U344" s="75">
        <v>0</v>
      </c>
      <c r="V344" s="75"/>
      <c r="W344" s="75">
        <v>0</v>
      </c>
      <c r="X344" s="1122">
        <v>0</v>
      </c>
      <c r="Y344" s="75">
        <v>0</v>
      </c>
      <c r="Z344" s="75">
        <v>0</v>
      </c>
      <c r="AA344" s="1122">
        <v>0</v>
      </c>
      <c r="AB344" s="75">
        <v>0</v>
      </c>
      <c r="AC344" s="75">
        <v>0</v>
      </c>
      <c r="AD344" s="1122">
        <v>0</v>
      </c>
      <c r="AE344" s="75">
        <v>0</v>
      </c>
      <c r="AF344" s="75">
        <v>0</v>
      </c>
      <c r="AG344" s="1122">
        <v>0</v>
      </c>
      <c r="AH344" s="505">
        <f t="shared" si="62"/>
        <v>0</v>
      </c>
      <c r="AI344" s="132"/>
      <c r="AJ344" s="75">
        <f t="shared" si="61"/>
        <v>0</v>
      </c>
      <c r="AK344" s="75"/>
      <c r="AL344" s="75"/>
      <c r="AM344" s="75"/>
      <c r="AN344" s="64" t="s">
        <v>39</v>
      </c>
      <c r="AO344" s="64"/>
      <c r="AP344" s="64"/>
      <c r="AQ344" s="189"/>
      <c r="AR344" s="64"/>
      <c r="AS344" s="476"/>
      <c r="AT344" s="64"/>
      <c r="AU344" s="646"/>
      <c r="AV344" s="347"/>
      <c r="AW344" s="185"/>
    </row>
    <row r="345" spans="1:50" ht="22.35" hidden="1" customHeight="1" outlineLevel="4" x14ac:dyDescent="0.25">
      <c r="A345" s="63" t="str">
        <f t="shared" si="63"/>
        <v>1.3.1.9.4.61</v>
      </c>
      <c r="B345" s="64">
        <v>1</v>
      </c>
      <c r="C345" s="64">
        <v>3</v>
      </c>
      <c r="D345" s="64">
        <v>1</v>
      </c>
      <c r="E345" s="64">
        <v>9</v>
      </c>
      <c r="F345" s="64">
        <v>4</v>
      </c>
      <c r="G345" s="64">
        <v>61</v>
      </c>
      <c r="H345" s="65"/>
      <c r="I345" s="65"/>
      <c r="J345" s="66"/>
      <c r="K345" s="125" t="s">
        <v>377</v>
      </c>
      <c r="L345" s="64"/>
      <c r="M345" s="64"/>
      <c r="N345" s="64"/>
      <c r="O345" s="64"/>
      <c r="P345" s="64"/>
      <c r="Q345" s="64"/>
      <c r="R345" s="124"/>
      <c r="S345" s="123"/>
      <c r="T345" s="194"/>
      <c r="U345" s="75">
        <v>0</v>
      </c>
      <c r="V345" s="75"/>
      <c r="W345" s="75">
        <v>0</v>
      </c>
      <c r="X345" s="1122">
        <v>0</v>
      </c>
      <c r="Y345" s="75">
        <v>0</v>
      </c>
      <c r="Z345" s="75">
        <v>0</v>
      </c>
      <c r="AA345" s="1122">
        <v>0</v>
      </c>
      <c r="AB345" s="75">
        <v>0</v>
      </c>
      <c r="AC345" s="75">
        <v>0</v>
      </c>
      <c r="AD345" s="1122">
        <v>0</v>
      </c>
      <c r="AE345" s="75">
        <v>0</v>
      </c>
      <c r="AF345" s="75">
        <v>0</v>
      </c>
      <c r="AG345" s="1122">
        <v>0</v>
      </c>
      <c r="AH345" s="505">
        <f t="shared" si="62"/>
        <v>0</v>
      </c>
      <c r="AI345" s="132"/>
      <c r="AJ345" s="75">
        <f t="shared" si="61"/>
        <v>0</v>
      </c>
      <c r="AK345" s="75"/>
      <c r="AL345" s="75"/>
      <c r="AM345" s="75"/>
      <c r="AN345" s="64" t="s">
        <v>39</v>
      </c>
      <c r="AO345" s="64"/>
      <c r="AP345" s="64"/>
      <c r="AQ345" s="189"/>
      <c r="AR345" s="64"/>
      <c r="AS345" s="476"/>
      <c r="AT345" s="64"/>
      <c r="AU345" s="646"/>
      <c r="AV345" s="347"/>
      <c r="AW345" s="185"/>
    </row>
    <row r="346" spans="1:50" ht="22.35" hidden="1" customHeight="1" outlineLevel="4" x14ac:dyDescent="0.25">
      <c r="A346" s="63" t="str">
        <f t="shared" si="63"/>
        <v>1.3.1.9.4.62</v>
      </c>
      <c r="B346" s="64">
        <v>1</v>
      </c>
      <c r="C346" s="64">
        <v>3</v>
      </c>
      <c r="D346" s="64">
        <v>1</v>
      </c>
      <c r="E346" s="64">
        <v>9</v>
      </c>
      <c r="F346" s="64">
        <v>4</v>
      </c>
      <c r="G346" s="64">
        <v>62</v>
      </c>
      <c r="H346" s="65"/>
      <c r="I346" s="65"/>
      <c r="J346" s="66"/>
      <c r="K346" s="125" t="s">
        <v>1724</v>
      </c>
      <c r="L346" s="64"/>
      <c r="M346" s="64"/>
      <c r="N346" s="64"/>
      <c r="O346" s="64"/>
      <c r="P346" s="64"/>
      <c r="Q346" s="64"/>
      <c r="R346" s="124"/>
      <c r="S346" s="123"/>
      <c r="T346" s="194"/>
      <c r="U346" s="75">
        <v>0</v>
      </c>
      <c r="V346" s="75"/>
      <c r="W346" s="75">
        <v>0</v>
      </c>
      <c r="X346" s="1122">
        <v>0</v>
      </c>
      <c r="Y346" s="75">
        <v>0</v>
      </c>
      <c r="Z346" s="75">
        <v>0</v>
      </c>
      <c r="AA346" s="1122">
        <v>0</v>
      </c>
      <c r="AB346" s="75">
        <v>0</v>
      </c>
      <c r="AC346" s="75">
        <v>0</v>
      </c>
      <c r="AD346" s="1122">
        <v>0</v>
      </c>
      <c r="AE346" s="75">
        <v>0</v>
      </c>
      <c r="AF346" s="75">
        <v>0</v>
      </c>
      <c r="AG346" s="1122">
        <v>0</v>
      </c>
      <c r="AH346" s="505">
        <f t="shared" si="62"/>
        <v>0</v>
      </c>
      <c r="AI346" s="132"/>
      <c r="AJ346" s="75">
        <f t="shared" si="61"/>
        <v>0</v>
      </c>
      <c r="AK346" s="75"/>
      <c r="AL346" s="75"/>
      <c r="AM346" s="75"/>
      <c r="AN346" s="64" t="s">
        <v>39</v>
      </c>
      <c r="AO346" s="64"/>
      <c r="AP346" s="64"/>
      <c r="AQ346" s="189"/>
      <c r="AR346" s="64"/>
      <c r="AS346" s="476"/>
      <c r="AT346" s="64"/>
      <c r="AU346" s="646"/>
      <c r="AV346" s="347"/>
      <c r="AW346" s="185"/>
    </row>
    <row r="347" spans="1:50" ht="22.35" hidden="1" customHeight="1" outlineLevel="4" x14ac:dyDescent="0.25">
      <c r="A347" s="63" t="str">
        <f t="shared" si="63"/>
        <v>1.3.1.9.4.63</v>
      </c>
      <c r="B347" s="64">
        <v>1</v>
      </c>
      <c r="C347" s="64">
        <v>3</v>
      </c>
      <c r="D347" s="64">
        <v>1</v>
      </c>
      <c r="E347" s="64">
        <v>9</v>
      </c>
      <c r="F347" s="64">
        <v>4</v>
      </c>
      <c r="G347" s="64">
        <v>63</v>
      </c>
      <c r="H347" s="65"/>
      <c r="I347" s="65"/>
      <c r="J347" s="66"/>
      <c r="K347" s="125" t="s">
        <v>378</v>
      </c>
      <c r="L347" s="64"/>
      <c r="M347" s="64"/>
      <c r="N347" s="64"/>
      <c r="O347" s="64"/>
      <c r="P347" s="64"/>
      <c r="Q347" s="64"/>
      <c r="R347" s="124"/>
      <c r="S347" s="123"/>
      <c r="T347" s="194"/>
      <c r="U347" s="75">
        <v>0</v>
      </c>
      <c r="V347" s="75"/>
      <c r="W347" s="75">
        <v>0</v>
      </c>
      <c r="X347" s="1122">
        <v>0</v>
      </c>
      <c r="Y347" s="75">
        <v>0</v>
      </c>
      <c r="Z347" s="75">
        <v>0</v>
      </c>
      <c r="AA347" s="1122">
        <v>0</v>
      </c>
      <c r="AB347" s="75">
        <v>0</v>
      </c>
      <c r="AC347" s="75">
        <v>0</v>
      </c>
      <c r="AD347" s="1122">
        <v>0</v>
      </c>
      <c r="AE347" s="75">
        <v>0</v>
      </c>
      <c r="AF347" s="75">
        <v>0</v>
      </c>
      <c r="AG347" s="1122">
        <v>0</v>
      </c>
      <c r="AH347" s="505">
        <f t="shared" si="62"/>
        <v>0</v>
      </c>
      <c r="AI347" s="132"/>
      <c r="AJ347" s="75">
        <f t="shared" si="61"/>
        <v>0</v>
      </c>
      <c r="AK347" s="75"/>
      <c r="AL347" s="75"/>
      <c r="AM347" s="75"/>
      <c r="AN347" s="64" t="s">
        <v>39</v>
      </c>
      <c r="AO347" s="64"/>
      <c r="AP347" s="64"/>
      <c r="AQ347" s="189"/>
      <c r="AR347" s="64"/>
      <c r="AS347" s="476"/>
      <c r="AT347" s="64"/>
      <c r="AU347" s="646"/>
      <c r="AV347" s="347"/>
      <c r="AW347" s="185"/>
    </row>
    <row r="348" spans="1:50" ht="22.35" hidden="1" customHeight="1" outlineLevel="4" x14ac:dyDescent="0.25">
      <c r="A348" s="63" t="str">
        <f t="shared" si="63"/>
        <v>1.3.1.9.4.64</v>
      </c>
      <c r="B348" s="64">
        <v>1</v>
      </c>
      <c r="C348" s="64">
        <v>3</v>
      </c>
      <c r="D348" s="64">
        <v>1</v>
      </c>
      <c r="E348" s="64">
        <v>9</v>
      </c>
      <c r="F348" s="64">
        <v>4</v>
      </c>
      <c r="G348" s="64">
        <v>64</v>
      </c>
      <c r="H348" s="65"/>
      <c r="I348" s="65"/>
      <c r="J348" s="66"/>
      <c r="K348" s="125" t="s">
        <v>379</v>
      </c>
      <c r="L348" s="64"/>
      <c r="M348" s="64"/>
      <c r="N348" s="64"/>
      <c r="O348" s="64"/>
      <c r="P348" s="64"/>
      <c r="Q348" s="64"/>
      <c r="R348" s="124"/>
      <c r="S348" s="123"/>
      <c r="T348" s="194"/>
      <c r="U348" s="75">
        <v>0</v>
      </c>
      <c r="V348" s="75"/>
      <c r="W348" s="75">
        <v>0</v>
      </c>
      <c r="X348" s="1122">
        <v>0</v>
      </c>
      <c r="Y348" s="75">
        <v>0</v>
      </c>
      <c r="Z348" s="75">
        <v>0</v>
      </c>
      <c r="AA348" s="1122">
        <v>0</v>
      </c>
      <c r="AB348" s="75">
        <v>0</v>
      </c>
      <c r="AC348" s="75">
        <v>0</v>
      </c>
      <c r="AD348" s="1122">
        <v>0</v>
      </c>
      <c r="AE348" s="75">
        <v>0</v>
      </c>
      <c r="AF348" s="75">
        <v>0</v>
      </c>
      <c r="AG348" s="1122">
        <v>0</v>
      </c>
      <c r="AH348" s="505">
        <f t="shared" si="62"/>
        <v>0</v>
      </c>
      <c r="AI348" s="132"/>
      <c r="AJ348" s="75">
        <f t="shared" si="61"/>
        <v>0</v>
      </c>
      <c r="AK348" s="75"/>
      <c r="AL348" s="75"/>
      <c r="AM348" s="75"/>
      <c r="AN348" s="64" t="s">
        <v>39</v>
      </c>
      <c r="AO348" s="64"/>
      <c r="AP348" s="64"/>
      <c r="AQ348" s="189"/>
      <c r="AR348" s="64"/>
      <c r="AS348" s="476"/>
      <c r="AT348" s="64"/>
      <c r="AU348" s="646"/>
      <c r="AV348" s="347"/>
      <c r="AW348" s="185"/>
    </row>
    <row r="349" spans="1:50" ht="22.35" hidden="1" customHeight="1" outlineLevel="4" x14ac:dyDescent="0.25">
      <c r="A349" s="63" t="str">
        <f t="shared" si="63"/>
        <v>1.3.1.9.5.58</v>
      </c>
      <c r="B349" s="64">
        <v>1</v>
      </c>
      <c r="C349" s="64">
        <v>3</v>
      </c>
      <c r="D349" s="64">
        <v>1</v>
      </c>
      <c r="E349" s="64">
        <v>9</v>
      </c>
      <c r="F349" s="64">
        <v>5</v>
      </c>
      <c r="G349" s="64">
        <v>58</v>
      </c>
      <c r="H349" s="65"/>
      <c r="I349" s="65"/>
      <c r="J349" s="66"/>
      <c r="K349" s="65" t="s">
        <v>380</v>
      </c>
      <c r="L349" s="64" t="s">
        <v>341</v>
      </c>
      <c r="M349" s="100" t="s">
        <v>381</v>
      </c>
      <c r="N349" s="64" t="s">
        <v>265</v>
      </c>
      <c r="O349" s="64" t="s">
        <v>367</v>
      </c>
      <c r="P349" s="69">
        <v>45200</v>
      </c>
      <c r="Q349" s="69">
        <v>44835</v>
      </c>
      <c r="R349" s="124">
        <v>325000</v>
      </c>
      <c r="S349" s="123" t="s">
        <v>383</v>
      </c>
      <c r="T349" s="194">
        <v>325000</v>
      </c>
      <c r="U349" s="75">
        <v>0</v>
      </c>
      <c r="V349" s="75"/>
      <c r="W349" s="75">
        <v>0</v>
      </c>
      <c r="X349" s="1122">
        <v>0</v>
      </c>
      <c r="Y349" s="75">
        <v>0</v>
      </c>
      <c r="Z349" s="75">
        <v>0</v>
      </c>
      <c r="AA349" s="1122">
        <v>0</v>
      </c>
      <c r="AB349" s="75">
        <v>0</v>
      </c>
      <c r="AC349" s="75">
        <v>0</v>
      </c>
      <c r="AD349" s="1122">
        <v>0</v>
      </c>
      <c r="AE349" s="75">
        <v>0</v>
      </c>
      <c r="AF349" s="75">
        <v>0</v>
      </c>
      <c r="AG349" s="1122">
        <v>0</v>
      </c>
      <c r="AH349" s="505">
        <f t="shared" si="62"/>
        <v>0</v>
      </c>
      <c r="AI349" s="132"/>
      <c r="AJ349" s="75">
        <f t="shared" si="61"/>
        <v>0</v>
      </c>
      <c r="AK349" s="75"/>
      <c r="AL349" s="75"/>
      <c r="AM349" s="75"/>
      <c r="AN349" s="64" t="s">
        <v>39</v>
      </c>
      <c r="AO349" s="165" t="s">
        <v>144</v>
      </c>
      <c r="AP349" s="165"/>
      <c r="AQ349" s="413"/>
      <c r="AR349" s="69">
        <v>44562</v>
      </c>
      <c r="AS349" s="562">
        <v>44835</v>
      </c>
      <c r="AT349" s="64" t="s">
        <v>1814</v>
      </c>
      <c r="AU349" s="879">
        <v>974</v>
      </c>
      <c r="AV349" s="347" t="s">
        <v>384</v>
      </c>
      <c r="AW349" s="1274" t="s">
        <v>2033</v>
      </c>
      <c r="AX349" s="2" t="s">
        <v>386</v>
      </c>
    </row>
    <row r="350" spans="1:50" ht="22.35" hidden="1" customHeight="1" outlineLevel="4" x14ac:dyDescent="0.25">
      <c r="A350" s="63" t="str">
        <f t="shared" si="63"/>
        <v>1.3.1.9.5.59</v>
      </c>
      <c r="B350" s="64">
        <v>1</v>
      </c>
      <c r="C350" s="64">
        <v>3</v>
      </c>
      <c r="D350" s="64">
        <v>1</v>
      </c>
      <c r="E350" s="64">
        <v>9</v>
      </c>
      <c r="F350" s="64">
        <v>5</v>
      </c>
      <c r="G350" s="64">
        <v>59</v>
      </c>
      <c r="H350" s="65"/>
      <c r="I350" s="65"/>
      <c r="J350" s="66"/>
      <c r="K350" s="65" t="s">
        <v>387</v>
      </c>
      <c r="L350" s="64" t="s">
        <v>341</v>
      </c>
      <c r="M350" s="100" t="s">
        <v>381</v>
      </c>
      <c r="N350" s="64" t="s">
        <v>265</v>
      </c>
      <c r="O350" s="64" t="s">
        <v>367</v>
      </c>
      <c r="P350" s="69"/>
      <c r="Q350" s="69"/>
      <c r="R350" s="124"/>
      <c r="S350" s="123"/>
      <c r="T350" s="194"/>
      <c r="U350" s="75">
        <v>0</v>
      </c>
      <c r="V350" s="75"/>
      <c r="W350" s="75">
        <v>0</v>
      </c>
      <c r="X350" s="1122">
        <v>0</v>
      </c>
      <c r="Y350" s="75">
        <v>0</v>
      </c>
      <c r="Z350" s="75">
        <v>0</v>
      </c>
      <c r="AA350" s="1122">
        <v>0</v>
      </c>
      <c r="AB350" s="75">
        <v>0</v>
      </c>
      <c r="AC350" s="75">
        <v>0</v>
      </c>
      <c r="AD350" s="1122">
        <v>0</v>
      </c>
      <c r="AE350" s="75">
        <v>0</v>
      </c>
      <c r="AF350" s="75">
        <v>0</v>
      </c>
      <c r="AG350" s="1122">
        <v>0</v>
      </c>
      <c r="AH350" s="505">
        <f t="shared" si="62"/>
        <v>0</v>
      </c>
      <c r="AI350" s="132"/>
      <c r="AJ350" s="75">
        <f t="shared" si="61"/>
        <v>0</v>
      </c>
      <c r="AK350" s="75"/>
      <c r="AL350" s="75"/>
      <c r="AM350" s="75"/>
      <c r="AN350" s="64" t="s">
        <v>39</v>
      </c>
      <c r="AO350" s="165" t="s">
        <v>144</v>
      </c>
      <c r="AP350" s="165"/>
      <c r="AQ350" s="413"/>
      <c r="AR350" s="69">
        <v>44562</v>
      </c>
      <c r="AS350" s="562">
        <v>44835</v>
      </c>
      <c r="AT350" s="64" t="s">
        <v>1814</v>
      </c>
      <c r="AU350" s="879" t="s">
        <v>2182</v>
      </c>
      <c r="AV350" s="347"/>
      <c r="AW350" s="1274"/>
      <c r="AX350" s="2" t="s">
        <v>388</v>
      </c>
    </row>
    <row r="351" spans="1:50" ht="22.35" hidden="1" customHeight="1" outlineLevel="4" x14ac:dyDescent="0.25">
      <c r="A351" s="63" t="str">
        <f t="shared" si="63"/>
        <v>1.3.1.9.5.60</v>
      </c>
      <c r="B351" s="64">
        <v>1</v>
      </c>
      <c r="C351" s="64">
        <v>3</v>
      </c>
      <c r="D351" s="64">
        <v>1</v>
      </c>
      <c r="E351" s="64">
        <v>9</v>
      </c>
      <c r="F351" s="64">
        <v>5</v>
      </c>
      <c r="G351" s="64">
        <v>60</v>
      </c>
      <c r="H351" s="65"/>
      <c r="I351" s="65"/>
      <c r="J351" s="66"/>
      <c r="K351" s="125" t="s">
        <v>389</v>
      </c>
      <c r="L351" s="64" t="s">
        <v>341</v>
      </c>
      <c r="M351" s="100" t="s">
        <v>381</v>
      </c>
      <c r="N351" s="64" t="s">
        <v>265</v>
      </c>
      <c r="O351" s="64" t="s">
        <v>367</v>
      </c>
      <c r="P351" s="69"/>
      <c r="Q351" s="69"/>
      <c r="R351" s="124"/>
      <c r="S351" s="123"/>
      <c r="T351" s="194"/>
      <c r="U351" s="75">
        <v>0</v>
      </c>
      <c r="V351" s="75"/>
      <c r="W351" s="75">
        <v>0</v>
      </c>
      <c r="X351" s="1122">
        <v>0</v>
      </c>
      <c r="Y351" s="75">
        <v>0</v>
      </c>
      <c r="Z351" s="75">
        <v>0</v>
      </c>
      <c r="AA351" s="1122">
        <v>0</v>
      </c>
      <c r="AB351" s="75">
        <v>0</v>
      </c>
      <c r="AC351" s="75">
        <v>0</v>
      </c>
      <c r="AD351" s="1122">
        <v>0</v>
      </c>
      <c r="AE351" s="75">
        <v>0</v>
      </c>
      <c r="AF351" s="75">
        <v>0</v>
      </c>
      <c r="AG351" s="1122">
        <v>0</v>
      </c>
      <c r="AH351" s="505">
        <f t="shared" si="62"/>
        <v>0</v>
      </c>
      <c r="AI351" s="132"/>
      <c r="AJ351" s="75">
        <f t="shared" si="61"/>
        <v>0</v>
      </c>
      <c r="AK351" s="75"/>
      <c r="AL351" s="75"/>
      <c r="AM351" s="75"/>
      <c r="AN351" s="64" t="s">
        <v>39</v>
      </c>
      <c r="AO351" s="165" t="s">
        <v>144</v>
      </c>
      <c r="AP351" s="165"/>
      <c r="AQ351" s="413"/>
      <c r="AR351" s="69">
        <v>44562</v>
      </c>
      <c r="AS351" s="562">
        <v>44835</v>
      </c>
      <c r="AT351" s="64" t="s">
        <v>1814</v>
      </c>
      <c r="AU351" s="646"/>
      <c r="AV351" s="347"/>
      <c r="AW351" s="1274"/>
    </row>
    <row r="352" spans="1:50" ht="22.35" hidden="1" customHeight="1" outlineLevel="4" x14ac:dyDescent="0.25">
      <c r="A352" s="63" t="str">
        <f t="shared" si="63"/>
        <v>1.3.1.9.5.61</v>
      </c>
      <c r="B352" s="64">
        <v>1</v>
      </c>
      <c r="C352" s="64">
        <v>3</v>
      </c>
      <c r="D352" s="64">
        <v>1</v>
      </c>
      <c r="E352" s="64">
        <v>9</v>
      </c>
      <c r="F352" s="64">
        <v>5</v>
      </c>
      <c r="G352" s="64">
        <v>61</v>
      </c>
      <c r="H352" s="65"/>
      <c r="I352" s="65"/>
      <c r="J352" s="66"/>
      <c r="K352" s="125" t="s">
        <v>390</v>
      </c>
      <c r="L352" s="64" t="s">
        <v>341</v>
      </c>
      <c r="M352" s="100" t="s">
        <v>381</v>
      </c>
      <c r="N352" s="64" t="s">
        <v>265</v>
      </c>
      <c r="O352" s="64" t="s">
        <v>367</v>
      </c>
      <c r="P352" s="69"/>
      <c r="Q352" s="69"/>
      <c r="R352" s="124"/>
      <c r="S352" s="123"/>
      <c r="T352" s="194"/>
      <c r="U352" s="75">
        <v>0</v>
      </c>
      <c r="V352" s="75"/>
      <c r="W352" s="75">
        <v>0</v>
      </c>
      <c r="X352" s="1122">
        <v>0</v>
      </c>
      <c r="Y352" s="75">
        <v>0</v>
      </c>
      <c r="Z352" s="75">
        <v>0</v>
      </c>
      <c r="AA352" s="1122">
        <v>0</v>
      </c>
      <c r="AB352" s="75">
        <v>0</v>
      </c>
      <c r="AC352" s="75">
        <v>0</v>
      </c>
      <c r="AD352" s="1122">
        <v>0</v>
      </c>
      <c r="AE352" s="75">
        <v>0</v>
      </c>
      <c r="AF352" s="75">
        <v>0</v>
      </c>
      <c r="AG352" s="1122">
        <v>0</v>
      </c>
      <c r="AH352" s="505">
        <f t="shared" si="62"/>
        <v>0</v>
      </c>
      <c r="AI352" s="132"/>
      <c r="AJ352" s="75">
        <f t="shared" si="61"/>
        <v>0</v>
      </c>
      <c r="AK352" s="75"/>
      <c r="AL352" s="75"/>
      <c r="AM352" s="75"/>
      <c r="AN352" s="64" t="s">
        <v>39</v>
      </c>
      <c r="AO352" s="165" t="s">
        <v>144</v>
      </c>
      <c r="AP352" s="165"/>
      <c r="AQ352" s="413"/>
      <c r="AR352" s="69">
        <v>44562</v>
      </c>
      <c r="AS352" s="562">
        <v>44835</v>
      </c>
      <c r="AT352" s="64" t="s">
        <v>1814</v>
      </c>
      <c r="AU352" s="879" t="s">
        <v>2181</v>
      </c>
      <c r="AV352" s="347"/>
      <c r="AW352" s="1274"/>
    </row>
    <row r="353" spans="1:50" ht="22.35" hidden="1" customHeight="1" outlineLevel="4" x14ac:dyDescent="0.25">
      <c r="A353" s="63" t="str">
        <f t="shared" si="63"/>
        <v>1.3.1.9.5.62</v>
      </c>
      <c r="B353" s="64">
        <v>1</v>
      </c>
      <c r="C353" s="64">
        <v>3</v>
      </c>
      <c r="D353" s="64">
        <v>1</v>
      </c>
      <c r="E353" s="64">
        <v>9</v>
      </c>
      <c r="F353" s="64">
        <v>5</v>
      </c>
      <c r="G353" s="64">
        <v>62</v>
      </c>
      <c r="H353" s="65"/>
      <c r="I353" s="65"/>
      <c r="J353" s="66"/>
      <c r="K353" s="125" t="s">
        <v>1725</v>
      </c>
      <c r="L353" s="64" t="s">
        <v>341</v>
      </c>
      <c r="M353" s="100" t="s">
        <v>381</v>
      </c>
      <c r="N353" s="64" t="s">
        <v>265</v>
      </c>
      <c r="O353" s="64" t="s">
        <v>367</v>
      </c>
      <c r="P353" s="69"/>
      <c r="Q353" s="69"/>
      <c r="R353" s="124"/>
      <c r="S353" s="123"/>
      <c r="T353" s="194"/>
      <c r="U353" s="75">
        <v>0</v>
      </c>
      <c r="V353" s="75"/>
      <c r="W353" s="75">
        <v>0</v>
      </c>
      <c r="X353" s="1122">
        <v>0</v>
      </c>
      <c r="Y353" s="75">
        <v>0</v>
      </c>
      <c r="Z353" s="75">
        <v>0</v>
      </c>
      <c r="AA353" s="1122">
        <v>0</v>
      </c>
      <c r="AB353" s="75">
        <v>0</v>
      </c>
      <c r="AC353" s="75">
        <v>0</v>
      </c>
      <c r="AD353" s="1122">
        <v>0</v>
      </c>
      <c r="AE353" s="75">
        <v>0</v>
      </c>
      <c r="AF353" s="75">
        <v>0</v>
      </c>
      <c r="AG353" s="1122">
        <v>0</v>
      </c>
      <c r="AH353" s="505">
        <f t="shared" si="62"/>
        <v>0</v>
      </c>
      <c r="AI353" s="132"/>
      <c r="AJ353" s="75">
        <f t="shared" si="61"/>
        <v>0</v>
      </c>
      <c r="AK353" s="75"/>
      <c r="AL353" s="75"/>
      <c r="AM353" s="75"/>
      <c r="AN353" s="64" t="s">
        <v>39</v>
      </c>
      <c r="AO353" s="165" t="s">
        <v>144</v>
      </c>
      <c r="AP353" s="165"/>
      <c r="AQ353" s="413"/>
      <c r="AR353" s="69">
        <v>44562</v>
      </c>
      <c r="AS353" s="562">
        <v>44835</v>
      </c>
      <c r="AT353" s="64" t="s">
        <v>1814</v>
      </c>
      <c r="AU353" s="879" t="s">
        <v>2180</v>
      </c>
      <c r="AV353" s="347"/>
      <c r="AW353" s="1274"/>
    </row>
    <row r="354" spans="1:50" ht="22.35" hidden="1" customHeight="1" outlineLevel="4" x14ac:dyDescent="0.25">
      <c r="A354" s="63" t="str">
        <f t="shared" si="63"/>
        <v>1.3.1.9.5.63</v>
      </c>
      <c r="B354" s="64">
        <v>1</v>
      </c>
      <c r="C354" s="64">
        <v>3</v>
      </c>
      <c r="D354" s="64">
        <v>1</v>
      </c>
      <c r="E354" s="64">
        <v>9</v>
      </c>
      <c r="F354" s="64">
        <v>5</v>
      </c>
      <c r="G354" s="64">
        <v>63</v>
      </c>
      <c r="H354" s="65"/>
      <c r="I354" s="65"/>
      <c r="J354" s="66"/>
      <c r="K354" s="125" t="s">
        <v>391</v>
      </c>
      <c r="L354" s="64" t="s">
        <v>341</v>
      </c>
      <c r="M354" s="100" t="s">
        <v>381</v>
      </c>
      <c r="N354" s="64" t="s">
        <v>265</v>
      </c>
      <c r="O354" s="64" t="s">
        <v>367</v>
      </c>
      <c r="P354" s="69"/>
      <c r="Q354" s="69"/>
      <c r="R354" s="124"/>
      <c r="S354" s="123"/>
      <c r="T354" s="194"/>
      <c r="U354" s="75">
        <v>0</v>
      </c>
      <c r="V354" s="75"/>
      <c r="W354" s="75">
        <v>0</v>
      </c>
      <c r="X354" s="1122">
        <v>0</v>
      </c>
      <c r="Y354" s="75">
        <v>0</v>
      </c>
      <c r="Z354" s="75">
        <v>0</v>
      </c>
      <c r="AA354" s="1122">
        <v>0</v>
      </c>
      <c r="AB354" s="75">
        <v>0</v>
      </c>
      <c r="AC354" s="75">
        <v>0</v>
      </c>
      <c r="AD354" s="1122">
        <v>0</v>
      </c>
      <c r="AE354" s="75">
        <v>0</v>
      </c>
      <c r="AF354" s="75">
        <v>0</v>
      </c>
      <c r="AG354" s="1122">
        <v>0</v>
      </c>
      <c r="AH354" s="505">
        <f t="shared" si="62"/>
        <v>0</v>
      </c>
      <c r="AI354" s="132"/>
      <c r="AJ354" s="75">
        <f t="shared" si="61"/>
        <v>0</v>
      </c>
      <c r="AK354" s="75"/>
      <c r="AL354" s="75"/>
      <c r="AM354" s="75"/>
      <c r="AN354" s="64" t="s">
        <v>39</v>
      </c>
      <c r="AO354" s="165" t="s">
        <v>144</v>
      </c>
      <c r="AP354" s="165"/>
      <c r="AQ354" s="413"/>
      <c r="AR354" s="69">
        <v>44562</v>
      </c>
      <c r="AS354" s="562">
        <v>44835</v>
      </c>
      <c r="AT354" s="64" t="s">
        <v>1814</v>
      </c>
      <c r="AU354" s="646"/>
      <c r="AV354" s="347"/>
      <c r="AW354" s="1274"/>
    </row>
    <row r="355" spans="1:50" ht="31.35" hidden="1" customHeight="1" outlineLevel="4" x14ac:dyDescent="0.25">
      <c r="A355" s="63" t="str">
        <f t="shared" si="63"/>
        <v>1.3.1.9.5.64</v>
      </c>
      <c r="B355" s="64">
        <v>1</v>
      </c>
      <c r="C355" s="64">
        <v>3</v>
      </c>
      <c r="D355" s="64">
        <v>1</v>
      </c>
      <c r="E355" s="64">
        <v>9</v>
      </c>
      <c r="F355" s="64">
        <v>5</v>
      </c>
      <c r="G355" s="64">
        <v>64</v>
      </c>
      <c r="H355" s="65"/>
      <c r="I355" s="65"/>
      <c r="J355" s="66"/>
      <c r="K355" s="125" t="s">
        <v>392</v>
      </c>
      <c r="L355" s="64" t="s">
        <v>341</v>
      </c>
      <c r="M355" s="100" t="s">
        <v>381</v>
      </c>
      <c r="N355" s="64" t="s">
        <v>265</v>
      </c>
      <c r="O355" s="64" t="s">
        <v>367</v>
      </c>
      <c r="P355" s="69"/>
      <c r="Q355" s="69"/>
      <c r="R355" s="124"/>
      <c r="S355" s="123"/>
      <c r="T355" s="194"/>
      <c r="U355" s="75">
        <v>0</v>
      </c>
      <c r="V355" s="75"/>
      <c r="W355" s="75">
        <v>0</v>
      </c>
      <c r="X355" s="1122">
        <v>0</v>
      </c>
      <c r="Y355" s="75">
        <v>0</v>
      </c>
      <c r="Z355" s="75">
        <v>0</v>
      </c>
      <c r="AA355" s="1122">
        <v>0</v>
      </c>
      <c r="AB355" s="75">
        <v>0</v>
      </c>
      <c r="AC355" s="75">
        <v>0</v>
      </c>
      <c r="AD355" s="1122">
        <v>0</v>
      </c>
      <c r="AE355" s="75">
        <v>0</v>
      </c>
      <c r="AF355" s="75">
        <v>0</v>
      </c>
      <c r="AG355" s="1122">
        <v>0</v>
      </c>
      <c r="AH355" s="505">
        <f t="shared" si="62"/>
        <v>0</v>
      </c>
      <c r="AI355" s="132"/>
      <c r="AJ355" s="75">
        <f t="shared" si="61"/>
        <v>0</v>
      </c>
      <c r="AK355" s="75"/>
      <c r="AL355" s="75"/>
      <c r="AM355" s="75"/>
      <c r="AN355" s="64" t="s">
        <v>39</v>
      </c>
      <c r="AO355" s="165" t="s">
        <v>144</v>
      </c>
      <c r="AP355" s="165"/>
      <c r="AQ355" s="413"/>
      <c r="AR355" s="69">
        <v>44562</v>
      </c>
      <c r="AS355" s="562">
        <v>44835</v>
      </c>
      <c r="AT355" s="64" t="s">
        <v>1814</v>
      </c>
      <c r="AU355" s="879">
        <v>998</v>
      </c>
      <c r="AV355" s="347"/>
      <c r="AW355" s="1274"/>
    </row>
    <row r="356" spans="1:50" ht="40.35" hidden="1" customHeight="1" outlineLevel="4" x14ac:dyDescent="0.25">
      <c r="A356" s="63" t="str">
        <f t="shared" si="63"/>
        <v>1.3.1.9.6.58</v>
      </c>
      <c r="B356" s="64">
        <v>1</v>
      </c>
      <c r="C356" s="64">
        <v>3</v>
      </c>
      <c r="D356" s="64">
        <v>1</v>
      </c>
      <c r="E356" s="64">
        <v>9</v>
      </c>
      <c r="F356" s="64">
        <v>6</v>
      </c>
      <c r="G356" s="64">
        <v>58</v>
      </c>
      <c r="H356" s="65"/>
      <c r="I356" s="65"/>
      <c r="J356" s="66"/>
      <c r="K356" s="103" t="s">
        <v>393</v>
      </c>
      <c r="L356" s="64" t="s">
        <v>72</v>
      </c>
      <c r="M356" s="64" t="s">
        <v>73</v>
      </c>
      <c r="N356" s="64" t="s">
        <v>74</v>
      </c>
      <c r="O356" s="64" t="s">
        <v>367</v>
      </c>
      <c r="P356" s="69">
        <v>44930</v>
      </c>
      <c r="Q356" s="69">
        <v>45291</v>
      </c>
      <c r="R356" s="124">
        <v>70</v>
      </c>
      <c r="S356" s="123" t="s">
        <v>394</v>
      </c>
      <c r="T356" s="194">
        <v>70</v>
      </c>
      <c r="U356" s="75">
        <v>0</v>
      </c>
      <c r="V356" s="75"/>
      <c r="W356" s="75">
        <v>0</v>
      </c>
      <c r="X356" s="1122">
        <v>0</v>
      </c>
      <c r="Y356" s="75">
        <v>0</v>
      </c>
      <c r="Z356" s="75">
        <v>0</v>
      </c>
      <c r="AA356" s="1122">
        <v>0</v>
      </c>
      <c r="AB356" s="75">
        <v>0</v>
      </c>
      <c r="AC356" s="75">
        <v>0</v>
      </c>
      <c r="AD356" s="1122">
        <v>0</v>
      </c>
      <c r="AE356" s="75">
        <v>0</v>
      </c>
      <c r="AF356" s="75">
        <v>0</v>
      </c>
      <c r="AG356" s="1122">
        <v>0</v>
      </c>
      <c r="AH356" s="505">
        <f t="shared" si="62"/>
        <v>0</v>
      </c>
      <c r="AI356" s="132"/>
      <c r="AJ356" s="75">
        <f t="shared" si="61"/>
        <v>0</v>
      </c>
      <c r="AK356" s="75"/>
      <c r="AL356" s="75"/>
      <c r="AM356" s="75"/>
      <c r="AN356" s="64" t="s">
        <v>39</v>
      </c>
      <c r="AO356" s="165" t="s">
        <v>1819</v>
      </c>
      <c r="AP356" s="165" t="s">
        <v>2586</v>
      </c>
      <c r="AQ356" s="413" t="s">
        <v>2587</v>
      </c>
      <c r="AR356" s="64"/>
      <c r="AS356" s="475"/>
      <c r="AT356" s="69">
        <v>44623</v>
      </c>
      <c r="AU356" s="879">
        <v>1380</v>
      </c>
      <c r="AV356" s="347">
        <v>70</v>
      </c>
      <c r="AW356" s="1274" t="s">
        <v>2588</v>
      </c>
      <c r="AX356" s="2">
        <v>8938500</v>
      </c>
    </row>
    <row r="357" spans="1:50" ht="40.35" hidden="1" customHeight="1" outlineLevel="4" x14ac:dyDescent="0.25">
      <c r="A357" s="63" t="str">
        <f t="shared" si="63"/>
        <v>1.3.1.9.6.59</v>
      </c>
      <c r="B357" s="64">
        <v>1</v>
      </c>
      <c r="C357" s="64">
        <v>3</v>
      </c>
      <c r="D357" s="64">
        <v>1</v>
      </c>
      <c r="E357" s="64">
        <v>9</v>
      </c>
      <c r="F357" s="64">
        <v>6</v>
      </c>
      <c r="G357" s="64">
        <v>59</v>
      </c>
      <c r="H357" s="65"/>
      <c r="I357" s="65"/>
      <c r="J357" s="66"/>
      <c r="K357" s="103" t="s">
        <v>396</v>
      </c>
      <c r="L357" s="64"/>
      <c r="M357" s="64"/>
      <c r="N357" s="64"/>
      <c r="O357" s="64"/>
      <c r="P357" s="69">
        <v>44930</v>
      </c>
      <c r="Q357" s="69">
        <v>45291</v>
      </c>
      <c r="R357" s="124"/>
      <c r="S357" s="123"/>
      <c r="T357" s="194"/>
      <c r="U357" s="75">
        <v>0</v>
      </c>
      <c r="V357" s="75"/>
      <c r="W357" s="75">
        <v>0</v>
      </c>
      <c r="X357" s="1122">
        <v>0</v>
      </c>
      <c r="Y357" s="75">
        <v>0</v>
      </c>
      <c r="Z357" s="75">
        <v>0</v>
      </c>
      <c r="AA357" s="1122">
        <v>0</v>
      </c>
      <c r="AB357" s="75">
        <v>0</v>
      </c>
      <c r="AC357" s="75">
        <v>0</v>
      </c>
      <c r="AD357" s="1122">
        <v>0</v>
      </c>
      <c r="AE357" s="75">
        <v>0</v>
      </c>
      <c r="AF357" s="75">
        <v>0</v>
      </c>
      <c r="AG357" s="1122">
        <v>0</v>
      </c>
      <c r="AH357" s="505">
        <f t="shared" si="62"/>
        <v>0</v>
      </c>
      <c r="AI357" s="132"/>
      <c r="AJ357" s="75">
        <f t="shared" si="61"/>
        <v>0</v>
      </c>
      <c r="AK357" s="75"/>
      <c r="AL357" s="75"/>
      <c r="AM357" s="75"/>
      <c r="AN357" s="64" t="s">
        <v>39</v>
      </c>
      <c r="AO357" s="165" t="s">
        <v>1819</v>
      </c>
      <c r="AP357" s="165" t="s">
        <v>2586</v>
      </c>
      <c r="AQ357" s="413" t="s">
        <v>2587</v>
      </c>
      <c r="AR357" s="64"/>
      <c r="AS357" s="475"/>
      <c r="AT357" s="69">
        <v>44623</v>
      </c>
      <c r="AU357" s="879">
        <v>1380</v>
      </c>
      <c r="AV357" s="347"/>
      <c r="AW357" s="1274"/>
      <c r="AX357" s="2">
        <v>1835600</v>
      </c>
    </row>
    <row r="358" spans="1:50" ht="40.35" hidden="1" customHeight="1" outlineLevel="4" x14ac:dyDescent="0.25">
      <c r="A358" s="63" t="str">
        <f t="shared" si="63"/>
        <v>1.3.1.9.6.60</v>
      </c>
      <c r="B358" s="64">
        <v>1</v>
      </c>
      <c r="C358" s="64">
        <v>3</v>
      </c>
      <c r="D358" s="64">
        <v>1</v>
      </c>
      <c r="E358" s="64">
        <v>9</v>
      </c>
      <c r="F358" s="64">
        <v>6</v>
      </c>
      <c r="G358" s="64">
        <v>60</v>
      </c>
      <c r="H358" s="65"/>
      <c r="I358" s="65"/>
      <c r="J358" s="66"/>
      <c r="K358" s="103" t="s">
        <v>397</v>
      </c>
      <c r="L358" s="64"/>
      <c r="M358" s="64"/>
      <c r="N358" s="64"/>
      <c r="O358" s="64"/>
      <c r="P358" s="69">
        <v>44930</v>
      </c>
      <c r="Q358" s="69">
        <v>45291</v>
      </c>
      <c r="R358" s="124"/>
      <c r="S358" s="123"/>
      <c r="T358" s="194"/>
      <c r="U358" s="75">
        <v>0</v>
      </c>
      <c r="V358" s="75"/>
      <c r="W358" s="75">
        <v>0</v>
      </c>
      <c r="X358" s="1122">
        <v>0</v>
      </c>
      <c r="Y358" s="75">
        <v>0</v>
      </c>
      <c r="Z358" s="75">
        <v>0</v>
      </c>
      <c r="AA358" s="1122">
        <v>0</v>
      </c>
      <c r="AB358" s="75">
        <v>0</v>
      </c>
      <c r="AC358" s="75">
        <v>0</v>
      </c>
      <c r="AD358" s="1122">
        <v>0</v>
      </c>
      <c r="AE358" s="75">
        <v>0</v>
      </c>
      <c r="AF358" s="75">
        <v>0</v>
      </c>
      <c r="AG358" s="1122">
        <v>0</v>
      </c>
      <c r="AH358" s="505">
        <f t="shared" si="62"/>
        <v>0</v>
      </c>
      <c r="AI358" s="132"/>
      <c r="AJ358" s="75">
        <f t="shared" si="61"/>
        <v>0</v>
      </c>
      <c r="AK358" s="75"/>
      <c r="AL358" s="75"/>
      <c r="AM358" s="75"/>
      <c r="AN358" s="64" t="s">
        <v>39</v>
      </c>
      <c r="AO358" s="165" t="s">
        <v>1819</v>
      </c>
      <c r="AP358" s="165" t="s">
        <v>2586</v>
      </c>
      <c r="AQ358" s="413" t="s">
        <v>2587</v>
      </c>
      <c r="AR358" s="64"/>
      <c r="AS358" s="475"/>
      <c r="AT358" s="69">
        <v>44623</v>
      </c>
      <c r="AU358" s="879">
        <v>1380</v>
      </c>
      <c r="AV358" s="347"/>
      <c r="AW358" s="1274"/>
      <c r="AX358" s="2">
        <v>2450400</v>
      </c>
    </row>
    <row r="359" spans="1:50" ht="40.35" hidden="1" customHeight="1" outlineLevel="4" x14ac:dyDescent="0.25">
      <c r="A359" s="63" t="str">
        <f t="shared" si="63"/>
        <v>1.3.1.9.6.61</v>
      </c>
      <c r="B359" s="64">
        <v>1</v>
      </c>
      <c r="C359" s="64">
        <v>3</v>
      </c>
      <c r="D359" s="64">
        <v>1</v>
      </c>
      <c r="E359" s="64">
        <v>9</v>
      </c>
      <c r="F359" s="64">
        <v>6</v>
      </c>
      <c r="G359" s="64">
        <v>61</v>
      </c>
      <c r="H359" s="65"/>
      <c r="I359" s="65"/>
      <c r="J359" s="66"/>
      <c r="K359" s="103" t="s">
        <v>398</v>
      </c>
      <c r="L359" s="64"/>
      <c r="M359" s="64"/>
      <c r="N359" s="64"/>
      <c r="O359" s="64"/>
      <c r="P359" s="69">
        <v>44930</v>
      </c>
      <c r="Q359" s="69">
        <v>45291</v>
      </c>
      <c r="R359" s="124"/>
      <c r="S359" s="123"/>
      <c r="T359" s="194"/>
      <c r="U359" s="75">
        <v>0</v>
      </c>
      <c r="V359" s="75"/>
      <c r="W359" s="75">
        <v>0</v>
      </c>
      <c r="X359" s="1122">
        <v>0</v>
      </c>
      <c r="Y359" s="75">
        <v>0</v>
      </c>
      <c r="Z359" s="75">
        <v>0</v>
      </c>
      <c r="AA359" s="1122">
        <v>0</v>
      </c>
      <c r="AB359" s="75">
        <v>0</v>
      </c>
      <c r="AC359" s="75">
        <v>0</v>
      </c>
      <c r="AD359" s="1122">
        <v>0</v>
      </c>
      <c r="AE359" s="75">
        <v>0</v>
      </c>
      <c r="AF359" s="75">
        <v>0</v>
      </c>
      <c r="AG359" s="1122">
        <v>0</v>
      </c>
      <c r="AH359" s="505">
        <f t="shared" si="62"/>
        <v>0</v>
      </c>
      <c r="AI359" s="132"/>
      <c r="AJ359" s="75">
        <f t="shared" si="61"/>
        <v>0</v>
      </c>
      <c r="AK359" s="75"/>
      <c r="AL359" s="75"/>
      <c r="AM359" s="75"/>
      <c r="AN359" s="64" t="s">
        <v>39</v>
      </c>
      <c r="AO359" s="165" t="s">
        <v>1819</v>
      </c>
      <c r="AP359" s="165" t="s">
        <v>2586</v>
      </c>
      <c r="AQ359" s="413" t="s">
        <v>2587</v>
      </c>
      <c r="AR359" s="64"/>
      <c r="AS359" s="475"/>
      <c r="AT359" s="69">
        <v>44623</v>
      </c>
      <c r="AU359" s="879">
        <v>1380</v>
      </c>
      <c r="AV359" s="347"/>
      <c r="AW359" s="1274"/>
      <c r="AX359" s="2">
        <v>474000</v>
      </c>
    </row>
    <row r="360" spans="1:50" ht="40.35" hidden="1" customHeight="1" outlineLevel="4" x14ac:dyDescent="0.25">
      <c r="A360" s="63" t="str">
        <f t="shared" si="63"/>
        <v>1.3.1.9.6.62</v>
      </c>
      <c r="B360" s="64">
        <v>1</v>
      </c>
      <c r="C360" s="64">
        <v>3</v>
      </c>
      <c r="D360" s="64">
        <v>1</v>
      </c>
      <c r="E360" s="64">
        <v>9</v>
      </c>
      <c r="F360" s="64">
        <v>6</v>
      </c>
      <c r="G360" s="64">
        <v>62</v>
      </c>
      <c r="H360" s="65"/>
      <c r="I360" s="65"/>
      <c r="J360" s="66"/>
      <c r="K360" s="103" t="s">
        <v>1726</v>
      </c>
      <c r="L360" s="64"/>
      <c r="M360" s="64"/>
      <c r="N360" s="64"/>
      <c r="O360" s="64"/>
      <c r="P360" s="69">
        <v>44930</v>
      </c>
      <c r="Q360" s="69">
        <v>45291</v>
      </c>
      <c r="R360" s="124"/>
      <c r="S360" s="123"/>
      <c r="T360" s="194"/>
      <c r="U360" s="75">
        <v>0</v>
      </c>
      <c r="V360" s="75"/>
      <c r="W360" s="75">
        <v>0</v>
      </c>
      <c r="X360" s="1122">
        <v>0</v>
      </c>
      <c r="Y360" s="75">
        <v>0</v>
      </c>
      <c r="Z360" s="75">
        <v>0</v>
      </c>
      <c r="AA360" s="1122">
        <v>0</v>
      </c>
      <c r="AB360" s="75">
        <v>0</v>
      </c>
      <c r="AC360" s="75">
        <v>0</v>
      </c>
      <c r="AD360" s="1122">
        <v>0</v>
      </c>
      <c r="AE360" s="75">
        <v>0</v>
      </c>
      <c r="AF360" s="75">
        <v>0</v>
      </c>
      <c r="AG360" s="1122">
        <v>0</v>
      </c>
      <c r="AH360" s="505">
        <f t="shared" si="62"/>
        <v>0</v>
      </c>
      <c r="AI360" s="132"/>
      <c r="AJ360" s="75">
        <f t="shared" si="61"/>
        <v>0</v>
      </c>
      <c r="AK360" s="75"/>
      <c r="AL360" s="75"/>
      <c r="AM360" s="75"/>
      <c r="AN360" s="64" t="s">
        <v>39</v>
      </c>
      <c r="AO360" s="165" t="s">
        <v>1819</v>
      </c>
      <c r="AP360" s="165" t="s">
        <v>2586</v>
      </c>
      <c r="AQ360" s="413" t="s">
        <v>2587</v>
      </c>
      <c r="AR360" s="64"/>
      <c r="AS360" s="475"/>
      <c r="AT360" s="69">
        <v>44623</v>
      </c>
      <c r="AU360" s="879">
        <v>1380</v>
      </c>
      <c r="AV360" s="347"/>
      <c r="AW360" s="1274"/>
      <c r="AX360" s="2">
        <v>636000</v>
      </c>
    </row>
    <row r="361" spans="1:50" ht="40.35" hidden="1" customHeight="1" outlineLevel="4" x14ac:dyDescent="0.25">
      <c r="A361" s="63" t="str">
        <f t="shared" si="63"/>
        <v>1.3.1.9.6.63</v>
      </c>
      <c r="B361" s="64">
        <v>1</v>
      </c>
      <c r="C361" s="64">
        <v>3</v>
      </c>
      <c r="D361" s="64">
        <v>1</v>
      </c>
      <c r="E361" s="64">
        <v>9</v>
      </c>
      <c r="F361" s="64">
        <v>6</v>
      </c>
      <c r="G361" s="64">
        <v>63</v>
      </c>
      <c r="H361" s="65"/>
      <c r="I361" s="65"/>
      <c r="J361" s="66"/>
      <c r="K361" s="103" t="s">
        <v>399</v>
      </c>
      <c r="L361" s="64"/>
      <c r="M361" s="64"/>
      <c r="N361" s="64"/>
      <c r="O361" s="64"/>
      <c r="P361" s="69">
        <v>44930</v>
      </c>
      <c r="Q361" s="69">
        <v>45291</v>
      </c>
      <c r="R361" s="124"/>
      <c r="S361" s="123"/>
      <c r="T361" s="194"/>
      <c r="U361" s="75">
        <v>0</v>
      </c>
      <c r="V361" s="75"/>
      <c r="W361" s="75">
        <v>0</v>
      </c>
      <c r="X361" s="1122">
        <v>0</v>
      </c>
      <c r="Y361" s="75">
        <v>0</v>
      </c>
      <c r="Z361" s="75">
        <v>0</v>
      </c>
      <c r="AA361" s="1122">
        <v>0</v>
      </c>
      <c r="AB361" s="75">
        <v>0</v>
      </c>
      <c r="AC361" s="75">
        <v>0</v>
      </c>
      <c r="AD361" s="1122">
        <v>0</v>
      </c>
      <c r="AE361" s="75">
        <v>0</v>
      </c>
      <c r="AF361" s="75">
        <v>0</v>
      </c>
      <c r="AG361" s="1122">
        <v>0</v>
      </c>
      <c r="AH361" s="505">
        <f t="shared" si="62"/>
        <v>0</v>
      </c>
      <c r="AI361" s="132"/>
      <c r="AJ361" s="75">
        <f t="shared" si="61"/>
        <v>0</v>
      </c>
      <c r="AK361" s="75"/>
      <c r="AL361" s="75"/>
      <c r="AM361" s="75"/>
      <c r="AN361" s="64" t="s">
        <v>39</v>
      </c>
      <c r="AO361" s="165" t="s">
        <v>1819</v>
      </c>
      <c r="AP361" s="165" t="s">
        <v>2586</v>
      </c>
      <c r="AQ361" s="413" t="s">
        <v>2587</v>
      </c>
      <c r="AR361" s="64"/>
      <c r="AS361" s="475"/>
      <c r="AT361" s="69">
        <v>44623</v>
      </c>
      <c r="AU361" s="879">
        <v>1380</v>
      </c>
      <c r="AV361" s="347"/>
      <c r="AW361" s="1274"/>
      <c r="AX361" s="2">
        <v>5250000</v>
      </c>
    </row>
    <row r="362" spans="1:50" ht="40.35" hidden="1" customHeight="1" outlineLevel="4" x14ac:dyDescent="0.25">
      <c r="A362" s="63" t="str">
        <f t="shared" si="63"/>
        <v>1.3.1.9.6.64</v>
      </c>
      <c r="B362" s="64">
        <v>1</v>
      </c>
      <c r="C362" s="64">
        <v>3</v>
      </c>
      <c r="D362" s="64">
        <v>1</v>
      </c>
      <c r="E362" s="64">
        <v>9</v>
      </c>
      <c r="F362" s="64">
        <v>6</v>
      </c>
      <c r="G362" s="64">
        <v>64</v>
      </c>
      <c r="H362" s="65"/>
      <c r="I362" s="65"/>
      <c r="J362" s="66"/>
      <c r="K362" s="103" t="s">
        <v>400</v>
      </c>
      <c r="L362" s="64"/>
      <c r="M362" s="64"/>
      <c r="N362" s="64"/>
      <c r="O362" s="64"/>
      <c r="P362" s="69">
        <v>44930</v>
      </c>
      <c r="Q362" s="69">
        <v>45291</v>
      </c>
      <c r="R362" s="124"/>
      <c r="S362" s="123"/>
      <c r="T362" s="194"/>
      <c r="U362" s="75">
        <v>0</v>
      </c>
      <c r="V362" s="75"/>
      <c r="W362" s="75">
        <v>0</v>
      </c>
      <c r="X362" s="1122">
        <v>0</v>
      </c>
      <c r="Y362" s="75">
        <v>0</v>
      </c>
      <c r="Z362" s="75">
        <v>0</v>
      </c>
      <c r="AA362" s="1122">
        <v>0</v>
      </c>
      <c r="AB362" s="75">
        <v>0</v>
      </c>
      <c r="AC362" s="75">
        <v>0</v>
      </c>
      <c r="AD362" s="1122">
        <v>0</v>
      </c>
      <c r="AE362" s="75">
        <v>0</v>
      </c>
      <c r="AF362" s="75">
        <v>0</v>
      </c>
      <c r="AG362" s="1122">
        <v>0</v>
      </c>
      <c r="AH362" s="505">
        <f t="shared" si="62"/>
        <v>0</v>
      </c>
      <c r="AI362" s="132"/>
      <c r="AJ362" s="75">
        <f t="shared" si="61"/>
        <v>0</v>
      </c>
      <c r="AK362" s="75"/>
      <c r="AL362" s="75"/>
      <c r="AM362" s="75"/>
      <c r="AN362" s="64" t="s">
        <v>39</v>
      </c>
      <c r="AO362" s="165" t="s">
        <v>1819</v>
      </c>
      <c r="AP362" s="165" t="s">
        <v>2586</v>
      </c>
      <c r="AQ362" s="413" t="s">
        <v>2587</v>
      </c>
      <c r="AR362" s="64"/>
      <c r="AS362" s="475"/>
      <c r="AT362" s="69">
        <v>44623</v>
      </c>
      <c r="AU362" s="879">
        <v>1380</v>
      </c>
      <c r="AV362" s="347"/>
      <c r="AW362" s="1274"/>
      <c r="AX362" s="2">
        <v>1364434</v>
      </c>
    </row>
    <row r="363" spans="1:50" ht="39" hidden="1" customHeight="1" outlineLevel="4" x14ac:dyDescent="0.25">
      <c r="A363" s="63" t="str">
        <f t="shared" si="63"/>
        <v>1.3.1.9.7.58</v>
      </c>
      <c r="B363" s="64">
        <v>1</v>
      </c>
      <c r="C363" s="64">
        <v>3</v>
      </c>
      <c r="D363" s="64">
        <v>1</v>
      </c>
      <c r="E363" s="64">
        <v>9</v>
      </c>
      <c r="F363" s="64">
        <v>7</v>
      </c>
      <c r="G363" s="64">
        <v>58</v>
      </c>
      <c r="H363" s="65"/>
      <c r="I363" s="65"/>
      <c r="J363" s="66"/>
      <c r="K363" s="65" t="s">
        <v>401</v>
      </c>
      <c r="L363" s="64" t="s">
        <v>2153</v>
      </c>
      <c r="M363" s="64" t="s">
        <v>73</v>
      </c>
      <c r="N363" s="64" t="s">
        <v>74</v>
      </c>
      <c r="O363" s="64" t="s">
        <v>367</v>
      </c>
      <c r="P363" s="69">
        <v>44930</v>
      </c>
      <c r="Q363" s="69">
        <v>45046</v>
      </c>
      <c r="R363" s="156">
        <v>0.6</v>
      </c>
      <c r="S363" s="123" t="s">
        <v>402</v>
      </c>
      <c r="T363" s="194">
        <v>10250</v>
      </c>
      <c r="U363" s="75">
        <f t="shared" ref="U363:U369" si="64">60000000/7</f>
        <v>8571428.5714285709</v>
      </c>
      <c r="V363" s="75"/>
      <c r="W363" s="75">
        <v>0</v>
      </c>
      <c r="X363" s="1122">
        <v>0</v>
      </c>
      <c r="Y363" s="75">
        <f t="shared" ref="Y363:Y369" si="65">60000000/7</f>
        <v>8571428.5714285709</v>
      </c>
      <c r="Z363" s="75">
        <v>0</v>
      </c>
      <c r="AA363" s="1122">
        <v>0</v>
      </c>
      <c r="AB363" s="75">
        <v>3686909.29</v>
      </c>
      <c r="AC363" s="75">
        <v>0</v>
      </c>
      <c r="AD363" s="1122">
        <v>0</v>
      </c>
      <c r="AE363" s="75">
        <v>0</v>
      </c>
      <c r="AF363" s="75">
        <v>0</v>
      </c>
      <c r="AG363" s="1122">
        <v>0</v>
      </c>
      <c r="AH363" s="505">
        <f t="shared" si="62"/>
        <v>20829766.432857141</v>
      </c>
      <c r="AI363" s="132"/>
      <c r="AJ363" s="75">
        <f t="shared" si="61"/>
        <v>0</v>
      </c>
      <c r="AK363" s="75"/>
      <c r="AL363" s="75"/>
      <c r="AM363" s="75"/>
      <c r="AN363" s="64" t="s">
        <v>39</v>
      </c>
      <c r="AO363" s="165" t="s">
        <v>1819</v>
      </c>
      <c r="AP363" s="582" t="s">
        <v>2589</v>
      </c>
      <c r="AQ363" s="413"/>
      <c r="AR363" s="64">
        <v>2023</v>
      </c>
      <c r="AS363" s="475">
        <v>2023</v>
      </c>
      <c r="AT363" s="64" t="s">
        <v>2029</v>
      </c>
      <c r="AU363" s="1043"/>
      <c r="AV363" s="347" t="s">
        <v>403</v>
      </c>
      <c r="AW363" s="1340" t="s">
        <v>2590</v>
      </c>
    </row>
    <row r="364" spans="1:50" ht="45" hidden="1" outlineLevel="4" x14ac:dyDescent="0.25">
      <c r="A364" s="63" t="str">
        <f t="shared" si="63"/>
        <v>1.3.1.9.7.59</v>
      </c>
      <c r="B364" s="64">
        <v>1</v>
      </c>
      <c r="C364" s="64">
        <v>3</v>
      </c>
      <c r="D364" s="64">
        <v>1</v>
      </c>
      <c r="E364" s="64">
        <v>9</v>
      </c>
      <c r="F364" s="64">
        <v>7</v>
      </c>
      <c r="G364" s="64">
        <v>59</v>
      </c>
      <c r="H364" s="65"/>
      <c r="I364" s="65"/>
      <c r="J364" s="66"/>
      <c r="K364" s="65" t="s">
        <v>404</v>
      </c>
      <c r="L364" s="64" t="s">
        <v>2153</v>
      </c>
      <c r="M364" s="64" t="s">
        <v>73</v>
      </c>
      <c r="N364" s="64"/>
      <c r="O364" s="64"/>
      <c r="P364" s="69">
        <v>44930</v>
      </c>
      <c r="Q364" s="69">
        <v>45046</v>
      </c>
      <c r="R364" s="156">
        <v>0.6</v>
      </c>
      <c r="S364" s="123"/>
      <c r="T364" s="194"/>
      <c r="U364" s="75">
        <f t="shared" si="64"/>
        <v>8571428.5714285709</v>
      </c>
      <c r="V364" s="75"/>
      <c r="W364" s="75">
        <v>0</v>
      </c>
      <c r="X364" s="1122">
        <v>0</v>
      </c>
      <c r="Y364" s="75">
        <f t="shared" si="65"/>
        <v>8571428.5714285709</v>
      </c>
      <c r="Z364" s="75">
        <v>0</v>
      </c>
      <c r="AA364" s="1122">
        <v>0</v>
      </c>
      <c r="AB364" s="75">
        <v>3686909.29</v>
      </c>
      <c r="AC364" s="75">
        <v>0</v>
      </c>
      <c r="AD364" s="1122">
        <v>0</v>
      </c>
      <c r="AE364" s="75">
        <v>0</v>
      </c>
      <c r="AF364" s="75">
        <v>0</v>
      </c>
      <c r="AG364" s="1122">
        <v>0</v>
      </c>
      <c r="AH364" s="505">
        <f t="shared" si="62"/>
        <v>20829766.432857141</v>
      </c>
      <c r="AI364" s="132"/>
      <c r="AJ364" s="75">
        <f t="shared" si="61"/>
        <v>0</v>
      </c>
      <c r="AK364" s="75"/>
      <c r="AL364" s="75"/>
      <c r="AM364" s="75"/>
      <c r="AN364" s="64" t="s">
        <v>39</v>
      </c>
      <c r="AO364" s="165" t="s">
        <v>1819</v>
      </c>
      <c r="AP364" s="582" t="s">
        <v>2589</v>
      </c>
      <c r="AQ364" s="413"/>
      <c r="AR364" s="64">
        <v>2023</v>
      </c>
      <c r="AS364" s="475">
        <v>2023</v>
      </c>
      <c r="AT364" s="64" t="s">
        <v>2029</v>
      </c>
      <c r="AU364" s="1043"/>
      <c r="AV364" s="347"/>
      <c r="AW364" s="1340"/>
    </row>
    <row r="365" spans="1:50" ht="45" hidden="1" outlineLevel="4" x14ac:dyDescent="0.25">
      <c r="A365" s="63" t="str">
        <f t="shared" si="63"/>
        <v>1.3.1.9.7.60</v>
      </c>
      <c r="B365" s="64">
        <v>1</v>
      </c>
      <c r="C365" s="64">
        <v>3</v>
      </c>
      <c r="D365" s="64">
        <v>1</v>
      </c>
      <c r="E365" s="64">
        <v>9</v>
      </c>
      <c r="F365" s="64">
        <v>7</v>
      </c>
      <c r="G365" s="64">
        <v>60</v>
      </c>
      <c r="H365" s="65"/>
      <c r="I365" s="65"/>
      <c r="J365" s="66"/>
      <c r="K365" s="65" t="s">
        <v>405</v>
      </c>
      <c r="L365" s="64" t="s">
        <v>2153</v>
      </c>
      <c r="M365" s="64" t="s">
        <v>73</v>
      </c>
      <c r="N365" s="64"/>
      <c r="O365" s="64"/>
      <c r="P365" s="69">
        <v>44930</v>
      </c>
      <c r="Q365" s="69">
        <v>45046</v>
      </c>
      <c r="R365" s="156">
        <v>0.6</v>
      </c>
      <c r="S365" s="123"/>
      <c r="T365" s="194"/>
      <c r="U365" s="75">
        <f t="shared" si="64"/>
        <v>8571428.5714285709</v>
      </c>
      <c r="V365" s="75"/>
      <c r="W365" s="75">
        <v>0</v>
      </c>
      <c r="X365" s="1122">
        <v>0</v>
      </c>
      <c r="Y365" s="75">
        <f t="shared" si="65"/>
        <v>8571428.5714285709</v>
      </c>
      <c r="Z365" s="75">
        <v>0</v>
      </c>
      <c r="AA365" s="1122">
        <v>0</v>
      </c>
      <c r="AB365" s="75">
        <v>3686909.29</v>
      </c>
      <c r="AC365" s="75">
        <v>0</v>
      </c>
      <c r="AD365" s="1122">
        <v>0</v>
      </c>
      <c r="AE365" s="75">
        <v>0</v>
      </c>
      <c r="AF365" s="75">
        <v>0</v>
      </c>
      <c r="AG365" s="1122">
        <v>0</v>
      </c>
      <c r="AH365" s="505">
        <f t="shared" si="62"/>
        <v>20829766.432857141</v>
      </c>
      <c r="AI365" s="132"/>
      <c r="AJ365" s="75">
        <f t="shared" si="61"/>
        <v>0</v>
      </c>
      <c r="AK365" s="75"/>
      <c r="AL365" s="75"/>
      <c r="AM365" s="75"/>
      <c r="AN365" s="64" t="s">
        <v>39</v>
      </c>
      <c r="AO365" s="165" t="s">
        <v>1819</v>
      </c>
      <c r="AP365" s="582" t="s">
        <v>2589</v>
      </c>
      <c r="AQ365" s="413"/>
      <c r="AR365" s="64">
        <v>2023</v>
      </c>
      <c r="AS365" s="475">
        <v>2023</v>
      </c>
      <c r="AT365" s="64" t="s">
        <v>2029</v>
      </c>
      <c r="AU365" s="1043"/>
      <c r="AV365" s="347"/>
      <c r="AW365" s="1340"/>
    </row>
    <row r="366" spans="1:50" ht="45" hidden="1" outlineLevel="4" x14ac:dyDescent="0.25">
      <c r="A366" s="63" t="str">
        <f t="shared" si="63"/>
        <v>1.3.1.9.7.61</v>
      </c>
      <c r="B366" s="64">
        <v>1</v>
      </c>
      <c r="C366" s="64">
        <v>3</v>
      </c>
      <c r="D366" s="64">
        <v>1</v>
      </c>
      <c r="E366" s="64">
        <v>9</v>
      </c>
      <c r="F366" s="64">
        <v>7</v>
      </c>
      <c r="G366" s="64">
        <v>61</v>
      </c>
      <c r="H366" s="65"/>
      <c r="I366" s="65"/>
      <c r="J366" s="66"/>
      <c r="K366" s="65" t="s">
        <v>406</v>
      </c>
      <c r="L366" s="64" t="s">
        <v>2153</v>
      </c>
      <c r="M366" s="64" t="s">
        <v>73</v>
      </c>
      <c r="N366" s="64"/>
      <c r="O366" s="64"/>
      <c r="P366" s="69">
        <v>44930</v>
      </c>
      <c r="Q366" s="69">
        <v>45046</v>
      </c>
      <c r="R366" s="156">
        <v>0.6</v>
      </c>
      <c r="S366" s="123"/>
      <c r="T366" s="194"/>
      <c r="U366" s="75">
        <f t="shared" si="64"/>
        <v>8571428.5714285709</v>
      </c>
      <c r="V366" s="75"/>
      <c r="W366" s="75">
        <v>0</v>
      </c>
      <c r="X366" s="1122">
        <v>0</v>
      </c>
      <c r="Y366" s="75">
        <f t="shared" si="65"/>
        <v>8571428.5714285709</v>
      </c>
      <c r="Z366" s="75">
        <v>0</v>
      </c>
      <c r="AA366" s="1122">
        <v>0</v>
      </c>
      <c r="AB366" s="75">
        <v>3686909.29</v>
      </c>
      <c r="AC366" s="75">
        <v>0</v>
      </c>
      <c r="AD366" s="1122">
        <v>0</v>
      </c>
      <c r="AE366" s="75">
        <v>0</v>
      </c>
      <c r="AF366" s="75">
        <v>0</v>
      </c>
      <c r="AG366" s="1122">
        <v>0</v>
      </c>
      <c r="AH366" s="505">
        <f t="shared" si="62"/>
        <v>20829766.432857141</v>
      </c>
      <c r="AI366" s="132"/>
      <c r="AJ366" s="75">
        <f t="shared" si="61"/>
        <v>0</v>
      </c>
      <c r="AK366" s="75"/>
      <c r="AL366" s="75"/>
      <c r="AM366" s="75"/>
      <c r="AN366" s="64" t="s">
        <v>39</v>
      </c>
      <c r="AO366" s="165" t="s">
        <v>1819</v>
      </c>
      <c r="AP366" s="582" t="s">
        <v>2589</v>
      </c>
      <c r="AQ366" s="413"/>
      <c r="AR366" s="64">
        <v>2023</v>
      </c>
      <c r="AS366" s="475">
        <v>2023</v>
      </c>
      <c r="AT366" s="64" t="s">
        <v>2029</v>
      </c>
      <c r="AU366" s="1043"/>
      <c r="AV366" s="347"/>
      <c r="AW366" s="1340"/>
    </row>
    <row r="367" spans="1:50" ht="45" hidden="1" outlineLevel="4" x14ac:dyDescent="0.25">
      <c r="A367" s="63" t="str">
        <f t="shared" si="63"/>
        <v>1.3.1.9.7.62</v>
      </c>
      <c r="B367" s="64">
        <v>1</v>
      </c>
      <c r="C367" s="64">
        <v>3</v>
      </c>
      <c r="D367" s="64">
        <v>1</v>
      </c>
      <c r="E367" s="64">
        <v>9</v>
      </c>
      <c r="F367" s="64">
        <v>7</v>
      </c>
      <c r="G367" s="64">
        <v>62</v>
      </c>
      <c r="H367" s="65"/>
      <c r="I367" s="65"/>
      <c r="J367" s="66"/>
      <c r="K367" s="65" t="s">
        <v>1727</v>
      </c>
      <c r="L367" s="64" t="s">
        <v>2153</v>
      </c>
      <c r="M367" s="64" t="s">
        <v>73</v>
      </c>
      <c r="N367" s="64"/>
      <c r="O367" s="64"/>
      <c r="P367" s="69">
        <v>44930</v>
      </c>
      <c r="Q367" s="69">
        <v>45046</v>
      </c>
      <c r="R367" s="156">
        <v>0.6</v>
      </c>
      <c r="S367" s="123"/>
      <c r="T367" s="194"/>
      <c r="U367" s="75">
        <f t="shared" si="64"/>
        <v>8571428.5714285709</v>
      </c>
      <c r="V367" s="75"/>
      <c r="W367" s="75">
        <v>0</v>
      </c>
      <c r="X367" s="1122">
        <v>0</v>
      </c>
      <c r="Y367" s="75">
        <f t="shared" si="65"/>
        <v>8571428.5714285709</v>
      </c>
      <c r="Z367" s="75">
        <v>0</v>
      </c>
      <c r="AA367" s="1122">
        <v>0</v>
      </c>
      <c r="AB367" s="75">
        <v>3686909.29</v>
      </c>
      <c r="AC367" s="75">
        <v>0</v>
      </c>
      <c r="AD367" s="1122">
        <v>0</v>
      </c>
      <c r="AE367" s="75">
        <v>0</v>
      </c>
      <c r="AF367" s="75">
        <v>0</v>
      </c>
      <c r="AG367" s="1122">
        <v>0</v>
      </c>
      <c r="AH367" s="505">
        <f t="shared" si="62"/>
        <v>20829766.432857141</v>
      </c>
      <c r="AI367" s="132"/>
      <c r="AJ367" s="75">
        <f t="shared" si="61"/>
        <v>0</v>
      </c>
      <c r="AK367" s="75"/>
      <c r="AL367" s="75"/>
      <c r="AM367" s="75"/>
      <c r="AN367" s="64" t="s">
        <v>39</v>
      </c>
      <c r="AO367" s="165" t="s">
        <v>1819</v>
      </c>
      <c r="AP367" s="582" t="s">
        <v>2589</v>
      </c>
      <c r="AQ367" s="413"/>
      <c r="AR367" s="64">
        <v>2023</v>
      </c>
      <c r="AS367" s="475">
        <v>2023</v>
      </c>
      <c r="AT367" s="64" t="s">
        <v>2029</v>
      </c>
      <c r="AU367" s="1043"/>
      <c r="AV367" s="347"/>
      <c r="AW367" s="1340"/>
    </row>
    <row r="368" spans="1:50" ht="45" hidden="1" outlineLevel="4" x14ac:dyDescent="0.25">
      <c r="A368" s="63" t="str">
        <f t="shared" si="63"/>
        <v>1.3.1.9.7.63</v>
      </c>
      <c r="B368" s="64">
        <v>1</v>
      </c>
      <c r="C368" s="64">
        <v>3</v>
      </c>
      <c r="D368" s="64">
        <v>1</v>
      </c>
      <c r="E368" s="64">
        <v>9</v>
      </c>
      <c r="F368" s="64">
        <v>7</v>
      </c>
      <c r="G368" s="64">
        <v>63</v>
      </c>
      <c r="H368" s="65"/>
      <c r="I368" s="65"/>
      <c r="J368" s="66"/>
      <c r="K368" s="65" t="s">
        <v>407</v>
      </c>
      <c r="L368" s="64" t="s">
        <v>2153</v>
      </c>
      <c r="M368" s="64" t="s">
        <v>73</v>
      </c>
      <c r="N368" s="64"/>
      <c r="O368" s="64"/>
      <c r="P368" s="69">
        <v>44930</v>
      </c>
      <c r="Q368" s="69">
        <v>45046</v>
      </c>
      <c r="R368" s="156">
        <v>0.6</v>
      </c>
      <c r="S368" s="123"/>
      <c r="T368" s="194"/>
      <c r="U368" s="75">
        <f t="shared" si="64"/>
        <v>8571428.5714285709</v>
      </c>
      <c r="V368" s="75"/>
      <c r="W368" s="75">
        <v>0</v>
      </c>
      <c r="X368" s="1122">
        <v>0</v>
      </c>
      <c r="Y368" s="75">
        <f t="shared" si="65"/>
        <v>8571428.5714285709</v>
      </c>
      <c r="Z368" s="75">
        <v>0</v>
      </c>
      <c r="AA368" s="1122">
        <v>0</v>
      </c>
      <c r="AB368" s="75">
        <v>3686909.29</v>
      </c>
      <c r="AC368" s="75">
        <v>0</v>
      </c>
      <c r="AD368" s="1122">
        <v>0</v>
      </c>
      <c r="AE368" s="75">
        <v>0</v>
      </c>
      <c r="AF368" s="75">
        <v>0</v>
      </c>
      <c r="AG368" s="1122">
        <v>0</v>
      </c>
      <c r="AH368" s="505">
        <f t="shared" si="62"/>
        <v>20829766.432857141</v>
      </c>
      <c r="AI368" s="132"/>
      <c r="AJ368" s="75">
        <f t="shared" si="61"/>
        <v>0</v>
      </c>
      <c r="AK368" s="75"/>
      <c r="AL368" s="75"/>
      <c r="AM368" s="75"/>
      <c r="AN368" s="64" t="s">
        <v>39</v>
      </c>
      <c r="AO368" s="165" t="s">
        <v>1819</v>
      </c>
      <c r="AP368" s="582" t="s">
        <v>2589</v>
      </c>
      <c r="AQ368" s="413"/>
      <c r="AR368" s="64">
        <v>2023</v>
      </c>
      <c r="AS368" s="475">
        <v>2023</v>
      </c>
      <c r="AT368" s="64" t="s">
        <v>2029</v>
      </c>
      <c r="AU368" s="1043"/>
      <c r="AV368" s="347"/>
      <c r="AW368" s="1340"/>
    </row>
    <row r="369" spans="1:49" ht="45" hidden="1" outlineLevel="4" x14ac:dyDescent="0.25">
      <c r="A369" s="63" t="str">
        <f t="shared" si="63"/>
        <v>1.3.1.9.7.64</v>
      </c>
      <c r="B369" s="64">
        <v>1</v>
      </c>
      <c r="C369" s="64">
        <v>3</v>
      </c>
      <c r="D369" s="64">
        <v>1</v>
      </c>
      <c r="E369" s="64">
        <v>9</v>
      </c>
      <c r="F369" s="64">
        <v>7</v>
      </c>
      <c r="G369" s="64">
        <v>64</v>
      </c>
      <c r="H369" s="65"/>
      <c r="I369" s="65"/>
      <c r="J369" s="66"/>
      <c r="K369" s="65" t="s">
        <v>408</v>
      </c>
      <c r="L369" s="64" t="s">
        <v>2153</v>
      </c>
      <c r="M369" s="64" t="s">
        <v>73</v>
      </c>
      <c r="N369" s="64"/>
      <c r="O369" s="64"/>
      <c r="P369" s="69">
        <v>44930</v>
      </c>
      <c r="Q369" s="69">
        <v>45046</v>
      </c>
      <c r="R369" s="156">
        <v>0.6</v>
      </c>
      <c r="S369" s="123"/>
      <c r="T369" s="194"/>
      <c r="U369" s="75">
        <f t="shared" si="64"/>
        <v>8571428.5714285709</v>
      </c>
      <c r="V369" s="75"/>
      <c r="W369" s="75">
        <v>0</v>
      </c>
      <c r="X369" s="1122">
        <v>0</v>
      </c>
      <c r="Y369" s="75">
        <f t="shared" si="65"/>
        <v>8571428.5714285709</v>
      </c>
      <c r="Z369" s="75">
        <v>0</v>
      </c>
      <c r="AA369" s="1122">
        <v>0</v>
      </c>
      <c r="AB369" s="75">
        <v>3686909.29</v>
      </c>
      <c r="AC369" s="75">
        <v>0</v>
      </c>
      <c r="AD369" s="1122">
        <v>0</v>
      </c>
      <c r="AE369" s="75">
        <v>0</v>
      </c>
      <c r="AF369" s="75">
        <v>0</v>
      </c>
      <c r="AG369" s="1122">
        <v>0</v>
      </c>
      <c r="AH369" s="505">
        <f t="shared" si="62"/>
        <v>20829766.432857141</v>
      </c>
      <c r="AI369" s="132"/>
      <c r="AJ369" s="75">
        <f t="shared" si="61"/>
        <v>0</v>
      </c>
      <c r="AK369" s="75"/>
      <c r="AL369" s="75"/>
      <c r="AM369" s="75"/>
      <c r="AN369" s="64" t="s">
        <v>39</v>
      </c>
      <c r="AO369" s="165" t="s">
        <v>1819</v>
      </c>
      <c r="AP369" s="582" t="s">
        <v>2589</v>
      </c>
      <c r="AQ369" s="413"/>
      <c r="AR369" s="64">
        <v>2023</v>
      </c>
      <c r="AS369" s="475">
        <v>2023</v>
      </c>
      <c r="AT369" s="64" t="s">
        <v>2029</v>
      </c>
      <c r="AU369" s="1043"/>
      <c r="AV369" s="347"/>
      <c r="AW369" s="1340"/>
    </row>
    <row r="370" spans="1:49" ht="23.45" hidden="1" customHeight="1" outlineLevel="4" x14ac:dyDescent="0.25">
      <c r="A370" s="63" t="str">
        <f t="shared" si="63"/>
        <v>1.3.1.9.8.58</v>
      </c>
      <c r="B370" s="64">
        <v>1</v>
      </c>
      <c r="C370" s="64">
        <v>3</v>
      </c>
      <c r="D370" s="64">
        <v>1</v>
      </c>
      <c r="E370" s="64">
        <v>9</v>
      </c>
      <c r="F370" s="64">
        <v>8</v>
      </c>
      <c r="G370" s="64">
        <v>58</v>
      </c>
      <c r="H370" s="65"/>
      <c r="I370" s="65"/>
      <c r="J370" s="66"/>
      <c r="K370" s="125" t="s">
        <v>409</v>
      </c>
      <c r="L370" s="64" t="s">
        <v>72</v>
      </c>
      <c r="M370" s="64" t="s">
        <v>73</v>
      </c>
      <c r="N370" s="64" t="s">
        <v>74</v>
      </c>
      <c r="O370" s="64" t="s">
        <v>367</v>
      </c>
      <c r="P370" s="69">
        <v>44930</v>
      </c>
      <c r="Q370" s="69">
        <v>45291</v>
      </c>
      <c r="R370" s="156"/>
      <c r="S370" s="123"/>
      <c r="T370" s="194"/>
      <c r="U370" s="75">
        <v>0</v>
      </c>
      <c r="V370" s="75"/>
      <c r="W370" s="75">
        <v>0</v>
      </c>
      <c r="X370" s="1122">
        <v>0</v>
      </c>
      <c r="Y370" s="75">
        <v>191465.71</v>
      </c>
      <c r="Z370" s="75">
        <v>0</v>
      </c>
      <c r="AA370" s="1122">
        <v>0</v>
      </c>
      <c r="AB370" s="75">
        <v>0</v>
      </c>
      <c r="AC370" s="75">
        <v>0</v>
      </c>
      <c r="AD370" s="1122">
        <v>0</v>
      </c>
      <c r="AE370" s="75">
        <v>0</v>
      </c>
      <c r="AF370" s="75">
        <v>0</v>
      </c>
      <c r="AG370" s="1122">
        <v>0</v>
      </c>
      <c r="AH370" s="505">
        <f t="shared" si="62"/>
        <v>191465.71</v>
      </c>
      <c r="AI370" s="132"/>
      <c r="AJ370" s="75">
        <f t="shared" si="61"/>
        <v>0</v>
      </c>
      <c r="AK370" s="75"/>
      <c r="AL370" s="75"/>
      <c r="AM370" s="75"/>
      <c r="AN370" s="64" t="s">
        <v>39</v>
      </c>
      <c r="AO370" s="165"/>
      <c r="AP370" s="165"/>
      <c r="AQ370" s="413"/>
      <c r="AR370" s="64"/>
      <c r="AS370" s="475"/>
      <c r="AT370" s="64"/>
      <c r="AU370" s="646"/>
      <c r="AV370" s="347"/>
      <c r="AW370" s="1341" t="s">
        <v>2830</v>
      </c>
    </row>
    <row r="371" spans="1:49" ht="23.45" hidden="1" customHeight="1" outlineLevel="4" x14ac:dyDescent="0.25">
      <c r="A371" s="63" t="str">
        <f t="shared" si="63"/>
        <v>1.3.1.9.8.59</v>
      </c>
      <c r="B371" s="64">
        <v>1</v>
      </c>
      <c r="C371" s="64">
        <v>3</v>
      </c>
      <c r="D371" s="64">
        <v>1</v>
      </c>
      <c r="E371" s="64">
        <v>9</v>
      </c>
      <c r="F371" s="64">
        <v>8</v>
      </c>
      <c r="G371" s="64">
        <v>59</v>
      </c>
      <c r="H371" s="65"/>
      <c r="I371" s="65"/>
      <c r="J371" s="66"/>
      <c r="K371" s="125" t="s">
        <v>411</v>
      </c>
      <c r="L371" s="64"/>
      <c r="M371" s="64"/>
      <c r="N371" s="64"/>
      <c r="O371" s="64"/>
      <c r="P371" s="69">
        <v>44930</v>
      </c>
      <c r="Q371" s="69">
        <v>45291</v>
      </c>
      <c r="R371" s="124"/>
      <c r="S371" s="123"/>
      <c r="T371" s="194"/>
      <c r="U371" s="75">
        <v>0</v>
      </c>
      <c r="V371" s="75"/>
      <c r="W371" s="75">
        <v>0</v>
      </c>
      <c r="X371" s="1122">
        <v>0</v>
      </c>
      <c r="Y371" s="75">
        <v>191465.71</v>
      </c>
      <c r="Z371" s="75">
        <v>0</v>
      </c>
      <c r="AA371" s="1122">
        <v>0</v>
      </c>
      <c r="AB371" s="75">
        <v>0</v>
      </c>
      <c r="AC371" s="75">
        <v>0</v>
      </c>
      <c r="AD371" s="1122">
        <v>0</v>
      </c>
      <c r="AE371" s="75">
        <v>0</v>
      </c>
      <c r="AF371" s="75">
        <v>0</v>
      </c>
      <c r="AG371" s="1122">
        <v>0</v>
      </c>
      <c r="AH371" s="505">
        <f t="shared" si="62"/>
        <v>191465.71</v>
      </c>
      <c r="AI371" s="132"/>
      <c r="AJ371" s="75">
        <f t="shared" si="61"/>
        <v>0</v>
      </c>
      <c r="AK371" s="157"/>
      <c r="AL371" s="157"/>
      <c r="AM371" s="157"/>
      <c r="AN371" s="64" t="s">
        <v>39</v>
      </c>
      <c r="AO371" s="165"/>
      <c r="AP371" s="165"/>
      <c r="AQ371" s="413"/>
      <c r="AR371" s="64"/>
      <c r="AS371" s="475"/>
      <c r="AT371" s="64"/>
      <c r="AU371" s="646"/>
      <c r="AV371" s="347"/>
      <c r="AW371" s="1341"/>
    </row>
    <row r="372" spans="1:49" ht="23.45" hidden="1" customHeight="1" outlineLevel="4" x14ac:dyDescent="0.25">
      <c r="A372" s="63" t="str">
        <f t="shared" si="63"/>
        <v>1.3.1.9.8.60</v>
      </c>
      <c r="B372" s="64">
        <v>1</v>
      </c>
      <c r="C372" s="64">
        <v>3</v>
      </c>
      <c r="D372" s="64">
        <v>1</v>
      </c>
      <c r="E372" s="64">
        <v>9</v>
      </c>
      <c r="F372" s="64">
        <v>8</v>
      </c>
      <c r="G372" s="64">
        <v>60</v>
      </c>
      <c r="H372" s="65"/>
      <c r="I372" s="65"/>
      <c r="J372" s="66"/>
      <c r="K372" s="125" t="s">
        <v>412</v>
      </c>
      <c r="L372" s="64"/>
      <c r="M372" s="64"/>
      <c r="N372" s="64"/>
      <c r="O372" s="64"/>
      <c r="P372" s="69">
        <v>44930</v>
      </c>
      <c r="Q372" s="69">
        <v>45291</v>
      </c>
      <c r="R372" s="124"/>
      <c r="S372" s="123"/>
      <c r="T372" s="194"/>
      <c r="U372" s="75">
        <v>0</v>
      </c>
      <c r="V372" s="75"/>
      <c r="W372" s="75">
        <v>0</v>
      </c>
      <c r="X372" s="1122">
        <v>0</v>
      </c>
      <c r="Y372" s="75">
        <v>191465.71</v>
      </c>
      <c r="Z372" s="75">
        <v>0</v>
      </c>
      <c r="AA372" s="1122">
        <v>0</v>
      </c>
      <c r="AB372" s="75">
        <v>0</v>
      </c>
      <c r="AC372" s="75">
        <v>0</v>
      </c>
      <c r="AD372" s="1122">
        <v>0</v>
      </c>
      <c r="AE372" s="75">
        <v>0</v>
      </c>
      <c r="AF372" s="75">
        <v>0</v>
      </c>
      <c r="AG372" s="1122">
        <v>0</v>
      </c>
      <c r="AH372" s="505">
        <f t="shared" si="62"/>
        <v>191465.71</v>
      </c>
      <c r="AI372" s="132"/>
      <c r="AJ372" s="75">
        <f t="shared" si="61"/>
        <v>0</v>
      </c>
      <c r="AK372" s="75"/>
      <c r="AL372" s="75"/>
      <c r="AM372" s="75"/>
      <c r="AN372" s="64" t="s">
        <v>39</v>
      </c>
      <c r="AO372" s="165"/>
      <c r="AP372" s="165"/>
      <c r="AQ372" s="413"/>
      <c r="AR372" s="64"/>
      <c r="AS372" s="475"/>
      <c r="AT372" s="64"/>
      <c r="AU372" s="646"/>
      <c r="AV372" s="347"/>
      <c r="AW372" s="1341"/>
    </row>
    <row r="373" spans="1:49" ht="23.45" hidden="1" customHeight="1" outlineLevel="4" x14ac:dyDescent="0.25">
      <c r="A373" s="63" t="str">
        <f t="shared" si="63"/>
        <v>1.3.1.9.8.61</v>
      </c>
      <c r="B373" s="64">
        <v>1</v>
      </c>
      <c r="C373" s="64">
        <v>3</v>
      </c>
      <c r="D373" s="64">
        <v>1</v>
      </c>
      <c r="E373" s="64">
        <v>9</v>
      </c>
      <c r="F373" s="64">
        <v>8</v>
      </c>
      <c r="G373" s="64">
        <v>61</v>
      </c>
      <c r="H373" s="65"/>
      <c r="I373" s="65"/>
      <c r="J373" s="66"/>
      <c r="K373" s="125" t="s">
        <v>413</v>
      </c>
      <c r="L373" s="64"/>
      <c r="M373" s="64"/>
      <c r="N373" s="64"/>
      <c r="O373" s="64"/>
      <c r="P373" s="69">
        <v>44930</v>
      </c>
      <c r="Q373" s="69">
        <v>45291</v>
      </c>
      <c r="R373" s="124"/>
      <c r="S373" s="123"/>
      <c r="T373" s="194"/>
      <c r="U373" s="75">
        <v>0</v>
      </c>
      <c r="V373" s="75"/>
      <c r="W373" s="75">
        <v>0</v>
      </c>
      <c r="X373" s="1122">
        <v>0</v>
      </c>
      <c r="Y373" s="75">
        <v>191465.71</v>
      </c>
      <c r="Z373" s="75">
        <v>0</v>
      </c>
      <c r="AA373" s="1122">
        <v>0</v>
      </c>
      <c r="AB373" s="75">
        <v>0</v>
      </c>
      <c r="AC373" s="75">
        <v>0</v>
      </c>
      <c r="AD373" s="1122">
        <v>0</v>
      </c>
      <c r="AE373" s="75">
        <v>0</v>
      </c>
      <c r="AF373" s="75">
        <v>0</v>
      </c>
      <c r="AG373" s="1122">
        <v>0</v>
      </c>
      <c r="AH373" s="505">
        <f t="shared" si="62"/>
        <v>191465.71</v>
      </c>
      <c r="AI373" s="132"/>
      <c r="AJ373" s="75">
        <f t="shared" si="61"/>
        <v>0</v>
      </c>
      <c r="AK373" s="75"/>
      <c r="AL373" s="75"/>
      <c r="AM373" s="75"/>
      <c r="AN373" s="64" t="s">
        <v>39</v>
      </c>
      <c r="AO373" s="165"/>
      <c r="AP373" s="165"/>
      <c r="AQ373" s="413"/>
      <c r="AR373" s="64"/>
      <c r="AS373" s="475"/>
      <c r="AT373" s="64"/>
      <c r="AU373" s="646"/>
      <c r="AV373" s="347"/>
      <c r="AW373" s="1341"/>
    </row>
    <row r="374" spans="1:49" ht="23.45" hidden="1" customHeight="1" outlineLevel="4" x14ac:dyDescent="0.25">
      <c r="A374" s="63" t="str">
        <f t="shared" si="63"/>
        <v>1.3.1.9.8.62</v>
      </c>
      <c r="B374" s="64">
        <v>1</v>
      </c>
      <c r="C374" s="64">
        <v>3</v>
      </c>
      <c r="D374" s="64">
        <v>1</v>
      </c>
      <c r="E374" s="64">
        <v>9</v>
      </c>
      <c r="F374" s="64">
        <v>8</v>
      </c>
      <c r="G374" s="64">
        <v>62</v>
      </c>
      <c r="H374" s="65"/>
      <c r="I374" s="65"/>
      <c r="J374" s="66"/>
      <c r="K374" s="125" t="s">
        <v>1728</v>
      </c>
      <c r="L374" s="64"/>
      <c r="M374" s="64"/>
      <c r="N374" s="64"/>
      <c r="O374" s="64"/>
      <c r="P374" s="69">
        <v>44930</v>
      </c>
      <c r="Q374" s="69">
        <v>45291</v>
      </c>
      <c r="R374" s="124"/>
      <c r="S374" s="123"/>
      <c r="T374" s="194"/>
      <c r="U374" s="75">
        <v>0</v>
      </c>
      <c r="V374" s="75"/>
      <c r="W374" s="75">
        <v>0</v>
      </c>
      <c r="X374" s="1122">
        <v>0</v>
      </c>
      <c r="Y374" s="75">
        <v>191465.71</v>
      </c>
      <c r="Z374" s="75">
        <v>0</v>
      </c>
      <c r="AA374" s="1122">
        <v>0</v>
      </c>
      <c r="AB374" s="75">
        <v>0</v>
      </c>
      <c r="AC374" s="75">
        <v>0</v>
      </c>
      <c r="AD374" s="1122">
        <v>0</v>
      </c>
      <c r="AE374" s="75">
        <v>0</v>
      </c>
      <c r="AF374" s="75">
        <v>0</v>
      </c>
      <c r="AG374" s="1122">
        <v>0</v>
      </c>
      <c r="AH374" s="505">
        <f t="shared" si="62"/>
        <v>191465.71</v>
      </c>
      <c r="AI374" s="132"/>
      <c r="AJ374" s="75">
        <f t="shared" si="61"/>
        <v>0</v>
      </c>
      <c r="AK374" s="157"/>
      <c r="AL374" s="157"/>
      <c r="AM374" s="157"/>
      <c r="AN374" s="64" t="s">
        <v>39</v>
      </c>
      <c r="AO374" s="165"/>
      <c r="AP374" s="165"/>
      <c r="AQ374" s="413"/>
      <c r="AR374" s="64"/>
      <c r="AS374" s="475"/>
      <c r="AT374" s="64"/>
      <c r="AU374" s="646"/>
      <c r="AV374" s="347"/>
      <c r="AW374" s="1341"/>
    </row>
    <row r="375" spans="1:49" ht="23.45" hidden="1" customHeight="1" outlineLevel="4" x14ac:dyDescent="0.25">
      <c r="A375" s="63" t="str">
        <f t="shared" si="63"/>
        <v>1.3.1.9.8.63</v>
      </c>
      <c r="B375" s="64">
        <v>1</v>
      </c>
      <c r="C375" s="64">
        <v>3</v>
      </c>
      <c r="D375" s="64">
        <v>1</v>
      </c>
      <c r="E375" s="64">
        <v>9</v>
      </c>
      <c r="F375" s="64">
        <v>8</v>
      </c>
      <c r="G375" s="64">
        <v>63</v>
      </c>
      <c r="H375" s="65"/>
      <c r="I375" s="65"/>
      <c r="J375" s="66"/>
      <c r="K375" s="125" t="s">
        <v>414</v>
      </c>
      <c r="L375" s="64"/>
      <c r="M375" s="64"/>
      <c r="N375" s="64"/>
      <c r="O375" s="64"/>
      <c r="P375" s="69">
        <v>44930</v>
      </c>
      <c r="Q375" s="69">
        <v>45291</v>
      </c>
      <c r="R375" s="124"/>
      <c r="S375" s="123"/>
      <c r="T375" s="194"/>
      <c r="U375" s="75">
        <v>0</v>
      </c>
      <c r="V375" s="75"/>
      <c r="W375" s="75">
        <v>0</v>
      </c>
      <c r="X375" s="1122">
        <v>0</v>
      </c>
      <c r="Y375" s="75">
        <v>191465.71</v>
      </c>
      <c r="Z375" s="75">
        <v>0</v>
      </c>
      <c r="AA375" s="1122">
        <v>0</v>
      </c>
      <c r="AB375" s="75">
        <v>0</v>
      </c>
      <c r="AC375" s="75">
        <v>0</v>
      </c>
      <c r="AD375" s="1122">
        <v>0</v>
      </c>
      <c r="AE375" s="75">
        <v>0</v>
      </c>
      <c r="AF375" s="75">
        <v>0</v>
      </c>
      <c r="AG375" s="1122">
        <v>0</v>
      </c>
      <c r="AH375" s="505">
        <f t="shared" si="62"/>
        <v>191465.71</v>
      </c>
      <c r="AI375" s="132"/>
      <c r="AJ375" s="75">
        <f t="shared" si="61"/>
        <v>0</v>
      </c>
      <c r="AK375" s="157"/>
      <c r="AL375" s="157"/>
      <c r="AM375" s="157"/>
      <c r="AN375" s="64" t="s">
        <v>39</v>
      </c>
      <c r="AO375" s="165"/>
      <c r="AP375" s="165"/>
      <c r="AQ375" s="413"/>
      <c r="AR375" s="64"/>
      <c r="AS375" s="475"/>
      <c r="AT375" s="64"/>
      <c r="AU375" s="646"/>
      <c r="AV375" s="347"/>
      <c r="AW375" s="1341"/>
    </row>
    <row r="376" spans="1:49" ht="23.45" hidden="1" customHeight="1" outlineLevel="4" x14ac:dyDescent="0.25">
      <c r="A376" s="63" t="str">
        <f t="shared" si="63"/>
        <v>1.3.1.9.8.64</v>
      </c>
      <c r="B376" s="64">
        <v>1</v>
      </c>
      <c r="C376" s="64">
        <v>3</v>
      </c>
      <c r="D376" s="64">
        <v>1</v>
      </c>
      <c r="E376" s="64">
        <v>9</v>
      </c>
      <c r="F376" s="64">
        <v>8</v>
      </c>
      <c r="G376" s="64">
        <v>64</v>
      </c>
      <c r="H376" s="65"/>
      <c r="I376" s="65"/>
      <c r="J376" s="66"/>
      <c r="K376" s="125" t="s">
        <v>415</v>
      </c>
      <c r="L376" s="64"/>
      <c r="M376" s="64"/>
      <c r="N376" s="64"/>
      <c r="O376" s="64"/>
      <c r="P376" s="69">
        <v>44930</v>
      </c>
      <c r="Q376" s="69">
        <v>45291</v>
      </c>
      <c r="R376" s="124"/>
      <c r="S376" s="123"/>
      <c r="T376" s="194"/>
      <c r="U376" s="75">
        <v>0</v>
      </c>
      <c r="V376" s="75"/>
      <c r="W376" s="75">
        <v>0</v>
      </c>
      <c r="X376" s="1122">
        <v>0</v>
      </c>
      <c r="Y376" s="75">
        <v>191465.71</v>
      </c>
      <c r="Z376" s="75">
        <v>0</v>
      </c>
      <c r="AA376" s="1122">
        <v>0</v>
      </c>
      <c r="AB376" s="75">
        <v>0</v>
      </c>
      <c r="AC376" s="75">
        <v>0</v>
      </c>
      <c r="AD376" s="1122">
        <v>0</v>
      </c>
      <c r="AE376" s="75">
        <v>0</v>
      </c>
      <c r="AF376" s="75">
        <v>0</v>
      </c>
      <c r="AG376" s="1122">
        <v>0</v>
      </c>
      <c r="AH376" s="505">
        <f t="shared" si="62"/>
        <v>191465.71</v>
      </c>
      <c r="AI376" s="132"/>
      <c r="AJ376" s="75">
        <f t="shared" si="61"/>
        <v>0</v>
      </c>
      <c r="AK376" s="75"/>
      <c r="AL376" s="75"/>
      <c r="AM376" s="75"/>
      <c r="AN376" s="64" t="s">
        <v>39</v>
      </c>
      <c r="AO376" s="165"/>
      <c r="AP376" s="165"/>
      <c r="AQ376" s="413"/>
      <c r="AR376" s="189"/>
      <c r="AS376" s="64"/>
      <c r="AT376" s="460"/>
      <c r="AU376" s="646"/>
      <c r="AV376" s="347"/>
      <c r="AW376" s="1341"/>
    </row>
    <row r="377" spans="1:49" ht="40.35" hidden="1" customHeight="1" outlineLevel="4" x14ac:dyDescent="0.25">
      <c r="A377" s="63" t="str">
        <f t="shared" si="63"/>
        <v>1.3.1.9.9.58</v>
      </c>
      <c r="B377" s="64">
        <v>1</v>
      </c>
      <c r="C377" s="64">
        <v>3</v>
      </c>
      <c r="D377" s="64">
        <v>1</v>
      </c>
      <c r="E377" s="64">
        <v>9</v>
      </c>
      <c r="F377" s="64">
        <v>9</v>
      </c>
      <c r="G377" s="64">
        <v>58</v>
      </c>
      <c r="H377" s="65"/>
      <c r="I377" s="65"/>
      <c r="J377" s="66"/>
      <c r="K377" s="67" t="s">
        <v>416</v>
      </c>
      <c r="L377" s="64" t="s">
        <v>72</v>
      </c>
      <c r="M377" s="64" t="s">
        <v>73</v>
      </c>
      <c r="N377" s="64" t="s">
        <v>74</v>
      </c>
      <c r="O377" s="64" t="s">
        <v>367</v>
      </c>
      <c r="P377" s="69">
        <v>44930</v>
      </c>
      <c r="Q377" s="69">
        <v>45291</v>
      </c>
      <c r="R377" s="124"/>
      <c r="S377" s="123"/>
      <c r="T377" s="194"/>
      <c r="U377" s="75">
        <v>0</v>
      </c>
      <c r="V377" s="75"/>
      <c r="W377" s="75">
        <v>0</v>
      </c>
      <c r="X377" s="1122">
        <v>0</v>
      </c>
      <c r="Y377" s="75">
        <v>2000000</v>
      </c>
      <c r="Z377" s="75">
        <v>0</v>
      </c>
      <c r="AA377" s="1122">
        <v>0</v>
      </c>
      <c r="AB377" s="75">
        <v>0</v>
      </c>
      <c r="AC377" s="75">
        <v>0</v>
      </c>
      <c r="AD377" s="1122">
        <v>0</v>
      </c>
      <c r="AE377" s="75">
        <v>0</v>
      </c>
      <c r="AF377" s="75">
        <v>0</v>
      </c>
      <c r="AG377" s="1122">
        <v>0</v>
      </c>
      <c r="AH377" s="505">
        <f t="shared" si="62"/>
        <v>2000000</v>
      </c>
      <c r="AI377" s="132"/>
      <c r="AJ377" s="75">
        <f t="shared" si="61"/>
        <v>0</v>
      </c>
      <c r="AK377" s="75"/>
      <c r="AL377" s="75"/>
      <c r="AM377" s="75"/>
      <c r="AN377" s="64" t="s">
        <v>39</v>
      </c>
      <c r="AO377" s="64"/>
      <c r="AP377" s="64"/>
      <c r="AQ377" s="189"/>
      <c r="AR377" s="64"/>
      <c r="AS377" s="480"/>
      <c r="AT377" s="64"/>
      <c r="AU377" s="646"/>
      <c r="AV377" s="123"/>
      <c r="AW377" s="65" t="s">
        <v>2830</v>
      </c>
    </row>
    <row r="378" spans="1:49" ht="23.45" hidden="1" customHeight="1" outlineLevel="4" x14ac:dyDescent="0.25">
      <c r="A378" s="63" t="str">
        <f t="shared" si="63"/>
        <v>1.3.1.9.9.59</v>
      </c>
      <c r="B378" s="64">
        <v>1</v>
      </c>
      <c r="C378" s="64">
        <v>3</v>
      </c>
      <c r="D378" s="64">
        <v>1</v>
      </c>
      <c r="E378" s="64">
        <v>9</v>
      </c>
      <c r="F378" s="64">
        <v>9</v>
      </c>
      <c r="G378" s="64">
        <v>59</v>
      </c>
      <c r="H378" s="65"/>
      <c r="I378" s="65"/>
      <c r="J378" s="66"/>
      <c r="K378" s="65" t="s">
        <v>417</v>
      </c>
      <c r="L378" s="64"/>
      <c r="M378" s="64"/>
      <c r="N378" s="64"/>
      <c r="O378" s="64"/>
      <c r="P378" s="69">
        <v>44930</v>
      </c>
      <c r="Q378" s="69">
        <v>45291</v>
      </c>
      <c r="R378" s="124"/>
      <c r="S378" s="123"/>
      <c r="T378" s="194"/>
      <c r="U378" s="75">
        <v>0</v>
      </c>
      <c r="V378" s="75"/>
      <c r="W378" s="75">
        <v>0</v>
      </c>
      <c r="X378" s="1122">
        <v>0</v>
      </c>
      <c r="Y378" s="75">
        <v>2000000</v>
      </c>
      <c r="Z378" s="75">
        <v>0</v>
      </c>
      <c r="AA378" s="1122">
        <v>0</v>
      </c>
      <c r="AB378" s="75">
        <v>0</v>
      </c>
      <c r="AC378" s="75">
        <v>0</v>
      </c>
      <c r="AD378" s="1122">
        <v>0</v>
      </c>
      <c r="AE378" s="75">
        <v>0</v>
      </c>
      <c r="AF378" s="75">
        <v>0</v>
      </c>
      <c r="AG378" s="1122">
        <v>0</v>
      </c>
      <c r="AH378" s="505">
        <f t="shared" si="62"/>
        <v>2000000</v>
      </c>
      <c r="AI378" s="132"/>
      <c r="AJ378" s="75">
        <f t="shared" si="61"/>
        <v>0</v>
      </c>
      <c r="AK378" s="75"/>
      <c r="AL378" s="75"/>
      <c r="AM378" s="75"/>
      <c r="AN378" s="64" t="s">
        <v>39</v>
      </c>
      <c r="AO378" s="64"/>
      <c r="AP378" s="64"/>
      <c r="AQ378" s="189"/>
      <c r="AR378" s="64"/>
      <c r="AS378" s="476"/>
      <c r="AT378" s="64"/>
      <c r="AU378" s="646"/>
      <c r="AV378" s="123"/>
      <c r="AW378" s="65" t="s">
        <v>2830</v>
      </c>
    </row>
    <row r="379" spans="1:49" ht="23.45" hidden="1" customHeight="1" outlineLevel="4" x14ac:dyDescent="0.25">
      <c r="A379" s="63" t="str">
        <f t="shared" si="63"/>
        <v>1.3.1.9.9.60</v>
      </c>
      <c r="B379" s="64">
        <v>1</v>
      </c>
      <c r="C379" s="64">
        <v>3</v>
      </c>
      <c r="D379" s="64">
        <v>1</v>
      </c>
      <c r="E379" s="64">
        <v>9</v>
      </c>
      <c r="F379" s="64">
        <v>9</v>
      </c>
      <c r="G379" s="64">
        <v>60</v>
      </c>
      <c r="H379" s="65"/>
      <c r="I379" s="65"/>
      <c r="J379" s="66"/>
      <c r="K379" s="65" t="s">
        <v>418</v>
      </c>
      <c r="L379" s="64"/>
      <c r="M379" s="64"/>
      <c r="N379" s="64"/>
      <c r="O379" s="64"/>
      <c r="P379" s="69">
        <v>44930</v>
      </c>
      <c r="Q379" s="69">
        <v>45291</v>
      </c>
      <c r="R379" s="124"/>
      <c r="S379" s="123"/>
      <c r="T379" s="194"/>
      <c r="U379" s="75">
        <v>0</v>
      </c>
      <c r="V379" s="75"/>
      <c r="W379" s="75">
        <v>0</v>
      </c>
      <c r="X379" s="1122">
        <v>0</v>
      </c>
      <c r="Y379" s="75">
        <v>2000000</v>
      </c>
      <c r="Z379" s="75">
        <v>0</v>
      </c>
      <c r="AA379" s="1122">
        <v>0</v>
      </c>
      <c r="AB379" s="75">
        <v>0</v>
      </c>
      <c r="AC379" s="75">
        <v>0</v>
      </c>
      <c r="AD379" s="1122">
        <v>0</v>
      </c>
      <c r="AE379" s="75">
        <v>0</v>
      </c>
      <c r="AF379" s="75">
        <v>0</v>
      </c>
      <c r="AG379" s="1122">
        <v>0</v>
      </c>
      <c r="AH379" s="505">
        <f t="shared" si="62"/>
        <v>2000000</v>
      </c>
      <c r="AI379" s="132"/>
      <c r="AJ379" s="75">
        <f t="shared" si="61"/>
        <v>0</v>
      </c>
      <c r="AK379" s="75"/>
      <c r="AL379" s="75"/>
      <c r="AM379" s="75"/>
      <c r="AN379" s="64" t="s">
        <v>39</v>
      </c>
      <c r="AO379" s="64"/>
      <c r="AP379" s="64"/>
      <c r="AQ379" s="189"/>
      <c r="AR379" s="64"/>
      <c r="AS379" s="476"/>
      <c r="AT379" s="64"/>
      <c r="AU379" s="646"/>
      <c r="AV379" s="123"/>
      <c r="AW379" s="65" t="s">
        <v>2830</v>
      </c>
    </row>
    <row r="380" spans="1:49" ht="23.45" hidden="1" customHeight="1" outlineLevel="4" x14ac:dyDescent="0.25">
      <c r="A380" s="63" t="str">
        <f t="shared" si="63"/>
        <v>1.3.1.9.9.61</v>
      </c>
      <c r="B380" s="64">
        <v>1</v>
      </c>
      <c r="C380" s="64">
        <v>3</v>
      </c>
      <c r="D380" s="64">
        <v>1</v>
      </c>
      <c r="E380" s="64">
        <v>9</v>
      </c>
      <c r="F380" s="64">
        <v>9</v>
      </c>
      <c r="G380" s="64">
        <v>61</v>
      </c>
      <c r="H380" s="65"/>
      <c r="I380" s="65"/>
      <c r="J380" s="66"/>
      <c r="K380" s="65" t="s">
        <v>419</v>
      </c>
      <c r="L380" s="64"/>
      <c r="M380" s="64"/>
      <c r="N380" s="64"/>
      <c r="O380" s="64"/>
      <c r="P380" s="69">
        <v>44930</v>
      </c>
      <c r="Q380" s="69">
        <v>45291</v>
      </c>
      <c r="R380" s="124"/>
      <c r="S380" s="123"/>
      <c r="T380" s="194"/>
      <c r="U380" s="75">
        <v>0</v>
      </c>
      <c r="V380" s="75"/>
      <c r="W380" s="75">
        <v>0</v>
      </c>
      <c r="X380" s="1122">
        <v>0</v>
      </c>
      <c r="Y380" s="75">
        <v>2000000</v>
      </c>
      <c r="Z380" s="75">
        <v>0</v>
      </c>
      <c r="AA380" s="1122">
        <v>0</v>
      </c>
      <c r="AB380" s="75">
        <v>0</v>
      </c>
      <c r="AC380" s="75">
        <v>0</v>
      </c>
      <c r="AD380" s="1122">
        <v>0</v>
      </c>
      <c r="AE380" s="75">
        <v>0</v>
      </c>
      <c r="AF380" s="75">
        <v>0</v>
      </c>
      <c r="AG380" s="1122">
        <v>0</v>
      </c>
      <c r="AH380" s="505">
        <f t="shared" si="62"/>
        <v>2000000</v>
      </c>
      <c r="AI380" s="132"/>
      <c r="AJ380" s="75">
        <f t="shared" si="61"/>
        <v>0</v>
      </c>
      <c r="AK380" s="75"/>
      <c r="AL380" s="75"/>
      <c r="AM380" s="75"/>
      <c r="AN380" s="64" t="s">
        <v>39</v>
      </c>
      <c r="AO380" s="64"/>
      <c r="AP380" s="64"/>
      <c r="AQ380" s="189"/>
      <c r="AR380" s="64"/>
      <c r="AS380" s="476"/>
      <c r="AT380" s="64"/>
      <c r="AU380" s="646"/>
      <c r="AV380" s="123"/>
      <c r="AW380" s="65" t="s">
        <v>2830</v>
      </c>
    </row>
    <row r="381" spans="1:49" ht="23.45" hidden="1" customHeight="1" outlineLevel="4" x14ac:dyDescent="0.25">
      <c r="A381" s="63" t="str">
        <f t="shared" si="63"/>
        <v>1.3.1.9.9.62</v>
      </c>
      <c r="B381" s="64">
        <v>1</v>
      </c>
      <c r="C381" s="64">
        <v>3</v>
      </c>
      <c r="D381" s="64">
        <v>1</v>
      </c>
      <c r="E381" s="64">
        <v>9</v>
      </c>
      <c r="F381" s="64">
        <v>9</v>
      </c>
      <c r="G381" s="64">
        <v>62</v>
      </c>
      <c r="H381" s="65"/>
      <c r="I381" s="65"/>
      <c r="J381" s="66"/>
      <c r="K381" s="65" t="s">
        <v>1729</v>
      </c>
      <c r="L381" s="64"/>
      <c r="M381" s="64"/>
      <c r="N381" s="64"/>
      <c r="O381" s="64"/>
      <c r="P381" s="69">
        <v>44930</v>
      </c>
      <c r="Q381" s="69">
        <v>45291</v>
      </c>
      <c r="R381" s="124"/>
      <c r="S381" s="123"/>
      <c r="T381" s="194"/>
      <c r="U381" s="75">
        <v>0</v>
      </c>
      <c r="V381" s="75"/>
      <c r="W381" s="75">
        <v>0</v>
      </c>
      <c r="X381" s="1122">
        <v>0</v>
      </c>
      <c r="Y381" s="75">
        <v>2000000</v>
      </c>
      <c r="Z381" s="75">
        <v>0</v>
      </c>
      <c r="AA381" s="1122">
        <v>0</v>
      </c>
      <c r="AB381" s="75">
        <v>0</v>
      </c>
      <c r="AC381" s="75">
        <v>0</v>
      </c>
      <c r="AD381" s="1122">
        <v>0</v>
      </c>
      <c r="AE381" s="75">
        <v>0</v>
      </c>
      <c r="AF381" s="75">
        <v>0</v>
      </c>
      <c r="AG381" s="1122">
        <v>0</v>
      </c>
      <c r="AH381" s="505">
        <f t="shared" si="62"/>
        <v>2000000</v>
      </c>
      <c r="AI381" s="132"/>
      <c r="AJ381" s="75">
        <f t="shared" si="61"/>
        <v>0</v>
      </c>
      <c r="AK381" s="75"/>
      <c r="AL381" s="75"/>
      <c r="AM381" s="75"/>
      <c r="AN381" s="64" t="s">
        <v>39</v>
      </c>
      <c r="AO381" s="64"/>
      <c r="AP381" s="64"/>
      <c r="AQ381" s="189"/>
      <c r="AR381" s="64"/>
      <c r="AS381" s="476"/>
      <c r="AT381" s="64"/>
      <c r="AU381" s="646"/>
      <c r="AV381" s="123"/>
      <c r="AW381" s="65" t="s">
        <v>2830</v>
      </c>
    </row>
    <row r="382" spans="1:49" ht="23.45" hidden="1" customHeight="1" outlineLevel="4" x14ac:dyDescent="0.25">
      <c r="A382" s="63" t="str">
        <f t="shared" si="63"/>
        <v>1.3.1.9.9.63</v>
      </c>
      <c r="B382" s="64">
        <v>1</v>
      </c>
      <c r="C382" s="64">
        <v>3</v>
      </c>
      <c r="D382" s="64">
        <v>1</v>
      </c>
      <c r="E382" s="64">
        <v>9</v>
      </c>
      <c r="F382" s="64">
        <v>9</v>
      </c>
      <c r="G382" s="64">
        <v>63</v>
      </c>
      <c r="H382" s="65"/>
      <c r="I382" s="65"/>
      <c r="J382" s="66"/>
      <c r="K382" s="65" t="s">
        <v>420</v>
      </c>
      <c r="L382" s="64"/>
      <c r="M382" s="64"/>
      <c r="N382" s="64"/>
      <c r="O382" s="64"/>
      <c r="P382" s="69">
        <v>44930</v>
      </c>
      <c r="Q382" s="69">
        <v>45291</v>
      </c>
      <c r="R382" s="124"/>
      <c r="S382" s="123"/>
      <c r="T382" s="194"/>
      <c r="U382" s="75">
        <v>0</v>
      </c>
      <c r="V382" s="75"/>
      <c r="W382" s="75">
        <v>0</v>
      </c>
      <c r="X382" s="1122">
        <v>0</v>
      </c>
      <c r="Y382" s="75">
        <v>2000000</v>
      </c>
      <c r="Z382" s="75">
        <v>0</v>
      </c>
      <c r="AA382" s="1122">
        <v>0</v>
      </c>
      <c r="AB382" s="75">
        <v>0</v>
      </c>
      <c r="AC382" s="75">
        <v>0</v>
      </c>
      <c r="AD382" s="1122">
        <v>0</v>
      </c>
      <c r="AE382" s="75">
        <v>0</v>
      </c>
      <c r="AF382" s="75">
        <v>0</v>
      </c>
      <c r="AG382" s="1122">
        <v>0</v>
      </c>
      <c r="AH382" s="505">
        <f t="shared" si="62"/>
        <v>2000000</v>
      </c>
      <c r="AI382" s="132"/>
      <c r="AJ382" s="75">
        <f t="shared" si="61"/>
        <v>0</v>
      </c>
      <c r="AK382" s="75"/>
      <c r="AL382" s="75"/>
      <c r="AM382" s="75"/>
      <c r="AN382" s="64" t="s">
        <v>39</v>
      </c>
      <c r="AO382" s="64"/>
      <c r="AP382" s="64"/>
      <c r="AQ382" s="189"/>
      <c r="AR382" s="64"/>
      <c r="AS382" s="476"/>
      <c r="AT382" s="64"/>
      <c r="AU382" s="646"/>
      <c r="AV382" s="123"/>
      <c r="AW382" s="65" t="s">
        <v>2830</v>
      </c>
    </row>
    <row r="383" spans="1:49" ht="23.45" hidden="1" customHeight="1" outlineLevel="4" x14ac:dyDescent="0.25">
      <c r="A383" s="63" t="str">
        <f t="shared" si="63"/>
        <v>1.3.1.9.9.64</v>
      </c>
      <c r="B383" s="64">
        <v>1</v>
      </c>
      <c r="C383" s="64">
        <v>3</v>
      </c>
      <c r="D383" s="64">
        <v>1</v>
      </c>
      <c r="E383" s="64">
        <v>9</v>
      </c>
      <c r="F383" s="64">
        <v>9</v>
      </c>
      <c r="G383" s="64">
        <v>64</v>
      </c>
      <c r="H383" s="65"/>
      <c r="I383" s="65"/>
      <c r="J383" s="66"/>
      <c r="K383" s="65" t="s">
        <v>421</v>
      </c>
      <c r="L383" s="64"/>
      <c r="M383" s="64"/>
      <c r="N383" s="64"/>
      <c r="O383" s="64"/>
      <c r="P383" s="69">
        <v>44930</v>
      </c>
      <c r="Q383" s="69">
        <v>45291</v>
      </c>
      <c r="R383" s="124"/>
      <c r="S383" s="123"/>
      <c r="T383" s="194"/>
      <c r="U383" s="75">
        <v>0</v>
      </c>
      <c r="V383" s="75"/>
      <c r="W383" s="75">
        <v>0</v>
      </c>
      <c r="X383" s="1122">
        <v>0</v>
      </c>
      <c r="Y383" s="75">
        <v>2000000</v>
      </c>
      <c r="Z383" s="75">
        <v>0</v>
      </c>
      <c r="AA383" s="1122">
        <v>0</v>
      </c>
      <c r="AB383" s="75">
        <v>0</v>
      </c>
      <c r="AC383" s="75">
        <v>0</v>
      </c>
      <c r="AD383" s="1122">
        <v>0</v>
      </c>
      <c r="AE383" s="75">
        <v>0</v>
      </c>
      <c r="AF383" s="75">
        <v>0</v>
      </c>
      <c r="AG383" s="1122">
        <v>0</v>
      </c>
      <c r="AH383" s="505">
        <f t="shared" si="62"/>
        <v>2000000</v>
      </c>
      <c r="AI383" s="132"/>
      <c r="AJ383" s="75">
        <f t="shared" si="61"/>
        <v>0</v>
      </c>
      <c r="AK383" s="75"/>
      <c r="AL383" s="75"/>
      <c r="AM383" s="75"/>
      <c r="AN383" s="64" t="s">
        <v>39</v>
      </c>
      <c r="AO383" s="64"/>
      <c r="AP383" s="64"/>
      <c r="AQ383" s="189"/>
      <c r="AR383" s="64"/>
      <c r="AS383" s="476"/>
      <c r="AT383" s="64"/>
      <c r="AU383" s="646"/>
      <c r="AV383" s="123"/>
      <c r="AW383" s="65" t="s">
        <v>2830</v>
      </c>
    </row>
    <row r="384" spans="1:49" ht="35.1" hidden="1" customHeight="1" outlineLevel="4" x14ac:dyDescent="0.25">
      <c r="A384" s="63" t="str">
        <f t="shared" si="63"/>
        <v>1.3.1.9.10.58</v>
      </c>
      <c r="B384" s="64">
        <v>1</v>
      </c>
      <c r="C384" s="64">
        <v>3</v>
      </c>
      <c r="D384" s="64">
        <v>1</v>
      </c>
      <c r="E384" s="64">
        <v>9</v>
      </c>
      <c r="F384" s="64">
        <v>10</v>
      </c>
      <c r="G384" s="64">
        <v>58</v>
      </c>
      <c r="H384" s="65"/>
      <c r="I384" s="65"/>
      <c r="J384" s="66"/>
      <c r="K384" s="86" t="s">
        <v>1840</v>
      </c>
      <c r="L384" s="64" t="s">
        <v>72</v>
      </c>
      <c r="M384" s="64" t="s">
        <v>422</v>
      </c>
      <c r="N384" s="64" t="s">
        <v>423</v>
      </c>
      <c r="O384" s="64" t="s">
        <v>246</v>
      </c>
      <c r="P384" s="69">
        <v>44930</v>
      </c>
      <c r="Q384" s="69">
        <v>45291</v>
      </c>
      <c r="R384" s="124"/>
      <c r="S384" s="123"/>
      <c r="T384" s="194"/>
      <c r="U384" s="75">
        <v>0</v>
      </c>
      <c r="V384" s="75"/>
      <c r="W384" s="75">
        <v>0</v>
      </c>
      <c r="X384" s="1122">
        <v>0</v>
      </c>
      <c r="Y384" s="75">
        <v>0</v>
      </c>
      <c r="Z384" s="75">
        <v>0</v>
      </c>
      <c r="AA384" s="1122">
        <v>0</v>
      </c>
      <c r="AB384" s="75">
        <v>0</v>
      </c>
      <c r="AC384" s="75">
        <v>0</v>
      </c>
      <c r="AD384" s="1122">
        <v>0</v>
      </c>
      <c r="AE384" s="75">
        <v>0</v>
      </c>
      <c r="AF384" s="75">
        <v>0</v>
      </c>
      <c r="AG384" s="1122">
        <v>0</v>
      </c>
      <c r="AH384" s="505">
        <f t="shared" si="62"/>
        <v>0</v>
      </c>
      <c r="AI384" s="132"/>
      <c r="AJ384" s="75">
        <f t="shared" si="61"/>
        <v>0</v>
      </c>
      <c r="AK384" s="75"/>
      <c r="AL384" s="75"/>
      <c r="AM384" s="75"/>
      <c r="AN384" s="64" t="s">
        <v>181</v>
      </c>
      <c r="AO384" s="64"/>
      <c r="AP384" s="64"/>
      <c r="AQ384" s="189"/>
      <c r="AR384" s="64"/>
      <c r="AS384" s="476"/>
      <c r="AT384" s="64"/>
      <c r="AU384" s="646"/>
      <c r="AV384" s="347"/>
      <c r="AW384" s="185"/>
    </row>
    <row r="385" spans="1:50" ht="23.45" hidden="1" customHeight="1" outlineLevel="4" x14ac:dyDescent="0.25">
      <c r="A385" s="63" t="str">
        <f t="shared" si="63"/>
        <v>1.3.1.9.10.59</v>
      </c>
      <c r="B385" s="64">
        <v>1</v>
      </c>
      <c r="C385" s="64">
        <v>3</v>
      </c>
      <c r="D385" s="64">
        <v>1</v>
      </c>
      <c r="E385" s="64">
        <v>9</v>
      </c>
      <c r="F385" s="64">
        <v>10</v>
      </c>
      <c r="G385" s="64">
        <v>59</v>
      </c>
      <c r="H385" s="65"/>
      <c r="I385" s="65"/>
      <c r="J385" s="66"/>
      <c r="K385" s="125" t="s">
        <v>1841</v>
      </c>
      <c r="L385" s="64"/>
      <c r="M385" s="64"/>
      <c r="N385" s="64"/>
      <c r="O385" s="64"/>
      <c r="P385" s="69">
        <v>44930</v>
      </c>
      <c r="Q385" s="69">
        <v>45291</v>
      </c>
      <c r="R385" s="124"/>
      <c r="S385" s="123"/>
      <c r="T385" s="194"/>
      <c r="U385" s="75">
        <v>0</v>
      </c>
      <c r="V385" s="75"/>
      <c r="W385" s="75">
        <v>0</v>
      </c>
      <c r="X385" s="1122">
        <v>0</v>
      </c>
      <c r="Y385" s="75">
        <v>0</v>
      </c>
      <c r="Z385" s="75">
        <v>0</v>
      </c>
      <c r="AA385" s="1122">
        <v>0</v>
      </c>
      <c r="AB385" s="75">
        <v>0</v>
      </c>
      <c r="AC385" s="75">
        <v>0</v>
      </c>
      <c r="AD385" s="1122">
        <v>0</v>
      </c>
      <c r="AE385" s="75">
        <v>0</v>
      </c>
      <c r="AF385" s="75">
        <v>0</v>
      </c>
      <c r="AG385" s="1122">
        <v>0</v>
      </c>
      <c r="AH385" s="505">
        <f t="shared" si="62"/>
        <v>0</v>
      </c>
      <c r="AI385" s="132"/>
      <c r="AJ385" s="75">
        <f t="shared" ref="AJ385:AJ448" si="66">+W386+Z386+AC386+AF386</f>
        <v>0</v>
      </c>
      <c r="AK385" s="75"/>
      <c r="AL385" s="75"/>
      <c r="AM385" s="75"/>
      <c r="AN385" s="64" t="s">
        <v>181</v>
      </c>
      <c r="AO385" s="64"/>
      <c r="AP385" s="64"/>
      <c r="AQ385" s="189"/>
      <c r="AR385" s="64"/>
      <c r="AS385" s="476"/>
      <c r="AT385" s="64"/>
      <c r="AU385" s="646"/>
      <c r="AV385" s="347"/>
      <c r="AW385" s="185"/>
    </row>
    <row r="386" spans="1:50" ht="23.45" hidden="1" customHeight="1" outlineLevel="4" x14ac:dyDescent="0.25">
      <c r="A386" s="63" t="str">
        <f t="shared" si="63"/>
        <v>1.3.1.9.10.60</v>
      </c>
      <c r="B386" s="64">
        <v>1</v>
      </c>
      <c r="C386" s="64">
        <v>3</v>
      </c>
      <c r="D386" s="64">
        <v>1</v>
      </c>
      <c r="E386" s="64">
        <v>9</v>
      </c>
      <c r="F386" s="64">
        <v>10</v>
      </c>
      <c r="G386" s="64">
        <v>60</v>
      </c>
      <c r="H386" s="65"/>
      <c r="I386" s="65"/>
      <c r="J386" s="66"/>
      <c r="K386" s="125" t="s">
        <v>1842</v>
      </c>
      <c r="L386" s="64"/>
      <c r="M386" s="64"/>
      <c r="N386" s="64"/>
      <c r="O386" s="64"/>
      <c r="P386" s="69">
        <v>44930</v>
      </c>
      <c r="Q386" s="69">
        <v>45291</v>
      </c>
      <c r="R386" s="124"/>
      <c r="S386" s="123"/>
      <c r="T386" s="194"/>
      <c r="U386" s="75">
        <v>0</v>
      </c>
      <c r="V386" s="75"/>
      <c r="W386" s="75">
        <v>0</v>
      </c>
      <c r="X386" s="1122">
        <v>0</v>
      </c>
      <c r="Y386" s="75">
        <v>0</v>
      </c>
      <c r="Z386" s="75">
        <v>0</v>
      </c>
      <c r="AA386" s="1122">
        <v>0</v>
      </c>
      <c r="AB386" s="75">
        <v>0</v>
      </c>
      <c r="AC386" s="75">
        <v>0</v>
      </c>
      <c r="AD386" s="1122">
        <v>0</v>
      </c>
      <c r="AE386" s="75">
        <v>0</v>
      </c>
      <c r="AF386" s="75">
        <v>0</v>
      </c>
      <c r="AG386" s="1122">
        <v>0</v>
      </c>
      <c r="AH386" s="505">
        <f t="shared" ref="AH386:AH449" si="67">+U386+Y386+AB386+AE386</f>
        <v>0</v>
      </c>
      <c r="AI386" s="132"/>
      <c r="AJ386" s="75">
        <f t="shared" si="66"/>
        <v>0</v>
      </c>
      <c r="AK386" s="75"/>
      <c r="AL386" s="75"/>
      <c r="AM386" s="75"/>
      <c r="AN386" s="64" t="s">
        <v>181</v>
      </c>
      <c r="AO386" s="64"/>
      <c r="AP386" s="64"/>
      <c r="AQ386" s="189"/>
      <c r="AR386" s="64"/>
      <c r="AS386" s="476"/>
      <c r="AT386" s="64"/>
      <c r="AU386" s="646"/>
      <c r="AV386" s="347"/>
      <c r="AW386" s="185"/>
    </row>
    <row r="387" spans="1:50" ht="23.45" hidden="1" customHeight="1" outlineLevel="4" x14ac:dyDescent="0.25">
      <c r="A387" s="63" t="str">
        <f t="shared" si="63"/>
        <v>1.3.1.9.10.61</v>
      </c>
      <c r="B387" s="64">
        <v>1</v>
      </c>
      <c r="C387" s="64">
        <v>3</v>
      </c>
      <c r="D387" s="64">
        <v>1</v>
      </c>
      <c r="E387" s="64">
        <v>9</v>
      </c>
      <c r="F387" s="64">
        <v>10</v>
      </c>
      <c r="G387" s="64">
        <v>61</v>
      </c>
      <c r="H387" s="65"/>
      <c r="I387" s="65"/>
      <c r="J387" s="66"/>
      <c r="K387" s="125" t="s">
        <v>1843</v>
      </c>
      <c r="L387" s="64"/>
      <c r="M387" s="64"/>
      <c r="N387" s="64"/>
      <c r="O387" s="64"/>
      <c r="P387" s="69">
        <v>44930</v>
      </c>
      <c r="Q387" s="69">
        <v>45291</v>
      </c>
      <c r="R387" s="124"/>
      <c r="S387" s="123"/>
      <c r="T387" s="194"/>
      <c r="U387" s="75">
        <v>0</v>
      </c>
      <c r="V387" s="75"/>
      <c r="W387" s="75">
        <v>0</v>
      </c>
      <c r="X387" s="1122">
        <v>0</v>
      </c>
      <c r="Y387" s="75">
        <v>0</v>
      </c>
      <c r="Z387" s="75">
        <v>0</v>
      </c>
      <c r="AA387" s="1122">
        <v>0</v>
      </c>
      <c r="AB387" s="75">
        <v>0</v>
      </c>
      <c r="AC387" s="75">
        <v>0</v>
      </c>
      <c r="AD387" s="1122">
        <v>0</v>
      </c>
      <c r="AE387" s="75">
        <v>0</v>
      </c>
      <c r="AF387" s="75">
        <v>0</v>
      </c>
      <c r="AG387" s="1122">
        <v>0</v>
      </c>
      <c r="AH387" s="505">
        <f t="shared" si="67"/>
        <v>0</v>
      </c>
      <c r="AI387" s="132"/>
      <c r="AJ387" s="75">
        <f t="shared" si="66"/>
        <v>0</v>
      </c>
      <c r="AK387" s="75"/>
      <c r="AL387" s="75"/>
      <c r="AM387" s="75"/>
      <c r="AN387" s="64" t="s">
        <v>181</v>
      </c>
      <c r="AO387" s="64"/>
      <c r="AP387" s="64"/>
      <c r="AQ387" s="189"/>
      <c r="AR387" s="64"/>
      <c r="AS387" s="476"/>
      <c r="AT387" s="64"/>
      <c r="AU387" s="646"/>
      <c r="AV387" s="347"/>
      <c r="AW387" s="185"/>
    </row>
    <row r="388" spans="1:50" ht="23.45" hidden="1" customHeight="1" outlineLevel="4" x14ac:dyDescent="0.25">
      <c r="A388" s="63" t="str">
        <f t="shared" si="63"/>
        <v>1.3.1.9.10.62</v>
      </c>
      <c r="B388" s="64">
        <v>1</v>
      </c>
      <c r="C388" s="64">
        <v>3</v>
      </c>
      <c r="D388" s="64">
        <v>1</v>
      </c>
      <c r="E388" s="64">
        <v>9</v>
      </c>
      <c r="F388" s="64">
        <v>10</v>
      </c>
      <c r="G388" s="64">
        <v>62</v>
      </c>
      <c r="H388" s="65"/>
      <c r="I388" s="65"/>
      <c r="J388" s="66"/>
      <c r="K388" s="125" t="s">
        <v>1844</v>
      </c>
      <c r="L388" s="64"/>
      <c r="M388" s="64"/>
      <c r="N388" s="64"/>
      <c r="O388" s="64"/>
      <c r="P388" s="69">
        <v>44930</v>
      </c>
      <c r="Q388" s="69">
        <v>45291</v>
      </c>
      <c r="R388" s="124"/>
      <c r="S388" s="123"/>
      <c r="T388" s="194"/>
      <c r="U388" s="75">
        <v>0</v>
      </c>
      <c r="V388" s="75"/>
      <c r="W388" s="75">
        <v>0</v>
      </c>
      <c r="X388" s="1122">
        <v>0</v>
      </c>
      <c r="Y388" s="75">
        <v>0</v>
      </c>
      <c r="Z388" s="75">
        <v>0</v>
      </c>
      <c r="AA388" s="1122">
        <v>0</v>
      </c>
      <c r="AB388" s="75">
        <v>0</v>
      </c>
      <c r="AC388" s="75">
        <v>0</v>
      </c>
      <c r="AD388" s="1122">
        <v>0</v>
      </c>
      <c r="AE388" s="75">
        <v>0</v>
      </c>
      <c r="AF388" s="75">
        <v>0</v>
      </c>
      <c r="AG388" s="1122">
        <v>0</v>
      </c>
      <c r="AH388" s="505">
        <f t="shared" si="67"/>
        <v>0</v>
      </c>
      <c r="AI388" s="132"/>
      <c r="AJ388" s="75">
        <f t="shared" si="66"/>
        <v>0</v>
      </c>
      <c r="AK388" s="75"/>
      <c r="AL388" s="75"/>
      <c r="AM388" s="75"/>
      <c r="AN388" s="64" t="s">
        <v>181</v>
      </c>
      <c r="AO388" s="64"/>
      <c r="AP388" s="64"/>
      <c r="AQ388" s="189"/>
      <c r="AR388" s="64"/>
      <c r="AS388" s="476"/>
      <c r="AT388" s="64"/>
      <c r="AU388" s="646"/>
      <c r="AV388" s="347"/>
      <c r="AW388" s="185"/>
    </row>
    <row r="389" spans="1:50" ht="23.45" hidden="1" customHeight="1" outlineLevel="4" x14ac:dyDescent="0.25">
      <c r="A389" s="63" t="str">
        <f t="shared" si="63"/>
        <v>1.3.1.9.10.63</v>
      </c>
      <c r="B389" s="64">
        <v>1</v>
      </c>
      <c r="C389" s="64">
        <v>3</v>
      </c>
      <c r="D389" s="64">
        <v>1</v>
      </c>
      <c r="E389" s="64">
        <v>9</v>
      </c>
      <c r="F389" s="64">
        <v>10</v>
      </c>
      <c r="G389" s="64">
        <v>63</v>
      </c>
      <c r="H389" s="65"/>
      <c r="I389" s="65"/>
      <c r="J389" s="66"/>
      <c r="K389" s="125" t="s">
        <v>1845</v>
      </c>
      <c r="L389" s="64" t="s">
        <v>72</v>
      </c>
      <c r="M389" s="64" t="s">
        <v>424</v>
      </c>
      <c r="N389" s="64" t="s">
        <v>360</v>
      </c>
      <c r="O389" s="64" t="s">
        <v>425</v>
      </c>
      <c r="P389" s="69">
        <v>44927</v>
      </c>
      <c r="Q389" s="69">
        <v>45291</v>
      </c>
      <c r="R389" s="124"/>
      <c r="S389" s="123"/>
      <c r="T389" s="194"/>
      <c r="U389" s="75">
        <v>0</v>
      </c>
      <c r="V389" s="75"/>
      <c r="W389" s="75">
        <v>0</v>
      </c>
      <c r="X389" s="1122">
        <v>0</v>
      </c>
      <c r="Y389" s="75">
        <v>0</v>
      </c>
      <c r="Z389" s="75">
        <v>0</v>
      </c>
      <c r="AA389" s="1122">
        <v>0</v>
      </c>
      <c r="AB389" s="75">
        <v>0</v>
      </c>
      <c r="AC389" s="75">
        <v>0</v>
      </c>
      <c r="AD389" s="1122">
        <v>0</v>
      </c>
      <c r="AE389" s="75">
        <v>0</v>
      </c>
      <c r="AF389" s="75">
        <v>0</v>
      </c>
      <c r="AG389" s="1122">
        <v>0</v>
      </c>
      <c r="AH389" s="505">
        <f t="shared" si="67"/>
        <v>0</v>
      </c>
      <c r="AI389" s="132"/>
      <c r="AJ389" s="75">
        <f t="shared" si="66"/>
        <v>0</v>
      </c>
      <c r="AK389" s="75"/>
      <c r="AL389" s="75"/>
      <c r="AM389" s="75"/>
      <c r="AN389" s="64" t="s">
        <v>181</v>
      </c>
      <c r="AO389" s="64"/>
      <c r="AP389" s="64"/>
      <c r="AQ389" s="189"/>
      <c r="AR389" s="64"/>
      <c r="AS389" s="476"/>
      <c r="AT389" s="64"/>
      <c r="AU389" s="646"/>
      <c r="AV389" s="347" t="s">
        <v>426</v>
      </c>
      <c r="AW389" s="335"/>
    </row>
    <row r="390" spans="1:50" ht="23.45" hidden="1" customHeight="1" outlineLevel="4" x14ac:dyDescent="0.25">
      <c r="A390" s="63" t="str">
        <f t="shared" si="63"/>
        <v>1.3.1.9.10.64</v>
      </c>
      <c r="B390" s="64">
        <v>1</v>
      </c>
      <c r="C390" s="64">
        <v>3</v>
      </c>
      <c r="D390" s="64">
        <v>1</v>
      </c>
      <c r="E390" s="64">
        <v>9</v>
      </c>
      <c r="F390" s="64">
        <v>10</v>
      </c>
      <c r="G390" s="64">
        <v>64</v>
      </c>
      <c r="H390" s="65"/>
      <c r="I390" s="65"/>
      <c r="J390" s="66"/>
      <c r="K390" s="125" t="s">
        <v>1846</v>
      </c>
      <c r="L390" s="64"/>
      <c r="M390" s="64"/>
      <c r="N390" s="64"/>
      <c r="O390" s="64"/>
      <c r="P390" s="64"/>
      <c r="Q390" s="64"/>
      <c r="R390" s="124"/>
      <c r="S390" s="123"/>
      <c r="T390" s="194"/>
      <c r="U390" s="75">
        <v>0</v>
      </c>
      <c r="V390" s="75"/>
      <c r="W390" s="75">
        <v>0</v>
      </c>
      <c r="X390" s="1122">
        <v>0</v>
      </c>
      <c r="Y390" s="75">
        <v>0</v>
      </c>
      <c r="Z390" s="75">
        <v>0</v>
      </c>
      <c r="AA390" s="1122">
        <v>0</v>
      </c>
      <c r="AB390" s="75">
        <v>0</v>
      </c>
      <c r="AC390" s="75">
        <v>0</v>
      </c>
      <c r="AD390" s="1122">
        <v>0</v>
      </c>
      <c r="AE390" s="75">
        <v>0</v>
      </c>
      <c r="AF390" s="75">
        <v>0</v>
      </c>
      <c r="AG390" s="1122">
        <v>0</v>
      </c>
      <c r="AH390" s="505">
        <f t="shared" si="67"/>
        <v>0</v>
      </c>
      <c r="AI390" s="132"/>
      <c r="AJ390" s="75">
        <f t="shared" si="66"/>
        <v>0</v>
      </c>
      <c r="AK390" s="75"/>
      <c r="AL390" s="75"/>
      <c r="AM390" s="75"/>
      <c r="AN390" s="64" t="s">
        <v>181</v>
      </c>
      <c r="AO390" s="64"/>
      <c r="AP390" s="64"/>
      <c r="AQ390" s="189"/>
      <c r="AR390" s="64"/>
      <c r="AS390" s="476"/>
      <c r="AT390" s="64"/>
      <c r="AU390" s="646"/>
      <c r="AV390" s="347"/>
      <c r="AW390" s="185"/>
    </row>
    <row r="391" spans="1:50" ht="35.450000000000003" hidden="1" customHeight="1" outlineLevel="4" x14ac:dyDescent="0.25">
      <c r="A391" s="63" t="str">
        <f t="shared" si="63"/>
        <v>1.3.1.9.11.58</v>
      </c>
      <c r="B391" s="64">
        <v>1</v>
      </c>
      <c r="C391" s="64">
        <v>3</v>
      </c>
      <c r="D391" s="64">
        <v>1</v>
      </c>
      <c r="E391" s="64">
        <v>9</v>
      </c>
      <c r="F391" s="64">
        <v>11</v>
      </c>
      <c r="G391" s="100">
        <v>58</v>
      </c>
      <c r="H391" s="65"/>
      <c r="I391" s="65"/>
      <c r="J391" s="66"/>
      <c r="K391" s="67" t="s">
        <v>427</v>
      </c>
      <c r="L391" s="64" t="s">
        <v>359</v>
      </c>
      <c r="M391" s="64" t="s">
        <v>73</v>
      </c>
      <c r="N391" s="64" t="s">
        <v>74</v>
      </c>
      <c r="O391" s="64" t="s">
        <v>367</v>
      </c>
      <c r="P391" s="69" t="s">
        <v>428</v>
      </c>
      <c r="Q391" s="69">
        <v>45256</v>
      </c>
      <c r="R391" s="124" t="s">
        <v>429</v>
      </c>
      <c r="S391" s="123" t="s">
        <v>248</v>
      </c>
      <c r="T391" s="194">
        <v>0</v>
      </c>
      <c r="U391" s="75">
        <f>125000000/7</f>
        <v>17857142.857142858</v>
      </c>
      <c r="V391" s="75"/>
      <c r="W391" s="75">
        <v>0</v>
      </c>
      <c r="X391" s="1122">
        <v>0</v>
      </c>
      <c r="Y391" s="75">
        <v>17857142.859999999</v>
      </c>
      <c r="Z391" s="75">
        <v>0</v>
      </c>
      <c r="AA391" s="1122">
        <v>0</v>
      </c>
      <c r="AB391" s="75">
        <v>5939995.7400000002</v>
      </c>
      <c r="AC391" s="75">
        <v>0</v>
      </c>
      <c r="AD391" s="1122">
        <v>0</v>
      </c>
      <c r="AE391" s="75">
        <v>0</v>
      </c>
      <c r="AF391" s="75">
        <v>0</v>
      </c>
      <c r="AG391" s="1122">
        <v>0</v>
      </c>
      <c r="AH391" s="505">
        <f t="shared" si="67"/>
        <v>41654281.45714286</v>
      </c>
      <c r="AI391" s="132"/>
      <c r="AJ391" s="75">
        <f t="shared" si="66"/>
        <v>0</v>
      </c>
      <c r="AK391" s="75"/>
      <c r="AL391" s="75"/>
      <c r="AM391" s="75"/>
      <c r="AN391" s="64" t="s">
        <v>39</v>
      </c>
      <c r="AO391" s="165" t="s">
        <v>1819</v>
      </c>
      <c r="AP391" s="146" t="s">
        <v>2591</v>
      </c>
      <c r="AQ391" s="413"/>
      <c r="AR391" s="64">
        <v>2017</v>
      </c>
      <c r="AS391" s="475">
        <v>2022</v>
      </c>
      <c r="AT391" s="64" t="s">
        <v>2029</v>
      </c>
      <c r="AU391" s="1100"/>
      <c r="AV391" s="1098"/>
      <c r="AW391" s="1268" t="s">
        <v>2832</v>
      </c>
    </row>
    <row r="392" spans="1:50" ht="35.450000000000003" hidden="1" customHeight="1" outlineLevel="4" x14ac:dyDescent="0.25">
      <c r="A392" s="63" t="str">
        <f t="shared" si="63"/>
        <v>1.3.1.9.11.59</v>
      </c>
      <c r="B392" s="64">
        <v>1</v>
      </c>
      <c r="C392" s="64">
        <v>3</v>
      </c>
      <c r="D392" s="64">
        <v>1</v>
      </c>
      <c r="E392" s="64">
        <v>9</v>
      </c>
      <c r="F392" s="64">
        <v>11</v>
      </c>
      <c r="G392" s="100">
        <v>59</v>
      </c>
      <c r="H392" s="65"/>
      <c r="I392" s="65"/>
      <c r="J392" s="66"/>
      <c r="K392" s="67" t="s">
        <v>430</v>
      </c>
      <c r="L392" s="64" t="s">
        <v>359</v>
      </c>
      <c r="M392" s="64" t="s">
        <v>535</v>
      </c>
      <c r="N392" s="64" t="s">
        <v>226</v>
      </c>
      <c r="O392" s="64" t="s">
        <v>341</v>
      </c>
      <c r="P392" s="69">
        <v>44593</v>
      </c>
      <c r="Q392" s="69">
        <v>44891</v>
      </c>
      <c r="R392" s="124" t="s">
        <v>1920</v>
      </c>
      <c r="S392" s="123" t="s">
        <v>248</v>
      </c>
      <c r="T392" s="194">
        <v>0</v>
      </c>
      <c r="U392" s="75">
        <v>17857142.859999999</v>
      </c>
      <c r="V392" s="75"/>
      <c r="W392" s="75">
        <v>0</v>
      </c>
      <c r="X392" s="1122">
        <v>0</v>
      </c>
      <c r="Y392" s="75">
        <v>17857142.859999999</v>
      </c>
      <c r="Z392" s="75">
        <v>0</v>
      </c>
      <c r="AA392" s="1122">
        <v>0</v>
      </c>
      <c r="AB392" s="75">
        <v>5939995.7400000002</v>
      </c>
      <c r="AC392" s="75">
        <v>0</v>
      </c>
      <c r="AD392" s="1122">
        <v>0</v>
      </c>
      <c r="AE392" s="75">
        <v>0</v>
      </c>
      <c r="AF392" s="75">
        <v>0</v>
      </c>
      <c r="AG392" s="1122">
        <v>0</v>
      </c>
      <c r="AH392" s="505">
        <f t="shared" si="67"/>
        <v>41654281.460000001</v>
      </c>
      <c r="AI392" s="132"/>
      <c r="AJ392" s="75">
        <f t="shared" si="66"/>
        <v>0</v>
      </c>
      <c r="AK392" s="75"/>
      <c r="AL392" s="75"/>
      <c r="AM392" s="75"/>
      <c r="AN392" s="64" t="s">
        <v>39</v>
      </c>
      <c r="AO392" s="165" t="s">
        <v>1819</v>
      </c>
      <c r="AP392" s="146" t="s">
        <v>2591</v>
      </c>
      <c r="AQ392" s="413"/>
      <c r="AR392" s="64">
        <v>2017</v>
      </c>
      <c r="AS392" s="475">
        <v>2022</v>
      </c>
      <c r="AT392" s="64" t="s">
        <v>2029</v>
      </c>
      <c r="AU392" s="1043"/>
      <c r="AV392" s="1098"/>
      <c r="AW392" s="1268"/>
      <c r="AX392" s="2" t="s">
        <v>431</v>
      </c>
    </row>
    <row r="393" spans="1:50" ht="35.450000000000003" hidden="1" customHeight="1" outlineLevel="4" x14ac:dyDescent="0.25">
      <c r="A393" s="63" t="str">
        <f t="shared" si="63"/>
        <v>1.3.1.9.11.60</v>
      </c>
      <c r="B393" s="64">
        <v>1</v>
      </c>
      <c r="C393" s="64">
        <v>3</v>
      </c>
      <c r="D393" s="64">
        <v>1</v>
      </c>
      <c r="E393" s="64">
        <v>9</v>
      </c>
      <c r="F393" s="64">
        <v>11</v>
      </c>
      <c r="G393" s="100">
        <v>60</v>
      </c>
      <c r="H393" s="65"/>
      <c r="I393" s="65"/>
      <c r="J393" s="66"/>
      <c r="K393" s="67" t="s">
        <v>432</v>
      </c>
      <c r="L393" s="64" t="s">
        <v>359</v>
      </c>
      <c r="M393" s="64"/>
      <c r="N393" s="64"/>
      <c r="O393" s="64"/>
      <c r="P393" s="69">
        <v>45017</v>
      </c>
      <c r="Q393" s="69">
        <v>45242</v>
      </c>
      <c r="R393" s="124" t="s">
        <v>429</v>
      </c>
      <c r="S393" s="123" t="s">
        <v>248</v>
      </c>
      <c r="T393" s="194">
        <v>5000</v>
      </c>
      <c r="U393" s="75">
        <v>17857142.859999999</v>
      </c>
      <c r="V393" s="75"/>
      <c r="W393" s="75">
        <v>0</v>
      </c>
      <c r="X393" s="1122">
        <v>0</v>
      </c>
      <c r="Y393" s="75">
        <v>17857142.859999999</v>
      </c>
      <c r="Z393" s="75">
        <v>0</v>
      </c>
      <c r="AA393" s="1122">
        <v>0</v>
      </c>
      <c r="AB393" s="75">
        <v>5939995.7400000002</v>
      </c>
      <c r="AC393" s="75">
        <v>0</v>
      </c>
      <c r="AD393" s="1122">
        <v>0</v>
      </c>
      <c r="AE393" s="75">
        <v>0</v>
      </c>
      <c r="AF393" s="75">
        <v>0</v>
      </c>
      <c r="AG393" s="1122">
        <v>0</v>
      </c>
      <c r="AH393" s="505">
        <f t="shared" si="67"/>
        <v>41654281.460000001</v>
      </c>
      <c r="AI393" s="132"/>
      <c r="AJ393" s="75">
        <f t="shared" si="66"/>
        <v>0</v>
      </c>
      <c r="AK393" s="75"/>
      <c r="AL393" s="75"/>
      <c r="AM393" s="75"/>
      <c r="AN393" s="64" t="s">
        <v>39</v>
      </c>
      <c r="AO393" s="165" t="s">
        <v>1819</v>
      </c>
      <c r="AP393" s="146" t="s">
        <v>2591</v>
      </c>
      <c r="AQ393" s="413"/>
      <c r="AR393" s="64">
        <v>2017</v>
      </c>
      <c r="AS393" s="475">
        <v>2022</v>
      </c>
      <c r="AT393" s="64" t="s">
        <v>2029</v>
      </c>
      <c r="AU393" s="1043"/>
      <c r="AV393" s="347"/>
      <c r="AW393" s="1268"/>
      <c r="AX393" s="2" t="s">
        <v>433</v>
      </c>
    </row>
    <row r="394" spans="1:50" ht="35.450000000000003" hidden="1" customHeight="1" outlineLevel="4" x14ac:dyDescent="0.25">
      <c r="A394" s="63" t="str">
        <f>CONCATENATE(B394,".",C394,".",D394,".",E394,".",F394,".",G394)</f>
        <v>1.3.1.9.11.61</v>
      </c>
      <c r="B394" s="64">
        <v>1</v>
      </c>
      <c r="C394" s="64">
        <v>3</v>
      </c>
      <c r="D394" s="64">
        <v>1</v>
      </c>
      <c r="E394" s="64">
        <v>9</v>
      </c>
      <c r="F394" s="64">
        <v>11</v>
      </c>
      <c r="G394" s="100">
        <v>61</v>
      </c>
      <c r="H394" s="65"/>
      <c r="I394" s="65"/>
      <c r="J394" s="66"/>
      <c r="K394" s="67" t="s">
        <v>434</v>
      </c>
      <c r="L394" s="64" t="s">
        <v>359</v>
      </c>
      <c r="M394" s="64"/>
      <c r="N394" s="64"/>
      <c r="O394" s="64"/>
      <c r="P394" s="69">
        <v>45017</v>
      </c>
      <c r="Q394" s="69">
        <v>45242</v>
      </c>
      <c r="R394" s="124" t="s">
        <v>1920</v>
      </c>
      <c r="S394" s="123" t="s">
        <v>248</v>
      </c>
      <c r="T394" s="194">
        <v>0</v>
      </c>
      <c r="U394" s="75">
        <v>17857142.859999999</v>
      </c>
      <c r="V394" s="75"/>
      <c r="W394" s="75">
        <v>0</v>
      </c>
      <c r="X394" s="1122">
        <v>0</v>
      </c>
      <c r="Y394" s="75">
        <v>17857142.859999999</v>
      </c>
      <c r="Z394" s="75">
        <v>0</v>
      </c>
      <c r="AA394" s="1122">
        <v>0</v>
      </c>
      <c r="AB394" s="75">
        <v>5939995.7400000002</v>
      </c>
      <c r="AC394" s="75">
        <v>0</v>
      </c>
      <c r="AD394" s="1122">
        <v>0</v>
      </c>
      <c r="AE394" s="75">
        <v>0</v>
      </c>
      <c r="AF394" s="75">
        <v>0</v>
      </c>
      <c r="AG394" s="1122">
        <v>0</v>
      </c>
      <c r="AH394" s="505">
        <f t="shared" si="67"/>
        <v>41654281.460000001</v>
      </c>
      <c r="AI394" s="132"/>
      <c r="AJ394" s="75">
        <f t="shared" si="66"/>
        <v>0</v>
      </c>
      <c r="AK394" s="75"/>
      <c r="AL394" s="75"/>
      <c r="AM394" s="75"/>
      <c r="AN394" s="64" t="s">
        <v>39</v>
      </c>
      <c r="AO394" s="165" t="s">
        <v>1819</v>
      </c>
      <c r="AP394" s="146" t="s">
        <v>2591</v>
      </c>
      <c r="AQ394" s="413"/>
      <c r="AR394" s="64">
        <v>2017</v>
      </c>
      <c r="AS394" s="475">
        <v>2022</v>
      </c>
      <c r="AT394" s="64" t="s">
        <v>2029</v>
      </c>
      <c r="AU394" s="1043"/>
      <c r="AV394" s="347"/>
      <c r="AW394" s="1268"/>
      <c r="AX394" s="2" t="s">
        <v>435</v>
      </c>
    </row>
    <row r="395" spans="1:50" ht="30" hidden="1" outlineLevel="4" x14ac:dyDescent="0.25">
      <c r="A395" s="63" t="str">
        <f t="shared" si="63"/>
        <v>1.3.1.9.11.62</v>
      </c>
      <c r="B395" s="64">
        <v>1</v>
      </c>
      <c r="C395" s="64">
        <v>3</v>
      </c>
      <c r="D395" s="64">
        <v>1</v>
      </c>
      <c r="E395" s="64">
        <v>9</v>
      </c>
      <c r="F395" s="64">
        <v>11</v>
      </c>
      <c r="G395" s="100">
        <v>62</v>
      </c>
      <c r="H395" s="65"/>
      <c r="I395" s="65"/>
      <c r="J395" s="66"/>
      <c r="K395" s="67" t="s">
        <v>1730</v>
      </c>
      <c r="L395" s="64" t="s">
        <v>359</v>
      </c>
      <c r="M395" s="64"/>
      <c r="N395" s="64"/>
      <c r="O395" s="64"/>
      <c r="P395" s="69">
        <v>45017</v>
      </c>
      <c r="Q395" s="69">
        <v>45242</v>
      </c>
      <c r="R395" s="124" t="s">
        <v>429</v>
      </c>
      <c r="S395" s="123" t="s">
        <v>248</v>
      </c>
      <c r="T395" s="194">
        <v>0</v>
      </c>
      <c r="U395" s="75">
        <v>17857142.859999999</v>
      </c>
      <c r="V395" s="75"/>
      <c r="W395" s="75">
        <v>0</v>
      </c>
      <c r="X395" s="1122">
        <v>0</v>
      </c>
      <c r="Y395" s="75">
        <v>17857142.859999999</v>
      </c>
      <c r="Z395" s="75">
        <v>0</v>
      </c>
      <c r="AA395" s="1122">
        <v>0</v>
      </c>
      <c r="AB395" s="75">
        <v>5939995.7400000002</v>
      </c>
      <c r="AC395" s="75">
        <v>0</v>
      </c>
      <c r="AD395" s="1122">
        <v>0</v>
      </c>
      <c r="AE395" s="75">
        <v>0</v>
      </c>
      <c r="AF395" s="75">
        <v>0</v>
      </c>
      <c r="AG395" s="1122">
        <v>0</v>
      </c>
      <c r="AH395" s="505">
        <f t="shared" si="67"/>
        <v>41654281.460000001</v>
      </c>
      <c r="AI395" s="132"/>
      <c r="AJ395" s="75">
        <f t="shared" si="66"/>
        <v>0</v>
      </c>
      <c r="AK395" s="75"/>
      <c r="AL395" s="75"/>
      <c r="AM395" s="75"/>
      <c r="AN395" s="64" t="s">
        <v>39</v>
      </c>
      <c r="AO395" s="165" t="s">
        <v>1819</v>
      </c>
      <c r="AP395" s="146" t="s">
        <v>2591</v>
      </c>
      <c r="AQ395" s="413"/>
      <c r="AR395" s="64">
        <v>2017</v>
      </c>
      <c r="AS395" s="475">
        <v>2022</v>
      </c>
      <c r="AT395" s="64" t="s">
        <v>2029</v>
      </c>
      <c r="AU395" s="1043"/>
      <c r="AV395" s="347"/>
      <c r="AW395" s="1268"/>
    </row>
    <row r="396" spans="1:50" ht="30" hidden="1" outlineLevel="4" x14ac:dyDescent="0.25">
      <c r="A396" s="63" t="str">
        <f t="shared" si="63"/>
        <v>1.3.1.9.11.63</v>
      </c>
      <c r="B396" s="64">
        <v>1</v>
      </c>
      <c r="C396" s="64">
        <v>3</v>
      </c>
      <c r="D396" s="64">
        <v>1</v>
      </c>
      <c r="E396" s="64">
        <v>9</v>
      </c>
      <c r="F396" s="64">
        <v>11</v>
      </c>
      <c r="G396" s="100">
        <v>63</v>
      </c>
      <c r="H396" s="65"/>
      <c r="I396" s="65"/>
      <c r="J396" s="66"/>
      <c r="K396" s="67" t="s">
        <v>436</v>
      </c>
      <c r="L396" s="64" t="s">
        <v>359</v>
      </c>
      <c r="M396" s="64" t="s">
        <v>437</v>
      </c>
      <c r="N396" s="64" t="s">
        <v>226</v>
      </c>
      <c r="O396" s="64" t="s">
        <v>236</v>
      </c>
      <c r="P396" s="69">
        <v>45017</v>
      </c>
      <c r="Q396" s="69">
        <v>45256</v>
      </c>
      <c r="R396" s="124" t="s">
        <v>429</v>
      </c>
      <c r="S396" s="123" t="s">
        <v>248</v>
      </c>
      <c r="T396" s="194">
        <v>0</v>
      </c>
      <c r="U396" s="75">
        <v>17857142.859999999</v>
      </c>
      <c r="V396" s="75"/>
      <c r="W396" s="75">
        <v>0</v>
      </c>
      <c r="X396" s="1122">
        <v>0</v>
      </c>
      <c r="Y396" s="75">
        <v>17857142.859999999</v>
      </c>
      <c r="Z396" s="75">
        <v>0</v>
      </c>
      <c r="AA396" s="1122">
        <v>0</v>
      </c>
      <c r="AB396" s="75">
        <v>5939995.7400000002</v>
      </c>
      <c r="AC396" s="75">
        <v>0</v>
      </c>
      <c r="AD396" s="1122">
        <v>0</v>
      </c>
      <c r="AE396" s="75">
        <v>0</v>
      </c>
      <c r="AF396" s="75">
        <v>0</v>
      </c>
      <c r="AG396" s="1122">
        <v>0</v>
      </c>
      <c r="AH396" s="505">
        <f t="shared" si="67"/>
        <v>41654281.460000001</v>
      </c>
      <c r="AI396" s="132"/>
      <c r="AJ396" s="75">
        <f t="shared" si="66"/>
        <v>0</v>
      </c>
      <c r="AK396" s="75"/>
      <c r="AL396" s="75"/>
      <c r="AM396" s="75"/>
      <c r="AN396" s="64" t="s">
        <v>39</v>
      </c>
      <c r="AO396" s="165" t="s">
        <v>1819</v>
      </c>
      <c r="AP396" s="146" t="s">
        <v>2591</v>
      </c>
      <c r="AQ396" s="413"/>
      <c r="AR396" s="64">
        <v>2017</v>
      </c>
      <c r="AS396" s="475">
        <v>2022</v>
      </c>
      <c r="AT396" s="64" t="s">
        <v>2029</v>
      </c>
      <c r="AU396" s="964"/>
      <c r="AV396" s="347"/>
      <c r="AW396" s="1268"/>
    </row>
    <row r="397" spans="1:50" ht="36.6" hidden="1" customHeight="1" outlineLevel="4" x14ac:dyDescent="0.25">
      <c r="A397" s="63" t="str">
        <f t="shared" si="63"/>
        <v>1.3.1.9.11.64</v>
      </c>
      <c r="B397" s="64">
        <v>1</v>
      </c>
      <c r="C397" s="64">
        <v>3</v>
      </c>
      <c r="D397" s="64">
        <v>1</v>
      </c>
      <c r="E397" s="64">
        <v>9</v>
      </c>
      <c r="F397" s="64">
        <v>11</v>
      </c>
      <c r="G397" s="100">
        <v>64</v>
      </c>
      <c r="H397" s="65"/>
      <c r="I397" s="65"/>
      <c r="J397" s="66"/>
      <c r="K397" s="67" t="s">
        <v>438</v>
      </c>
      <c r="L397" s="64" t="s">
        <v>359</v>
      </c>
      <c r="M397" s="64"/>
      <c r="N397" s="64"/>
      <c r="O397" s="64"/>
      <c r="P397" s="69">
        <v>45017</v>
      </c>
      <c r="Q397" s="69">
        <v>45242</v>
      </c>
      <c r="R397" s="124" t="s">
        <v>429</v>
      </c>
      <c r="S397" s="123" t="s">
        <v>248</v>
      </c>
      <c r="T397" s="194">
        <v>0</v>
      </c>
      <c r="U397" s="75">
        <v>17857142.859999999</v>
      </c>
      <c r="V397" s="75"/>
      <c r="W397" s="75">
        <v>0</v>
      </c>
      <c r="X397" s="1122">
        <v>0</v>
      </c>
      <c r="Y397" s="75">
        <v>17857142.859999999</v>
      </c>
      <c r="Z397" s="75">
        <v>0</v>
      </c>
      <c r="AA397" s="1122">
        <v>0</v>
      </c>
      <c r="AB397" s="75">
        <v>5939995.7400000002</v>
      </c>
      <c r="AC397" s="75">
        <v>0</v>
      </c>
      <c r="AD397" s="1122">
        <v>0</v>
      </c>
      <c r="AE397" s="75">
        <v>0</v>
      </c>
      <c r="AF397" s="75">
        <v>0</v>
      </c>
      <c r="AG397" s="1122">
        <v>0</v>
      </c>
      <c r="AH397" s="505">
        <f t="shared" si="67"/>
        <v>41654281.460000001</v>
      </c>
      <c r="AI397" s="132"/>
      <c r="AJ397" s="75">
        <f t="shared" si="66"/>
        <v>0</v>
      </c>
      <c r="AK397" s="75"/>
      <c r="AL397" s="75"/>
      <c r="AM397" s="75"/>
      <c r="AN397" s="64" t="s">
        <v>39</v>
      </c>
      <c r="AO397" s="165" t="s">
        <v>1819</v>
      </c>
      <c r="AP397" s="146" t="s">
        <v>2591</v>
      </c>
      <c r="AQ397" s="413"/>
      <c r="AR397" s="64">
        <v>2017</v>
      </c>
      <c r="AS397" s="475">
        <v>2022</v>
      </c>
      <c r="AT397" s="64" t="s">
        <v>2029</v>
      </c>
      <c r="AU397" s="983"/>
      <c r="AV397" s="347"/>
      <c r="AW397" s="1268"/>
    </row>
    <row r="398" spans="1:50" ht="60" hidden="1" outlineLevel="4" x14ac:dyDescent="0.25">
      <c r="A398" s="63" t="str">
        <f t="shared" si="63"/>
        <v>1.3.1.9.12.58</v>
      </c>
      <c r="B398" s="64">
        <v>1</v>
      </c>
      <c r="C398" s="64">
        <v>3</v>
      </c>
      <c r="D398" s="64">
        <v>1</v>
      </c>
      <c r="E398" s="64">
        <v>9</v>
      </c>
      <c r="F398" s="64">
        <v>12</v>
      </c>
      <c r="G398" s="64">
        <v>58</v>
      </c>
      <c r="H398" s="65"/>
      <c r="I398" s="65"/>
      <c r="J398" s="66"/>
      <c r="K398" s="67" t="s">
        <v>439</v>
      </c>
      <c r="L398" s="64" t="s">
        <v>72</v>
      </c>
      <c r="M398" s="64" t="s">
        <v>73</v>
      </c>
      <c r="N398" s="64" t="s">
        <v>74</v>
      </c>
      <c r="O398" s="64" t="s">
        <v>367</v>
      </c>
      <c r="P398" s="69"/>
      <c r="Q398" s="69"/>
      <c r="R398" s="124">
        <v>3</v>
      </c>
      <c r="S398" s="123"/>
      <c r="T398" s="194"/>
      <c r="U398" s="75">
        <v>0</v>
      </c>
      <c r="V398" s="75"/>
      <c r="W398" s="75">
        <v>0</v>
      </c>
      <c r="X398" s="1122">
        <v>0</v>
      </c>
      <c r="Y398" s="75">
        <v>17857142.859999999</v>
      </c>
      <c r="Z398" s="75">
        <v>0</v>
      </c>
      <c r="AA398" s="1122">
        <v>0</v>
      </c>
      <c r="AB398" s="75">
        <v>17857142.859999999</v>
      </c>
      <c r="AC398" s="75">
        <v>0</v>
      </c>
      <c r="AD398" s="1122">
        <v>0</v>
      </c>
      <c r="AE398" s="75">
        <v>17857142.859999999</v>
      </c>
      <c r="AF398" s="75">
        <v>0</v>
      </c>
      <c r="AG398" s="1122">
        <v>0</v>
      </c>
      <c r="AH398" s="505">
        <f t="shared" si="67"/>
        <v>53571428.579999998</v>
      </c>
      <c r="AI398" s="132"/>
      <c r="AJ398" s="75">
        <f t="shared" si="66"/>
        <v>0</v>
      </c>
      <c r="AK398" s="75"/>
      <c r="AL398" s="75"/>
      <c r="AM398" s="75"/>
      <c r="AN398" s="64" t="s">
        <v>39</v>
      </c>
      <c r="AO398" s="64"/>
      <c r="AP398" s="64"/>
      <c r="AQ398" s="189"/>
      <c r="AR398" s="64"/>
      <c r="AS398" s="476"/>
      <c r="AT398" s="64"/>
      <c r="AU398" s="646"/>
      <c r="AV398" s="348" t="s">
        <v>440</v>
      </c>
      <c r="AW398" s="335" t="s">
        <v>127</v>
      </c>
    </row>
    <row r="399" spans="1:50" ht="39" hidden="1" customHeight="1" outlineLevel="4" x14ac:dyDescent="0.25">
      <c r="A399" s="63" t="str">
        <f t="shared" si="63"/>
        <v>1.3.1.9.12.59</v>
      </c>
      <c r="B399" s="64">
        <v>1</v>
      </c>
      <c r="C399" s="64">
        <v>3</v>
      </c>
      <c r="D399" s="64">
        <v>1</v>
      </c>
      <c r="E399" s="64">
        <v>9</v>
      </c>
      <c r="F399" s="64">
        <v>12</v>
      </c>
      <c r="G399" s="64">
        <v>59</v>
      </c>
      <c r="H399" s="65"/>
      <c r="I399" s="65"/>
      <c r="J399" s="66"/>
      <c r="K399" s="67" t="s">
        <v>441</v>
      </c>
      <c r="L399" s="64"/>
      <c r="M399" s="64"/>
      <c r="N399" s="64"/>
      <c r="O399" s="64"/>
      <c r="P399" s="69"/>
      <c r="Q399" s="69"/>
      <c r="R399" s="124"/>
      <c r="S399" s="123"/>
      <c r="T399" s="194"/>
      <c r="U399" s="75">
        <v>0</v>
      </c>
      <c r="V399" s="75"/>
      <c r="W399" s="75">
        <v>0</v>
      </c>
      <c r="X399" s="1122">
        <v>0</v>
      </c>
      <c r="Y399" s="75">
        <v>0</v>
      </c>
      <c r="Z399" s="75">
        <v>0</v>
      </c>
      <c r="AA399" s="1122">
        <v>0</v>
      </c>
      <c r="AB399" s="75">
        <v>0</v>
      </c>
      <c r="AC399" s="75">
        <v>0</v>
      </c>
      <c r="AD399" s="1122">
        <v>0</v>
      </c>
      <c r="AE399" s="75">
        <v>0</v>
      </c>
      <c r="AF399" s="75">
        <v>0</v>
      </c>
      <c r="AG399" s="1122">
        <v>0</v>
      </c>
      <c r="AH399" s="505">
        <f t="shared" si="67"/>
        <v>0</v>
      </c>
      <c r="AI399" s="132"/>
      <c r="AJ399" s="75">
        <f t="shared" si="66"/>
        <v>0</v>
      </c>
      <c r="AK399" s="75"/>
      <c r="AL399" s="75"/>
      <c r="AM399" s="75"/>
      <c r="AN399" s="64" t="s">
        <v>39</v>
      </c>
      <c r="AO399" s="64"/>
      <c r="AP399" s="64"/>
      <c r="AQ399" s="189"/>
      <c r="AR399" s="64"/>
      <c r="AS399" s="476"/>
      <c r="AT399" s="64"/>
      <c r="AU399" s="646"/>
      <c r="AV399" s="348"/>
      <c r="AW399" s="335" t="s">
        <v>127</v>
      </c>
    </row>
    <row r="400" spans="1:50" ht="39" hidden="1" customHeight="1" outlineLevel="4" x14ac:dyDescent="0.25">
      <c r="A400" s="63" t="str">
        <f t="shared" si="63"/>
        <v>1.3.1.9.12.60</v>
      </c>
      <c r="B400" s="64">
        <v>1</v>
      </c>
      <c r="C400" s="64">
        <v>3</v>
      </c>
      <c r="D400" s="64">
        <v>1</v>
      </c>
      <c r="E400" s="64">
        <v>9</v>
      </c>
      <c r="F400" s="64">
        <v>12</v>
      </c>
      <c r="G400" s="64">
        <v>60</v>
      </c>
      <c r="H400" s="65"/>
      <c r="I400" s="65"/>
      <c r="J400" s="66"/>
      <c r="K400" s="67" t="s">
        <v>442</v>
      </c>
      <c r="L400" s="64"/>
      <c r="M400" s="64"/>
      <c r="N400" s="64"/>
      <c r="O400" s="64"/>
      <c r="P400" s="69"/>
      <c r="Q400" s="69"/>
      <c r="R400" s="124"/>
      <c r="S400" s="123"/>
      <c r="T400" s="194"/>
      <c r="U400" s="75">
        <v>0</v>
      </c>
      <c r="V400" s="75"/>
      <c r="W400" s="75">
        <v>0</v>
      </c>
      <c r="X400" s="1122">
        <v>0</v>
      </c>
      <c r="Y400" s="75">
        <v>0</v>
      </c>
      <c r="Z400" s="75">
        <v>0</v>
      </c>
      <c r="AA400" s="1122">
        <v>0</v>
      </c>
      <c r="AB400" s="75">
        <v>0</v>
      </c>
      <c r="AC400" s="75">
        <v>0</v>
      </c>
      <c r="AD400" s="1122">
        <v>0</v>
      </c>
      <c r="AE400" s="75">
        <v>0</v>
      </c>
      <c r="AF400" s="75">
        <v>0</v>
      </c>
      <c r="AG400" s="1122">
        <v>0</v>
      </c>
      <c r="AH400" s="505">
        <f t="shared" si="67"/>
        <v>0</v>
      </c>
      <c r="AI400" s="132"/>
      <c r="AJ400" s="75">
        <f t="shared" si="66"/>
        <v>0</v>
      </c>
      <c r="AK400" s="75"/>
      <c r="AL400" s="75"/>
      <c r="AM400" s="75"/>
      <c r="AN400" s="64" t="s">
        <v>39</v>
      </c>
      <c r="AO400" s="64"/>
      <c r="AP400" s="64"/>
      <c r="AQ400" s="189"/>
      <c r="AR400" s="64"/>
      <c r="AS400" s="476"/>
      <c r="AT400" s="64"/>
      <c r="AU400" s="646"/>
      <c r="AV400" s="348"/>
      <c r="AW400" s="335" t="s">
        <v>127</v>
      </c>
    </row>
    <row r="401" spans="1:57" ht="39" hidden="1" customHeight="1" outlineLevel="4" x14ac:dyDescent="0.25">
      <c r="A401" s="63" t="str">
        <f t="shared" si="63"/>
        <v>1.3.1.9.12.61</v>
      </c>
      <c r="B401" s="64">
        <v>1</v>
      </c>
      <c r="C401" s="64">
        <v>3</v>
      </c>
      <c r="D401" s="64">
        <v>1</v>
      </c>
      <c r="E401" s="64">
        <v>9</v>
      </c>
      <c r="F401" s="64">
        <v>12</v>
      </c>
      <c r="G401" s="64">
        <v>61</v>
      </c>
      <c r="H401" s="65"/>
      <c r="I401" s="65"/>
      <c r="J401" s="66"/>
      <c r="K401" s="67" t="s">
        <v>443</v>
      </c>
      <c r="L401" s="64" t="s">
        <v>359</v>
      </c>
      <c r="M401" s="64" t="s">
        <v>279</v>
      </c>
      <c r="N401" s="64" t="s">
        <v>226</v>
      </c>
      <c r="O401" s="64" t="s">
        <v>444</v>
      </c>
      <c r="P401" s="69"/>
      <c r="Q401" s="69"/>
      <c r="R401" s="124">
        <v>4</v>
      </c>
      <c r="S401" s="123"/>
      <c r="T401" s="194">
        <v>1</v>
      </c>
      <c r="U401" s="75">
        <v>0</v>
      </c>
      <c r="V401" s="75"/>
      <c r="W401" s="75">
        <v>0</v>
      </c>
      <c r="X401" s="1122">
        <v>0</v>
      </c>
      <c r="Y401" s="75">
        <v>0</v>
      </c>
      <c r="Z401" s="75">
        <v>0</v>
      </c>
      <c r="AA401" s="1122">
        <v>0</v>
      </c>
      <c r="AB401" s="75">
        <v>0</v>
      </c>
      <c r="AC401" s="75">
        <v>0</v>
      </c>
      <c r="AD401" s="1122">
        <v>0</v>
      </c>
      <c r="AE401" s="75">
        <v>0</v>
      </c>
      <c r="AF401" s="75">
        <v>0</v>
      </c>
      <c r="AG401" s="1122">
        <v>0</v>
      </c>
      <c r="AH401" s="505">
        <f t="shared" si="67"/>
        <v>0</v>
      </c>
      <c r="AI401" s="132"/>
      <c r="AJ401" s="75">
        <f t="shared" si="66"/>
        <v>0</v>
      </c>
      <c r="AK401" s="75"/>
      <c r="AL401" s="75"/>
      <c r="AM401" s="75"/>
      <c r="AN401" s="64" t="s">
        <v>39</v>
      </c>
      <c r="AO401" s="64"/>
      <c r="AP401" s="64"/>
      <c r="AQ401" s="189"/>
      <c r="AR401" s="64"/>
      <c r="AS401" s="476"/>
      <c r="AT401" s="64"/>
      <c r="AU401" s="646"/>
      <c r="AV401" s="348" t="s">
        <v>445</v>
      </c>
      <c r="AW401" s="335" t="s">
        <v>127</v>
      </c>
    </row>
    <row r="402" spans="1:57" ht="39" hidden="1" customHeight="1" outlineLevel="4" x14ac:dyDescent="0.25">
      <c r="A402" s="63" t="str">
        <f t="shared" si="63"/>
        <v>1.3.1.9.12.62</v>
      </c>
      <c r="B402" s="64">
        <v>1</v>
      </c>
      <c r="C402" s="64">
        <v>3</v>
      </c>
      <c r="D402" s="64">
        <v>1</v>
      </c>
      <c r="E402" s="64">
        <v>9</v>
      </c>
      <c r="F402" s="64">
        <v>12</v>
      </c>
      <c r="G402" s="64">
        <v>62</v>
      </c>
      <c r="H402" s="65"/>
      <c r="I402" s="65"/>
      <c r="J402" s="66"/>
      <c r="K402" s="67" t="s">
        <v>1731</v>
      </c>
      <c r="L402" s="64"/>
      <c r="M402" s="64"/>
      <c r="N402" s="64"/>
      <c r="O402" s="64"/>
      <c r="P402" s="69"/>
      <c r="Q402" s="69"/>
      <c r="R402" s="124"/>
      <c r="S402" s="123"/>
      <c r="T402" s="194"/>
      <c r="U402" s="75">
        <v>0</v>
      </c>
      <c r="V402" s="75"/>
      <c r="W402" s="75">
        <v>0</v>
      </c>
      <c r="X402" s="1122">
        <v>0</v>
      </c>
      <c r="Y402" s="75">
        <v>0</v>
      </c>
      <c r="Z402" s="75">
        <v>0</v>
      </c>
      <c r="AA402" s="1122">
        <v>0</v>
      </c>
      <c r="AB402" s="75">
        <v>0</v>
      </c>
      <c r="AC402" s="75">
        <v>0</v>
      </c>
      <c r="AD402" s="1122">
        <v>0</v>
      </c>
      <c r="AE402" s="75">
        <v>0</v>
      </c>
      <c r="AF402" s="75">
        <v>0</v>
      </c>
      <c r="AG402" s="1122">
        <v>0</v>
      </c>
      <c r="AH402" s="505">
        <f t="shared" si="67"/>
        <v>0</v>
      </c>
      <c r="AI402" s="132"/>
      <c r="AJ402" s="75">
        <f t="shared" si="66"/>
        <v>0</v>
      </c>
      <c r="AK402" s="75"/>
      <c r="AL402" s="75"/>
      <c r="AM402" s="75"/>
      <c r="AN402" s="64" t="s">
        <v>39</v>
      </c>
      <c r="AO402" s="64"/>
      <c r="AP402" s="64"/>
      <c r="AQ402" s="189"/>
      <c r="AR402" s="64"/>
      <c r="AS402" s="476"/>
      <c r="AT402" s="64"/>
      <c r="AU402" s="646"/>
      <c r="AV402" s="348"/>
      <c r="AW402" s="335" t="s">
        <v>127</v>
      </c>
    </row>
    <row r="403" spans="1:57" ht="39" hidden="1" customHeight="1" outlineLevel="4" x14ac:dyDescent="0.25">
      <c r="A403" s="63" t="str">
        <f t="shared" si="63"/>
        <v>1.3.1.9.12.63</v>
      </c>
      <c r="B403" s="64">
        <v>1</v>
      </c>
      <c r="C403" s="64">
        <v>3</v>
      </c>
      <c r="D403" s="64">
        <v>1</v>
      </c>
      <c r="E403" s="64">
        <v>9</v>
      </c>
      <c r="F403" s="64">
        <v>12</v>
      </c>
      <c r="G403" s="64">
        <v>63</v>
      </c>
      <c r="H403" s="65"/>
      <c r="I403" s="65"/>
      <c r="J403" s="66"/>
      <c r="K403" s="67" t="s">
        <v>446</v>
      </c>
      <c r="L403" s="64"/>
      <c r="M403" s="64"/>
      <c r="N403" s="64"/>
      <c r="O403" s="64"/>
      <c r="P403" s="69"/>
      <c r="Q403" s="69"/>
      <c r="R403" s="124"/>
      <c r="S403" s="123"/>
      <c r="T403" s="194"/>
      <c r="U403" s="75">
        <v>0</v>
      </c>
      <c r="V403" s="75"/>
      <c r="W403" s="75">
        <v>0</v>
      </c>
      <c r="X403" s="1122">
        <v>0</v>
      </c>
      <c r="Y403" s="75">
        <v>0</v>
      </c>
      <c r="Z403" s="75">
        <v>0</v>
      </c>
      <c r="AA403" s="1122">
        <v>0</v>
      </c>
      <c r="AB403" s="75">
        <v>0</v>
      </c>
      <c r="AC403" s="75">
        <v>0</v>
      </c>
      <c r="AD403" s="1122">
        <v>0</v>
      </c>
      <c r="AE403" s="75">
        <v>0</v>
      </c>
      <c r="AF403" s="75">
        <v>0</v>
      </c>
      <c r="AG403" s="1122">
        <v>0</v>
      </c>
      <c r="AH403" s="505">
        <f t="shared" si="67"/>
        <v>0</v>
      </c>
      <c r="AI403" s="132"/>
      <c r="AJ403" s="75">
        <f t="shared" si="66"/>
        <v>0</v>
      </c>
      <c r="AK403" s="75"/>
      <c r="AL403" s="75"/>
      <c r="AM403" s="75"/>
      <c r="AN403" s="64" t="s">
        <v>39</v>
      </c>
      <c r="AO403" s="64"/>
      <c r="AP403" s="64"/>
      <c r="AQ403" s="189"/>
      <c r="AR403" s="64"/>
      <c r="AS403" s="476"/>
      <c r="AT403" s="64"/>
      <c r="AU403" s="646"/>
      <c r="AV403" s="348"/>
      <c r="AW403" s="335" t="s">
        <v>127</v>
      </c>
    </row>
    <row r="404" spans="1:57" ht="39" hidden="1" customHeight="1" outlineLevel="4" x14ac:dyDescent="0.25">
      <c r="A404" s="63" t="str">
        <f t="shared" si="63"/>
        <v>1.3.1.9.12.64</v>
      </c>
      <c r="B404" s="64">
        <v>1</v>
      </c>
      <c r="C404" s="64">
        <v>3</v>
      </c>
      <c r="D404" s="64">
        <v>1</v>
      </c>
      <c r="E404" s="64">
        <v>9</v>
      </c>
      <c r="F404" s="64">
        <v>12</v>
      </c>
      <c r="G404" s="64">
        <v>64</v>
      </c>
      <c r="H404" s="65"/>
      <c r="I404" s="65"/>
      <c r="J404" s="66"/>
      <c r="K404" s="67" t="s">
        <v>447</v>
      </c>
      <c r="L404" s="64"/>
      <c r="M404" s="64"/>
      <c r="N404" s="64"/>
      <c r="O404" s="64"/>
      <c r="P404" s="69"/>
      <c r="Q404" s="69"/>
      <c r="R404" s="124"/>
      <c r="S404" s="123"/>
      <c r="T404" s="194"/>
      <c r="U404" s="75">
        <v>0</v>
      </c>
      <c r="V404" s="75"/>
      <c r="W404" s="75">
        <v>0</v>
      </c>
      <c r="X404" s="1122">
        <v>0</v>
      </c>
      <c r="Y404" s="75">
        <v>0</v>
      </c>
      <c r="Z404" s="75">
        <v>0</v>
      </c>
      <c r="AA404" s="1122">
        <v>0</v>
      </c>
      <c r="AB404" s="75">
        <v>0</v>
      </c>
      <c r="AC404" s="75">
        <v>0</v>
      </c>
      <c r="AD404" s="1122">
        <v>0</v>
      </c>
      <c r="AE404" s="75">
        <v>0</v>
      </c>
      <c r="AF404" s="75">
        <v>0</v>
      </c>
      <c r="AG404" s="1122">
        <v>0</v>
      </c>
      <c r="AH404" s="505">
        <f t="shared" si="67"/>
        <v>0</v>
      </c>
      <c r="AI404" s="132"/>
      <c r="AJ404" s="75">
        <f t="shared" si="66"/>
        <v>0</v>
      </c>
      <c r="AK404" s="75"/>
      <c r="AL404" s="75"/>
      <c r="AM404" s="75"/>
      <c r="AN404" s="64" t="s">
        <v>39</v>
      </c>
      <c r="AO404" s="64"/>
      <c r="AP404" s="64"/>
      <c r="AQ404" s="189"/>
      <c r="AR404" s="64"/>
      <c r="AS404" s="476"/>
      <c r="AT404" s="64"/>
      <c r="AU404" s="646"/>
      <c r="AV404" s="348"/>
      <c r="AW404" s="335" t="s">
        <v>127</v>
      </c>
    </row>
    <row r="405" spans="1:57" ht="28.35" hidden="1" customHeight="1" outlineLevel="4" x14ac:dyDescent="0.25">
      <c r="A405" s="63" t="str">
        <f t="shared" si="63"/>
        <v>1.3.1.9.13.58</v>
      </c>
      <c r="B405" s="64">
        <v>1</v>
      </c>
      <c r="C405" s="64">
        <v>3</v>
      </c>
      <c r="D405" s="64">
        <v>1</v>
      </c>
      <c r="E405" s="64">
        <v>9</v>
      </c>
      <c r="F405" s="64">
        <v>13</v>
      </c>
      <c r="G405" s="64">
        <v>58</v>
      </c>
      <c r="H405" s="65"/>
      <c r="I405" s="65"/>
      <c r="J405" s="66"/>
      <c r="K405" s="125" t="s">
        <v>448</v>
      </c>
      <c r="L405" s="64" t="s">
        <v>72</v>
      </c>
      <c r="M405" s="64" t="s">
        <v>73</v>
      </c>
      <c r="N405" s="64" t="s">
        <v>74</v>
      </c>
      <c r="O405" s="64" t="s">
        <v>367</v>
      </c>
      <c r="P405" s="64"/>
      <c r="Q405" s="64"/>
      <c r="R405" s="124"/>
      <c r="S405" s="123"/>
      <c r="T405" s="194"/>
      <c r="U405" s="75">
        <v>0</v>
      </c>
      <c r="V405" s="75"/>
      <c r="W405" s="75">
        <v>0</v>
      </c>
      <c r="X405" s="1122">
        <v>0</v>
      </c>
      <c r="Y405" s="75">
        <v>0</v>
      </c>
      <c r="Z405" s="75">
        <v>0</v>
      </c>
      <c r="AA405" s="1122">
        <v>0</v>
      </c>
      <c r="AB405" s="75">
        <v>0</v>
      </c>
      <c r="AC405" s="75">
        <v>0</v>
      </c>
      <c r="AD405" s="1122">
        <v>0</v>
      </c>
      <c r="AE405" s="75">
        <v>0</v>
      </c>
      <c r="AF405" s="75">
        <v>0</v>
      </c>
      <c r="AG405" s="1122">
        <v>0</v>
      </c>
      <c r="AH405" s="505">
        <f t="shared" si="67"/>
        <v>0</v>
      </c>
      <c r="AI405" s="132"/>
      <c r="AJ405" s="75">
        <f t="shared" si="66"/>
        <v>0</v>
      </c>
      <c r="AK405" s="75"/>
      <c r="AL405" s="75"/>
      <c r="AM405" s="75"/>
      <c r="AN405" s="64" t="s">
        <v>39</v>
      </c>
      <c r="AO405" s="64"/>
      <c r="AP405" s="64"/>
      <c r="AQ405" s="189"/>
      <c r="AR405" s="64"/>
      <c r="AS405" s="476"/>
      <c r="AT405" s="64"/>
      <c r="AU405" s="646"/>
      <c r="AV405" s="347"/>
      <c r="AW405" s="185"/>
    </row>
    <row r="406" spans="1:57" ht="28.35" hidden="1" customHeight="1" outlineLevel="4" x14ac:dyDescent="0.25">
      <c r="A406" s="63" t="str">
        <f t="shared" si="63"/>
        <v>1.3.1.9.13.59</v>
      </c>
      <c r="B406" s="64">
        <v>1</v>
      </c>
      <c r="C406" s="64">
        <v>3</v>
      </c>
      <c r="D406" s="64">
        <v>1</v>
      </c>
      <c r="E406" s="64">
        <v>9</v>
      </c>
      <c r="F406" s="64">
        <v>13</v>
      </c>
      <c r="G406" s="64">
        <v>59</v>
      </c>
      <c r="H406" s="65"/>
      <c r="I406" s="65"/>
      <c r="J406" s="66"/>
      <c r="K406" s="125" t="s">
        <v>449</v>
      </c>
      <c r="L406" s="64"/>
      <c r="M406" s="64"/>
      <c r="N406" s="64"/>
      <c r="O406" s="64"/>
      <c r="P406" s="64"/>
      <c r="Q406" s="64"/>
      <c r="R406" s="124"/>
      <c r="S406" s="123"/>
      <c r="T406" s="194"/>
      <c r="U406" s="75">
        <v>0</v>
      </c>
      <c r="V406" s="75"/>
      <c r="W406" s="75">
        <v>0</v>
      </c>
      <c r="X406" s="1122">
        <v>0</v>
      </c>
      <c r="Y406" s="75">
        <v>0</v>
      </c>
      <c r="Z406" s="75">
        <v>0</v>
      </c>
      <c r="AA406" s="1122">
        <v>0</v>
      </c>
      <c r="AB406" s="75">
        <v>0</v>
      </c>
      <c r="AC406" s="75">
        <v>0</v>
      </c>
      <c r="AD406" s="1122">
        <v>0</v>
      </c>
      <c r="AE406" s="75">
        <v>0</v>
      </c>
      <c r="AF406" s="75">
        <v>0</v>
      </c>
      <c r="AG406" s="1122">
        <v>0</v>
      </c>
      <c r="AH406" s="505">
        <f t="shared" si="67"/>
        <v>0</v>
      </c>
      <c r="AI406" s="132"/>
      <c r="AJ406" s="75">
        <f t="shared" si="66"/>
        <v>0</v>
      </c>
      <c r="AK406" s="75"/>
      <c r="AL406" s="75"/>
      <c r="AM406" s="75"/>
      <c r="AN406" s="64" t="s">
        <v>39</v>
      </c>
      <c r="AO406" s="64"/>
      <c r="AP406" s="64"/>
      <c r="AQ406" s="189"/>
      <c r="AR406" s="64"/>
      <c r="AS406" s="476"/>
      <c r="AT406" s="64"/>
      <c r="AU406" s="646"/>
      <c r="AV406" s="347"/>
      <c r="AW406" s="185"/>
    </row>
    <row r="407" spans="1:57" ht="28.35" hidden="1" customHeight="1" outlineLevel="4" x14ac:dyDescent="0.25">
      <c r="A407" s="63" t="str">
        <f t="shared" si="63"/>
        <v>1.3.1.9.13.60</v>
      </c>
      <c r="B407" s="64">
        <v>1</v>
      </c>
      <c r="C407" s="64">
        <v>3</v>
      </c>
      <c r="D407" s="64">
        <v>1</v>
      </c>
      <c r="E407" s="64">
        <v>9</v>
      </c>
      <c r="F407" s="64">
        <v>13</v>
      </c>
      <c r="G407" s="64">
        <v>60</v>
      </c>
      <c r="H407" s="65"/>
      <c r="I407" s="65"/>
      <c r="J407" s="66"/>
      <c r="K407" s="125" t="s">
        <v>450</v>
      </c>
      <c r="L407" s="64"/>
      <c r="M407" s="64"/>
      <c r="N407" s="64"/>
      <c r="O407" s="64"/>
      <c r="P407" s="64"/>
      <c r="Q407" s="64"/>
      <c r="R407" s="124"/>
      <c r="S407" s="123"/>
      <c r="T407" s="194"/>
      <c r="U407" s="75">
        <v>0</v>
      </c>
      <c r="V407" s="75"/>
      <c r="W407" s="75">
        <v>0</v>
      </c>
      <c r="X407" s="1122">
        <v>0</v>
      </c>
      <c r="Y407" s="75">
        <v>0</v>
      </c>
      <c r="Z407" s="75">
        <v>0</v>
      </c>
      <c r="AA407" s="1122">
        <v>0</v>
      </c>
      <c r="AB407" s="75">
        <v>0</v>
      </c>
      <c r="AC407" s="75">
        <v>0</v>
      </c>
      <c r="AD407" s="1122">
        <v>0</v>
      </c>
      <c r="AE407" s="75">
        <v>0</v>
      </c>
      <c r="AF407" s="75">
        <v>0</v>
      </c>
      <c r="AG407" s="1122">
        <v>0</v>
      </c>
      <c r="AH407" s="505">
        <f t="shared" si="67"/>
        <v>0</v>
      </c>
      <c r="AI407" s="132"/>
      <c r="AJ407" s="75">
        <f t="shared" si="66"/>
        <v>0</v>
      </c>
      <c r="AK407" s="75"/>
      <c r="AL407" s="75"/>
      <c r="AM407" s="75"/>
      <c r="AN407" s="64" t="s">
        <v>39</v>
      </c>
      <c r="AO407" s="64"/>
      <c r="AP407" s="64"/>
      <c r="AQ407" s="189"/>
      <c r="AR407" s="64"/>
      <c r="AS407" s="476"/>
      <c r="AT407" s="64"/>
      <c r="AU407" s="646"/>
      <c r="AV407" s="347"/>
      <c r="AW407" s="185"/>
    </row>
    <row r="408" spans="1:57" ht="28.35" hidden="1" customHeight="1" outlineLevel="4" x14ac:dyDescent="0.25">
      <c r="A408" s="63" t="str">
        <f t="shared" si="63"/>
        <v>1.3.1.9.13.61</v>
      </c>
      <c r="B408" s="64">
        <v>1</v>
      </c>
      <c r="C408" s="64">
        <v>3</v>
      </c>
      <c r="D408" s="64">
        <v>1</v>
      </c>
      <c r="E408" s="64">
        <v>9</v>
      </c>
      <c r="F408" s="64">
        <v>13</v>
      </c>
      <c r="G408" s="64">
        <v>61</v>
      </c>
      <c r="H408" s="65"/>
      <c r="I408" s="65"/>
      <c r="J408" s="66"/>
      <c r="K408" s="125" t="s">
        <v>451</v>
      </c>
      <c r="L408" s="64"/>
      <c r="M408" s="64"/>
      <c r="N408" s="64"/>
      <c r="O408" s="64"/>
      <c r="P408" s="64"/>
      <c r="Q408" s="64"/>
      <c r="R408" s="124"/>
      <c r="S408" s="123"/>
      <c r="T408" s="194"/>
      <c r="U408" s="75">
        <v>0</v>
      </c>
      <c r="V408" s="75"/>
      <c r="W408" s="75">
        <v>0</v>
      </c>
      <c r="X408" s="1122">
        <v>0</v>
      </c>
      <c r="Y408" s="75">
        <v>0</v>
      </c>
      <c r="Z408" s="75">
        <v>0</v>
      </c>
      <c r="AA408" s="1122">
        <v>0</v>
      </c>
      <c r="AB408" s="75">
        <v>0</v>
      </c>
      <c r="AC408" s="75">
        <v>0</v>
      </c>
      <c r="AD408" s="1122">
        <v>0</v>
      </c>
      <c r="AE408" s="75">
        <v>0</v>
      </c>
      <c r="AF408" s="75">
        <v>0</v>
      </c>
      <c r="AG408" s="1122">
        <v>0</v>
      </c>
      <c r="AH408" s="505">
        <f t="shared" si="67"/>
        <v>0</v>
      </c>
      <c r="AI408" s="132"/>
      <c r="AJ408" s="75">
        <f t="shared" si="66"/>
        <v>0</v>
      </c>
      <c r="AK408" s="75"/>
      <c r="AL408" s="75"/>
      <c r="AM408" s="75"/>
      <c r="AN408" s="64" t="s">
        <v>39</v>
      </c>
      <c r="AO408" s="64"/>
      <c r="AP408" s="64"/>
      <c r="AQ408" s="189"/>
      <c r="AR408" s="64"/>
      <c r="AS408" s="476"/>
      <c r="AT408" s="64"/>
      <c r="AU408" s="646"/>
      <c r="AV408" s="347"/>
      <c r="AW408" s="185"/>
    </row>
    <row r="409" spans="1:57" ht="28.35" hidden="1" customHeight="1" outlineLevel="4" x14ac:dyDescent="0.25">
      <c r="A409" s="63" t="str">
        <f t="shared" si="63"/>
        <v>1.3.1.9.13.62</v>
      </c>
      <c r="B409" s="64">
        <v>1</v>
      </c>
      <c r="C409" s="64">
        <v>3</v>
      </c>
      <c r="D409" s="64">
        <v>1</v>
      </c>
      <c r="E409" s="64">
        <v>9</v>
      </c>
      <c r="F409" s="64">
        <v>13</v>
      </c>
      <c r="G409" s="64">
        <v>62</v>
      </c>
      <c r="H409" s="65"/>
      <c r="I409" s="65"/>
      <c r="J409" s="66"/>
      <c r="K409" s="125" t="s">
        <v>1732</v>
      </c>
      <c r="L409" s="64"/>
      <c r="M409" s="64"/>
      <c r="N409" s="64"/>
      <c r="O409" s="64"/>
      <c r="P409" s="64"/>
      <c r="Q409" s="64"/>
      <c r="R409" s="124"/>
      <c r="S409" s="123"/>
      <c r="T409" s="194"/>
      <c r="U409" s="75">
        <v>0</v>
      </c>
      <c r="V409" s="75"/>
      <c r="W409" s="75">
        <v>0</v>
      </c>
      <c r="X409" s="1122">
        <v>0</v>
      </c>
      <c r="Y409" s="75">
        <v>0</v>
      </c>
      <c r="Z409" s="75">
        <v>0</v>
      </c>
      <c r="AA409" s="1122">
        <v>0</v>
      </c>
      <c r="AB409" s="75">
        <v>0</v>
      </c>
      <c r="AC409" s="75">
        <v>0</v>
      </c>
      <c r="AD409" s="1122">
        <v>0</v>
      </c>
      <c r="AE409" s="75">
        <v>0</v>
      </c>
      <c r="AF409" s="75">
        <v>0</v>
      </c>
      <c r="AG409" s="1122">
        <v>0</v>
      </c>
      <c r="AH409" s="505">
        <f t="shared" si="67"/>
        <v>0</v>
      </c>
      <c r="AI409" s="132"/>
      <c r="AJ409" s="75">
        <f t="shared" si="66"/>
        <v>0</v>
      </c>
      <c r="AK409" s="75"/>
      <c r="AL409" s="75"/>
      <c r="AM409" s="75"/>
      <c r="AN409" s="64" t="s">
        <v>39</v>
      </c>
      <c r="AO409" s="64"/>
      <c r="AP409" s="64"/>
      <c r="AQ409" s="189"/>
      <c r="AR409" s="64"/>
      <c r="AS409" s="476"/>
      <c r="AT409" s="64"/>
      <c r="AU409" s="646"/>
      <c r="AV409" s="347"/>
      <c r="AW409" s="185"/>
    </row>
    <row r="410" spans="1:57" ht="28.35" hidden="1" customHeight="1" outlineLevel="4" x14ac:dyDescent="0.25">
      <c r="A410" s="63" t="str">
        <f t="shared" si="63"/>
        <v>1.3.1.9.13.63</v>
      </c>
      <c r="B410" s="64">
        <v>1</v>
      </c>
      <c r="C410" s="64">
        <v>3</v>
      </c>
      <c r="D410" s="64">
        <v>1</v>
      </c>
      <c r="E410" s="64">
        <v>9</v>
      </c>
      <c r="F410" s="64">
        <v>13</v>
      </c>
      <c r="G410" s="64">
        <v>63</v>
      </c>
      <c r="H410" s="65"/>
      <c r="I410" s="65"/>
      <c r="J410" s="66"/>
      <c r="K410" s="125" t="s">
        <v>452</v>
      </c>
      <c r="L410" s="64"/>
      <c r="M410" s="64"/>
      <c r="N410" s="64"/>
      <c r="O410" s="64"/>
      <c r="P410" s="64"/>
      <c r="Q410" s="64"/>
      <c r="R410" s="124"/>
      <c r="S410" s="123"/>
      <c r="T410" s="194"/>
      <c r="U410" s="75">
        <v>0</v>
      </c>
      <c r="V410" s="75"/>
      <c r="W410" s="75">
        <v>0</v>
      </c>
      <c r="X410" s="1122">
        <v>0</v>
      </c>
      <c r="Y410" s="75">
        <v>0</v>
      </c>
      <c r="Z410" s="75">
        <v>0</v>
      </c>
      <c r="AA410" s="1122">
        <v>0</v>
      </c>
      <c r="AB410" s="75">
        <v>0</v>
      </c>
      <c r="AC410" s="75">
        <v>0</v>
      </c>
      <c r="AD410" s="1122">
        <v>0</v>
      </c>
      <c r="AE410" s="75">
        <v>0</v>
      </c>
      <c r="AF410" s="75">
        <v>0</v>
      </c>
      <c r="AG410" s="1122">
        <v>0</v>
      </c>
      <c r="AH410" s="505">
        <f t="shared" si="67"/>
        <v>0</v>
      </c>
      <c r="AI410" s="132"/>
      <c r="AJ410" s="75">
        <f t="shared" si="66"/>
        <v>0</v>
      </c>
      <c r="AK410" s="75"/>
      <c r="AL410" s="75"/>
      <c r="AM410" s="75"/>
      <c r="AN410" s="64" t="s">
        <v>39</v>
      </c>
      <c r="AO410" s="64"/>
      <c r="AP410" s="64"/>
      <c r="AQ410" s="189"/>
      <c r="AR410" s="64"/>
      <c r="AS410" s="476"/>
      <c r="AT410" s="64"/>
      <c r="AU410" s="646"/>
      <c r="AV410" s="347"/>
      <c r="AW410" s="185"/>
    </row>
    <row r="411" spans="1:57" ht="28.35" hidden="1" customHeight="1" outlineLevel="4" x14ac:dyDescent="0.25">
      <c r="A411" s="63" t="str">
        <f t="shared" si="63"/>
        <v>1.3.1.9.13.64</v>
      </c>
      <c r="B411" s="64">
        <v>1</v>
      </c>
      <c r="C411" s="64">
        <v>3</v>
      </c>
      <c r="D411" s="64">
        <v>1</v>
      </c>
      <c r="E411" s="64">
        <v>9</v>
      </c>
      <c r="F411" s="64">
        <v>13</v>
      </c>
      <c r="G411" s="64">
        <v>64</v>
      </c>
      <c r="H411" s="65"/>
      <c r="I411" s="65"/>
      <c r="J411" s="66"/>
      <c r="K411" s="125" t="s">
        <v>453</v>
      </c>
      <c r="L411" s="64"/>
      <c r="M411" s="64"/>
      <c r="N411" s="64"/>
      <c r="O411" s="64"/>
      <c r="P411" s="64"/>
      <c r="Q411" s="64"/>
      <c r="R411" s="124"/>
      <c r="S411" s="123"/>
      <c r="T411" s="194"/>
      <c r="U411" s="75">
        <v>0</v>
      </c>
      <c r="V411" s="75"/>
      <c r="W411" s="75">
        <v>0</v>
      </c>
      <c r="X411" s="1122">
        <v>0</v>
      </c>
      <c r="Y411" s="75">
        <v>0</v>
      </c>
      <c r="Z411" s="75">
        <v>0</v>
      </c>
      <c r="AA411" s="1122">
        <v>0</v>
      </c>
      <c r="AB411" s="75">
        <v>0</v>
      </c>
      <c r="AC411" s="75">
        <v>0</v>
      </c>
      <c r="AD411" s="1122">
        <v>0</v>
      </c>
      <c r="AE411" s="75">
        <v>0</v>
      </c>
      <c r="AF411" s="75">
        <v>0</v>
      </c>
      <c r="AG411" s="1122">
        <v>0</v>
      </c>
      <c r="AH411" s="505">
        <f t="shared" si="67"/>
        <v>0</v>
      </c>
      <c r="AI411" s="132"/>
      <c r="AJ411" s="75">
        <f t="shared" si="66"/>
        <v>0</v>
      </c>
      <c r="AK411" s="75"/>
      <c r="AL411" s="75"/>
      <c r="AM411" s="75"/>
      <c r="AN411" s="64" t="s">
        <v>39</v>
      </c>
      <c r="AO411" s="64"/>
      <c r="AP411" s="64"/>
      <c r="AQ411" s="189"/>
      <c r="AR411" s="64"/>
      <c r="AS411" s="476"/>
      <c r="AT411" s="64"/>
      <c r="AU411" s="646"/>
      <c r="AV411" s="347"/>
      <c r="AW411" s="185"/>
    </row>
    <row r="412" spans="1:57" ht="32.450000000000003" hidden="1" customHeight="1" outlineLevel="4" x14ac:dyDescent="0.25">
      <c r="A412" s="63" t="str">
        <f t="shared" si="63"/>
        <v>1.3.1.9.14.58</v>
      </c>
      <c r="B412" s="64">
        <v>1</v>
      </c>
      <c r="C412" s="64">
        <v>3</v>
      </c>
      <c r="D412" s="64">
        <v>1</v>
      </c>
      <c r="E412" s="64">
        <v>9</v>
      </c>
      <c r="F412" s="64">
        <v>14</v>
      </c>
      <c r="G412" s="64">
        <v>58</v>
      </c>
      <c r="H412" s="65"/>
      <c r="I412" s="65"/>
      <c r="J412" s="66"/>
      <c r="K412" s="86" t="s">
        <v>454</v>
      </c>
      <c r="L412" s="64" t="s">
        <v>246</v>
      </c>
      <c r="M412" s="64" t="s">
        <v>240</v>
      </c>
      <c r="N412" s="64" t="s">
        <v>247</v>
      </c>
      <c r="O412" s="64" t="s">
        <v>241</v>
      </c>
      <c r="P412" s="69">
        <v>45045</v>
      </c>
      <c r="Q412" s="69">
        <v>44925</v>
      </c>
      <c r="R412" s="158">
        <v>20000</v>
      </c>
      <c r="S412" s="123" t="s">
        <v>248</v>
      </c>
      <c r="T412" s="1187">
        <v>0</v>
      </c>
      <c r="U412" s="75">
        <v>0</v>
      </c>
      <c r="V412" s="75"/>
      <c r="W412" s="75">
        <v>0</v>
      </c>
      <c r="X412" s="1122">
        <v>0</v>
      </c>
      <c r="Y412" s="75">
        <v>0</v>
      </c>
      <c r="Z412" s="75">
        <v>0</v>
      </c>
      <c r="AA412" s="1122">
        <v>0</v>
      </c>
      <c r="AB412" s="75">
        <v>0</v>
      </c>
      <c r="AC412" s="75">
        <v>0</v>
      </c>
      <c r="AD412" s="1122">
        <v>0</v>
      </c>
      <c r="AE412" s="75">
        <v>0</v>
      </c>
      <c r="AF412" s="75">
        <v>0</v>
      </c>
      <c r="AG412" s="1122">
        <v>0</v>
      </c>
      <c r="AH412" s="505">
        <f t="shared" si="67"/>
        <v>0</v>
      </c>
      <c r="AI412" s="132"/>
      <c r="AJ412" s="75">
        <f t="shared" si="66"/>
        <v>0</v>
      </c>
      <c r="AK412" s="129"/>
      <c r="AL412" s="129"/>
      <c r="AM412" s="129"/>
      <c r="AN412" s="64" t="s">
        <v>39</v>
      </c>
      <c r="AO412" s="1342" t="s">
        <v>1819</v>
      </c>
      <c r="AP412" s="1331" t="s">
        <v>2592</v>
      </c>
      <c r="AQ412" s="1331" t="s">
        <v>2593</v>
      </c>
      <c r="AR412" s="1343" t="s">
        <v>2594</v>
      </c>
      <c r="AS412" s="1343" t="s">
        <v>2142</v>
      </c>
      <c r="AT412" s="64" t="s">
        <v>2029</v>
      </c>
      <c r="AU412" s="879" t="s">
        <v>2135</v>
      </c>
      <c r="AV412" s="347" t="e">
        <f>+#REF!*15*1.1</f>
        <v>#REF!</v>
      </c>
      <c r="AW412" s="1274" t="s">
        <v>2595</v>
      </c>
      <c r="AX412" s="2" t="s">
        <v>456</v>
      </c>
    </row>
    <row r="413" spans="1:57" ht="51" hidden="1" customHeight="1" outlineLevel="4" x14ac:dyDescent="0.25">
      <c r="A413" s="63" t="str">
        <f t="shared" si="63"/>
        <v>1.3.1.9.14.59</v>
      </c>
      <c r="B413" s="64">
        <v>1</v>
      </c>
      <c r="C413" s="64">
        <v>3</v>
      </c>
      <c r="D413" s="64">
        <v>1</v>
      </c>
      <c r="E413" s="64">
        <v>9</v>
      </c>
      <c r="F413" s="64">
        <v>14</v>
      </c>
      <c r="G413" s="64">
        <v>59</v>
      </c>
      <c r="H413" s="65"/>
      <c r="I413" s="65"/>
      <c r="J413" s="66"/>
      <c r="K413" s="125" t="s">
        <v>457</v>
      </c>
      <c r="L413" s="64" t="s">
        <v>246</v>
      </c>
      <c r="M413" s="64" t="s">
        <v>240</v>
      </c>
      <c r="N413" s="64" t="s">
        <v>247</v>
      </c>
      <c r="O413" s="64" t="s">
        <v>241</v>
      </c>
      <c r="P413" s="69">
        <v>45045</v>
      </c>
      <c r="Q413" s="69">
        <v>45107</v>
      </c>
      <c r="R413" s="124">
        <v>6000</v>
      </c>
      <c r="S413" s="123" t="s">
        <v>248</v>
      </c>
      <c r="T413" s="1187">
        <v>0</v>
      </c>
      <c r="U413" s="75">
        <v>0</v>
      </c>
      <c r="V413" s="75"/>
      <c r="W413" s="75">
        <v>0</v>
      </c>
      <c r="X413" s="1122">
        <v>0</v>
      </c>
      <c r="Y413" s="75">
        <v>0</v>
      </c>
      <c r="Z413" s="75">
        <v>0</v>
      </c>
      <c r="AA413" s="1122">
        <v>0</v>
      </c>
      <c r="AB413" s="75">
        <v>0</v>
      </c>
      <c r="AC413" s="75">
        <v>0</v>
      </c>
      <c r="AD413" s="1122">
        <v>0</v>
      </c>
      <c r="AE413" s="75">
        <v>0</v>
      </c>
      <c r="AF413" s="75">
        <v>0</v>
      </c>
      <c r="AG413" s="1122">
        <v>0</v>
      </c>
      <c r="AH413" s="505">
        <f t="shared" si="67"/>
        <v>0</v>
      </c>
      <c r="AI413" s="132"/>
      <c r="AJ413" s="75">
        <f t="shared" si="66"/>
        <v>0</v>
      </c>
      <c r="AK413" s="129"/>
      <c r="AL413" s="129"/>
      <c r="AM413" s="129"/>
      <c r="AN413" s="64" t="s">
        <v>39</v>
      </c>
      <c r="AO413" s="1334"/>
      <c r="AP413" s="1332"/>
      <c r="AQ413" s="1332"/>
      <c r="AR413" s="1344"/>
      <c r="AS413" s="1344"/>
      <c r="AT413" s="64" t="s">
        <v>2029</v>
      </c>
      <c r="AU413" s="879" t="s">
        <v>2136</v>
      </c>
      <c r="AV413" s="347" t="e">
        <f>#REF!*19*1.1</f>
        <v>#REF!</v>
      </c>
      <c r="AW413" s="1274"/>
      <c r="AX413" s="2" t="s">
        <v>458</v>
      </c>
    </row>
    <row r="414" spans="1:57" ht="23.45" hidden="1" customHeight="1" outlineLevel="4" x14ac:dyDescent="0.25">
      <c r="A414" s="63" t="str">
        <f t="shared" si="63"/>
        <v>1.3.1.9.14.60</v>
      </c>
      <c r="B414" s="64">
        <v>1</v>
      </c>
      <c r="C414" s="64">
        <v>3</v>
      </c>
      <c r="D414" s="64">
        <v>1</v>
      </c>
      <c r="E414" s="64">
        <v>9</v>
      </c>
      <c r="F414" s="64">
        <v>14</v>
      </c>
      <c r="G414" s="64">
        <v>60</v>
      </c>
      <c r="H414" s="65"/>
      <c r="I414" s="65"/>
      <c r="J414" s="66"/>
      <c r="K414" s="125" t="s">
        <v>459</v>
      </c>
      <c r="L414" s="64" t="s">
        <v>246</v>
      </c>
      <c r="M414" s="64" t="s">
        <v>240</v>
      </c>
      <c r="N414" s="64" t="s">
        <v>247</v>
      </c>
      <c r="O414" s="64" t="s">
        <v>241</v>
      </c>
      <c r="P414" s="69">
        <v>45045</v>
      </c>
      <c r="Q414" s="69">
        <v>45107</v>
      </c>
      <c r="R414" s="124">
        <v>3000</v>
      </c>
      <c r="S414" s="123" t="s">
        <v>248</v>
      </c>
      <c r="T414" s="1187">
        <v>0</v>
      </c>
      <c r="U414" s="75">
        <v>0</v>
      </c>
      <c r="V414" s="75"/>
      <c r="W414" s="75">
        <v>0</v>
      </c>
      <c r="X414" s="1122">
        <v>0</v>
      </c>
      <c r="Y414" s="75">
        <v>0</v>
      </c>
      <c r="Z414" s="75">
        <v>0</v>
      </c>
      <c r="AA414" s="1122">
        <v>0</v>
      </c>
      <c r="AB414" s="75">
        <v>0</v>
      </c>
      <c r="AC414" s="75">
        <v>0</v>
      </c>
      <c r="AD414" s="1122">
        <v>0</v>
      </c>
      <c r="AE414" s="75">
        <v>0</v>
      </c>
      <c r="AF414" s="75">
        <v>0</v>
      </c>
      <c r="AG414" s="1122">
        <v>0</v>
      </c>
      <c r="AH414" s="505">
        <f t="shared" si="67"/>
        <v>0</v>
      </c>
      <c r="AI414" s="132"/>
      <c r="AJ414" s="75">
        <f t="shared" si="66"/>
        <v>0</v>
      </c>
      <c r="AK414" s="129"/>
      <c r="AL414" s="129"/>
      <c r="AM414" s="129"/>
      <c r="AN414" s="64" t="s">
        <v>39</v>
      </c>
      <c r="AO414" s="1334"/>
      <c r="AP414" s="1332"/>
      <c r="AQ414" s="1332"/>
      <c r="AR414" s="1344"/>
      <c r="AS414" s="1344"/>
      <c r="AT414" s="64" t="s">
        <v>2029</v>
      </c>
      <c r="AU414" s="879" t="s">
        <v>2137</v>
      </c>
      <c r="AV414" s="347" t="e">
        <f>#REF!*19</f>
        <v>#REF!</v>
      </c>
      <c r="AW414" s="1274"/>
      <c r="AX414" s="162">
        <v>34000000</v>
      </c>
    </row>
    <row r="415" spans="1:57" ht="23.45" hidden="1" customHeight="1" outlineLevel="4" x14ac:dyDescent="0.25">
      <c r="A415" s="63" t="str">
        <f t="shared" si="63"/>
        <v>1.3.1.9.14.61</v>
      </c>
      <c r="B415" s="64">
        <v>1</v>
      </c>
      <c r="C415" s="64">
        <v>3</v>
      </c>
      <c r="D415" s="64">
        <v>1</v>
      </c>
      <c r="E415" s="64">
        <v>9</v>
      </c>
      <c r="F415" s="64">
        <v>14</v>
      </c>
      <c r="G415" s="64">
        <v>61</v>
      </c>
      <c r="H415" s="65"/>
      <c r="I415" s="65"/>
      <c r="J415" s="66"/>
      <c r="K415" s="125" t="s">
        <v>460</v>
      </c>
      <c r="L415" s="64" t="s">
        <v>246</v>
      </c>
      <c r="M415" s="64" t="s">
        <v>240</v>
      </c>
      <c r="N415" s="64" t="s">
        <v>247</v>
      </c>
      <c r="O415" s="64" t="s">
        <v>241</v>
      </c>
      <c r="P415" s="69">
        <v>45045</v>
      </c>
      <c r="Q415" s="69">
        <v>45107</v>
      </c>
      <c r="R415" s="124">
        <v>4500</v>
      </c>
      <c r="S415" s="123" t="s">
        <v>248</v>
      </c>
      <c r="T415" s="1187">
        <v>0</v>
      </c>
      <c r="U415" s="75">
        <v>0</v>
      </c>
      <c r="V415" s="75"/>
      <c r="W415" s="75">
        <v>0</v>
      </c>
      <c r="X415" s="1122">
        <v>0</v>
      </c>
      <c r="Y415" s="75">
        <v>0</v>
      </c>
      <c r="Z415" s="75">
        <v>0</v>
      </c>
      <c r="AA415" s="1122">
        <v>0</v>
      </c>
      <c r="AB415" s="75">
        <v>0</v>
      </c>
      <c r="AC415" s="75">
        <v>0</v>
      </c>
      <c r="AD415" s="1122">
        <v>0</v>
      </c>
      <c r="AE415" s="75">
        <v>0</v>
      </c>
      <c r="AF415" s="75">
        <v>0</v>
      </c>
      <c r="AG415" s="1122">
        <v>0</v>
      </c>
      <c r="AH415" s="505">
        <f t="shared" si="67"/>
        <v>0</v>
      </c>
      <c r="AI415" s="132"/>
      <c r="AJ415" s="75">
        <f t="shared" si="66"/>
        <v>411757.14</v>
      </c>
      <c r="AK415" s="129"/>
      <c r="AL415" s="129"/>
      <c r="AM415" s="129"/>
      <c r="AN415" s="64" t="s">
        <v>39</v>
      </c>
      <c r="AO415" s="1334"/>
      <c r="AP415" s="1332"/>
      <c r="AQ415" s="1332"/>
      <c r="AR415" s="1344"/>
      <c r="AS415" s="1344"/>
      <c r="AT415" s="64" t="s">
        <v>2029</v>
      </c>
      <c r="AU415" s="879" t="s">
        <v>2139</v>
      </c>
      <c r="AV415" s="347" t="e">
        <f>#REF!*19</f>
        <v>#REF!</v>
      </c>
      <c r="AW415" s="1274"/>
      <c r="AX415" s="162">
        <f>+AX414-6175000</f>
        <v>27825000</v>
      </c>
      <c r="AZ415" s="2">
        <v>603500</v>
      </c>
      <c r="BE415" s="162">
        <v>11700000</v>
      </c>
    </row>
    <row r="416" spans="1:57" ht="23.45" hidden="1" customHeight="1" outlineLevel="4" x14ac:dyDescent="0.25">
      <c r="A416" s="1250" t="str">
        <f t="shared" si="63"/>
        <v>1.3.1.9.14.62</v>
      </c>
      <c r="B416" s="64">
        <v>1</v>
      </c>
      <c r="C416" s="64">
        <v>3</v>
      </c>
      <c r="D416" s="64">
        <v>1</v>
      </c>
      <c r="E416" s="64">
        <v>9</v>
      </c>
      <c r="F416" s="64">
        <v>14</v>
      </c>
      <c r="G416" s="64">
        <v>62</v>
      </c>
      <c r="H416" s="65"/>
      <c r="I416" s="65"/>
      <c r="J416" s="66"/>
      <c r="K416" s="125" t="s">
        <v>1733</v>
      </c>
      <c r="L416" s="64" t="s">
        <v>246</v>
      </c>
      <c r="M416" s="64" t="s">
        <v>240</v>
      </c>
      <c r="N416" s="64" t="s">
        <v>247</v>
      </c>
      <c r="O416" s="64" t="s">
        <v>241</v>
      </c>
      <c r="P416" s="69">
        <v>45045</v>
      </c>
      <c r="Q416" s="69"/>
      <c r="R416" s="124">
        <v>4500</v>
      </c>
      <c r="S416" s="123" t="s">
        <v>248</v>
      </c>
      <c r="T416" s="1187">
        <v>0</v>
      </c>
      <c r="U416" s="75">
        <v>10413570.365</v>
      </c>
      <c r="V416" s="75"/>
      <c r="W416" s="75">
        <v>411757.14</v>
      </c>
      <c r="X416" s="1122">
        <v>0</v>
      </c>
      <c r="Y416" s="75">
        <v>10413570.365</v>
      </c>
      <c r="Z416" s="75">
        <v>0</v>
      </c>
      <c r="AA416" s="1122">
        <v>0</v>
      </c>
      <c r="AB416" s="75">
        <v>10413570.365</v>
      </c>
      <c r="AC416" s="75">
        <v>0</v>
      </c>
      <c r="AD416" s="1122">
        <v>0</v>
      </c>
      <c r="AE416" s="75">
        <v>10413570.365</v>
      </c>
      <c r="AF416" s="75">
        <v>0</v>
      </c>
      <c r="AG416" s="1122">
        <v>0</v>
      </c>
      <c r="AH416" s="505">
        <f t="shared" si="67"/>
        <v>41654281.460000001</v>
      </c>
      <c r="AI416" s="132"/>
      <c r="AJ416" s="75">
        <f t="shared" si="66"/>
        <v>0</v>
      </c>
      <c r="AK416" s="129"/>
      <c r="AL416" s="129"/>
      <c r="AM416" s="129"/>
      <c r="AN416" s="64" t="s">
        <v>39</v>
      </c>
      <c r="AO416" s="1334"/>
      <c r="AP416" s="1332"/>
      <c r="AQ416" s="1332"/>
      <c r="AR416" s="1344"/>
      <c r="AS416" s="1344"/>
      <c r="AT416" s="64" t="s">
        <v>2029</v>
      </c>
      <c r="AU416" s="879" t="s">
        <v>2138</v>
      </c>
      <c r="AV416" s="347" t="e">
        <f>#REF!*19</f>
        <v>#REF!</v>
      </c>
      <c r="AW416" s="1274"/>
      <c r="AX416" s="162">
        <f>+AX415/7</f>
        <v>3975000</v>
      </c>
      <c r="AZ416" s="2">
        <v>1988560</v>
      </c>
      <c r="BE416" s="162">
        <v>6240000</v>
      </c>
    </row>
    <row r="417" spans="1:57" ht="23.45" hidden="1" customHeight="1" outlineLevel="4" x14ac:dyDescent="0.25">
      <c r="A417" s="63" t="str">
        <f t="shared" si="63"/>
        <v>1.3.1.9.14.63</v>
      </c>
      <c r="B417" s="64">
        <v>1</v>
      </c>
      <c r="C417" s="64">
        <v>3</v>
      </c>
      <c r="D417" s="64">
        <v>1</v>
      </c>
      <c r="E417" s="64">
        <v>9</v>
      </c>
      <c r="F417" s="64">
        <v>14</v>
      </c>
      <c r="G417" s="64">
        <v>63</v>
      </c>
      <c r="H417" s="65"/>
      <c r="I417" s="65"/>
      <c r="J417" s="66"/>
      <c r="K417" s="125" t="s">
        <v>461</v>
      </c>
      <c r="L417" s="64" t="s">
        <v>246</v>
      </c>
      <c r="M417" s="64" t="s">
        <v>240</v>
      </c>
      <c r="N417" s="64" t="s">
        <v>247</v>
      </c>
      <c r="O417" s="64" t="s">
        <v>241</v>
      </c>
      <c r="P417" s="69">
        <v>45045</v>
      </c>
      <c r="Q417" s="69">
        <v>45107</v>
      </c>
      <c r="R417" s="124">
        <v>4000</v>
      </c>
      <c r="S417" s="123" t="s">
        <v>248</v>
      </c>
      <c r="T417" s="1187">
        <v>0</v>
      </c>
      <c r="U417" s="75">
        <v>0</v>
      </c>
      <c r="V417" s="75"/>
      <c r="W417" s="75">
        <v>0</v>
      </c>
      <c r="X417" s="1122">
        <v>0</v>
      </c>
      <c r="Y417" s="75">
        <v>0</v>
      </c>
      <c r="Z417" s="75">
        <v>0</v>
      </c>
      <c r="AA417" s="1122">
        <v>0</v>
      </c>
      <c r="AB417" s="75">
        <v>0</v>
      </c>
      <c r="AC417" s="75">
        <v>0</v>
      </c>
      <c r="AD417" s="1122">
        <v>0</v>
      </c>
      <c r="AE417" s="75">
        <v>0</v>
      </c>
      <c r="AF417" s="75">
        <v>0</v>
      </c>
      <c r="AG417" s="1122">
        <v>0</v>
      </c>
      <c r="AH417" s="505">
        <f t="shared" si="67"/>
        <v>0</v>
      </c>
      <c r="AI417" s="132"/>
      <c r="AJ417" s="75">
        <f t="shared" si="66"/>
        <v>0</v>
      </c>
      <c r="AK417" s="129"/>
      <c r="AL417" s="129"/>
      <c r="AM417" s="129"/>
      <c r="AN417" s="64" t="s">
        <v>39</v>
      </c>
      <c r="AO417" s="1334"/>
      <c r="AP417" s="1332"/>
      <c r="AQ417" s="1332"/>
      <c r="AR417" s="1344"/>
      <c r="AS417" s="1344"/>
      <c r="AT417" s="64" t="s">
        <v>2029</v>
      </c>
      <c r="AU417" s="879" t="s">
        <v>2135</v>
      </c>
      <c r="AV417" s="347" t="e">
        <f>#REF!*19*1.1</f>
        <v>#REF!</v>
      </c>
      <c r="AW417" s="1274"/>
      <c r="AZ417" s="2">
        <v>806484</v>
      </c>
      <c r="BE417" s="162">
        <v>3040000</v>
      </c>
    </row>
    <row r="418" spans="1:57" ht="23.45" hidden="1" customHeight="1" outlineLevel="4" x14ac:dyDescent="0.25">
      <c r="A418" s="164" t="str">
        <f t="shared" si="63"/>
        <v>1.3.1.9.14.64</v>
      </c>
      <c r="B418" s="165">
        <v>1</v>
      </c>
      <c r="C418" s="165">
        <v>3</v>
      </c>
      <c r="D418" s="165">
        <v>1</v>
      </c>
      <c r="E418" s="165">
        <v>9</v>
      </c>
      <c r="F418" s="165">
        <v>14</v>
      </c>
      <c r="G418" s="165">
        <v>64</v>
      </c>
      <c r="H418" s="166"/>
      <c r="I418" s="166"/>
      <c r="J418" s="167"/>
      <c r="K418" s="168" t="s">
        <v>462</v>
      </c>
      <c r="L418" s="165" t="s">
        <v>246</v>
      </c>
      <c r="M418" s="165" t="s">
        <v>240</v>
      </c>
      <c r="N418" s="165" t="s">
        <v>247</v>
      </c>
      <c r="O418" s="165" t="s">
        <v>241</v>
      </c>
      <c r="P418" s="169">
        <v>45045</v>
      </c>
      <c r="Q418" s="169">
        <v>45074</v>
      </c>
      <c r="R418" s="124">
        <v>8000</v>
      </c>
      <c r="S418" s="123" t="s">
        <v>248</v>
      </c>
      <c r="T418" s="1187">
        <v>0</v>
      </c>
      <c r="U418" s="75">
        <v>0</v>
      </c>
      <c r="V418" s="75"/>
      <c r="W418" s="75">
        <v>0</v>
      </c>
      <c r="X418" s="1122">
        <v>0</v>
      </c>
      <c r="Y418" s="75">
        <v>0</v>
      </c>
      <c r="Z418" s="75">
        <v>0</v>
      </c>
      <c r="AA418" s="1122">
        <v>0</v>
      </c>
      <c r="AB418" s="75">
        <v>0</v>
      </c>
      <c r="AC418" s="75">
        <v>0</v>
      </c>
      <c r="AD418" s="1122">
        <v>0</v>
      </c>
      <c r="AE418" s="75">
        <v>0</v>
      </c>
      <c r="AF418" s="75">
        <v>0</v>
      </c>
      <c r="AG418" s="1122">
        <v>0</v>
      </c>
      <c r="AH418" s="505">
        <f t="shared" si="67"/>
        <v>0</v>
      </c>
      <c r="AI418" s="132"/>
      <c r="AJ418" s="75">
        <f t="shared" si="66"/>
        <v>0</v>
      </c>
      <c r="AK418" s="129"/>
      <c r="AL418" s="129"/>
      <c r="AM418" s="129"/>
      <c r="AN418" s="64" t="s">
        <v>39</v>
      </c>
      <c r="AO418" s="1335"/>
      <c r="AP418" s="1333"/>
      <c r="AQ418" s="1333"/>
      <c r="AR418" s="1345"/>
      <c r="AS418" s="1345"/>
      <c r="AT418" s="64" t="s">
        <v>2029</v>
      </c>
      <c r="AU418" s="879" t="s">
        <v>2135</v>
      </c>
      <c r="AV418" s="347" t="e">
        <f>#REF!*19</f>
        <v>#REF!</v>
      </c>
      <c r="AW418" s="1274"/>
      <c r="AZ418" s="2">
        <f>SUBTOTAL(9,AZ415:AZ417)</f>
        <v>3398544</v>
      </c>
      <c r="BE418" s="162">
        <v>3200000</v>
      </c>
    </row>
    <row r="419" spans="1:57" ht="30" hidden="1" outlineLevel="4" x14ac:dyDescent="0.25">
      <c r="A419" s="63" t="str">
        <f t="shared" si="63"/>
        <v>1.3.1.9.15.58</v>
      </c>
      <c r="B419" s="64">
        <v>1</v>
      </c>
      <c r="C419" s="64">
        <v>3</v>
      </c>
      <c r="D419" s="64">
        <v>1</v>
      </c>
      <c r="E419" s="64">
        <v>9</v>
      </c>
      <c r="F419" s="64">
        <v>15</v>
      </c>
      <c r="G419" s="64">
        <v>58</v>
      </c>
      <c r="H419" s="65"/>
      <c r="I419" s="65"/>
      <c r="J419" s="65"/>
      <c r="K419" s="86" t="s">
        <v>463</v>
      </c>
      <c r="L419" s="64" t="s">
        <v>72</v>
      </c>
      <c r="M419" s="64" t="s">
        <v>73</v>
      </c>
      <c r="N419" s="64" t="s">
        <v>464</v>
      </c>
      <c r="O419" s="64" t="s">
        <v>367</v>
      </c>
      <c r="P419" s="64"/>
      <c r="Q419" s="64"/>
      <c r="R419" s="124"/>
      <c r="S419" s="123"/>
      <c r="T419" s="194"/>
      <c r="U419" s="75">
        <v>0</v>
      </c>
      <c r="V419" s="75"/>
      <c r="W419" s="75">
        <v>0</v>
      </c>
      <c r="X419" s="1122">
        <v>0</v>
      </c>
      <c r="Y419" s="75">
        <v>10471</v>
      </c>
      <c r="Z419" s="75">
        <v>0</v>
      </c>
      <c r="AA419" s="1122">
        <v>0</v>
      </c>
      <c r="AB419" s="75">
        <v>0</v>
      </c>
      <c r="AC419" s="75">
        <v>0</v>
      </c>
      <c r="AD419" s="1122">
        <v>0</v>
      </c>
      <c r="AE419" s="75">
        <v>0</v>
      </c>
      <c r="AF419" s="75">
        <v>0</v>
      </c>
      <c r="AG419" s="1122">
        <v>0</v>
      </c>
      <c r="AH419" s="505">
        <f t="shared" si="67"/>
        <v>10471</v>
      </c>
      <c r="AI419" s="132"/>
      <c r="AJ419" s="75">
        <f t="shared" si="66"/>
        <v>0</v>
      </c>
      <c r="AK419" s="75"/>
      <c r="AL419" s="75"/>
      <c r="AM419" s="75"/>
      <c r="AN419" s="64" t="s">
        <v>39</v>
      </c>
      <c r="AO419" s="64"/>
      <c r="AP419" s="64"/>
      <c r="AQ419" s="189"/>
      <c r="AR419" s="64"/>
      <c r="AS419" s="476"/>
      <c r="AT419" s="64"/>
      <c r="AU419" s="646"/>
      <c r="AV419" s="347"/>
      <c r="AW419" s="185" t="s">
        <v>2830</v>
      </c>
    </row>
    <row r="420" spans="1:57" ht="40.35" hidden="1" customHeight="1" outlineLevel="4" x14ac:dyDescent="0.25">
      <c r="A420" s="63" t="str">
        <f t="shared" si="63"/>
        <v>1.3.1.9.15.59</v>
      </c>
      <c r="B420" s="64">
        <v>1</v>
      </c>
      <c r="C420" s="64">
        <v>3</v>
      </c>
      <c r="D420" s="64">
        <v>1</v>
      </c>
      <c r="E420" s="64">
        <v>9</v>
      </c>
      <c r="F420" s="64">
        <v>15</v>
      </c>
      <c r="G420" s="64">
        <v>59</v>
      </c>
      <c r="H420" s="65"/>
      <c r="I420" s="65"/>
      <c r="J420" s="66"/>
      <c r="K420" s="86" t="s">
        <v>465</v>
      </c>
      <c r="L420" s="64" t="s">
        <v>72</v>
      </c>
      <c r="M420" s="64" t="s">
        <v>73</v>
      </c>
      <c r="N420" s="64" t="s">
        <v>464</v>
      </c>
      <c r="O420" s="64" t="s">
        <v>367</v>
      </c>
      <c r="P420" s="64"/>
      <c r="Q420" s="64"/>
      <c r="R420" s="124"/>
      <c r="S420" s="123"/>
      <c r="T420" s="194"/>
      <c r="U420" s="75">
        <v>0</v>
      </c>
      <c r="V420" s="75"/>
      <c r="W420" s="75">
        <v>0</v>
      </c>
      <c r="X420" s="1122">
        <v>0</v>
      </c>
      <c r="Y420" s="75">
        <v>10471</v>
      </c>
      <c r="Z420" s="75">
        <v>0</v>
      </c>
      <c r="AA420" s="1122">
        <v>0</v>
      </c>
      <c r="AB420" s="75">
        <v>0</v>
      </c>
      <c r="AC420" s="75">
        <v>0</v>
      </c>
      <c r="AD420" s="1122">
        <v>0</v>
      </c>
      <c r="AE420" s="75">
        <v>0</v>
      </c>
      <c r="AF420" s="75">
        <v>0</v>
      </c>
      <c r="AG420" s="1122">
        <v>0</v>
      </c>
      <c r="AH420" s="505">
        <f t="shared" si="67"/>
        <v>10471</v>
      </c>
      <c r="AI420" s="132"/>
      <c r="AJ420" s="75">
        <f t="shared" si="66"/>
        <v>0</v>
      </c>
      <c r="AK420" s="75"/>
      <c r="AL420" s="75"/>
      <c r="AM420" s="75"/>
      <c r="AN420" s="64" t="s">
        <v>39</v>
      </c>
      <c r="AO420" s="64"/>
      <c r="AP420" s="64"/>
      <c r="AQ420" s="189"/>
      <c r="AR420" s="64"/>
      <c r="AS420" s="476"/>
      <c r="AT420" s="64"/>
      <c r="AU420" s="646"/>
      <c r="AV420" s="347"/>
      <c r="AW420" s="185" t="s">
        <v>2830</v>
      </c>
    </row>
    <row r="421" spans="1:57" ht="40.35" hidden="1" customHeight="1" outlineLevel="4" x14ac:dyDescent="0.25">
      <c r="A421" s="63" t="str">
        <f t="shared" si="63"/>
        <v>1.3.1.9.15.60</v>
      </c>
      <c r="B421" s="64">
        <v>1</v>
      </c>
      <c r="C421" s="64">
        <v>3</v>
      </c>
      <c r="D421" s="64">
        <v>1</v>
      </c>
      <c r="E421" s="64">
        <v>9</v>
      </c>
      <c r="F421" s="64">
        <v>15</v>
      </c>
      <c r="G421" s="64">
        <v>60</v>
      </c>
      <c r="H421" s="65"/>
      <c r="I421" s="65"/>
      <c r="J421" s="65"/>
      <c r="K421" s="86" t="s">
        <v>466</v>
      </c>
      <c r="L421" s="64" t="s">
        <v>72</v>
      </c>
      <c r="M421" s="64" t="s">
        <v>73</v>
      </c>
      <c r="N421" s="64" t="s">
        <v>464</v>
      </c>
      <c r="O421" s="64" t="s">
        <v>367</v>
      </c>
      <c r="P421" s="64"/>
      <c r="Q421" s="64"/>
      <c r="R421" s="124"/>
      <c r="S421" s="123"/>
      <c r="T421" s="194"/>
      <c r="U421" s="75">
        <v>0</v>
      </c>
      <c r="V421" s="75"/>
      <c r="W421" s="75">
        <v>0</v>
      </c>
      <c r="X421" s="1122">
        <v>0</v>
      </c>
      <c r="Y421" s="75">
        <v>10471</v>
      </c>
      <c r="Z421" s="75">
        <v>0</v>
      </c>
      <c r="AA421" s="1122">
        <v>0</v>
      </c>
      <c r="AB421" s="75">
        <v>0</v>
      </c>
      <c r="AC421" s="75">
        <v>0</v>
      </c>
      <c r="AD421" s="1122">
        <v>0</v>
      </c>
      <c r="AE421" s="75">
        <v>0</v>
      </c>
      <c r="AF421" s="75">
        <v>0</v>
      </c>
      <c r="AG421" s="1122">
        <v>0</v>
      </c>
      <c r="AH421" s="505">
        <f t="shared" si="67"/>
        <v>10471</v>
      </c>
      <c r="AI421" s="132"/>
      <c r="AJ421" s="75">
        <f t="shared" si="66"/>
        <v>0</v>
      </c>
      <c r="AK421" s="75"/>
      <c r="AL421" s="75"/>
      <c r="AM421" s="75"/>
      <c r="AN421" s="64" t="s">
        <v>39</v>
      </c>
      <c r="AO421" s="64"/>
      <c r="AP421" s="64"/>
      <c r="AQ421" s="189"/>
      <c r="AR421" s="64"/>
      <c r="AS421" s="476"/>
      <c r="AT421" s="64"/>
      <c r="AU421" s="646"/>
      <c r="AV421" s="347"/>
      <c r="AW421" s="185" t="s">
        <v>2830</v>
      </c>
    </row>
    <row r="422" spans="1:57" ht="40.35" hidden="1" customHeight="1" outlineLevel="4" x14ac:dyDescent="0.25">
      <c r="A422" s="63" t="str">
        <f t="shared" si="63"/>
        <v>1.3.1.9.15.61</v>
      </c>
      <c r="B422" s="64">
        <v>1</v>
      </c>
      <c r="C422" s="64">
        <v>3</v>
      </c>
      <c r="D422" s="64">
        <v>1</v>
      </c>
      <c r="E422" s="64">
        <v>9</v>
      </c>
      <c r="F422" s="64">
        <v>15</v>
      </c>
      <c r="G422" s="64">
        <v>61</v>
      </c>
      <c r="H422" s="65"/>
      <c r="I422" s="65"/>
      <c r="J422" s="66"/>
      <c r="K422" s="86" t="s">
        <v>467</v>
      </c>
      <c r="L422" s="64" t="s">
        <v>72</v>
      </c>
      <c r="M422" s="64" t="s">
        <v>73</v>
      </c>
      <c r="N422" s="64" t="s">
        <v>464</v>
      </c>
      <c r="O422" s="64" t="s">
        <v>367</v>
      </c>
      <c r="P422" s="64"/>
      <c r="Q422" s="64"/>
      <c r="R422" s="124"/>
      <c r="S422" s="123"/>
      <c r="T422" s="194"/>
      <c r="U422" s="75">
        <v>0</v>
      </c>
      <c r="V422" s="75"/>
      <c r="W422" s="75">
        <v>0</v>
      </c>
      <c r="X422" s="1122">
        <v>0</v>
      </c>
      <c r="Y422" s="75">
        <v>10471</v>
      </c>
      <c r="Z422" s="75">
        <v>0</v>
      </c>
      <c r="AA422" s="1122">
        <v>0</v>
      </c>
      <c r="AB422" s="75">
        <v>0</v>
      </c>
      <c r="AC422" s="75">
        <v>0</v>
      </c>
      <c r="AD422" s="1122">
        <v>0</v>
      </c>
      <c r="AE422" s="75">
        <v>0</v>
      </c>
      <c r="AF422" s="75">
        <v>0</v>
      </c>
      <c r="AG422" s="1122">
        <v>0</v>
      </c>
      <c r="AH422" s="505">
        <f t="shared" si="67"/>
        <v>10471</v>
      </c>
      <c r="AI422" s="132"/>
      <c r="AJ422" s="75">
        <f t="shared" si="66"/>
        <v>0</v>
      </c>
      <c r="AK422" s="75"/>
      <c r="AL422" s="75"/>
      <c r="AM422" s="75"/>
      <c r="AN422" s="64" t="s">
        <v>39</v>
      </c>
      <c r="AO422" s="64"/>
      <c r="AP422" s="64"/>
      <c r="AQ422" s="189"/>
      <c r="AR422" s="64"/>
      <c r="AS422" s="476"/>
      <c r="AT422" s="64"/>
      <c r="AU422" s="646"/>
      <c r="AV422" s="347"/>
      <c r="AW422" s="185" t="s">
        <v>2830</v>
      </c>
    </row>
    <row r="423" spans="1:57" ht="40.35" hidden="1" customHeight="1" outlineLevel="4" x14ac:dyDescent="0.25">
      <c r="A423" s="63" t="str">
        <f t="shared" si="63"/>
        <v>1.3.1.9.15.62</v>
      </c>
      <c r="B423" s="64">
        <v>1</v>
      </c>
      <c r="C423" s="64">
        <v>3</v>
      </c>
      <c r="D423" s="64">
        <v>1</v>
      </c>
      <c r="E423" s="64">
        <v>9</v>
      </c>
      <c r="F423" s="64">
        <v>15</v>
      </c>
      <c r="G423" s="64">
        <v>62</v>
      </c>
      <c r="H423" s="65"/>
      <c r="I423" s="65"/>
      <c r="J423" s="65"/>
      <c r="K423" s="86" t="s">
        <v>1734</v>
      </c>
      <c r="L423" s="64" t="s">
        <v>72</v>
      </c>
      <c r="M423" s="64" t="s">
        <v>73</v>
      </c>
      <c r="N423" s="64" t="s">
        <v>464</v>
      </c>
      <c r="O423" s="64" t="s">
        <v>367</v>
      </c>
      <c r="P423" s="64"/>
      <c r="Q423" s="64"/>
      <c r="R423" s="124"/>
      <c r="S423" s="123"/>
      <c r="T423" s="194"/>
      <c r="U423" s="75">
        <v>0</v>
      </c>
      <c r="V423" s="75"/>
      <c r="W423" s="75">
        <v>0</v>
      </c>
      <c r="X423" s="1122">
        <v>0</v>
      </c>
      <c r="Y423" s="75">
        <v>10471</v>
      </c>
      <c r="Z423" s="75">
        <v>0</v>
      </c>
      <c r="AA423" s="1122">
        <v>0</v>
      </c>
      <c r="AB423" s="75">
        <v>0</v>
      </c>
      <c r="AC423" s="75">
        <v>0</v>
      </c>
      <c r="AD423" s="1122">
        <v>0</v>
      </c>
      <c r="AE423" s="75">
        <v>0</v>
      </c>
      <c r="AF423" s="75">
        <v>0</v>
      </c>
      <c r="AG423" s="1122">
        <v>0</v>
      </c>
      <c r="AH423" s="505">
        <f t="shared" si="67"/>
        <v>10471</v>
      </c>
      <c r="AI423" s="132"/>
      <c r="AJ423" s="75">
        <f t="shared" si="66"/>
        <v>0</v>
      </c>
      <c r="AK423" s="75"/>
      <c r="AL423" s="75"/>
      <c r="AM423" s="75"/>
      <c r="AN423" s="64" t="s">
        <v>39</v>
      </c>
      <c r="AO423" s="64"/>
      <c r="AP423" s="64"/>
      <c r="AQ423" s="189"/>
      <c r="AR423" s="64"/>
      <c r="AS423" s="476"/>
      <c r="AT423" s="64"/>
      <c r="AU423" s="646"/>
      <c r="AV423" s="347"/>
      <c r="AW423" s="185" t="s">
        <v>2830</v>
      </c>
    </row>
    <row r="424" spans="1:57" ht="40.35" hidden="1" customHeight="1" outlineLevel="4" x14ac:dyDescent="0.25">
      <c r="A424" s="63" t="str">
        <f t="shared" si="63"/>
        <v>1.3.1.9.15.63</v>
      </c>
      <c r="B424" s="64">
        <v>1</v>
      </c>
      <c r="C424" s="64">
        <v>3</v>
      </c>
      <c r="D424" s="64">
        <v>1</v>
      </c>
      <c r="E424" s="64">
        <v>9</v>
      </c>
      <c r="F424" s="64">
        <v>15</v>
      </c>
      <c r="G424" s="64">
        <v>63</v>
      </c>
      <c r="H424" s="65"/>
      <c r="I424" s="65"/>
      <c r="J424" s="66"/>
      <c r="K424" s="86" t="s">
        <v>468</v>
      </c>
      <c r="L424" s="64" t="s">
        <v>72</v>
      </c>
      <c r="M424" s="64" t="s">
        <v>73</v>
      </c>
      <c r="N424" s="64" t="s">
        <v>464</v>
      </c>
      <c r="O424" s="64" t="s">
        <v>367</v>
      </c>
      <c r="P424" s="64"/>
      <c r="Q424" s="64"/>
      <c r="R424" s="124"/>
      <c r="S424" s="123"/>
      <c r="T424" s="194"/>
      <c r="U424" s="75">
        <v>0</v>
      </c>
      <c r="V424" s="75"/>
      <c r="W424" s="75">
        <v>0</v>
      </c>
      <c r="X424" s="1122">
        <v>0</v>
      </c>
      <c r="Y424" s="75">
        <v>10471</v>
      </c>
      <c r="Z424" s="75">
        <v>0</v>
      </c>
      <c r="AA424" s="1122">
        <v>0</v>
      </c>
      <c r="AB424" s="75">
        <v>0</v>
      </c>
      <c r="AC424" s="75">
        <v>0</v>
      </c>
      <c r="AD424" s="1122">
        <v>0</v>
      </c>
      <c r="AE424" s="75">
        <v>0</v>
      </c>
      <c r="AF424" s="75">
        <v>0</v>
      </c>
      <c r="AG424" s="1122">
        <v>0</v>
      </c>
      <c r="AH424" s="505">
        <f t="shared" si="67"/>
        <v>10471</v>
      </c>
      <c r="AI424" s="132"/>
      <c r="AJ424" s="75">
        <f t="shared" si="66"/>
        <v>0</v>
      </c>
      <c r="AK424" s="75"/>
      <c r="AL424" s="75"/>
      <c r="AM424" s="75"/>
      <c r="AN424" s="64" t="s">
        <v>39</v>
      </c>
      <c r="AO424" s="64"/>
      <c r="AP424" s="64"/>
      <c r="AQ424" s="189"/>
      <c r="AR424" s="64"/>
      <c r="AS424" s="476"/>
      <c r="AT424" s="64"/>
      <c r="AU424" s="646"/>
      <c r="AV424" s="347"/>
      <c r="AW424" s="185" t="s">
        <v>2830</v>
      </c>
    </row>
    <row r="425" spans="1:57" ht="40.35" hidden="1" customHeight="1" outlineLevel="4" x14ac:dyDescent="0.25">
      <c r="A425" s="63" t="str">
        <f t="shared" si="63"/>
        <v>1.3.1.9.15.64</v>
      </c>
      <c r="B425" s="64">
        <v>1</v>
      </c>
      <c r="C425" s="64">
        <v>3</v>
      </c>
      <c r="D425" s="64">
        <v>1</v>
      </c>
      <c r="E425" s="64">
        <v>9</v>
      </c>
      <c r="F425" s="64">
        <v>15</v>
      </c>
      <c r="G425" s="64">
        <v>64</v>
      </c>
      <c r="H425" s="65"/>
      <c r="I425" s="65"/>
      <c r="J425" s="65"/>
      <c r="K425" s="86" t="s">
        <v>469</v>
      </c>
      <c r="L425" s="64" t="s">
        <v>72</v>
      </c>
      <c r="M425" s="64" t="s">
        <v>73</v>
      </c>
      <c r="N425" s="64" t="s">
        <v>464</v>
      </c>
      <c r="O425" s="64" t="s">
        <v>367</v>
      </c>
      <c r="P425" s="64"/>
      <c r="Q425" s="64"/>
      <c r="R425" s="124"/>
      <c r="S425" s="123"/>
      <c r="T425" s="194"/>
      <c r="U425" s="75">
        <v>0</v>
      </c>
      <c r="V425" s="75"/>
      <c r="W425" s="75">
        <v>0</v>
      </c>
      <c r="X425" s="1122">
        <v>0</v>
      </c>
      <c r="Y425" s="75">
        <v>10471</v>
      </c>
      <c r="Z425" s="75">
        <v>0</v>
      </c>
      <c r="AA425" s="1122">
        <v>0</v>
      </c>
      <c r="AB425" s="75">
        <v>0</v>
      </c>
      <c r="AC425" s="75">
        <v>0</v>
      </c>
      <c r="AD425" s="1122">
        <v>0</v>
      </c>
      <c r="AE425" s="75">
        <v>0</v>
      </c>
      <c r="AF425" s="75">
        <v>0</v>
      </c>
      <c r="AG425" s="1122">
        <v>0</v>
      </c>
      <c r="AH425" s="505">
        <f t="shared" si="67"/>
        <v>10471</v>
      </c>
      <c r="AI425" s="132"/>
      <c r="AJ425" s="75">
        <f t="shared" si="66"/>
        <v>0</v>
      </c>
      <c r="AK425" s="75"/>
      <c r="AL425" s="75"/>
      <c r="AM425" s="75"/>
      <c r="AN425" s="64" t="s">
        <v>39</v>
      </c>
      <c r="AO425" s="64"/>
      <c r="AP425" s="64"/>
      <c r="AQ425" s="189"/>
      <c r="AR425" s="64"/>
      <c r="AS425" s="476"/>
      <c r="AT425" s="64"/>
      <c r="AU425" s="646"/>
      <c r="AV425" s="347"/>
      <c r="AW425" s="185" t="s">
        <v>2830</v>
      </c>
    </row>
    <row r="426" spans="1:57" ht="40.35" hidden="1" customHeight="1" outlineLevel="4" x14ac:dyDescent="0.25">
      <c r="A426" s="63" t="str">
        <f t="shared" si="63"/>
        <v>1.3.1.9.16.58</v>
      </c>
      <c r="B426" s="64">
        <v>1</v>
      </c>
      <c r="C426" s="64">
        <v>3</v>
      </c>
      <c r="D426" s="64">
        <v>1</v>
      </c>
      <c r="E426" s="64">
        <v>9</v>
      </c>
      <c r="F426" s="64">
        <v>16</v>
      </c>
      <c r="G426" s="64">
        <v>58</v>
      </c>
      <c r="H426" s="65"/>
      <c r="I426" s="65"/>
      <c r="J426" s="66"/>
      <c r="K426" s="86" t="s">
        <v>470</v>
      </c>
      <c r="L426" s="64" t="s">
        <v>72</v>
      </c>
      <c r="M426" s="64" t="s">
        <v>73</v>
      </c>
      <c r="N426" s="64" t="s">
        <v>464</v>
      </c>
      <c r="O426" s="64" t="s">
        <v>367</v>
      </c>
      <c r="P426" s="64"/>
      <c r="Q426" s="64"/>
      <c r="R426" s="124"/>
      <c r="S426" s="123"/>
      <c r="T426" s="194"/>
      <c r="U426" s="75">
        <v>0</v>
      </c>
      <c r="V426" s="75"/>
      <c r="W426" s="75">
        <v>0</v>
      </c>
      <c r="X426" s="1122">
        <v>0</v>
      </c>
      <c r="Y426" s="75">
        <v>0</v>
      </c>
      <c r="Z426" s="75">
        <v>0</v>
      </c>
      <c r="AA426" s="1122">
        <v>0</v>
      </c>
      <c r="AB426" s="75">
        <v>0</v>
      </c>
      <c r="AC426" s="75">
        <v>0</v>
      </c>
      <c r="AD426" s="1122">
        <v>0</v>
      </c>
      <c r="AE426" s="75">
        <v>0</v>
      </c>
      <c r="AF426" s="75">
        <v>0</v>
      </c>
      <c r="AG426" s="1122">
        <v>0</v>
      </c>
      <c r="AH426" s="505">
        <f t="shared" si="67"/>
        <v>0</v>
      </c>
      <c r="AI426" s="132"/>
      <c r="AJ426" s="75">
        <f t="shared" si="66"/>
        <v>0</v>
      </c>
      <c r="AK426" s="75"/>
      <c r="AL426" s="75"/>
      <c r="AM426" s="75"/>
      <c r="AN426" s="64" t="s">
        <v>39</v>
      </c>
      <c r="AO426" s="64"/>
      <c r="AP426" s="64"/>
      <c r="AQ426" s="189"/>
      <c r="AR426" s="64"/>
      <c r="AS426" s="476"/>
      <c r="AT426" s="64"/>
      <c r="AU426" s="646"/>
      <c r="AV426" s="347"/>
      <c r="AW426" s="185"/>
    </row>
    <row r="427" spans="1:57" ht="40.35" hidden="1" customHeight="1" outlineLevel="4" x14ac:dyDescent="0.25">
      <c r="A427" s="63" t="str">
        <f t="shared" si="63"/>
        <v>1.3.1.9.16.59</v>
      </c>
      <c r="B427" s="64">
        <v>1</v>
      </c>
      <c r="C427" s="64">
        <v>3</v>
      </c>
      <c r="D427" s="64">
        <v>1</v>
      </c>
      <c r="E427" s="64">
        <v>9</v>
      </c>
      <c r="F427" s="64">
        <v>16</v>
      </c>
      <c r="G427" s="64">
        <v>59</v>
      </c>
      <c r="H427" s="65"/>
      <c r="I427" s="65"/>
      <c r="J427" s="65"/>
      <c r="K427" s="86" t="s">
        <v>471</v>
      </c>
      <c r="L427" s="64" t="s">
        <v>72</v>
      </c>
      <c r="M427" s="64" t="s">
        <v>73</v>
      </c>
      <c r="N427" s="64" t="s">
        <v>464</v>
      </c>
      <c r="O427" s="64" t="s">
        <v>367</v>
      </c>
      <c r="P427" s="64"/>
      <c r="Q427" s="64"/>
      <c r="R427" s="124"/>
      <c r="S427" s="123"/>
      <c r="T427" s="194"/>
      <c r="U427" s="75">
        <v>0</v>
      </c>
      <c r="V427" s="75"/>
      <c r="W427" s="75">
        <v>0</v>
      </c>
      <c r="X427" s="1122">
        <v>0</v>
      </c>
      <c r="Y427" s="75">
        <v>0</v>
      </c>
      <c r="Z427" s="75">
        <v>0</v>
      </c>
      <c r="AA427" s="1122">
        <v>0</v>
      </c>
      <c r="AB427" s="75">
        <v>0</v>
      </c>
      <c r="AC427" s="75">
        <v>0</v>
      </c>
      <c r="AD427" s="1122">
        <v>0</v>
      </c>
      <c r="AE427" s="75">
        <v>0</v>
      </c>
      <c r="AF427" s="75">
        <v>0</v>
      </c>
      <c r="AG427" s="1122">
        <v>0</v>
      </c>
      <c r="AH427" s="505">
        <f t="shared" si="67"/>
        <v>0</v>
      </c>
      <c r="AI427" s="132"/>
      <c r="AJ427" s="75">
        <f t="shared" si="66"/>
        <v>0</v>
      </c>
      <c r="AK427" s="75"/>
      <c r="AL427" s="75"/>
      <c r="AM427" s="75"/>
      <c r="AN427" s="64" t="s">
        <v>39</v>
      </c>
      <c r="AO427" s="64"/>
      <c r="AP427" s="64"/>
      <c r="AQ427" s="189"/>
      <c r="AR427" s="64"/>
      <c r="AS427" s="476"/>
      <c r="AT427" s="64"/>
      <c r="AU427" s="646"/>
      <c r="AV427" s="347"/>
      <c r="AW427" s="185"/>
    </row>
    <row r="428" spans="1:57" ht="40.35" hidden="1" customHeight="1" outlineLevel="4" x14ac:dyDescent="0.25">
      <c r="A428" s="63" t="str">
        <f t="shared" si="63"/>
        <v>1.3.1.9.16.60</v>
      </c>
      <c r="B428" s="64">
        <v>1</v>
      </c>
      <c r="C428" s="64">
        <v>3</v>
      </c>
      <c r="D428" s="64">
        <v>1</v>
      </c>
      <c r="E428" s="64">
        <v>9</v>
      </c>
      <c r="F428" s="64">
        <v>16</v>
      </c>
      <c r="G428" s="64">
        <v>60</v>
      </c>
      <c r="H428" s="65"/>
      <c r="I428" s="65"/>
      <c r="J428" s="66"/>
      <c r="K428" s="86" t="s">
        <v>472</v>
      </c>
      <c r="L428" s="64" t="s">
        <v>72</v>
      </c>
      <c r="M428" s="64" t="s">
        <v>73</v>
      </c>
      <c r="N428" s="64" t="s">
        <v>464</v>
      </c>
      <c r="O428" s="64" t="s">
        <v>367</v>
      </c>
      <c r="P428" s="64"/>
      <c r="Q428" s="64"/>
      <c r="R428" s="124"/>
      <c r="S428" s="123"/>
      <c r="T428" s="194"/>
      <c r="U428" s="75">
        <v>0</v>
      </c>
      <c r="V428" s="75"/>
      <c r="W428" s="75">
        <v>0</v>
      </c>
      <c r="X428" s="1122">
        <v>0</v>
      </c>
      <c r="Y428" s="75">
        <v>0</v>
      </c>
      <c r="Z428" s="75">
        <v>0</v>
      </c>
      <c r="AA428" s="1122">
        <v>0</v>
      </c>
      <c r="AB428" s="75">
        <v>0</v>
      </c>
      <c r="AC428" s="75">
        <v>0</v>
      </c>
      <c r="AD428" s="1122">
        <v>0</v>
      </c>
      <c r="AE428" s="75">
        <v>0</v>
      </c>
      <c r="AF428" s="75">
        <v>0</v>
      </c>
      <c r="AG428" s="1122">
        <v>0</v>
      </c>
      <c r="AH428" s="505">
        <f t="shared" si="67"/>
        <v>0</v>
      </c>
      <c r="AI428" s="132"/>
      <c r="AJ428" s="75">
        <f t="shared" si="66"/>
        <v>0</v>
      </c>
      <c r="AK428" s="75"/>
      <c r="AL428" s="75"/>
      <c r="AM428" s="75"/>
      <c r="AN428" s="64" t="s">
        <v>39</v>
      </c>
      <c r="AO428" s="64"/>
      <c r="AP428" s="64"/>
      <c r="AQ428" s="189"/>
      <c r="AR428" s="64"/>
      <c r="AS428" s="476"/>
      <c r="AT428" s="64"/>
      <c r="AU428" s="646"/>
      <c r="AV428" s="347"/>
      <c r="AW428" s="185"/>
    </row>
    <row r="429" spans="1:57" ht="40.35" hidden="1" customHeight="1" outlineLevel="4" x14ac:dyDescent="0.25">
      <c r="A429" s="63" t="str">
        <f t="shared" si="63"/>
        <v>1.3.1.9.16.61</v>
      </c>
      <c r="B429" s="64">
        <v>1</v>
      </c>
      <c r="C429" s="64">
        <v>3</v>
      </c>
      <c r="D429" s="64">
        <v>1</v>
      </c>
      <c r="E429" s="64">
        <v>9</v>
      </c>
      <c r="F429" s="64">
        <v>16</v>
      </c>
      <c r="G429" s="64">
        <v>61</v>
      </c>
      <c r="H429" s="65"/>
      <c r="I429" s="65"/>
      <c r="J429" s="65"/>
      <c r="K429" s="86" t="s">
        <v>473</v>
      </c>
      <c r="L429" s="64" t="s">
        <v>72</v>
      </c>
      <c r="M429" s="64" t="s">
        <v>73</v>
      </c>
      <c r="N429" s="64" t="s">
        <v>464</v>
      </c>
      <c r="O429" s="64" t="s">
        <v>367</v>
      </c>
      <c r="P429" s="64"/>
      <c r="Q429" s="64"/>
      <c r="R429" s="124"/>
      <c r="S429" s="123"/>
      <c r="T429" s="194"/>
      <c r="U429" s="75">
        <v>0</v>
      </c>
      <c r="V429" s="75"/>
      <c r="W429" s="75">
        <v>0</v>
      </c>
      <c r="X429" s="1122">
        <v>0</v>
      </c>
      <c r="Y429" s="75">
        <v>0</v>
      </c>
      <c r="Z429" s="75">
        <v>0</v>
      </c>
      <c r="AA429" s="1122">
        <v>0</v>
      </c>
      <c r="AB429" s="75">
        <v>0</v>
      </c>
      <c r="AC429" s="75">
        <v>0</v>
      </c>
      <c r="AD429" s="1122">
        <v>0</v>
      </c>
      <c r="AE429" s="75">
        <v>0</v>
      </c>
      <c r="AF429" s="75">
        <v>0</v>
      </c>
      <c r="AG429" s="1122">
        <v>0</v>
      </c>
      <c r="AH429" s="505">
        <f t="shared" si="67"/>
        <v>0</v>
      </c>
      <c r="AI429" s="132"/>
      <c r="AJ429" s="75">
        <f t="shared" si="66"/>
        <v>0</v>
      </c>
      <c r="AK429" s="75"/>
      <c r="AL429" s="75"/>
      <c r="AM429" s="75"/>
      <c r="AN429" s="64" t="s">
        <v>39</v>
      </c>
      <c r="AO429" s="64"/>
      <c r="AP429" s="64"/>
      <c r="AQ429" s="189"/>
      <c r="AR429" s="64"/>
      <c r="AS429" s="476"/>
      <c r="AT429" s="64"/>
      <c r="AU429" s="646"/>
      <c r="AV429" s="347"/>
      <c r="AW429" s="185"/>
    </row>
    <row r="430" spans="1:57" ht="40.35" hidden="1" customHeight="1" outlineLevel="4" x14ac:dyDescent="0.25">
      <c r="A430" s="63" t="str">
        <f t="shared" si="63"/>
        <v>1.3.1.9.16.62</v>
      </c>
      <c r="B430" s="64">
        <v>1</v>
      </c>
      <c r="C430" s="64">
        <v>3</v>
      </c>
      <c r="D430" s="64">
        <v>1</v>
      </c>
      <c r="E430" s="64">
        <v>9</v>
      </c>
      <c r="F430" s="64">
        <v>16</v>
      </c>
      <c r="G430" s="64">
        <v>62</v>
      </c>
      <c r="H430" s="65"/>
      <c r="I430" s="65"/>
      <c r="J430" s="66"/>
      <c r="K430" s="86" t="s">
        <v>1735</v>
      </c>
      <c r="L430" s="64" t="s">
        <v>72</v>
      </c>
      <c r="M430" s="64" t="s">
        <v>73</v>
      </c>
      <c r="N430" s="64" t="s">
        <v>464</v>
      </c>
      <c r="O430" s="64" t="s">
        <v>367</v>
      </c>
      <c r="P430" s="64"/>
      <c r="Q430" s="64"/>
      <c r="R430" s="124"/>
      <c r="S430" s="123"/>
      <c r="T430" s="194"/>
      <c r="U430" s="75">
        <v>0</v>
      </c>
      <c r="V430" s="75"/>
      <c r="W430" s="75">
        <v>0</v>
      </c>
      <c r="X430" s="1122">
        <v>0</v>
      </c>
      <c r="Y430" s="75">
        <v>0</v>
      </c>
      <c r="Z430" s="75">
        <v>0</v>
      </c>
      <c r="AA430" s="1122">
        <v>0</v>
      </c>
      <c r="AB430" s="75">
        <v>0</v>
      </c>
      <c r="AC430" s="75">
        <v>0</v>
      </c>
      <c r="AD430" s="1122">
        <v>0</v>
      </c>
      <c r="AE430" s="75">
        <v>0</v>
      </c>
      <c r="AF430" s="75">
        <v>0</v>
      </c>
      <c r="AG430" s="1122">
        <v>0</v>
      </c>
      <c r="AH430" s="505">
        <f t="shared" si="67"/>
        <v>0</v>
      </c>
      <c r="AI430" s="132"/>
      <c r="AJ430" s="75">
        <f t="shared" si="66"/>
        <v>0</v>
      </c>
      <c r="AK430" s="75"/>
      <c r="AL430" s="75"/>
      <c r="AM430" s="75"/>
      <c r="AN430" s="64" t="s">
        <v>39</v>
      </c>
      <c r="AO430" s="64"/>
      <c r="AP430" s="64"/>
      <c r="AQ430" s="189"/>
      <c r="AR430" s="64"/>
      <c r="AS430" s="476"/>
      <c r="AT430" s="64"/>
      <c r="AU430" s="646"/>
      <c r="AV430" s="347"/>
      <c r="AW430" s="185"/>
    </row>
    <row r="431" spans="1:57" ht="40.35" hidden="1" customHeight="1" outlineLevel="4" x14ac:dyDescent="0.25">
      <c r="A431" s="63" t="str">
        <f t="shared" si="63"/>
        <v>1.3.1.9.16.63</v>
      </c>
      <c r="B431" s="64">
        <v>1</v>
      </c>
      <c r="C431" s="64">
        <v>3</v>
      </c>
      <c r="D431" s="64">
        <v>1</v>
      </c>
      <c r="E431" s="64">
        <v>9</v>
      </c>
      <c r="F431" s="64">
        <v>16</v>
      </c>
      <c r="G431" s="64">
        <v>63</v>
      </c>
      <c r="H431" s="65"/>
      <c r="I431" s="65"/>
      <c r="J431" s="65"/>
      <c r="K431" s="86" t="s">
        <v>474</v>
      </c>
      <c r="L431" s="64" t="s">
        <v>72</v>
      </c>
      <c r="M431" s="64" t="s">
        <v>73</v>
      </c>
      <c r="N431" s="64" t="s">
        <v>464</v>
      </c>
      <c r="O431" s="64" t="s">
        <v>367</v>
      </c>
      <c r="P431" s="64"/>
      <c r="Q431" s="64"/>
      <c r="R431" s="124"/>
      <c r="S431" s="123"/>
      <c r="T431" s="194"/>
      <c r="U431" s="75">
        <v>0</v>
      </c>
      <c r="V431" s="75"/>
      <c r="W431" s="75">
        <v>0</v>
      </c>
      <c r="X431" s="1122">
        <v>0</v>
      </c>
      <c r="Y431" s="75">
        <v>0</v>
      </c>
      <c r="Z431" s="75">
        <v>0</v>
      </c>
      <c r="AA431" s="1122">
        <v>0</v>
      </c>
      <c r="AB431" s="75">
        <v>0</v>
      </c>
      <c r="AC431" s="75">
        <v>0</v>
      </c>
      <c r="AD431" s="1122">
        <v>0</v>
      </c>
      <c r="AE431" s="75">
        <v>0</v>
      </c>
      <c r="AF431" s="75">
        <v>0</v>
      </c>
      <c r="AG431" s="1122">
        <v>0</v>
      </c>
      <c r="AH431" s="505">
        <f t="shared" si="67"/>
        <v>0</v>
      </c>
      <c r="AI431" s="132"/>
      <c r="AJ431" s="75">
        <f t="shared" si="66"/>
        <v>0</v>
      </c>
      <c r="AK431" s="75"/>
      <c r="AL431" s="75"/>
      <c r="AM431" s="75"/>
      <c r="AN431" s="64" t="s">
        <v>39</v>
      </c>
      <c r="AO431" s="64"/>
      <c r="AP431" s="64"/>
      <c r="AQ431" s="189"/>
      <c r="AR431" s="64"/>
      <c r="AS431" s="476"/>
      <c r="AT431" s="64"/>
      <c r="AU431" s="646"/>
      <c r="AV431" s="347"/>
      <c r="AW431" s="185"/>
    </row>
    <row r="432" spans="1:57" ht="40.35" hidden="1" customHeight="1" outlineLevel="4" x14ac:dyDescent="0.25">
      <c r="A432" s="63" t="str">
        <f t="shared" si="63"/>
        <v>1.3.1.9.16.64</v>
      </c>
      <c r="B432" s="64">
        <v>1</v>
      </c>
      <c r="C432" s="64">
        <v>3</v>
      </c>
      <c r="D432" s="64">
        <v>1</v>
      </c>
      <c r="E432" s="64">
        <v>9</v>
      </c>
      <c r="F432" s="64">
        <v>16</v>
      </c>
      <c r="G432" s="64">
        <v>64</v>
      </c>
      <c r="H432" s="65"/>
      <c r="I432" s="65"/>
      <c r="J432" s="66"/>
      <c r="K432" s="86" t="s">
        <v>475</v>
      </c>
      <c r="L432" s="64" t="s">
        <v>72</v>
      </c>
      <c r="M432" s="64" t="s">
        <v>73</v>
      </c>
      <c r="N432" s="64" t="s">
        <v>464</v>
      </c>
      <c r="O432" s="64" t="s">
        <v>367</v>
      </c>
      <c r="P432" s="64"/>
      <c r="Q432" s="64"/>
      <c r="R432" s="124"/>
      <c r="S432" s="123"/>
      <c r="T432" s="194"/>
      <c r="U432" s="75">
        <v>0</v>
      </c>
      <c r="V432" s="75"/>
      <c r="W432" s="75">
        <v>0</v>
      </c>
      <c r="X432" s="1122">
        <v>0</v>
      </c>
      <c r="Y432" s="75">
        <v>0</v>
      </c>
      <c r="Z432" s="75">
        <v>0</v>
      </c>
      <c r="AA432" s="1122">
        <v>0</v>
      </c>
      <c r="AB432" s="75">
        <v>0</v>
      </c>
      <c r="AC432" s="75">
        <v>0</v>
      </c>
      <c r="AD432" s="1122">
        <v>0</v>
      </c>
      <c r="AE432" s="75">
        <v>0</v>
      </c>
      <c r="AF432" s="75">
        <v>0</v>
      </c>
      <c r="AG432" s="1122">
        <v>0</v>
      </c>
      <c r="AH432" s="505">
        <f t="shared" si="67"/>
        <v>0</v>
      </c>
      <c r="AI432" s="132"/>
      <c r="AJ432" s="75">
        <f t="shared" si="66"/>
        <v>0</v>
      </c>
      <c r="AK432" s="75"/>
      <c r="AL432" s="75"/>
      <c r="AM432" s="75"/>
      <c r="AN432" s="64" t="s">
        <v>39</v>
      </c>
      <c r="AO432" s="64"/>
      <c r="AP432" s="64"/>
      <c r="AQ432" s="189"/>
      <c r="AR432" s="64"/>
      <c r="AS432" s="476"/>
      <c r="AT432" s="64"/>
      <c r="AU432" s="646"/>
      <c r="AV432" s="347"/>
      <c r="AW432" s="185"/>
    </row>
    <row r="433" spans="1:49" ht="48" hidden="1" customHeight="1" outlineLevel="4" x14ac:dyDescent="0.25">
      <c r="A433" s="63" t="str">
        <f t="shared" si="63"/>
        <v>1.3.1.9.17.58</v>
      </c>
      <c r="B433" s="64">
        <v>1</v>
      </c>
      <c r="C433" s="64">
        <v>3</v>
      </c>
      <c r="D433" s="64">
        <v>1</v>
      </c>
      <c r="E433" s="64">
        <v>9</v>
      </c>
      <c r="F433" s="64">
        <v>17</v>
      </c>
      <c r="G433" s="64">
        <v>58</v>
      </c>
      <c r="H433" s="65"/>
      <c r="I433" s="65"/>
      <c r="J433" s="65"/>
      <c r="K433" s="125" t="s">
        <v>476</v>
      </c>
      <c r="L433" s="64" t="s">
        <v>72</v>
      </c>
      <c r="M433" s="64" t="s">
        <v>73</v>
      </c>
      <c r="N433" s="64" t="s">
        <v>464</v>
      </c>
      <c r="O433" s="64" t="s">
        <v>367</v>
      </c>
      <c r="P433" s="64"/>
      <c r="Q433" s="64"/>
      <c r="R433" s="124"/>
      <c r="S433" s="123"/>
      <c r="T433" s="194"/>
      <c r="U433" s="75">
        <v>0</v>
      </c>
      <c r="V433" s="75"/>
      <c r="W433" s="75">
        <v>0</v>
      </c>
      <c r="X433" s="1122">
        <v>0</v>
      </c>
      <c r="Y433" s="75">
        <v>0</v>
      </c>
      <c r="Z433" s="75">
        <v>0</v>
      </c>
      <c r="AA433" s="1122">
        <v>0</v>
      </c>
      <c r="AB433" s="75">
        <v>0</v>
      </c>
      <c r="AC433" s="75">
        <v>0</v>
      </c>
      <c r="AD433" s="1122">
        <v>0</v>
      </c>
      <c r="AE433" s="75">
        <v>0</v>
      </c>
      <c r="AF433" s="75">
        <v>0</v>
      </c>
      <c r="AG433" s="1122">
        <v>0</v>
      </c>
      <c r="AH433" s="505">
        <f t="shared" si="67"/>
        <v>0</v>
      </c>
      <c r="AI433" s="132"/>
      <c r="AJ433" s="75">
        <f t="shared" si="66"/>
        <v>0</v>
      </c>
      <c r="AK433" s="75"/>
      <c r="AL433" s="75"/>
      <c r="AM433" s="75"/>
      <c r="AN433" s="64" t="s">
        <v>39</v>
      </c>
      <c r="AO433" s="64"/>
      <c r="AP433" s="64"/>
      <c r="AQ433" s="189"/>
      <c r="AR433" s="64"/>
      <c r="AS433" s="476"/>
      <c r="AT433" s="64"/>
      <c r="AU433" s="646"/>
      <c r="AV433" s="347"/>
      <c r="AW433" s="185"/>
    </row>
    <row r="434" spans="1:49" ht="48" hidden="1" customHeight="1" outlineLevel="4" x14ac:dyDescent="0.25">
      <c r="A434" s="63" t="str">
        <f t="shared" si="63"/>
        <v>1.3.1.9.17.59</v>
      </c>
      <c r="B434" s="64">
        <v>1</v>
      </c>
      <c r="C434" s="64">
        <v>3</v>
      </c>
      <c r="D434" s="64">
        <v>1</v>
      </c>
      <c r="E434" s="64">
        <v>9</v>
      </c>
      <c r="F434" s="64">
        <v>17</v>
      </c>
      <c r="G434" s="64">
        <v>59</v>
      </c>
      <c r="H434" s="65"/>
      <c r="I434" s="65"/>
      <c r="J434" s="65"/>
      <c r="K434" s="125" t="s">
        <v>477</v>
      </c>
      <c r="L434" s="64" t="s">
        <v>72</v>
      </c>
      <c r="M434" s="64" t="s">
        <v>73</v>
      </c>
      <c r="N434" s="64" t="s">
        <v>464</v>
      </c>
      <c r="O434" s="64" t="s">
        <v>367</v>
      </c>
      <c r="P434" s="64"/>
      <c r="Q434" s="64"/>
      <c r="R434" s="124"/>
      <c r="S434" s="123"/>
      <c r="T434" s="194"/>
      <c r="U434" s="75">
        <v>0</v>
      </c>
      <c r="V434" s="75"/>
      <c r="W434" s="75">
        <v>0</v>
      </c>
      <c r="X434" s="1122">
        <v>0</v>
      </c>
      <c r="Y434" s="75">
        <v>0</v>
      </c>
      <c r="Z434" s="75">
        <v>0</v>
      </c>
      <c r="AA434" s="1122">
        <v>0</v>
      </c>
      <c r="AB434" s="75">
        <v>0</v>
      </c>
      <c r="AC434" s="75">
        <v>0</v>
      </c>
      <c r="AD434" s="1122">
        <v>0</v>
      </c>
      <c r="AE434" s="75">
        <v>0</v>
      </c>
      <c r="AF434" s="75">
        <v>0</v>
      </c>
      <c r="AG434" s="1122">
        <v>0</v>
      </c>
      <c r="AH434" s="505">
        <f t="shared" si="67"/>
        <v>0</v>
      </c>
      <c r="AI434" s="132"/>
      <c r="AJ434" s="75">
        <f t="shared" si="66"/>
        <v>0</v>
      </c>
      <c r="AK434" s="75"/>
      <c r="AL434" s="75"/>
      <c r="AM434" s="75"/>
      <c r="AN434" s="64" t="s">
        <v>39</v>
      </c>
      <c r="AO434" s="64"/>
      <c r="AP434" s="64"/>
      <c r="AQ434" s="189"/>
      <c r="AR434" s="64"/>
      <c r="AS434" s="476"/>
      <c r="AT434" s="64"/>
      <c r="AU434" s="646"/>
      <c r="AV434" s="347"/>
      <c r="AW434" s="185"/>
    </row>
    <row r="435" spans="1:49" ht="48" hidden="1" customHeight="1" outlineLevel="4" x14ac:dyDescent="0.25">
      <c r="A435" s="63" t="str">
        <f t="shared" si="63"/>
        <v>1.3.1.9.17.60</v>
      </c>
      <c r="B435" s="64">
        <v>1</v>
      </c>
      <c r="C435" s="64">
        <v>3</v>
      </c>
      <c r="D435" s="64">
        <v>1</v>
      </c>
      <c r="E435" s="64">
        <v>9</v>
      </c>
      <c r="F435" s="64">
        <v>17</v>
      </c>
      <c r="G435" s="64">
        <v>60</v>
      </c>
      <c r="H435" s="65"/>
      <c r="I435" s="65"/>
      <c r="J435" s="65"/>
      <c r="K435" s="125" t="s">
        <v>478</v>
      </c>
      <c r="L435" s="64" t="s">
        <v>72</v>
      </c>
      <c r="M435" s="64" t="s">
        <v>73</v>
      </c>
      <c r="N435" s="64" t="s">
        <v>464</v>
      </c>
      <c r="O435" s="64" t="s">
        <v>367</v>
      </c>
      <c r="P435" s="64"/>
      <c r="Q435" s="64"/>
      <c r="R435" s="124"/>
      <c r="S435" s="123"/>
      <c r="T435" s="194"/>
      <c r="U435" s="75">
        <v>0</v>
      </c>
      <c r="V435" s="75"/>
      <c r="W435" s="75">
        <v>0</v>
      </c>
      <c r="X435" s="1122">
        <v>0</v>
      </c>
      <c r="Y435" s="75">
        <v>0</v>
      </c>
      <c r="Z435" s="75">
        <v>0</v>
      </c>
      <c r="AA435" s="1122">
        <v>0</v>
      </c>
      <c r="AB435" s="75">
        <v>0</v>
      </c>
      <c r="AC435" s="75">
        <v>0</v>
      </c>
      <c r="AD435" s="1122">
        <v>0</v>
      </c>
      <c r="AE435" s="75">
        <v>0</v>
      </c>
      <c r="AF435" s="75">
        <v>0</v>
      </c>
      <c r="AG435" s="1122">
        <v>0</v>
      </c>
      <c r="AH435" s="505">
        <f t="shared" si="67"/>
        <v>0</v>
      </c>
      <c r="AI435" s="132"/>
      <c r="AJ435" s="75">
        <f t="shared" si="66"/>
        <v>0</v>
      </c>
      <c r="AK435" s="75"/>
      <c r="AL435" s="75"/>
      <c r="AM435" s="75"/>
      <c r="AN435" s="64" t="s">
        <v>39</v>
      </c>
      <c r="AO435" s="64"/>
      <c r="AP435" s="64"/>
      <c r="AQ435" s="189"/>
      <c r="AR435" s="64"/>
      <c r="AS435" s="476"/>
      <c r="AT435" s="64"/>
      <c r="AU435" s="646"/>
      <c r="AV435" s="347"/>
      <c r="AW435" s="185"/>
    </row>
    <row r="436" spans="1:49" ht="48" hidden="1" customHeight="1" outlineLevel="4" x14ac:dyDescent="0.25">
      <c r="A436" s="63" t="str">
        <f t="shared" si="63"/>
        <v>1.3.1.9.17.61</v>
      </c>
      <c r="B436" s="64">
        <v>1</v>
      </c>
      <c r="C436" s="64">
        <v>3</v>
      </c>
      <c r="D436" s="64">
        <v>1</v>
      </c>
      <c r="E436" s="64">
        <v>9</v>
      </c>
      <c r="F436" s="64">
        <v>17</v>
      </c>
      <c r="G436" s="64">
        <v>61</v>
      </c>
      <c r="H436" s="65"/>
      <c r="I436" s="65"/>
      <c r="J436" s="65"/>
      <c r="K436" s="125" t="s">
        <v>479</v>
      </c>
      <c r="L436" s="64" t="s">
        <v>72</v>
      </c>
      <c r="M436" s="64" t="s">
        <v>73</v>
      </c>
      <c r="N436" s="64" t="s">
        <v>464</v>
      </c>
      <c r="O436" s="64" t="s">
        <v>367</v>
      </c>
      <c r="P436" s="64"/>
      <c r="Q436" s="64"/>
      <c r="R436" s="124"/>
      <c r="S436" s="123"/>
      <c r="T436" s="194"/>
      <c r="U436" s="75">
        <v>0</v>
      </c>
      <c r="V436" s="75"/>
      <c r="W436" s="75">
        <v>0</v>
      </c>
      <c r="X436" s="1122">
        <v>0</v>
      </c>
      <c r="Y436" s="75">
        <v>0</v>
      </c>
      <c r="Z436" s="75">
        <v>0</v>
      </c>
      <c r="AA436" s="1122">
        <v>0</v>
      </c>
      <c r="AB436" s="75">
        <v>0</v>
      </c>
      <c r="AC436" s="75">
        <v>0</v>
      </c>
      <c r="AD436" s="1122">
        <v>0</v>
      </c>
      <c r="AE436" s="75">
        <v>0</v>
      </c>
      <c r="AF436" s="75">
        <v>0</v>
      </c>
      <c r="AG436" s="1122">
        <v>0</v>
      </c>
      <c r="AH436" s="505">
        <f t="shared" si="67"/>
        <v>0</v>
      </c>
      <c r="AI436" s="132"/>
      <c r="AJ436" s="75">
        <f t="shared" si="66"/>
        <v>0</v>
      </c>
      <c r="AK436" s="75"/>
      <c r="AL436" s="75"/>
      <c r="AM436" s="75"/>
      <c r="AN436" s="64" t="s">
        <v>39</v>
      </c>
      <c r="AO436" s="64"/>
      <c r="AP436" s="64"/>
      <c r="AQ436" s="189"/>
      <c r="AR436" s="64"/>
      <c r="AS436" s="476"/>
      <c r="AT436" s="64"/>
      <c r="AU436" s="646"/>
      <c r="AV436" s="347"/>
      <c r="AW436" s="185"/>
    </row>
    <row r="437" spans="1:49" ht="48" hidden="1" customHeight="1" outlineLevel="4" x14ac:dyDescent="0.25">
      <c r="A437" s="63" t="str">
        <f t="shared" si="63"/>
        <v>1.3.1.9.17.62</v>
      </c>
      <c r="B437" s="64">
        <v>1</v>
      </c>
      <c r="C437" s="64">
        <v>3</v>
      </c>
      <c r="D437" s="64">
        <v>1</v>
      </c>
      <c r="E437" s="64">
        <v>9</v>
      </c>
      <c r="F437" s="64">
        <v>17</v>
      </c>
      <c r="G437" s="64">
        <v>62</v>
      </c>
      <c r="H437" s="65"/>
      <c r="I437" s="65"/>
      <c r="J437" s="65"/>
      <c r="K437" s="125" t="s">
        <v>1736</v>
      </c>
      <c r="L437" s="64" t="s">
        <v>72</v>
      </c>
      <c r="M437" s="64" t="s">
        <v>73</v>
      </c>
      <c r="N437" s="64" t="s">
        <v>464</v>
      </c>
      <c r="O437" s="64" t="s">
        <v>367</v>
      </c>
      <c r="P437" s="64"/>
      <c r="Q437" s="64"/>
      <c r="R437" s="124"/>
      <c r="S437" s="123"/>
      <c r="T437" s="194"/>
      <c r="U437" s="75">
        <v>0</v>
      </c>
      <c r="V437" s="75"/>
      <c r="W437" s="75">
        <v>0</v>
      </c>
      <c r="X437" s="1122">
        <v>0</v>
      </c>
      <c r="Y437" s="75">
        <v>0</v>
      </c>
      <c r="Z437" s="75">
        <v>0</v>
      </c>
      <c r="AA437" s="1122">
        <v>0</v>
      </c>
      <c r="AB437" s="75">
        <v>0</v>
      </c>
      <c r="AC437" s="75">
        <v>0</v>
      </c>
      <c r="AD437" s="1122">
        <v>0</v>
      </c>
      <c r="AE437" s="75">
        <v>0</v>
      </c>
      <c r="AF437" s="75">
        <v>0</v>
      </c>
      <c r="AG437" s="1122">
        <v>0</v>
      </c>
      <c r="AH437" s="505">
        <f t="shared" si="67"/>
        <v>0</v>
      </c>
      <c r="AI437" s="132"/>
      <c r="AJ437" s="75">
        <f t="shared" si="66"/>
        <v>0</v>
      </c>
      <c r="AK437" s="75"/>
      <c r="AL437" s="75"/>
      <c r="AM437" s="75"/>
      <c r="AN437" s="64" t="s">
        <v>39</v>
      </c>
      <c r="AO437" s="64"/>
      <c r="AP437" s="64"/>
      <c r="AQ437" s="189"/>
      <c r="AR437" s="64"/>
      <c r="AS437" s="476"/>
      <c r="AT437" s="64"/>
      <c r="AU437" s="646"/>
      <c r="AV437" s="347"/>
      <c r="AW437" s="185"/>
    </row>
    <row r="438" spans="1:49" ht="48" hidden="1" customHeight="1" outlineLevel="4" x14ac:dyDescent="0.25">
      <c r="A438" s="63" t="str">
        <f t="shared" si="63"/>
        <v>1.3.1.9.17.63</v>
      </c>
      <c r="B438" s="64">
        <v>1</v>
      </c>
      <c r="C438" s="64">
        <v>3</v>
      </c>
      <c r="D438" s="64">
        <v>1</v>
      </c>
      <c r="E438" s="64">
        <v>9</v>
      </c>
      <c r="F438" s="64">
        <v>17</v>
      </c>
      <c r="G438" s="64">
        <v>63</v>
      </c>
      <c r="H438" s="65"/>
      <c r="I438" s="65"/>
      <c r="J438" s="65"/>
      <c r="K438" s="125" t="s">
        <v>480</v>
      </c>
      <c r="L438" s="64" t="s">
        <v>72</v>
      </c>
      <c r="M438" s="64" t="s">
        <v>73</v>
      </c>
      <c r="N438" s="64" t="s">
        <v>464</v>
      </c>
      <c r="O438" s="64" t="s">
        <v>367</v>
      </c>
      <c r="P438" s="64"/>
      <c r="Q438" s="64"/>
      <c r="R438" s="124"/>
      <c r="S438" s="123"/>
      <c r="T438" s="194"/>
      <c r="U438" s="75">
        <v>0</v>
      </c>
      <c r="V438" s="75"/>
      <c r="W438" s="75">
        <v>0</v>
      </c>
      <c r="X438" s="1122">
        <v>0</v>
      </c>
      <c r="Y438" s="75">
        <v>0</v>
      </c>
      <c r="Z438" s="75">
        <v>0</v>
      </c>
      <c r="AA438" s="1122">
        <v>0</v>
      </c>
      <c r="AB438" s="75">
        <v>0</v>
      </c>
      <c r="AC438" s="75">
        <v>0</v>
      </c>
      <c r="AD438" s="1122">
        <v>0</v>
      </c>
      <c r="AE438" s="75">
        <v>0</v>
      </c>
      <c r="AF438" s="75">
        <v>0</v>
      </c>
      <c r="AG438" s="1122">
        <v>0</v>
      </c>
      <c r="AH438" s="505">
        <f t="shared" si="67"/>
        <v>0</v>
      </c>
      <c r="AI438" s="132"/>
      <c r="AJ438" s="75">
        <f t="shared" si="66"/>
        <v>0</v>
      </c>
      <c r="AK438" s="75"/>
      <c r="AL438" s="75"/>
      <c r="AM438" s="75"/>
      <c r="AN438" s="64" t="s">
        <v>39</v>
      </c>
      <c r="AO438" s="64"/>
      <c r="AP438" s="64"/>
      <c r="AQ438" s="189"/>
      <c r="AR438" s="64"/>
      <c r="AS438" s="476"/>
      <c r="AT438" s="64"/>
      <c r="AU438" s="646"/>
      <c r="AV438" s="347"/>
      <c r="AW438" s="185"/>
    </row>
    <row r="439" spans="1:49" ht="48" hidden="1" customHeight="1" outlineLevel="4" x14ac:dyDescent="0.25">
      <c r="A439" s="63" t="str">
        <f t="shared" si="63"/>
        <v>1.3.1.9.17.64</v>
      </c>
      <c r="B439" s="64">
        <v>1</v>
      </c>
      <c r="C439" s="64">
        <v>3</v>
      </c>
      <c r="D439" s="64">
        <v>1</v>
      </c>
      <c r="E439" s="64">
        <v>9</v>
      </c>
      <c r="F439" s="64">
        <v>17</v>
      </c>
      <c r="G439" s="64">
        <v>64</v>
      </c>
      <c r="H439" s="65"/>
      <c r="I439" s="65"/>
      <c r="J439" s="65"/>
      <c r="K439" s="125" t="s">
        <v>481</v>
      </c>
      <c r="L439" s="64" t="s">
        <v>72</v>
      </c>
      <c r="M439" s="64" t="s">
        <v>73</v>
      </c>
      <c r="N439" s="64" t="s">
        <v>464</v>
      </c>
      <c r="O439" s="64" t="s">
        <v>367</v>
      </c>
      <c r="P439" s="64"/>
      <c r="Q439" s="64"/>
      <c r="R439" s="124"/>
      <c r="S439" s="123"/>
      <c r="T439" s="194"/>
      <c r="U439" s="75">
        <v>0</v>
      </c>
      <c r="V439" s="75"/>
      <c r="W439" s="75">
        <v>0</v>
      </c>
      <c r="X439" s="1122">
        <v>0</v>
      </c>
      <c r="Y439" s="75">
        <v>0</v>
      </c>
      <c r="Z439" s="75">
        <v>0</v>
      </c>
      <c r="AA439" s="1122">
        <v>0</v>
      </c>
      <c r="AB439" s="75">
        <v>0</v>
      </c>
      <c r="AC439" s="75">
        <v>0</v>
      </c>
      <c r="AD439" s="1122">
        <v>0</v>
      </c>
      <c r="AE439" s="75">
        <v>0</v>
      </c>
      <c r="AF439" s="75">
        <v>0</v>
      </c>
      <c r="AG439" s="1122">
        <v>0</v>
      </c>
      <c r="AH439" s="505">
        <f t="shared" si="67"/>
        <v>0</v>
      </c>
      <c r="AI439" s="132"/>
      <c r="AJ439" s="75">
        <f t="shared" si="66"/>
        <v>0</v>
      </c>
      <c r="AK439" s="75"/>
      <c r="AL439" s="75"/>
      <c r="AM439" s="75"/>
      <c r="AN439" s="64" t="s">
        <v>39</v>
      </c>
      <c r="AO439" s="64"/>
      <c r="AP439" s="64"/>
      <c r="AQ439" s="189"/>
      <c r="AR439" s="64"/>
      <c r="AS439" s="476"/>
      <c r="AT439" s="64"/>
      <c r="AU439" s="646"/>
      <c r="AV439" s="347"/>
      <c r="AW439" s="185"/>
    </row>
    <row r="440" spans="1:49" ht="48" hidden="1" customHeight="1" outlineLevel="4" x14ac:dyDescent="0.25">
      <c r="A440" s="63" t="str">
        <f t="shared" si="63"/>
        <v>1.3.1.9.18.58</v>
      </c>
      <c r="B440" s="64">
        <v>1</v>
      </c>
      <c r="C440" s="64">
        <v>3</v>
      </c>
      <c r="D440" s="64">
        <v>1</v>
      </c>
      <c r="E440" s="64">
        <v>9</v>
      </c>
      <c r="F440" s="64">
        <v>18</v>
      </c>
      <c r="G440" s="64">
        <v>58</v>
      </c>
      <c r="H440" s="65"/>
      <c r="I440" s="65"/>
      <c r="J440" s="65"/>
      <c r="K440" s="125" t="s">
        <v>482</v>
      </c>
      <c r="L440" s="64" t="s">
        <v>72</v>
      </c>
      <c r="M440" s="64" t="s">
        <v>73</v>
      </c>
      <c r="N440" s="64" t="s">
        <v>74</v>
      </c>
      <c r="O440" s="64" t="s">
        <v>367</v>
      </c>
      <c r="P440" s="64"/>
      <c r="Q440" s="64"/>
      <c r="R440" s="124"/>
      <c r="S440" s="123"/>
      <c r="T440" s="194"/>
      <c r="U440" s="75">
        <v>0</v>
      </c>
      <c r="V440" s="75"/>
      <c r="W440" s="75">
        <v>0</v>
      </c>
      <c r="X440" s="1122">
        <v>0</v>
      </c>
      <c r="Y440" s="75">
        <v>0</v>
      </c>
      <c r="Z440" s="75">
        <v>0</v>
      </c>
      <c r="AA440" s="1122">
        <v>0</v>
      </c>
      <c r="AB440" s="75">
        <v>0</v>
      </c>
      <c r="AC440" s="75">
        <v>0</v>
      </c>
      <c r="AD440" s="1122">
        <v>0</v>
      </c>
      <c r="AE440" s="75">
        <v>0</v>
      </c>
      <c r="AF440" s="75">
        <v>0</v>
      </c>
      <c r="AG440" s="1122">
        <v>0</v>
      </c>
      <c r="AH440" s="505">
        <f t="shared" si="67"/>
        <v>0</v>
      </c>
      <c r="AI440" s="132"/>
      <c r="AJ440" s="75">
        <f t="shared" si="66"/>
        <v>0</v>
      </c>
      <c r="AK440" s="75"/>
      <c r="AL440" s="75"/>
      <c r="AM440" s="75"/>
      <c r="AN440" s="64" t="s">
        <v>39</v>
      </c>
      <c r="AO440" s="64"/>
      <c r="AP440" s="64"/>
      <c r="AQ440" s="189"/>
      <c r="AR440" s="64"/>
      <c r="AS440" s="476"/>
      <c r="AT440" s="64"/>
      <c r="AU440" s="646"/>
      <c r="AV440" s="347"/>
      <c r="AW440" s="185"/>
    </row>
    <row r="441" spans="1:49" ht="48" hidden="1" customHeight="1" outlineLevel="4" x14ac:dyDescent="0.25">
      <c r="A441" s="63" t="str">
        <f t="shared" si="63"/>
        <v>1.3.1.9.18.59</v>
      </c>
      <c r="B441" s="64">
        <v>1</v>
      </c>
      <c r="C441" s="64">
        <v>3</v>
      </c>
      <c r="D441" s="64">
        <v>1</v>
      </c>
      <c r="E441" s="64">
        <v>9</v>
      </c>
      <c r="F441" s="64">
        <v>18</v>
      </c>
      <c r="G441" s="64">
        <v>59</v>
      </c>
      <c r="H441" s="65"/>
      <c r="I441" s="65"/>
      <c r="J441" s="65"/>
      <c r="K441" s="125" t="s">
        <v>483</v>
      </c>
      <c r="L441" s="64" t="s">
        <v>72</v>
      </c>
      <c r="M441" s="64" t="s">
        <v>73</v>
      </c>
      <c r="N441" s="64" t="s">
        <v>74</v>
      </c>
      <c r="O441" s="64" t="s">
        <v>367</v>
      </c>
      <c r="P441" s="64"/>
      <c r="Q441" s="64"/>
      <c r="R441" s="124"/>
      <c r="S441" s="123"/>
      <c r="T441" s="194"/>
      <c r="U441" s="75">
        <v>0</v>
      </c>
      <c r="V441" s="75"/>
      <c r="W441" s="75">
        <v>0</v>
      </c>
      <c r="X441" s="1122">
        <v>0</v>
      </c>
      <c r="Y441" s="75">
        <v>0</v>
      </c>
      <c r="Z441" s="75">
        <v>0</v>
      </c>
      <c r="AA441" s="1122">
        <v>0</v>
      </c>
      <c r="AB441" s="75">
        <v>0</v>
      </c>
      <c r="AC441" s="75">
        <v>0</v>
      </c>
      <c r="AD441" s="1122">
        <v>0</v>
      </c>
      <c r="AE441" s="75">
        <v>0</v>
      </c>
      <c r="AF441" s="75">
        <v>0</v>
      </c>
      <c r="AG441" s="1122">
        <v>0</v>
      </c>
      <c r="AH441" s="505">
        <f t="shared" si="67"/>
        <v>0</v>
      </c>
      <c r="AI441" s="132"/>
      <c r="AJ441" s="75">
        <f t="shared" si="66"/>
        <v>0</v>
      </c>
      <c r="AK441" s="75"/>
      <c r="AL441" s="75"/>
      <c r="AM441" s="75"/>
      <c r="AN441" s="64" t="s">
        <v>39</v>
      </c>
      <c r="AO441" s="64"/>
      <c r="AP441" s="64"/>
      <c r="AQ441" s="189"/>
      <c r="AR441" s="64"/>
      <c r="AS441" s="476"/>
      <c r="AT441" s="64"/>
      <c r="AU441" s="646"/>
      <c r="AV441" s="347"/>
      <c r="AW441" s="185"/>
    </row>
    <row r="442" spans="1:49" ht="48" hidden="1" customHeight="1" outlineLevel="4" x14ac:dyDescent="0.25">
      <c r="A442" s="63" t="str">
        <f t="shared" si="63"/>
        <v>1.3.1.9.18.60</v>
      </c>
      <c r="B442" s="64">
        <v>1</v>
      </c>
      <c r="C442" s="64">
        <v>3</v>
      </c>
      <c r="D442" s="64">
        <v>1</v>
      </c>
      <c r="E442" s="64">
        <v>9</v>
      </c>
      <c r="F442" s="64">
        <v>18</v>
      </c>
      <c r="G442" s="64">
        <v>60</v>
      </c>
      <c r="H442" s="65"/>
      <c r="I442" s="65"/>
      <c r="J442" s="65"/>
      <c r="K442" s="125" t="s">
        <v>484</v>
      </c>
      <c r="L442" s="64" t="s">
        <v>72</v>
      </c>
      <c r="M442" s="64" t="s">
        <v>73</v>
      </c>
      <c r="N442" s="64" t="s">
        <v>74</v>
      </c>
      <c r="O442" s="64" t="s">
        <v>367</v>
      </c>
      <c r="P442" s="64"/>
      <c r="Q442" s="64"/>
      <c r="R442" s="124"/>
      <c r="S442" s="123"/>
      <c r="T442" s="194"/>
      <c r="U442" s="75">
        <v>0</v>
      </c>
      <c r="V442" s="75"/>
      <c r="W442" s="75">
        <v>0</v>
      </c>
      <c r="X442" s="1122">
        <v>0</v>
      </c>
      <c r="Y442" s="75">
        <v>0</v>
      </c>
      <c r="Z442" s="75">
        <v>0</v>
      </c>
      <c r="AA442" s="1122">
        <v>0</v>
      </c>
      <c r="AB442" s="75">
        <v>0</v>
      </c>
      <c r="AC442" s="75">
        <v>0</v>
      </c>
      <c r="AD442" s="1122">
        <v>0</v>
      </c>
      <c r="AE442" s="75">
        <v>0</v>
      </c>
      <c r="AF442" s="75">
        <v>0</v>
      </c>
      <c r="AG442" s="1122">
        <v>0</v>
      </c>
      <c r="AH442" s="505">
        <f t="shared" si="67"/>
        <v>0</v>
      </c>
      <c r="AI442" s="132"/>
      <c r="AJ442" s="75">
        <f t="shared" si="66"/>
        <v>0</v>
      </c>
      <c r="AK442" s="75"/>
      <c r="AL442" s="75"/>
      <c r="AM442" s="75"/>
      <c r="AN442" s="64" t="s">
        <v>39</v>
      </c>
      <c r="AO442" s="64"/>
      <c r="AP442" s="64"/>
      <c r="AQ442" s="189"/>
      <c r="AR442" s="64"/>
      <c r="AS442" s="476"/>
      <c r="AT442" s="64"/>
      <c r="AU442" s="646"/>
      <c r="AV442" s="347"/>
      <c r="AW442" s="185"/>
    </row>
    <row r="443" spans="1:49" ht="48" hidden="1" customHeight="1" outlineLevel="4" x14ac:dyDescent="0.25">
      <c r="A443" s="63" t="str">
        <f t="shared" si="63"/>
        <v>1.3.1.9.18.61</v>
      </c>
      <c r="B443" s="64">
        <v>1</v>
      </c>
      <c r="C443" s="64">
        <v>3</v>
      </c>
      <c r="D443" s="64">
        <v>1</v>
      </c>
      <c r="E443" s="64">
        <v>9</v>
      </c>
      <c r="F443" s="64">
        <v>18</v>
      </c>
      <c r="G443" s="64">
        <v>61</v>
      </c>
      <c r="H443" s="65"/>
      <c r="I443" s="65"/>
      <c r="J443" s="65"/>
      <c r="K443" s="125" t="s">
        <v>485</v>
      </c>
      <c r="L443" s="64" t="s">
        <v>72</v>
      </c>
      <c r="M443" s="64" t="s">
        <v>73</v>
      </c>
      <c r="N443" s="64" t="s">
        <v>74</v>
      </c>
      <c r="O443" s="64" t="s">
        <v>367</v>
      </c>
      <c r="P443" s="64"/>
      <c r="Q443" s="64"/>
      <c r="R443" s="124"/>
      <c r="S443" s="123"/>
      <c r="T443" s="194"/>
      <c r="U443" s="75">
        <v>0</v>
      </c>
      <c r="V443" s="75"/>
      <c r="W443" s="75">
        <v>0</v>
      </c>
      <c r="X443" s="1122">
        <v>0</v>
      </c>
      <c r="Y443" s="75">
        <v>0</v>
      </c>
      <c r="Z443" s="75">
        <v>0</v>
      </c>
      <c r="AA443" s="1122">
        <v>0</v>
      </c>
      <c r="AB443" s="75">
        <v>0</v>
      </c>
      <c r="AC443" s="75">
        <v>0</v>
      </c>
      <c r="AD443" s="1122">
        <v>0</v>
      </c>
      <c r="AE443" s="75">
        <v>0</v>
      </c>
      <c r="AF443" s="75">
        <v>0</v>
      </c>
      <c r="AG443" s="1122">
        <v>0</v>
      </c>
      <c r="AH443" s="505">
        <f t="shared" si="67"/>
        <v>0</v>
      </c>
      <c r="AI443" s="132"/>
      <c r="AJ443" s="75">
        <f t="shared" si="66"/>
        <v>0</v>
      </c>
      <c r="AK443" s="75"/>
      <c r="AL443" s="75"/>
      <c r="AM443" s="75"/>
      <c r="AN443" s="64" t="s">
        <v>39</v>
      </c>
      <c r="AO443" s="64"/>
      <c r="AP443" s="64"/>
      <c r="AQ443" s="189"/>
      <c r="AR443" s="64"/>
      <c r="AS443" s="476"/>
      <c r="AT443" s="64"/>
      <c r="AU443" s="646"/>
      <c r="AV443" s="347"/>
      <c r="AW443" s="185"/>
    </row>
    <row r="444" spans="1:49" ht="48" hidden="1" customHeight="1" outlineLevel="4" x14ac:dyDescent="0.25">
      <c r="A444" s="63" t="str">
        <f t="shared" si="63"/>
        <v>1.3.1.9.18.62</v>
      </c>
      <c r="B444" s="64">
        <v>1</v>
      </c>
      <c r="C444" s="64">
        <v>3</v>
      </c>
      <c r="D444" s="64">
        <v>1</v>
      </c>
      <c r="E444" s="64">
        <v>9</v>
      </c>
      <c r="F444" s="64">
        <v>18</v>
      </c>
      <c r="G444" s="64">
        <v>62</v>
      </c>
      <c r="H444" s="65"/>
      <c r="I444" s="65"/>
      <c r="J444" s="65"/>
      <c r="K444" s="125" t="s">
        <v>1737</v>
      </c>
      <c r="L444" s="64" t="s">
        <v>72</v>
      </c>
      <c r="M444" s="64" t="s">
        <v>73</v>
      </c>
      <c r="N444" s="64" t="s">
        <v>74</v>
      </c>
      <c r="O444" s="64" t="s">
        <v>367</v>
      </c>
      <c r="P444" s="64"/>
      <c r="Q444" s="64"/>
      <c r="R444" s="124"/>
      <c r="S444" s="123"/>
      <c r="T444" s="194"/>
      <c r="U444" s="75">
        <v>0</v>
      </c>
      <c r="V444" s="75"/>
      <c r="W444" s="75">
        <v>0</v>
      </c>
      <c r="X444" s="1122">
        <v>0</v>
      </c>
      <c r="Y444" s="75">
        <v>0</v>
      </c>
      <c r="Z444" s="75">
        <v>0</v>
      </c>
      <c r="AA444" s="1122">
        <v>0</v>
      </c>
      <c r="AB444" s="75">
        <v>0</v>
      </c>
      <c r="AC444" s="75">
        <v>0</v>
      </c>
      <c r="AD444" s="1122">
        <v>0</v>
      </c>
      <c r="AE444" s="75">
        <v>0</v>
      </c>
      <c r="AF444" s="75">
        <v>0</v>
      </c>
      <c r="AG444" s="1122">
        <v>0</v>
      </c>
      <c r="AH444" s="505">
        <f t="shared" si="67"/>
        <v>0</v>
      </c>
      <c r="AI444" s="132"/>
      <c r="AJ444" s="75">
        <f t="shared" si="66"/>
        <v>0</v>
      </c>
      <c r="AK444" s="75"/>
      <c r="AL444" s="75"/>
      <c r="AM444" s="75"/>
      <c r="AN444" s="64" t="s">
        <v>39</v>
      </c>
      <c r="AO444" s="64"/>
      <c r="AP444" s="64"/>
      <c r="AQ444" s="189"/>
      <c r="AR444" s="64"/>
      <c r="AS444" s="476"/>
      <c r="AT444" s="64"/>
      <c r="AU444" s="646"/>
      <c r="AV444" s="347"/>
      <c r="AW444" s="185"/>
    </row>
    <row r="445" spans="1:49" ht="48" hidden="1" customHeight="1" outlineLevel="4" x14ac:dyDescent="0.25">
      <c r="A445" s="63" t="str">
        <f t="shared" si="63"/>
        <v>1.3.1.9.18.63</v>
      </c>
      <c r="B445" s="64">
        <v>1</v>
      </c>
      <c r="C445" s="64">
        <v>3</v>
      </c>
      <c r="D445" s="64">
        <v>1</v>
      </c>
      <c r="E445" s="64">
        <v>9</v>
      </c>
      <c r="F445" s="64">
        <v>18</v>
      </c>
      <c r="G445" s="64">
        <v>63</v>
      </c>
      <c r="H445" s="65"/>
      <c r="I445" s="65"/>
      <c r="J445" s="65"/>
      <c r="K445" s="125" t="s">
        <v>486</v>
      </c>
      <c r="L445" s="64" t="s">
        <v>72</v>
      </c>
      <c r="M445" s="64" t="s">
        <v>73</v>
      </c>
      <c r="N445" s="64" t="s">
        <v>74</v>
      </c>
      <c r="O445" s="64" t="s">
        <v>367</v>
      </c>
      <c r="P445" s="64"/>
      <c r="Q445" s="64"/>
      <c r="R445" s="124"/>
      <c r="S445" s="123"/>
      <c r="T445" s="194"/>
      <c r="U445" s="75">
        <v>0</v>
      </c>
      <c r="V445" s="75"/>
      <c r="W445" s="75">
        <v>0</v>
      </c>
      <c r="X445" s="1122">
        <v>0</v>
      </c>
      <c r="Y445" s="75">
        <v>0</v>
      </c>
      <c r="Z445" s="75">
        <v>0</v>
      </c>
      <c r="AA445" s="1122">
        <v>0</v>
      </c>
      <c r="AB445" s="75">
        <v>0</v>
      </c>
      <c r="AC445" s="75">
        <v>0</v>
      </c>
      <c r="AD445" s="1122">
        <v>0</v>
      </c>
      <c r="AE445" s="75">
        <v>0</v>
      </c>
      <c r="AF445" s="75">
        <v>0</v>
      </c>
      <c r="AG445" s="1122">
        <v>0</v>
      </c>
      <c r="AH445" s="505">
        <f t="shared" si="67"/>
        <v>0</v>
      </c>
      <c r="AI445" s="132"/>
      <c r="AJ445" s="75">
        <f t="shared" si="66"/>
        <v>0</v>
      </c>
      <c r="AK445" s="75"/>
      <c r="AL445" s="75"/>
      <c r="AM445" s="75"/>
      <c r="AN445" s="64" t="s">
        <v>39</v>
      </c>
      <c r="AO445" s="64"/>
      <c r="AP445" s="64"/>
      <c r="AQ445" s="189"/>
      <c r="AR445" s="64"/>
      <c r="AS445" s="476"/>
      <c r="AT445" s="64"/>
      <c r="AU445" s="646"/>
      <c r="AV445" s="347"/>
      <c r="AW445" s="185"/>
    </row>
    <row r="446" spans="1:49" ht="48" hidden="1" customHeight="1" outlineLevel="4" x14ac:dyDescent="0.25">
      <c r="A446" s="63" t="str">
        <f t="shared" si="63"/>
        <v>1.3.1.9.18.64</v>
      </c>
      <c r="B446" s="64">
        <v>1</v>
      </c>
      <c r="C446" s="64">
        <v>3</v>
      </c>
      <c r="D446" s="64">
        <v>1</v>
      </c>
      <c r="E446" s="64">
        <v>9</v>
      </c>
      <c r="F446" s="64">
        <v>18</v>
      </c>
      <c r="G446" s="64">
        <v>64</v>
      </c>
      <c r="H446" s="65"/>
      <c r="I446" s="65"/>
      <c r="J446" s="65"/>
      <c r="K446" s="125" t="s">
        <v>487</v>
      </c>
      <c r="L446" s="64" t="s">
        <v>72</v>
      </c>
      <c r="M446" s="64" t="s">
        <v>73</v>
      </c>
      <c r="N446" s="64" t="s">
        <v>74</v>
      </c>
      <c r="O446" s="64" t="s">
        <v>367</v>
      </c>
      <c r="P446" s="64"/>
      <c r="Q446" s="64"/>
      <c r="R446" s="124"/>
      <c r="S446" s="123"/>
      <c r="T446" s="194"/>
      <c r="U446" s="75">
        <v>0</v>
      </c>
      <c r="V446" s="75"/>
      <c r="W446" s="75">
        <v>0</v>
      </c>
      <c r="X446" s="1122">
        <v>0</v>
      </c>
      <c r="Y446" s="75">
        <v>0</v>
      </c>
      <c r="Z446" s="75">
        <v>0</v>
      </c>
      <c r="AA446" s="1122">
        <v>0</v>
      </c>
      <c r="AB446" s="75">
        <v>0</v>
      </c>
      <c r="AC446" s="75">
        <v>0</v>
      </c>
      <c r="AD446" s="1122">
        <v>0</v>
      </c>
      <c r="AE446" s="75">
        <v>0</v>
      </c>
      <c r="AF446" s="75">
        <v>0</v>
      </c>
      <c r="AG446" s="1122">
        <v>0</v>
      </c>
      <c r="AH446" s="505">
        <f t="shared" si="67"/>
        <v>0</v>
      </c>
      <c r="AI446" s="132"/>
      <c r="AJ446" s="75">
        <f t="shared" si="66"/>
        <v>0</v>
      </c>
      <c r="AK446" s="75"/>
      <c r="AL446" s="75"/>
      <c r="AM446" s="75"/>
      <c r="AN446" s="64" t="s">
        <v>39</v>
      </c>
      <c r="AO446" s="64"/>
      <c r="AP446" s="64"/>
      <c r="AQ446" s="189"/>
      <c r="AR446" s="64"/>
      <c r="AS446" s="476"/>
      <c r="AT446" s="64"/>
      <c r="AU446" s="646"/>
      <c r="AV446" s="347"/>
      <c r="AW446" s="185"/>
    </row>
    <row r="447" spans="1:49" ht="48" hidden="1" customHeight="1" outlineLevel="4" x14ac:dyDescent="0.25">
      <c r="A447" s="63" t="str">
        <f t="shared" si="63"/>
        <v>1.3.1.9.19.58</v>
      </c>
      <c r="B447" s="64">
        <v>1</v>
      </c>
      <c r="C447" s="64">
        <v>3</v>
      </c>
      <c r="D447" s="64">
        <v>1</v>
      </c>
      <c r="E447" s="64">
        <v>9</v>
      </c>
      <c r="F447" s="64">
        <v>19</v>
      </c>
      <c r="G447" s="64">
        <v>58</v>
      </c>
      <c r="H447" s="65"/>
      <c r="I447" s="65"/>
      <c r="J447" s="65"/>
      <c r="K447" s="125" t="s">
        <v>488</v>
      </c>
      <c r="L447" s="64" t="s">
        <v>72</v>
      </c>
      <c r="M447" s="64" t="s">
        <v>73</v>
      </c>
      <c r="N447" s="64" t="s">
        <v>74</v>
      </c>
      <c r="O447" s="64" t="s">
        <v>367</v>
      </c>
      <c r="P447" s="69">
        <v>44930</v>
      </c>
      <c r="Q447" s="69">
        <v>45242</v>
      </c>
      <c r="R447" s="1336">
        <v>0</v>
      </c>
      <c r="S447" s="123" t="s">
        <v>489</v>
      </c>
      <c r="T447" s="194"/>
      <c r="U447" s="75">
        <v>0</v>
      </c>
      <c r="V447" s="75"/>
      <c r="W447" s="75">
        <v>0</v>
      </c>
      <c r="X447" s="1122">
        <v>0</v>
      </c>
      <c r="Y447" s="75">
        <v>0</v>
      </c>
      <c r="Z447" s="75">
        <v>0</v>
      </c>
      <c r="AA447" s="1122">
        <v>0</v>
      </c>
      <c r="AB447" s="75">
        <v>0</v>
      </c>
      <c r="AC447" s="75">
        <v>0</v>
      </c>
      <c r="AD447" s="1122">
        <v>0</v>
      </c>
      <c r="AE447" s="75">
        <v>0</v>
      </c>
      <c r="AF447" s="75">
        <v>0</v>
      </c>
      <c r="AG447" s="1122">
        <v>0</v>
      </c>
      <c r="AH447" s="505">
        <f t="shared" si="67"/>
        <v>0</v>
      </c>
      <c r="AI447" s="132"/>
      <c r="AJ447" s="75">
        <f t="shared" si="66"/>
        <v>0</v>
      </c>
      <c r="AK447" s="75"/>
      <c r="AL447" s="75"/>
      <c r="AM447" s="75"/>
      <c r="AN447" s="64" t="s">
        <v>39</v>
      </c>
      <c r="AO447" s="64"/>
      <c r="AP447" s="64"/>
      <c r="AQ447" s="189"/>
      <c r="AR447" s="64"/>
      <c r="AS447" s="476"/>
      <c r="AT447" s="64"/>
      <c r="AU447" s="646"/>
      <c r="AV447" s="353" t="s">
        <v>490</v>
      </c>
      <c r="AW447" s="185"/>
    </row>
    <row r="448" spans="1:49" ht="48" hidden="1" customHeight="1" outlineLevel="4" x14ac:dyDescent="0.25">
      <c r="A448" s="63" t="str">
        <f t="shared" si="63"/>
        <v>1.3.1.9.19.59</v>
      </c>
      <c r="B448" s="64">
        <v>1</v>
      </c>
      <c r="C448" s="64">
        <v>3</v>
      </c>
      <c r="D448" s="64">
        <v>1</v>
      </c>
      <c r="E448" s="64">
        <v>9</v>
      </c>
      <c r="F448" s="64">
        <v>19</v>
      </c>
      <c r="G448" s="64">
        <v>59</v>
      </c>
      <c r="H448" s="65"/>
      <c r="I448" s="65"/>
      <c r="J448" s="65"/>
      <c r="K448" s="125" t="s">
        <v>491</v>
      </c>
      <c r="L448" s="64" t="s">
        <v>72</v>
      </c>
      <c r="M448" s="64" t="s">
        <v>73</v>
      </c>
      <c r="N448" s="64" t="s">
        <v>74</v>
      </c>
      <c r="O448" s="64" t="s">
        <v>367</v>
      </c>
      <c r="P448" s="69">
        <v>44930</v>
      </c>
      <c r="Q448" s="69">
        <v>45242</v>
      </c>
      <c r="R448" s="1336"/>
      <c r="S448" s="123"/>
      <c r="T448" s="194"/>
      <c r="U448" s="75">
        <v>0</v>
      </c>
      <c r="V448" s="75"/>
      <c r="W448" s="75">
        <v>0</v>
      </c>
      <c r="X448" s="1122">
        <v>0</v>
      </c>
      <c r="Y448" s="75">
        <v>0</v>
      </c>
      <c r="Z448" s="75">
        <v>0</v>
      </c>
      <c r="AA448" s="1122">
        <v>0</v>
      </c>
      <c r="AB448" s="75">
        <v>0</v>
      </c>
      <c r="AC448" s="75">
        <v>0</v>
      </c>
      <c r="AD448" s="1122">
        <v>0</v>
      </c>
      <c r="AE448" s="75">
        <v>0</v>
      </c>
      <c r="AF448" s="75">
        <v>0</v>
      </c>
      <c r="AG448" s="1122">
        <v>0</v>
      </c>
      <c r="AH448" s="505">
        <f t="shared" si="67"/>
        <v>0</v>
      </c>
      <c r="AI448" s="132"/>
      <c r="AJ448" s="75">
        <f t="shared" si="66"/>
        <v>0</v>
      </c>
      <c r="AK448" s="75"/>
      <c r="AL448" s="75"/>
      <c r="AM448" s="75"/>
      <c r="AN448" s="64" t="s">
        <v>39</v>
      </c>
      <c r="AO448" s="64"/>
      <c r="AP448" s="64"/>
      <c r="AQ448" s="189"/>
      <c r="AR448" s="64"/>
      <c r="AS448" s="476"/>
      <c r="AT448" s="64"/>
      <c r="AU448" s="646"/>
      <c r="AV448" s="353"/>
      <c r="AW448" s="185"/>
    </row>
    <row r="449" spans="1:49" ht="48" hidden="1" customHeight="1" outlineLevel="4" x14ac:dyDescent="0.25">
      <c r="A449" s="63" t="str">
        <f t="shared" si="63"/>
        <v>1.3.1.9.19.60</v>
      </c>
      <c r="B449" s="64">
        <v>1</v>
      </c>
      <c r="C449" s="64">
        <v>3</v>
      </c>
      <c r="D449" s="64">
        <v>1</v>
      </c>
      <c r="E449" s="64">
        <v>9</v>
      </c>
      <c r="F449" s="64">
        <v>19</v>
      </c>
      <c r="G449" s="64">
        <v>60</v>
      </c>
      <c r="H449" s="65"/>
      <c r="I449" s="65"/>
      <c r="J449" s="65"/>
      <c r="K449" s="125" t="s">
        <v>492</v>
      </c>
      <c r="L449" s="64" t="s">
        <v>72</v>
      </c>
      <c r="M449" s="64" t="s">
        <v>73</v>
      </c>
      <c r="N449" s="64" t="s">
        <v>74</v>
      </c>
      <c r="O449" s="64" t="s">
        <v>367</v>
      </c>
      <c r="P449" s="69">
        <v>44930</v>
      </c>
      <c r="Q449" s="69">
        <v>45242</v>
      </c>
      <c r="R449" s="1336"/>
      <c r="S449" s="123"/>
      <c r="T449" s="194"/>
      <c r="U449" s="75">
        <v>0</v>
      </c>
      <c r="V449" s="75"/>
      <c r="W449" s="75">
        <v>0</v>
      </c>
      <c r="X449" s="1122">
        <v>0</v>
      </c>
      <c r="Y449" s="75">
        <v>0</v>
      </c>
      <c r="Z449" s="75">
        <v>0</v>
      </c>
      <c r="AA449" s="1122">
        <v>0</v>
      </c>
      <c r="AB449" s="75">
        <v>0</v>
      </c>
      <c r="AC449" s="75">
        <v>0</v>
      </c>
      <c r="AD449" s="1122">
        <v>0</v>
      </c>
      <c r="AE449" s="75">
        <v>0</v>
      </c>
      <c r="AF449" s="75">
        <v>0</v>
      </c>
      <c r="AG449" s="1122">
        <v>0</v>
      </c>
      <c r="AH449" s="505">
        <f t="shared" si="67"/>
        <v>0</v>
      </c>
      <c r="AI449" s="132"/>
      <c r="AJ449" s="75">
        <f t="shared" ref="AJ449:AJ512" si="68">+W450+Z450+AC450+AF450</f>
        <v>0</v>
      </c>
      <c r="AK449" s="75"/>
      <c r="AL449" s="75"/>
      <c r="AM449" s="75"/>
      <c r="AN449" s="64" t="s">
        <v>39</v>
      </c>
      <c r="AO449" s="64"/>
      <c r="AP449" s="64"/>
      <c r="AQ449" s="189"/>
      <c r="AR449" s="64"/>
      <c r="AS449" s="476"/>
      <c r="AT449" s="64"/>
      <c r="AU449" s="646"/>
      <c r="AV449" s="353"/>
      <c r="AW449" s="185"/>
    </row>
    <row r="450" spans="1:49" ht="48" hidden="1" customHeight="1" outlineLevel="4" x14ac:dyDescent="0.25">
      <c r="A450" s="63" t="str">
        <f t="shared" si="63"/>
        <v>1.3.1.9.19.61</v>
      </c>
      <c r="B450" s="64">
        <v>1</v>
      </c>
      <c r="C450" s="64">
        <v>3</v>
      </c>
      <c r="D450" s="64">
        <v>1</v>
      </c>
      <c r="E450" s="64">
        <v>9</v>
      </c>
      <c r="F450" s="64">
        <v>19</v>
      </c>
      <c r="G450" s="64">
        <v>61</v>
      </c>
      <c r="H450" s="65"/>
      <c r="I450" s="65"/>
      <c r="J450" s="65"/>
      <c r="K450" s="125" t="s">
        <v>493</v>
      </c>
      <c r="L450" s="64" t="s">
        <v>72</v>
      </c>
      <c r="M450" s="64" t="s">
        <v>73</v>
      </c>
      <c r="N450" s="64" t="s">
        <v>74</v>
      </c>
      <c r="O450" s="64" t="s">
        <v>367</v>
      </c>
      <c r="P450" s="69">
        <v>44930</v>
      </c>
      <c r="Q450" s="69">
        <v>45242</v>
      </c>
      <c r="R450" s="1336"/>
      <c r="S450" s="123"/>
      <c r="T450" s="194"/>
      <c r="U450" s="75">
        <v>0</v>
      </c>
      <c r="V450" s="75"/>
      <c r="W450" s="75">
        <v>0</v>
      </c>
      <c r="X450" s="1122">
        <v>0</v>
      </c>
      <c r="Y450" s="75">
        <v>0</v>
      </c>
      <c r="Z450" s="75">
        <v>0</v>
      </c>
      <c r="AA450" s="1122">
        <v>0</v>
      </c>
      <c r="AB450" s="75">
        <v>0</v>
      </c>
      <c r="AC450" s="75">
        <v>0</v>
      </c>
      <c r="AD450" s="1122">
        <v>0</v>
      </c>
      <c r="AE450" s="75">
        <v>0</v>
      </c>
      <c r="AF450" s="75">
        <v>0</v>
      </c>
      <c r="AG450" s="1122">
        <v>0</v>
      </c>
      <c r="AH450" s="505">
        <f t="shared" ref="AH450:AH513" si="69">+U450+Y450+AB450+AE450</f>
        <v>0</v>
      </c>
      <c r="AI450" s="132"/>
      <c r="AJ450" s="75">
        <f t="shared" si="68"/>
        <v>0</v>
      </c>
      <c r="AK450" s="75"/>
      <c r="AL450" s="75"/>
      <c r="AM450" s="75"/>
      <c r="AN450" s="64" t="s">
        <v>39</v>
      </c>
      <c r="AO450" s="64"/>
      <c r="AP450" s="64"/>
      <c r="AQ450" s="189"/>
      <c r="AR450" s="64"/>
      <c r="AS450" s="476"/>
      <c r="AT450" s="64"/>
      <c r="AU450" s="646"/>
      <c r="AV450" s="353"/>
      <c r="AW450" s="185"/>
    </row>
    <row r="451" spans="1:49" ht="48" hidden="1" customHeight="1" outlineLevel="4" x14ac:dyDescent="0.25">
      <c r="A451" s="63" t="str">
        <f t="shared" si="63"/>
        <v>1.3.1.9.19.62</v>
      </c>
      <c r="B451" s="64">
        <v>1</v>
      </c>
      <c r="C451" s="64">
        <v>3</v>
      </c>
      <c r="D451" s="64">
        <v>1</v>
      </c>
      <c r="E451" s="64">
        <v>9</v>
      </c>
      <c r="F451" s="64">
        <v>19</v>
      </c>
      <c r="G451" s="64">
        <v>62</v>
      </c>
      <c r="H451" s="65"/>
      <c r="I451" s="65"/>
      <c r="J451" s="65"/>
      <c r="K451" s="125" t="s">
        <v>1738</v>
      </c>
      <c r="L451" s="64" t="s">
        <v>72</v>
      </c>
      <c r="M451" s="64" t="s">
        <v>73</v>
      </c>
      <c r="N451" s="64" t="s">
        <v>74</v>
      </c>
      <c r="O451" s="64" t="s">
        <v>367</v>
      </c>
      <c r="P451" s="69">
        <v>44930</v>
      </c>
      <c r="Q451" s="69">
        <v>45242</v>
      </c>
      <c r="R451" s="1336"/>
      <c r="S451" s="123"/>
      <c r="T451" s="194"/>
      <c r="U451" s="75">
        <v>0</v>
      </c>
      <c r="V451" s="75"/>
      <c r="W451" s="75">
        <v>0</v>
      </c>
      <c r="X451" s="1122">
        <v>0</v>
      </c>
      <c r="Y451" s="75">
        <v>0</v>
      </c>
      <c r="Z451" s="75">
        <v>0</v>
      </c>
      <c r="AA451" s="1122">
        <v>0</v>
      </c>
      <c r="AB451" s="75">
        <v>0</v>
      </c>
      <c r="AC451" s="75">
        <v>0</v>
      </c>
      <c r="AD451" s="1122">
        <v>0</v>
      </c>
      <c r="AE451" s="75">
        <v>0</v>
      </c>
      <c r="AF451" s="75">
        <v>0</v>
      </c>
      <c r="AG451" s="1122">
        <v>0</v>
      </c>
      <c r="AH451" s="505">
        <f t="shared" si="69"/>
        <v>0</v>
      </c>
      <c r="AI451" s="132"/>
      <c r="AJ451" s="75">
        <f t="shared" si="68"/>
        <v>0</v>
      </c>
      <c r="AK451" s="75"/>
      <c r="AL451" s="75"/>
      <c r="AM451" s="75"/>
      <c r="AN451" s="64" t="s">
        <v>39</v>
      </c>
      <c r="AO451" s="64"/>
      <c r="AP451" s="64"/>
      <c r="AQ451" s="189"/>
      <c r="AR451" s="64"/>
      <c r="AS451" s="476"/>
      <c r="AT451" s="64"/>
      <c r="AU451" s="646"/>
      <c r="AV451" s="353"/>
      <c r="AW451" s="185"/>
    </row>
    <row r="452" spans="1:49" ht="48" hidden="1" customHeight="1" outlineLevel="4" x14ac:dyDescent="0.25">
      <c r="A452" s="63" t="str">
        <f t="shared" si="63"/>
        <v>1.3.1.9.19.63</v>
      </c>
      <c r="B452" s="64">
        <v>1</v>
      </c>
      <c r="C452" s="64">
        <v>3</v>
      </c>
      <c r="D452" s="64">
        <v>1</v>
      </c>
      <c r="E452" s="64">
        <v>9</v>
      </c>
      <c r="F452" s="64">
        <v>19</v>
      </c>
      <c r="G452" s="64">
        <v>63</v>
      </c>
      <c r="H452" s="65"/>
      <c r="I452" s="65"/>
      <c r="J452" s="65"/>
      <c r="K452" s="125" t="s">
        <v>494</v>
      </c>
      <c r="L452" s="64" t="s">
        <v>72</v>
      </c>
      <c r="M452" s="64" t="s">
        <v>73</v>
      </c>
      <c r="N452" s="64" t="s">
        <v>74</v>
      </c>
      <c r="O452" s="64" t="s">
        <v>367</v>
      </c>
      <c r="P452" s="69">
        <v>44930</v>
      </c>
      <c r="Q452" s="69">
        <v>45242</v>
      </c>
      <c r="R452" s="1336"/>
      <c r="S452" s="123"/>
      <c r="T452" s="194"/>
      <c r="U452" s="75">
        <v>0</v>
      </c>
      <c r="V452" s="75"/>
      <c r="W452" s="75">
        <v>0</v>
      </c>
      <c r="X452" s="1122">
        <v>0</v>
      </c>
      <c r="Y452" s="75">
        <v>0</v>
      </c>
      <c r="Z452" s="75">
        <v>0</v>
      </c>
      <c r="AA452" s="1122">
        <v>0</v>
      </c>
      <c r="AB452" s="75">
        <v>0</v>
      </c>
      <c r="AC452" s="75">
        <v>0</v>
      </c>
      <c r="AD452" s="1122">
        <v>0</v>
      </c>
      <c r="AE452" s="75">
        <v>0</v>
      </c>
      <c r="AF452" s="75">
        <v>0</v>
      </c>
      <c r="AG452" s="1122">
        <v>0</v>
      </c>
      <c r="AH452" s="505">
        <f t="shared" si="69"/>
        <v>0</v>
      </c>
      <c r="AI452" s="132"/>
      <c r="AJ452" s="75">
        <f t="shared" si="68"/>
        <v>0</v>
      </c>
      <c r="AK452" s="75"/>
      <c r="AL452" s="75"/>
      <c r="AM452" s="75"/>
      <c r="AN452" s="64" t="s">
        <v>39</v>
      </c>
      <c r="AO452" s="64"/>
      <c r="AP452" s="64"/>
      <c r="AQ452" s="189"/>
      <c r="AR452" s="64"/>
      <c r="AS452" s="476"/>
      <c r="AT452" s="64"/>
      <c r="AU452" s="646"/>
      <c r="AV452" s="353"/>
      <c r="AW452" s="185"/>
    </row>
    <row r="453" spans="1:49" ht="48" hidden="1" customHeight="1" outlineLevel="4" x14ac:dyDescent="0.25">
      <c r="A453" s="63" t="str">
        <f t="shared" si="63"/>
        <v>1.3.1.9.19.64</v>
      </c>
      <c r="B453" s="64">
        <v>1</v>
      </c>
      <c r="C453" s="64">
        <v>3</v>
      </c>
      <c r="D453" s="64">
        <v>1</v>
      </c>
      <c r="E453" s="64">
        <v>9</v>
      </c>
      <c r="F453" s="64">
        <v>19</v>
      </c>
      <c r="G453" s="64">
        <v>64</v>
      </c>
      <c r="H453" s="65"/>
      <c r="I453" s="65"/>
      <c r="J453" s="65"/>
      <c r="K453" s="125" t="s">
        <v>495</v>
      </c>
      <c r="L453" s="64" t="s">
        <v>72</v>
      </c>
      <c r="M453" s="64" t="s">
        <v>73</v>
      </c>
      <c r="N453" s="64" t="s">
        <v>74</v>
      </c>
      <c r="O453" s="64" t="s">
        <v>367</v>
      </c>
      <c r="P453" s="69">
        <v>44930</v>
      </c>
      <c r="Q453" s="69">
        <v>45242</v>
      </c>
      <c r="R453" s="1336"/>
      <c r="S453" s="123"/>
      <c r="T453" s="194"/>
      <c r="U453" s="75">
        <v>0</v>
      </c>
      <c r="V453" s="75"/>
      <c r="W453" s="75">
        <v>0</v>
      </c>
      <c r="X453" s="1122">
        <v>0</v>
      </c>
      <c r="Y453" s="75">
        <v>0</v>
      </c>
      <c r="Z453" s="75">
        <v>0</v>
      </c>
      <c r="AA453" s="1122">
        <v>0</v>
      </c>
      <c r="AB453" s="75">
        <v>0</v>
      </c>
      <c r="AC453" s="75">
        <v>0</v>
      </c>
      <c r="AD453" s="1122">
        <v>0</v>
      </c>
      <c r="AE453" s="75">
        <v>0</v>
      </c>
      <c r="AF453" s="75">
        <v>0</v>
      </c>
      <c r="AG453" s="1122">
        <v>0</v>
      </c>
      <c r="AH453" s="505">
        <f t="shared" si="69"/>
        <v>0</v>
      </c>
      <c r="AI453" s="132"/>
      <c r="AJ453" s="75">
        <f t="shared" si="68"/>
        <v>0</v>
      </c>
      <c r="AK453" s="75"/>
      <c r="AL453" s="75"/>
      <c r="AM453" s="75"/>
      <c r="AN453" s="64" t="s">
        <v>39</v>
      </c>
      <c r="AO453" s="64"/>
      <c r="AP453" s="64"/>
      <c r="AQ453" s="189"/>
      <c r="AR453" s="64"/>
      <c r="AS453" s="476"/>
      <c r="AT453" s="64"/>
      <c r="AU453" s="646"/>
      <c r="AV453" s="353"/>
      <c r="AW453" s="185"/>
    </row>
    <row r="454" spans="1:49" ht="48" hidden="1" customHeight="1" outlineLevel="4" x14ac:dyDescent="0.25">
      <c r="A454" s="63" t="str">
        <f t="shared" si="63"/>
        <v>1.3.1.9.20.58</v>
      </c>
      <c r="B454" s="64">
        <v>1</v>
      </c>
      <c r="C454" s="64">
        <v>3</v>
      </c>
      <c r="D454" s="64">
        <v>1</v>
      </c>
      <c r="E454" s="64">
        <v>9</v>
      </c>
      <c r="F454" s="64">
        <v>20</v>
      </c>
      <c r="G454" s="64">
        <v>58</v>
      </c>
      <c r="H454" s="65"/>
      <c r="I454" s="65"/>
      <c r="J454" s="65"/>
      <c r="K454" s="86" t="s">
        <v>496</v>
      </c>
      <c r="L454" s="64" t="s">
        <v>72</v>
      </c>
      <c r="M454" s="100" t="s">
        <v>73</v>
      </c>
      <c r="N454" s="64" t="s">
        <v>74</v>
      </c>
      <c r="O454" s="64" t="s">
        <v>367</v>
      </c>
      <c r="P454" s="69">
        <v>44927</v>
      </c>
      <c r="Q454" s="69">
        <v>45107</v>
      </c>
      <c r="R454" s="1336">
        <v>325000</v>
      </c>
      <c r="S454" s="170">
        <v>0</v>
      </c>
      <c r="T454" s="1188">
        <v>325000</v>
      </c>
      <c r="U454" s="75">
        <v>0</v>
      </c>
      <c r="V454" s="75"/>
      <c r="W454" s="75">
        <v>0</v>
      </c>
      <c r="X454" s="1122">
        <v>0</v>
      </c>
      <c r="Y454" s="75">
        <v>0</v>
      </c>
      <c r="Z454" s="75">
        <v>0</v>
      </c>
      <c r="AA454" s="1122">
        <v>0</v>
      </c>
      <c r="AB454" s="75">
        <v>0</v>
      </c>
      <c r="AC454" s="75">
        <v>0</v>
      </c>
      <c r="AD454" s="1122">
        <v>0</v>
      </c>
      <c r="AE454" s="75">
        <v>0</v>
      </c>
      <c r="AF454" s="75">
        <v>0</v>
      </c>
      <c r="AG454" s="1122">
        <v>0</v>
      </c>
      <c r="AH454" s="505">
        <f t="shared" si="69"/>
        <v>0</v>
      </c>
      <c r="AI454" s="132"/>
      <c r="AJ454" s="75">
        <f t="shared" si="68"/>
        <v>0</v>
      </c>
      <c r="AK454" s="75"/>
      <c r="AL454" s="75"/>
      <c r="AM454" s="75"/>
      <c r="AN454" s="64" t="s">
        <v>39</v>
      </c>
      <c r="AO454" s="165" t="s">
        <v>1819</v>
      </c>
      <c r="AP454" s="165" t="s">
        <v>1917</v>
      </c>
      <c r="AQ454" s="413" t="s">
        <v>2134</v>
      </c>
      <c r="AR454" s="64"/>
      <c r="AS454" s="475"/>
      <c r="AT454" s="64" t="s">
        <v>2029</v>
      </c>
      <c r="AU454" s="879">
        <v>1094</v>
      </c>
      <c r="AV454" s="259" t="s">
        <v>497</v>
      </c>
      <c r="AW454" s="1337" t="s">
        <v>498</v>
      </c>
    </row>
    <row r="455" spans="1:49" ht="48" hidden="1" customHeight="1" outlineLevel="4" x14ac:dyDescent="0.25">
      <c r="A455" s="63" t="str">
        <f t="shared" si="63"/>
        <v>1.3.1.9.20.29</v>
      </c>
      <c r="B455" s="64">
        <v>1</v>
      </c>
      <c r="C455" s="64">
        <v>3</v>
      </c>
      <c r="D455" s="64">
        <v>1</v>
      </c>
      <c r="E455" s="64">
        <v>9</v>
      </c>
      <c r="F455" s="64">
        <v>20</v>
      </c>
      <c r="G455" s="64">
        <v>29</v>
      </c>
      <c r="H455" s="65"/>
      <c r="I455" s="65"/>
      <c r="J455" s="65"/>
      <c r="K455" s="125" t="s">
        <v>499</v>
      </c>
      <c r="L455" s="64" t="s">
        <v>72</v>
      </c>
      <c r="M455" s="100" t="s">
        <v>73</v>
      </c>
      <c r="N455" s="64" t="s">
        <v>74</v>
      </c>
      <c r="O455" s="64" t="s">
        <v>367</v>
      </c>
      <c r="P455" s="69">
        <v>44927</v>
      </c>
      <c r="Q455" s="69">
        <v>45107</v>
      </c>
      <c r="R455" s="1336"/>
      <c r="S455" s="170"/>
      <c r="T455" s="1188"/>
      <c r="U455" s="75">
        <v>0</v>
      </c>
      <c r="V455" s="75"/>
      <c r="W455" s="75">
        <v>0</v>
      </c>
      <c r="X455" s="1122">
        <v>0</v>
      </c>
      <c r="Y455" s="75">
        <v>0</v>
      </c>
      <c r="Z455" s="75">
        <v>0</v>
      </c>
      <c r="AA455" s="1122">
        <v>0</v>
      </c>
      <c r="AB455" s="75">
        <v>0</v>
      </c>
      <c r="AC455" s="75">
        <v>0</v>
      </c>
      <c r="AD455" s="1122">
        <v>0</v>
      </c>
      <c r="AE455" s="75">
        <v>0</v>
      </c>
      <c r="AF455" s="75">
        <v>0</v>
      </c>
      <c r="AG455" s="1122">
        <v>0</v>
      </c>
      <c r="AH455" s="505">
        <f t="shared" si="69"/>
        <v>0</v>
      </c>
      <c r="AI455" s="132"/>
      <c r="AJ455" s="75">
        <f t="shared" si="68"/>
        <v>0</v>
      </c>
      <c r="AK455" s="75"/>
      <c r="AL455" s="75"/>
      <c r="AM455" s="75"/>
      <c r="AN455" s="64" t="s">
        <v>39</v>
      </c>
      <c r="AO455" s="165" t="s">
        <v>1819</v>
      </c>
      <c r="AP455" s="165" t="s">
        <v>1917</v>
      </c>
      <c r="AQ455" s="413" t="s">
        <v>2134</v>
      </c>
      <c r="AR455" s="64"/>
      <c r="AS455" s="475"/>
      <c r="AT455" s="64" t="s">
        <v>2029</v>
      </c>
      <c r="AU455" s="879">
        <v>1094</v>
      </c>
      <c r="AV455" s="259" t="s">
        <v>497</v>
      </c>
      <c r="AW455" s="1337"/>
    </row>
    <row r="456" spans="1:49" ht="48" hidden="1" customHeight="1" outlineLevel="4" x14ac:dyDescent="0.25">
      <c r="A456" s="63" t="str">
        <f t="shared" si="63"/>
        <v>1.3.1.9.20.60</v>
      </c>
      <c r="B456" s="64">
        <v>1</v>
      </c>
      <c r="C456" s="64">
        <v>3</v>
      </c>
      <c r="D456" s="64">
        <v>1</v>
      </c>
      <c r="E456" s="64">
        <v>9</v>
      </c>
      <c r="F456" s="64">
        <v>20</v>
      </c>
      <c r="G456" s="64">
        <v>60</v>
      </c>
      <c r="H456" s="65"/>
      <c r="I456" s="65"/>
      <c r="J456" s="65"/>
      <c r="K456" s="125" t="s">
        <v>500</v>
      </c>
      <c r="L456" s="64" t="s">
        <v>72</v>
      </c>
      <c r="M456" s="100" t="s">
        <v>73</v>
      </c>
      <c r="N456" s="64" t="s">
        <v>74</v>
      </c>
      <c r="O456" s="64" t="s">
        <v>367</v>
      </c>
      <c r="P456" s="69">
        <v>44927</v>
      </c>
      <c r="Q456" s="69">
        <v>45107</v>
      </c>
      <c r="R456" s="1336"/>
      <c r="S456" s="170"/>
      <c r="T456" s="1188"/>
      <c r="U456" s="75">
        <v>0</v>
      </c>
      <c r="V456" s="75"/>
      <c r="W456" s="75">
        <v>0</v>
      </c>
      <c r="X456" s="1122">
        <v>0</v>
      </c>
      <c r="Y456" s="75">
        <v>0</v>
      </c>
      <c r="Z456" s="75">
        <v>0</v>
      </c>
      <c r="AA456" s="1122">
        <v>0</v>
      </c>
      <c r="AB456" s="75">
        <v>0</v>
      </c>
      <c r="AC456" s="75">
        <v>0</v>
      </c>
      <c r="AD456" s="1122">
        <v>0</v>
      </c>
      <c r="AE456" s="75">
        <v>0</v>
      </c>
      <c r="AF456" s="75">
        <v>0</v>
      </c>
      <c r="AG456" s="1122">
        <v>0</v>
      </c>
      <c r="AH456" s="505">
        <f t="shared" si="69"/>
        <v>0</v>
      </c>
      <c r="AI456" s="132"/>
      <c r="AJ456" s="75">
        <f t="shared" si="68"/>
        <v>0</v>
      </c>
      <c r="AK456" s="75"/>
      <c r="AL456" s="75"/>
      <c r="AM456" s="75"/>
      <c r="AN456" s="64" t="s">
        <v>39</v>
      </c>
      <c r="AO456" s="165" t="s">
        <v>1819</v>
      </c>
      <c r="AP456" s="165" t="s">
        <v>1917</v>
      </c>
      <c r="AQ456" s="413" t="s">
        <v>2134</v>
      </c>
      <c r="AR456" s="64"/>
      <c r="AS456" s="475"/>
      <c r="AT456" s="64" t="s">
        <v>2029</v>
      </c>
      <c r="AU456" s="879">
        <v>1094</v>
      </c>
      <c r="AV456" s="259" t="s">
        <v>497</v>
      </c>
      <c r="AW456" s="1337"/>
    </row>
    <row r="457" spans="1:49" ht="48" hidden="1" customHeight="1" outlineLevel="4" x14ac:dyDescent="0.25">
      <c r="A457" s="63" t="str">
        <f t="shared" si="63"/>
        <v>1.3.1.9.20.61</v>
      </c>
      <c r="B457" s="64">
        <v>1</v>
      </c>
      <c r="C457" s="64">
        <v>3</v>
      </c>
      <c r="D457" s="64">
        <v>1</v>
      </c>
      <c r="E457" s="64">
        <v>9</v>
      </c>
      <c r="F457" s="64">
        <v>20</v>
      </c>
      <c r="G457" s="64">
        <v>61</v>
      </c>
      <c r="H457" s="65"/>
      <c r="I457" s="65"/>
      <c r="J457" s="65"/>
      <c r="K457" s="125" t="s">
        <v>501</v>
      </c>
      <c r="L457" s="64" t="s">
        <v>72</v>
      </c>
      <c r="M457" s="100" t="s">
        <v>73</v>
      </c>
      <c r="N457" s="64" t="s">
        <v>74</v>
      </c>
      <c r="O457" s="64" t="s">
        <v>367</v>
      </c>
      <c r="P457" s="69">
        <v>44927</v>
      </c>
      <c r="Q457" s="69">
        <v>45107</v>
      </c>
      <c r="R457" s="1336"/>
      <c r="S457" s="170"/>
      <c r="T457" s="1188"/>
      <c r="U457" s="75">
        <v>0</v>
      </c>
      <c r="V457" s="75"/>
      <c r="W457" s="75">
        <v>0</v>
      </c>
      <c r="X457" s="1122">
        <v>0</v>
      </c>
      <c r="Y457" s="75">
        <v>0</v>
      </c>
      <c r="Z457" s="75">
        <v>0</v>
      </c>
      <c r="AA457" s="1122">
        <v>0</v>
      </c>
      <c r="AB457" s="75">
        <v>0</v>
      </c>
      <c r="AC457" s="75">
        <v>0</v>
      </c>
      <c r="AD457" s="1122">
        <v>0</v>
      </c>
      <c r="AE457" s="75">
        <v>0</v>
      </c>
      <c r="AF457" s="75">
        <v>0</v>
      </c>
      <c r="AG457" s="1122">
        <v>0</v>
      </c>
      <c r="AH457" s="505">
        <f t="shared" si="69"/>
        <v>0</v>
      </c>
      <c r="AI457" s="132"/>
      <c r="AJ457" s="75">
        <f t="shared" si="68"/>
        <v>0</v>
      </c>
      <c r="AK457" s="75"/>
      <c r="AL457" s="75"/>
      <c r="AM457" s="75"/>
      <c r="AN457" s="64" t="s">
        <v>39</v>
      </c>
      <c r="AO457" s="165" t="s">
        <v>1819</v>
      </c>
      <c r="AP457" s="146" t="s">
        <v>2596</v>
      </c>
      <c r="AQ457" s="874" t="s">
        <v>2597</v>
      </c>
      <c r="AR457" s="64"/>
      <c r="AS457" s="475"/>
      <c r="AT457" s="64" t="s">
        <v>2029</v>
      </c>
      <c r="AU457" s="877" t="s">
        <v>2131</v>
      </c>
      <c r="AV457" s="259" t="s">
        <v>497</v>
      </c>
      <c r="AW457" s="1337"/>
    </row>
    <row r="458" spans="1:49" ht="48" hidden="1" customHeight="1" outlineLevel="4" x14ac:dyDescent="0.25">
      <c r="A458" s="63" t="str">
        <f t="shared" si="63"/>
        <v>1.3.1.9.20.62</v>
      </c>
      <c r="B458" s="64">
        <v>1</v>
      </c>
      <c r="C458" s="64">
        <v>3</v>
      </c>
      <c r="D458" s="64">
        <v>1</v>
      </c>
      <c r="E458" s="64">
        <v>9</v>
      </c>
      <c r="F458" s="64">
        <v>20</v>
      </c>
      <c r="G458" s="64">
        <v>62</v>
      </c>
      <c r="H458" s="65"/>
      <c r="I458" s="65"/>
      <c r="J458" s="65"/>
      <c r="K458" s="125" t="s">
        <v>1739</v>
      </c>
      <c r="L458" s="64" t="s">
        <v>72</v>
      </c>
      <c r="M458" s="100" t="s">
        <v>73</v>
      </c>
      <c r="N458" s="64" t="s">
        <v>74</v>
      </c>
      <c r="O458" s="64" t="s">
        <v>367</v>
      </c>
      <c r="P458" s="69">
        <v>44927</v>
      </c>
      <c r="Q458" s="69">
        <v>45107</v>
      </c>
      <c r="R458" s="1336"/>
      <c r="S458" s="170"/>
      <c r="T458" s="1188"/>
      <c r="U458" s="75">
        <v>0</v>
      </c>
      <c r="V458" s="75"/>
      <c r="W458" s="75">
        <v>0</v>
      </c>
      <c r="X458" s="1122">
        <v>0</v>
      </c>
      <c r="Y458" s="75">
        <v>0</v>
      </c>
      <c r="Z458" s="75">
        <v>0</v>
      </c>
      <c r="AA458" s="1122">
        <v>0</v>
      </c>
      <c r="AB458" s="75">
        <v>0</v>
      </c>
      <c r="AC458" s="75">
        <v>0</v>
      </c>
      <c r="AD458" s="1122">
        <v>0</v>
      </c>
      <c r="AE458" s="75">
        <v>0</v>
      </c>
      <c r="AF458" s="75">
        <v>0</v>
      </c>
      <c r="AG458" s="1122">
        <v>0</v>
      </c>
      <c r="AH458" s="505">
        <f t="shared" si="69"/>
        <v>0</v>
      </c>
      <c r="AI458" s="132"/>
      <c r="AJ458" s="75">
        <f t="shared" si="68"/>
        <v>0</v>
      </c>
      <c r="AK458" s="75"/>
      <c r="AL458" s="75"/>
      <c r="AM458" s="75"/>
      <c r="AN458" s="64" t="s">
        <v>39</v>
      </c>
      <c r="AO458" s="165" t="s">
        <v>1819</v>
      </c>
      <c r="AP458" s="165" t="s">
        <v>1917</v>
      </c>
      <c r="AQ458" s="413" t="s">
        <v>2134</v>
      </c>
      <c r="AR458" s="64"/>
      <c r="AS458" s="475"/>
      <c r="AT458" s="64" t="s">
        <v>2029</v>
      </c>
      <c r="AU458" s="879">
        <v>1094</v>
      </c>
      <c r="AV458" s="259" t="s">
        <v>497</v>
      </c>
      <c r="AW458" s="1337"/>
    </row>
    <row r="459" spans="1:49" ht="48" hidden="1" customHeight="1" outlineLevel="4" x14ac:dyDescent="0.25">
      <c r="A459" s="63" t="str">
        <f t="shared" si="63"/>
        <v>1.3.1.9.20.63</v>
      </c>
      <c r="B459" s="64">
        <v>1</v>
      </c>
      <c r="C459" s="64">
        <v>3</v>
      </c>
      <c r="D459" s="64">
        <v>1</v>
      </c>
      <c r="E459" s="64">
        <v>9</v>
      </c>
      <c r="F459" s="64">
        <v>20</v>
      </c>
      <c r="G459" s="64">
        <v>63</v>
      </c>
      <c r="H459" s="65"/>
      <c r="I459" s="65"/>
      <c r="J459" s="65"/>
      <c r="K459" s="125" t="s">
        <v>502</v>
      </c>
      <c r="L459" s="64" t="s">
        <v>72</v>
      </c>
      <c r="M459" s="100" t="s">
        <v>73</v>
      </c>
      <c r="N459" s="64" t="s">
        <v>74</v>
      </c>
      <c r="O459" s="64" t="s">
        <v>367</v>
      </c>
      <c r="P459" s="69">
        <v>44927</v>
      </c>
      <c r="Q459" s="69">
        <v>45107</v>
      </c>
      <c r="R459" s="1336"/>
      <c r="S459" s="170"/>
      <c r="T459" s="1188"/>
      <c r="U459" s="75">
        <v>0</v>
      </c>
      <c r="V459" s="75"/>
      <c r="W459" s="75">
        <v>0</v>
      </c>
      <c r="X459" s="1122">
        <v>0</v>
      </c>
      <c r="Y459" s="75">
        <v>0</v>
      </c>
      <c r="Z459" s="75">
        <v>0</v>
      </c>
      <c r="AA459" s="1122">
        <v>0</v>
      </c>
      <c r="AB459" s="75">
        <v>0</v>
      </c>
      <c r="AC459" s="75">
        <v>0</v>
      </c>
      <c r="AD459" s="1122">
        <v>0</v>
      </c>
      <c r="AE459" s="75">
        <v>0</v>
      </c>
      <c r="AF459" s="75">
        <v>0</v>
      </c>
      <c r="AG459" s="1122">
        <v>0</v>
      </c>
      <c r="AH459" s="505">
        <f t="shared" si="69"/>
        <v>0</v>
      </c>
      <c r="AI459" s="132"/>
      <c r="AJ459" s="75">
        <f t="shared" si="68"/>
        <v>0</v>
      </c>
      <c r="AK459" s="75"/>
      <c r="AL459" s="75"/>
      <c r="AM459" s="75"/>
      <c r="AN459" s="64" t="s">
        <v>39</v>
      </c>
      <c r="AO459" s="165" t="s">
        <v>1819</v>
      </c>
      <c r="AP459" s="165" t="s">
        <v>1917</v>
      </c>
      <c r="AQ459" s="413" t="s">
        <v>2134</v>
      </c>
      <c r="AR459" s="64"/>
      <c r="AS459" s="475"/>
      <c r="AT459" s="64" t="s">
        <v>2029</v>
      </c>
      <c r="AU459" s="879">
        <v>1094</v>
      </c>
      <c r="AV459" s="259" t="s">
        <v>497</v>
      </c>
      <c r="AW459" s="1337"/>
    </row>
    <row r="460" spans="1:49" ht="48" hidden="1" customHeight="1" outlineLevel="4" x14ac:dyDescent="0.25">
      <c r="A460" s="63" t="str">
        <f t="shared" si="63"/>
        <v>1.3.1.9.20.64</v>
      </c>
      <c r="B460" s="64">
        <v>1</v>
      </c>
      <c r="C460" s="64">
        <v>3</v>
      </c>
      <c r="D460" s="64">
        <v>1</v>
      </c>
      <c r="E460" s="64">
        <v>9</v>
      </c>
      <c r="F460" s="64">
        <v>20</v>
      </c>
      <c r="G460" s="64">
        <v>64</v>
      </c>
      <c r="H460" s="65"/>
      <c r="I460" s="65"/>
      <c r="J460" s="65"/>
      <c r="K460" s="125" t="s">
        <v>503</v>
      </c>
      <c r="L460" s="64" t="s">
        <v>72</v>
      </c>
      <c r="M460" s="100" t="s">
        <v>73</v>
      </c>
      <c r="N460" s="64" t="s">
        <v>74</v>
      </c>
      <c r="O460" s="64" t="s">
        <v>367</v>
      </c>
      <c r="P460" s="69">
        <v>44927</v>
      </c>
      <c r="Q460" s="69">
        <v>45107</v>
      </c>
      <c r="R460" s="1336"/>
      <c r="S460" s="170"/>
      <c r="T460" s="1188"/>
      <c r="U460" s="75">
        <v>0</v>
      </c>
      <c r="V460" s="75"/>
      <c r="W460" s="75">
        <v>0</v>
      </c>
      <c r="X460" s="1122">
        <v>0</v>
      </c>
      <c r="Y460" s="75">
        <v>0</v>
      </c>
      <c r="Z460" s="75">
        <v>0</v>
      </c>
      <c r="AA460" s="1122">
        <v>0</v>
      </c>
      <c r="AB460" s="75">
        <v>0</v>
      </c>
      <c r="AC460" s="75">
        <v>0</v>
      </c>
      <c r="AD460" s="1122">
        <v>0</v>
      </c>
      <c r="AE460" s="75">
        <v>0</v>
      </c>
      <c r="AF460" s="75">
        <v>0</v>
      </c>
      <c r="AG460" s="1122">
        <v>0</v>
      </c>
      <c r="AH460" s="505">
        <f t="shared" si="69"/>
        <v>0</v>
      </c>
      <c r="AI460" s="132"/>
      <c r="AJ460" s="75">
        <f t="shared" si="68"/>
        <v>0</v>
      </c>
      <c r="AK460" s="75"/>
      <c r="AL460" s="75"/>
      <c r="AM460" s="75"/>
      <c r="AN460" s="64" t="s">
        <v>39</v>
      </c>
      <c r="AO460" s="165" t="s">
        <v>1819</v>
      </c>
      <c r="AP460" s="165" t="s">
        <v>1917</v>
      </c>
      <c r="AQ460" s="413" t="s">
        <v>2134</v>
      </c>
      <c r="AR460" s="64"/>
      <c r="AS460" s="475"/>
      <c r="AT460" s="64" t="s">
        <v>2029</v>
      </c>
      <c r="AU460" s="879">
        <v>1094</v>
      </c>
      <c r="AV460" s="259" t="s">
        <v>497</v>
      </c>
      <c r="AW460" s="1337"/>
    </row>
    <row r="461" spans="1:49" ht="48" hidden="1" customHeight="1" outlineLevel="4" x14ac:dyDescent="0.25">
      <c r="A461" s="63" t="str">
        <f t="shared" si="63"/>
        <v>1.3.1.9.21.58</v>
      </c>
      <c r="B461" s="64">
        <v>1</v>
      </c>
      <c r="C461" s="64">
        <v>3</v>
      </c>
      <c r="D461" s="64">
        <v>1</v>
      </c>
      <c r="E461" s="64">
        <v>9</v>
      </c>
      <c r="F461" s="64">
        <v>21</v>
      </c>
      <c r="G461" s="64">
        <v>58</v>
      </c>
      <c r="H461" s="65"/>
      <c r="I461" s="65"/>
      <c r="J461" s="65"/>
      <c r="K461" s="86" t="s">
        <v>504</v>
      </c>
      <c r="L461" s="64" t="s">
        <v>72</v>
      </c>
      <c r="M461" s="64" t="s">
        <v>255</v>
      </c>
      <c r="N461" s="64" t="s">
        <v>265</v>
      </c>
      <c r="O461" s="64" t="s">
        <v>264</v>
      </c>
      <c r="P461" s="69"/>
      <c r="Q461" s="69"/>
      <c r="R461" s="124"/>
      <c r="S461" s="123"/>
      <c r="T461" s="194"/>
      <c r="U461" s="75">
        <v>0</v>
      </c>
      <c r="V461" s="75"/>
      <c r="W461" s="75">
        <v>0</v>
      </c>
      <c r="X461" s="1122">
        <v>0</v>
      </c>
      <c r="Y461" s="75">
        <v>0</v>
      </c>
      <c r="Z461" s="75">
        <v>0</v>
      </c>
      <c r="AA461" s="1122">
        <v>0</v>
      </c>
      <c r="AB461" s="75">
        <v>0</v>
      </c>
      <c r="AC461" s="75">
        <v>0</v>
      </c>
      <c r="AD461" s="1122">
        <v>0</v>
      </c>
      <c r="AE461" s="75">
        <v>0</v>
      </c>
      <c r="AF461" s="75">
        <v>0</v>
      </c>
      <c r="AG461" s="1122">
        <v>0</v>
      </c>
      <c r="AH461" s="505">
        <f t="shared" si="69"/>
        <v>0</v>
      </c>
      <c r="AI461" s="132"/>
      <c r="AJ461" s="75">
        <f t="shared" si="68"/>
        <v>0</v>
      </c>
      <c r="AK461" s="75"/>
      <c r="AL461" s="75"/>
      <c r="AM461" s="75"/>
      <c r="AN461" s="64" t="s">
        <v>39</v>
      </c>
      <c r="AO461" s="64"/>
      <c r="AP461" s="64"/>
      <c r="AQ461" s="189"/>
      <c r="AR461" s="64"/>
      <c r="AS461" s="476"/>
      <c r="AT461" s="64"/>
      <c r="AU461" s="646"/>
      <c r="AV461" s="347"/>
      <c r="AW461" s="185"/>
    </row>
    <row r="462" spans="1:49" ht="48" hidden="1" customHeight="1" outlineLevel="4" x14ac:dyDescent="0.25">
      <c r="A462" s="63" t="str">
        <f t="shared" si="63"/>
        <v>1.3.1.9.21.59</v>
      </c>
      <c r="B462" s="64">
        <v>1</v>
      </c>
      <c r="C462" s="64">
        <v>3</v>
      </c>
      <c r="D462" s="64">
        <v>1</v>
      </c>
      <c r="E462" s="64">
        <v>9</v>
      </c>
      <c r="F462" s="64">
        <v>21</v>
      </c>
      <c r="G462" s="64">
        <v>59</v>
      </c>
      <c r="H462" s="65"/>
      <c r="I462" s="65"/>
      <c r="J462" s="65"/>
      <c r="K462" s="86" t="s">
        <v>505</v>
      </c>
      <c r="L462" s="64" t="s">
        <v>72</v>
      </c>
      <c r="M462" s="64" t="s">
        <v>255</v>
      </c>
      <c r="N462" s="64" t="s">
        <v>265</v>
      </c>
      <c r="O462" s="64" t="s">
        <v>264</v>
      </c>
      <c r="P462" s="69"/>
      <c r="Q462" s="69"/>
      <c r="R462" s="124"/>
      <c r="S462" s="123"/>
      <c r="T462" s="194"/>
      <c r="U462" s="75">
        <v>0</v>
      </c>
      <c r="V462" s="75"/>
      <c r="W462" s="75">
        <v>0</v>
      </c>
      <c r="X462" s="1122">
        <v>0</v>
      </c>
      <c r="Y462" s="75">
        <v>0</v>
      </c>
      <c r="Z462" s="75">
        <v>0</v>
      </c>
      <c r="AA462" s="1122">
        <v>0</v>
      </c>
      <c r="AB462" s="75">
        <v>0</v>
      </c>
      <c r="AC462" s="75">
        <v>0</v>
      </c>
      <c r="AD462" s="1122">
        <v>0</v>
      </c>
      <c r="AE462" s="75">
        <v>0</v>
      </c>
      <c r="AF462" s="75">
        <v>0</v>
      </c>
      <c r="AG462" s="1122">
        <v>0</v>
      </c>
      <c r="AH462" s="505">
        <f t="shared" si="69"/>
        <v>0</v>
      </c>
      <c r="AI462" s="132"/>
      <c r="AJ462" s="75">
        <f t="shared" si="68"/>
        <v>0</v>
      </c>
      <c r="AK462" s="75"/>
      <c r="AL462" s="75"/>
      <c r="AM462" s="75"/>
      <c r="AN462" s="64" t="s">
        <v>39</v>
      </c>
      <c r="AO462" s="64"/>
      <c r="AP462" s="64"/>
      <c r="AQ462" s="189"/>
      <c r="AR462" s="64"/>
      <c r="AS462" s="476"/>
      <c r="AT462" s="64"/>
      <c r="AU462" s="646"/>
      <c r="AV462" s="347"/>
      <c r="AW462" s="185"/>
    </row>
    <row r="463" spans="1:49" ht="48" hidden="1" customHeight="1" outlineLevel="4" x14ac:dyDescent="0.25">
      <c r="A463" s="63" t="str">
        <f t="shared" si="63"/>
        <v>1.3.1.9.21.60</v>
      </c>
      <c r="B463" s="64">
        <v>1</v>
      </c>
      <c r="C463" s="64">
        <v>3</v>
      </c>
      <c r="D463" s="64">
        <v>1</v>
      </c>
      <c r="E463" s="64">
        <v>9</v>
      </c>
      <c r="F463" s="64">
        <v>21</v>
      </c>
      <c r="G463" s="64">
        <v>60</v>
      </c>
      <c r="H463" s="65"/>
      <c r="I463" s="65"/>
      <c r="J463" s="65"/>
      <c r="K463" s="86" t="s">
        <v>506</v>
      </c>
      <c r="L463" s="64" t="s">
        <v>72</v>
      </c>
      <c r="M463" s="64" t="s">
        <v>255</v>
      </c>
      <c r="N463" s="64" t="s">
        <v>265</v>
      </c>
      <c r="O463" s="64" t="s">
        <v>264</v>
      </c>
      <c r="P463" s="69"/>
      <c r="Q463" s="69"/>
      <c r="R463" s="124"/>
      <c r="S463" s="123"/>
      <c r="T463" s="194"/>
      <c r="U463" s="75">
        <v>0</v>
      </c>
      <c r="V463" s="75"/>
      <c r="W463" s="75">
        <v>0</v>
      </c>
      <c r="X463" s="1122">
        <v>0</v>
      </c>
      <c r="Y463" s="75">
        <v>0</v>
      </c>
      <c r="Z463" s="75">
        <v>0</v>
      </c>
      <c r="AA463" s="1122">
        <v>0</v>
      </c>
      <c r="AB463" s="75">
        <v>0</v>
      </c>
      <c r="AC463" s="75">
        <v>0</v>
      </c>
      <c r="AD463" s="1122">
        <v>0</v>
      </c>
      <c r="AE463" s="75">
        <v>0</v>
      </c>
      <c r="AF463" s="75">
        <v>0</v>
      </c>
      <c r="AG463" s="1122">
        <v>0</v>
      </c>
      <c r="AH463" s="505">
        <f t="shared" si="69"/>
        <v>0</v>
      </c>
      <c r="AI463" s="132"/>
      <c r="AJ463" s="75">
        <f t="shared" si="68"/>
        <v>0</v>
      </c>
      <c r="AK463" s="75"/>
      <c r="AL463" s="75"/>
      <c r="AM463" s="75"/>
      <c r="AN463" s="64" t="s">
        <v>39</v>
      </c>
      <c r="AO463" s="64"/>
      <c r="AP463" s="64"/>
      <c r="AQ463" s="189"/>
      <c r="AR463" s="64"/>
      <c r="AS463" s="476"/>
      <c r="AT463" s="64"/>
      <c r="AU463" s="646"/>
      <c r="AV463" s="347"/>
      <c r="AW463" s="185"/>
    </row>
    <row r="464" spans="1:49" ht="48" hidden="1" customHeight="1" outlineLevel="4" x14ac:dyDescent="0.25">
      <c r="A464" s="63" t="str">
        <f t="shared" si="63"/>
        <v>1.3.1.9.21.61</v>
      </c>
      <c r="B464" s="64">
        <v>1</v>
      </c>
      <c r="C464" s="64">
        <v>3</v>
      </c>
      <c r="D464" s="64">
        <v>1</v>
      </c>
      <c r="E464" s="64">
        <v>9</v>
      </c>
      <c r="F464" s="64">
        <v>21</v>
      </c>
      <c r="G464" s="64">
        <v>61</v>
      </c>
      <c r="H464" s="65"/>
      <c r="I464" s="65"/>
      <c r="J464" s="65"/>
      <c r="K464" s="86" t="s">
        <v>507</v>
      </c>
      <c r="L464" s="64" t="s">
        <v>72</v>
      </c>
      <c r="M464" s="64" t="s">
        <v>255</v>
      </c>
      <c r="N464" s="64" t="s">
        <v>265</v>
      </c>
      <c r="O464" s="64" t="s">
        <v>264</v>
      </c>
      <c r="P464" s="69"/>
      <c r="Q464" s="69"/>
      <c r="R464" s="124"/>
      <c r="S464" s="123"/>
      <c r="T464" s="194"/>
      <c r="U464" s="75">
        <v>0</v>
      </c>
      <c r="V464" s="75"/>
      <c r="W464" s="75">
        <v>0</v>
      </c>
      <c r="X464" s="1122">
        <v>0</v>
      </c>
      <c r="Y464" s="75">
        <v>0</v>
      </c>
      <c r="Z464" s="75">
        <v>0</v>
      </c>
      <c r="AA464" s="1122">
        <v>0</v>
      </c>
      <c r="AB464" s="75">
        <v>0</v>
      </c>
      <c r="AC464" s="75">
        <v>0</v>
      </c>
      <c r="AD464" s="1122">
        <v>0</v>
      </c>
      <c r="AE464" s="75">
        <v>0</v>
      </c>
      <c r="AF464" s="75">
        <v>0</v>
      </c>
      <c r="AG464" s="1122">
        <v>0</v>
      </c>
      <c r="AH464" s="505">
        <f t="shared" si="69"/>
        <v>0</v>
      </c>
      <c r="AI464" s="132"/>
      <c r="AJ464" s="75">
        <f t="shared" si="68"/>
        <v>0</v>
      </c>
      <c r="AK464" s="75"/>
      <c r="AL464" s="75"/>
      <c r="AM464" s="75"/>
      <c r="AN464" s="64" t="s">
        <v>39</v>
      </c>
      <c r="AO464" s="64"/>
      <c r="AP464" s="64"/>
      <c r="AQ464" s="189"/>
      <c r="AR464" s="64"/>
      <c r="AS464" s="476"/>
      <c r="AT464" s="64"/>
      <c r="AU464" s="646"/>
      <c r="AV464" s="347"/>
      <c r="AW464" s="185"/>
    </row>
    <row r="465" spans="1:57" ht="48" hidden="1" customHeight="1" outlineLevel="4" x14ac:dyDescent="0.25">
      <c r="A465" s="63" t="str">
        <f t="shared" si="63"/>
        <v>1.3.1.9.21.62</v>
      </c>
      <c r="B465" s="64">
        <v>1</v>
      </c>
      <c r="C465" s="64">
        <v>3</v>
      </c>
      <c r="D465" s="64">
        <v>1</v>
      </c>
      <c r="E465" s="64">
        <v>9</v>
      </c>
      <c r="F465" s="64">
        <v>21</v>
      </c>
      <c r="G465" s="64">
        <v>62</v>
      </c>
      <c r="H465" s="65"/>
      <c r="I465" s="65"/>
      <c r="J465" s="65"/>
      <c r="K465" s="86" t="s">
        <v>1740</v>
      </c>
      <c r="L465" s="64" t="s">
        <v>72</v>
      </c>
      <c r="M465" s="64" t="s">
        <v>255</v>
      </c>
      <c r="N465" s="64" t="s">
        <v>265</v>
      </c>
      <c r="O465" s="64" t="s">
        <v>264</v>
      </c>
      <c r="P465" s="69"/>
      <c r="Q465" s="69"/>
      <c r="R465" s="124"/>
      <c r="S465" s="123"/>
      <c r="T465" s="194"/>
      <c r="U465" s="75">
        <v>0</v>
      </c>
      <c r="V465" s="75"/>
      <c r="W465" s="75">
        <v>0</v>
      </c>
      <c r="X465" s="1122">
        <v>0</v>
      </c>
      <c r="Y465" s="75">
        <v>0</v>
      </c>
      <c r="Z465" s="75">
        <v>0</v>
      </c>
      <c r="AA465" s="1122">
        <v>0</v>
      </c>
      <c r="AB465" s="75">
        <v>0</v>
      </c>
      <c r="AC465" s="75">
        <v>0</v>
      </c>
      <c r="AD465" s="1122">
        <v>0</v>
      </c>
      <c r="AE465" s="75">
        <v>0</v>
      </c>
      <c r="AF465" s="75">
        <v>0</v>
      </c>
      <c r="AG465" s="1122">
        <v>0</v>
      </c>
      <c r="AH465" s="505">
        <f t="shared" si="69"/>
        <v>0</v>
      </c>
      <c r="AI465" s="132"/>
      <c r="AJ465" s="75">
        <f t="shared" si="68"/>
        <v>0</v>
      </c>
      <c r="AK465" s="75"/>
      <c r="AL465" s="75"/>
      <c r="AM465" s="75"/>
      <c r="AN465" s="64" t="s">
        <v>39</v>
      </c>
      <c r="AO465" s="64"/>
      <c r="AP465" s="64"/>
      <c r="AQ465" s="189"/>
      <c r="AR465" s="64"/>
      <c r="AS465" s="476"/>
      <c r="AT465" s="64"/>
      <c r="AU465" s="646"/>
      <c r="AV465" s="347"/>
      <c r="AW465" s="185"/>
    </row>
    <row r="466" spans="1:57" ht="48" hidden="1" customHeight="1" outlineLevel="4" x14ac:dyDescent="0.25">
      <c r="A466" s="63" t="str">
        <f t="shared" si="63"/>
        <v>1.3.1.9.21.63</v>
      </c>
      <c r="B466" s="64">
        <v>1</v>
      </c>
      <c r="C466" s="64">
        <v>3</v>
      </c>
      <c r="D466" s="64">
        <v>1</v>
      </c>
      <c r="E466" s="64">
        <v>9</v>
      </c>
      <c r="F466" s="64">
        <v>21</v>
      </c>
      <c r="G466" s="64">
        <v>63</v>
      </c>
      <c r="H466" s="65"/>
      <c r="I466" s="65"/>
      <c r="J466" s="65"/>
      <c r="K466" s="86" t="s">
        <v>508</v>
      </c>
      <c r="L466" s="64" t="s">
        <v>72</v>
      </c>
      <c r="M466" s="64" t="s">
        <v>255</v>
      </c>
      <c r="N466" s="64" t="s">
        <v>265</v>
      </c>
      <c r="O466" s="64" t="s">
        <v>264</v>
      </c>
      <c r="P466" s="69"/>
      <c r="Q466" s="69"/>
      <c r="R466" s="124"/>
      <c r="S466" s="123"/>
      <c r="T466" s="194"/>
      <c r="U466" s="75">
        <v>0</v>
      </c>
      <c r="V466" s="75"/>
      <c r="W466" s="75">
        <v>0</v>
      </c>
      <c r="X466" s="1122">
        <v>0</v>
      </c>
      <c r="Y466" s="75">
        <v>0</v>
      </c>
      <c r="Z466" s="75">
        <v>0</v>
      </c>
      <c r="AA466" s="1122">
        <v>0</v>
      </c>
      <c r="AB466" s="75">
        <v>0</v>
      </c>
      <c r="AC466" s="75">
        <v>0</v>
      </c>
      <c r="AD466" s="1122">
        <v>0</v>
      </c>
      <c r="AE466" s="75">
        <v>0</v>
      </c>
      <c r="AF466" s="75">
        <v>0</v>
      </c>
      <c r="AG466" s="1122">
        <v>0</v>
      </c>
      <c r="AH466" s="505">
        <f t="shared" si="69"/>
        <v>0</v>
      </c>
      <c r="AI466" s="132"/>
      <c r="AJ466" s="75">
        <f t="shared" si="68"/>
        <v>0</v>
      </c>
      <c r="AK466" s="75"/>
      <c r="AL466" s="75"/>
      <c r="AM466" s="75"/>
      <c r="AN466" s="64" t="s">
        <v>39</v>
      </c>
      <c r="AO466" s="64"/>
      <c r="AP466" s="64"/>
      <c r="AQ466" s="189"/>
      <c r="AR466" s="64"/>
      <c r="AS466" s="476"/>
      <c r="AT466" s="64"/>
      <c r="AU466" s="646"/>
      <c r="AV466" s="347"/>
      <c r="AW466" s="185"/>
    </row>
    <row r="467" spans="1:57" ht="48" hidden="1" customHeight="1" outlineLevel="4" x14ac:dyDescent="0.25">
      <c r="A467" s="63" t="str">
        <f t="shared" si="63"/>
        <v>1.3.1.9.21.64</v>
      </c>
      <c r="B467" s="64">
        <v>1</v>
      </c>
      <c r="C467" s="64">
        <v>3</v>
      </c>
      <c r="D467" s="64">
        <v>1</v>
      </c>
      <c r="E467" s="64">
        <v>9</v>
      </c>
      <c r="F467" s="64">
        <v>21</v>
      </c>
      <c r="G467" s="64">
        <v>64</v>
      </c>
      <c r="H467" s="65"/>
      <c r="I467" s="65"/>
      <c r="J467" s="65"/>
      <c r="K467" s="86" t="s">
        <v>509</v>
      </c>
      <c r="L467" s="64" t="s">
        <v>72</v>
      </c>
      <c r="M467" s="64" t="s">
        <v>255</v>
      </c>
      <c r="N467" s="64" t="s">
        <v>265</v>
      </c>
      <c r="O467" s="64" t="s">
        <v>264</v>
      </c>
      <c r="P467" s="69"/>
      <c r="Q467" s="69"/>
      <c r="R467" s="124"/>
      <c r="S467" s="123"/>
      <c r="T467" s="194"/>
      <c r="U467" s="75">
        <v>0</v>
      </c>
      <c r="V467" s="75"/>
      <c r="W467" s="75">
        <v>0</v>
      </c>
      <c r="X467" s="1122">
        <v>0</v>
      </c>
      <c r="Y467" s="75">
        <v>0</v>
      </c>
      <c r="Z467" s="75">
        <v>0</v>
      </c>
      <c r="AA467" s="1122">
        <v>0</v>
      </c>
      <c r="AB467" s="75">
        <v>0</v>
      </c>
      <c r="AC467" s="75">
        <v>0</v>
      </c>
      <c r="AD467" s="1122">
        <v>0</v>
      </c>
      <c r="AE467" s="75">
        <v>0</v>
      </c>
      <c r="AF467" s="75">
        <v>0</v>
      </c>
      <c r="AG467" s="1122">
        <v>0</v>
      </c>
      <c r="AH467" s="505">
        <f t="shared" si="69"/>
        <v>0</v>
      </c>
      <c r="AI467" s="132"/>
      <c r="AJ467" s="75">
        <f t="shared" si="68"/>
        <v>0</v>
      </c>
      <c r="AK467" s="75"/>
      <c r="AL467" s="75"/>
      <c r="AM467" s="75"/>
      <c r="AN467" s="64" t="s">
        <v>39</v>
      </c>
      <c r="AO467" s="64"/>
      <c r="AP467" s="64"/>
      <c r="AQ467" s="189"/>
      <c r="AR467" s="64"/>
      <c r="AS467" s="476"/>
      <c r="AT467" s="64"/>
      <c r="AU467" s="646"/>
      <c r="AV467" s="347"/>
      <c r="AW467" s="185"/>
    </row>
    <row r="468" spans="1:57" ht="48" hidden="1" customHeight="1" outlineLevel="4" x14ac:dyDescent="0.25">
      <c r="A468" s="63" t="str">
        <f t="shared" si="63"/>
        <v>1.3.1.9.22.58</v>
      </c>
      <c r="B468" s="64">
        <v>1</v>
      </c>
      <c r="C468" s="64">
        <v>3</v>
      </c>
      <c r="D468" s="64">
        <v>1</v>
      </c>
      <c r="E468" s="64">
        <v>9</v>
      </c>
      <c r="F468" s="64">
        <v>22</v>
      </c>
      <c r="G468" s="64">
        <v>58</v>
      </c>
      <c r="H468" s="65"/>
      <c r="I468" s="65"/>
      <c r="J468" s="65"/>
      <c r="K468" s="86" t="s">
        <v>510</v>
      </c>
      <c r="L468" s="64" t="s">
        <v>72</v>
      </c>
      <c r="M468" s="64" t="s">
        <v>255</v>
      </c>
      <c r="N468" s="64" t="s">
        <v>265</v>
      </c>
      <c r="O468" s="64" t="s">
        <v>264</v>
      </c>
      <c r="P468" s="69"/>
      <c r="Q468" s="69"/>
      <c r="R468" s="170"/>
      <c r="S468" s="170"/>
      <c r="T468" s="1188"/>
      <c r="U468" s="75">
        <v>0</v>
      </c>
      <c r="V468" s="75"/>
      <c r="W468" s="75">
        <v>0</v>
      </c>
      <c r="X468" s="1122">
        <v>0</v>
      </c>
      <c r="Y468" s="75">
        <v>0</v>
      </c>
      <c r="Z468" s="75">
        <v>0</v>
      </c>
      <c r="AA468" s="1122">
        <v>0</v>
      </c>
      <c r="AB468" s="75">
        <v>0</v>
      </c>
      <c r="AC468" s="75">
        <v>0</v>
      </c>
      <c r="AD468" s="1122">
        <v>0</v>
      </c>
      <c r="AE468" s="75">
        <v>0</v>
      </c>
      <c r="AF468" s="75">
        <v>0</v>
      </c>
      <c r="AG468" s="1122">
        <v>0</v>
      </c>
      <c r="AH468" s="505">
        <f t="shared" si="69"/>
        <v>0</v>
      </c>
      <c r="AI468" s="132"/>
      <c r="AJ468" s="75">
        <f t="shared" si="68"/>
        <v>0</v>
      </c>
      <c r="AK468" s="75"/>
      <c r="AL468" s="75"/>
      <c r="AM468" s="75"/>
      <c r="AN468" s="64" t="s">
        <v>39</v>
      </c>
      <c r="AO468" s="64"/>
      <c r="AP468" s="64"/>
      <c r="AQ468" s="189"/>
      <c r="AR468" s="64"/>
      <c r="AS468" s="476"/>
      <c r="AT468" s="64"/>
      <c r="AU468" s="646"/>
      <c r="AV468" s="353"/>
      <c r="AW468" s="185"/>
      <c r="BE468" s="162">
        <v>6500000</v>
      </c>
    </row>
    <row r="469" spans="1:57" ht="48" hidden="1" customHeight="1" outlineLevel="4" x14ac:dyDescent="0.25">
      <c r="A469" s="63" t="str">
        <f t="shared" si="63"/>
        <v>1.3.1.9.22.59</v>
      </c>
      <c r="B469" s="64">
        <v>1</v>
      </c>
      <c r="C469" s="64">
        <v>3</v>
      </c>
      <c r="D469" s="64">
        <v>1</v>
      </c>
      <c r="E469" s="64">
        <v>9</v>
      </c>
      <c r="F469" s="64">
        <v>22</v>
      </c>
      <c r="G469" s="64">
        <v>59</v>
      </c>
      <c r="H469" s="65"/>
      <c r="I469" s="65"/>
      <c r="J469" s="65"/>
      <c r="K469" s="86" t="s">
        <v>511</v>
      </c>
      <c r="L469" s="64" t="s">
        <v>72</v>
      </c>
      <c r="M469" s="64" t="s">
        <v>255</v>
      </c>
      <c r="N469" s="64" t="s">
        <v>265</v>
      </c>
      <c r="O469" s="64" t="s">
        <v>264</v>
      </c>
      <c r="P469" s="69"/>
      <c r="Q469" s="69"/>
      <c r="R469" s="170"/>
      <c r="S469" s="170"/>
      <c r="T469" s="1188"/>
      <c r="U469" s="75">
        <v>0</v>
      </c>
      <c r="V469" s="75"/>
      <c r="W469" s="75">
        <v>0</v>
      </c>
      <c r="X469" s="1122">
        <v>0</v>
      </c>
      <c r="Y469" s="75">
        <v>0</v>
      </c>
      <c r="Z469" s="75">
        <v>0</v>
      </c>
      <c r="AA469" s="1122">
        <v>0</v>
      </c>
      <c r="AB469" s="75">
        <v>0</v>
      </c>
      <c r="AC469" s="75">
        <v>0</v>
      </c>
      <c r="AD469" s="1122">
        <v>0</v>
      </c>
      <c r="AE469" s="75">
        <v>0</v>
      </c>
      <c r="AF469" s="75">
        <v>0</v>
      </c>
      <c r="AG469" s="1122">
        <v>0</v>
      </c>
      <c r="AH469" s="505">
        <f t="shared" si="69"/>
        <v>0</v>
      </c>
      <c r="AI469" s="132"/>
      <c r="AJ469" s="75">
        <f t="shared" si="68"/>
        <v>0</v>
      </c>
      <c r="AK469" s="75"/>
      <c r="AL469" s="75"/>
      <c r="AM469" s="75"/>
      <c r="AN469" s="64" t="s">
        <v>39</v>
      </c>
      <c r="AO469" s="64"/>
      <c r="AP469" s="64"/>
      <c r="AQ469" s="189"/>
      <c r="AR469" s="64"/>
      <c r="AS469" s="476"/>
      <c r="AT469" s="64"/>
      <c r="AU469" s="646"/>
      <c r="AV469" s="353"/>
      <c r="AW469" s="185"/>
      <c r="BE469" s="162">
        <f>SUBTOTAL(9,BE415:BE468)</f>
        <v>30680000</v>
      </c>
    </row>
    <row r="470" spans="1:57" ht="48" hidden="1" customHeight="1" outlineLevel="4" x14ac:dyDescent="0.25">
      <c r="A470" s="63" t="str">
        <f t="shared" si="63"/>
        <v>1.3.1.9.22.60</v>
      </c>
      <c r="B470" s="64">
        <v>1</v>
      </c>
      <c r="C470" s="64">
        <v>3</v>
      </c>
      <c r="D470" s="64">
        <v>1</v>
      </c>
      <c r="E470" s="64">
        <v>9</v>
      </c>
      <c r="F470" s="64">
        <v>22</v>
      </c>
      <c r="G470" s="64">
        <v>60</v>
      </c>
      <c r="H470" s="65"/>
      <c r="I470" s="65"/>
      <c r="J470" s="65"/>
      <c r="K470" s="86" t="s">
        <v>512</v>
      </c>
      <c r="L470" s="64" t="s">
        <v>72</v>
      </c>
      <c r="M470" s="64" t="s">
        <v>255</v>
      </c>
      <c r="N470" s="64" t="s">
        <v>265</v>
      </c>
      <c r="O470" s="64" t="s">
        <v>264</v>
      </c>
      <c r="P470" s="69"/>
      <c r="Q470" s="69"/>
      <c r="R470" s="170"/>
      <c r="S470" s="170"/>
      <c r="T470" s="1188"/>
      <c r="U470" s="75">
        <v>0</v>
      </c>
      <c r="V470" s="75"/>
      <c r="W470" s="75">
        <v>0</v>
      </c>
      <c r="X470" s="1122">
        <v>0</v>
      </c>
      <c r="Y470" s="75">
        <v>0</v>
      </c>
      <c r="Z470" s="75">
        <v>0</v>
      </c>
      <c r="AA470" s="1122">
        <v>0</v>
      </c>
      <c r="AB470" s="75">
        <v>0</v>
      </c>
      <c r="AC470" s="75">
        <v>0</v>
      </c>
      <c r="AD470" s="1122">
        <v>0</v>
      </c>
      <c r="AE470" s="75">
        <v>0</v>
      </c>
      <c r="AF470" s="75">
        <v>0</v>
      </c>
      <c r="AG470" s="1122">
        <v>0</v>
      </c>
      <c r="AH470" s="505">
        <f t="shared" si="69"/>
        <v>0</v>
      </c>
      <c r="AI470" s="132"/>
      <c r="AJ470" s="75">
        <f t="shared" si="68"/>
        <v>0</v>
      </c>
      <c r="AK470" s="75"/>
      <c r="AL470" s="75"/>
      <c r="AM470" s="75"/>
      <c r="AN470" s="64" t="s">
        <v>39</v>
      </c>
      <c r="AO470" s="64"/>
      <c r="AP470" s="64"/>
      <c r="AQ470" s="189"/>
      <c r="AR470" s="64"/>
      <c r="AS470" s="476"/>
      <c r="AT470" s="64"/>
      <c r="AU470" s="646"/>
      <c r="AV470" s="353"/>
      <c r="AW470" s="185"/>
      <c r="BE470" s="162">
        <v>34000000</v>
      </c>
    </row>
    <row r="471" spans="1:57" ht="48" hidden="1" customHeight="1" outlineLevel="4" x14ac:dyDescent="0.25">
      <c r="A471" s="63" t="str">
        <f t="shared" si="63"/>
        <v>1.3.1.9.22.61</v>
      </c>
      <c r="B471" s="64">
        <v>1</v>
      </c>
      <c r="C471" s="64">
        <v>3</v>
      </c>
      <c r="D471" s="64">
        <v>1</v>
      </c>
      <c r="E471" s="64">
        <v>9</v>
      </c>
      <c r="F471" s="64">
        <v>22</v>
      </c>
      <c r="G471" s="64">
        <v>61</v>
      </c>
      <c r="H471" s="65"/>
      <c r="I471" s="65"/>
      <c r="J471" s="65"/>
      <c r="K471" s="86" t="s">
        <v>513</v>
      </c>
      <c r="L471" s="64" t="s">
        <v>72</v>
      </c>
      <c r="M471" s="64" t="s">
        <v>255</v>
      </c>
      <c r="N471" s="64" t="s">
        <v>265</v>
      </c>
      <c r="O471" s="64" t="s">
        <v>264</v>
      </c>
      <c r="P471" s="69"/>
      <c r="Q471" s="69"/>
      <c r="R471" s="170"/>
      <c r="S471" s="170"/>
      <c r="T471" s="1188"/>
      <c r="U471" s="75">
        <v>0</v>
      </c>
      <c r="V471" s="75"/>
      <c r="W471" s="75">
        <v>0</v>
      </c>
      <c r="X471" s="1122">
        <v>0</v>
      </c>
      <c r="Y471" s="75">
        <v>0</v>
      </c>
      <c r="Z471" s="75">
        <v>0</v>
      </c>
      <c r="AA471" s="1122">
        <v>0</v>
      </c>
      <c r="AB471" s="75">
        <v>0</v>
      </c>
      <c r="AC471" s="75">
        <v>0</v>
      </c>
      <c r="AD471" s="1122">
        <v>0</v>
      </c>
      <c r="AE471" s="75">
        <v>0</v>
      </c>
      <c r="AF471" s="75">
        <v>0</v>
      </c>
      <c r="AG471" s="1122">
        <v>0</v>
      </c>
      <c r="AH471" s="505">
        <f t="shared" si="69"/>
        <v>0</v>
      </c>
      <c r="AI471" s="132"/>
      <c r="AJ471" s="75">
        <f t="shared" si="68"/>
        <v>0</v>
      </c>
      <c r="AK471" s="75"/>
      <c r="AL471" s="75"/>
      <c r="AM471" s="75"/>
      <c r="AN471" s="64" t="s">
        <v>39</v>
      </c>
      <c r="AO471" s="64"/>
      <c r="AP471" s="64"/>
      <c r="AQ471" s="189"/>
      <c r="AR471" s="64"/>
      <c r="AS471" s="476"/>
      <c r="AT471" s="64"/>
      <c r="AU471" s="646"/>
      <c r="AV471" s="353"/>
      <c r="AW471" s="185"/>
      <c r="BE471" s="162">
        <f>+BE469+BE470</f>
        <v>64680000</v>
      </c>
    </row>
    <row r="472" spans="1:57" ht="48" hidden="1" customHeight="1" outlineLevel="4" x14ac:dyDescent="0.25">
      <c r="A472" s="63" t="str">
        <f t="shared" si="63"/>
        <v>1.3.1.9.22.62</v>
      </c>
      <c r="B472" s="64">
        <v>1</v>
      </c>
      <c r="C472" s="64">
        <v>3</v>
      </c>
      <c r="D472" s="64">
        <v>1</v>
      </c>
      <c r="E472" s="64">
        <v>9</v>
      </c>
      <c r="F472" s="64">
        <v>22</v>
      </c>
      <c r="G472" s="64">
        <v>62</v>
      </c>
      <c r="H472" s="65"/>
      <c r="I472" s="65"/>
      <c r="J472" s="65"/>
      <c r="K472" s="86" t="s">
        <v>1741</v>
      </c>
      <c r="L472" s="64" t="s">
        <v>72</v>
      </c>
      <c r="M472" s="64" t="s">
        <v>255</v>
      </c>
      <c r="N472" s="64" t="s">
        <v>265</v>
      </c>
      <c r="O472" s="64" t="s">
        <v>264</v>
      </c>
      <c r="P472" s="69"/>
      <c r="Q472" s="69"/>
      <c r="R472" s="170"/>
      <c r="S472" s="170"/>
      <c r="T472" s="1188"/>
      <c r="U472" s="75">
        <v>0</v>
      </c>
      <c r="V472" s="75"/>
      <c r="W472" s="75">
        <v>0</v>
      </c>
      <c r="X472" s="1122">
        <v>0</v>
      </c>
      <c r="Y472" s="75">
        <v>0</v>
      </c>
      <c r="Z472" s="75">
        <v>0</v>
      </c>
      <c r="AA472" s="1122">
        <v>0</v>
      </c>
      <c r="AB472" s="75">
        <v>0</v>
      </c>
      <c r="AC472" s="75">
        <v>0</v>
      </c>
      <c r="AD472" s="1122">
        <v>0</v>
      </c>
      <c r="AE472" s="75">
        <v>0</v>
      </c>
      <c r="AF472" s="75">
        <v>0</v>
      </c>
      <c r="AG472" s="1122">
        <v>0</v>
      </c>
      <c r="AH472" s="505">
        <f t="shared" si="69"/>
        <v>0</v>
      </c>
      <c r="AI472" s="132"/>
      <c r="AJ472" s="75">
        <f t="shared" si="68"/>
        <v>0</v>
      </c>
      <c r="AK472" s="75"/>
      <c r="AL472" s="75"/>
      <c r="AM472" s="75"/>
      <c r="AN472" s="64" t="s">
        <v>39</v>
      </c>
      <c r="AO472" s="64"/>
      <c r="AP472" s="64"/>
      <c r="AQ472" s="189"/>
      <c r="AR472" s="64"/>
      <c r="AS472" s="476"/>
      <c r="AT472" s="64"/>
      <c r="AU472" s="646"/>
      <c r="AV472" s="353"/>
      <c r="AW472" s="185"/>
    </row>
    <row r="473" spans="1:57" ht="48" hidden="1" customHeight="1" outlineLevel="4" x14ac:dyDescent="0.25">
      <c r="A473" s="63" t="str">
        <f t="shared" si="63"/>
        <v>1.3.1.9.22.63</v>
      </c>
      <c r="B473" s="64">
        <v>1</v>
      </c>
      <c r="C473" s="64">
        <v>3</v>
      </c>
      <c r="D473" s="64">
        <v>1</v>
      </c>
      <c r="E473" s="64">
        <v>9</v>
      </c>
      <c r="F473" s="64">
        <v>22</v>
      </c>
      <c r="G473" s="64">
        <v>63</v>
      </c>
      <c r="H473" s="65"/>
      <c r="I473" s="65"/>
      <c r="J473" s="65"/>
      <c r="K473" s="86" t="s">
        <v>514</v>
      </c>
      <c r="L473" s="64" t="s">
        <v>72</v>
      </c>
      <c r="M473" s="64" t="s">
        <v>255</v>
      </c>
      <c r="N473" s="64" t="s">
        <v>265</v>
      </c>
      <c r="O473" s="64" t="s">
        <v>264</v>
      </c>
      <c r="P473" s="69"/>
      <c r="Q473" s="69"/>
      <c r="R473" s="170"/>
      <c r="S473" s="170"/>
      <c r="T473" s="1188"/>
      <c r="U473" s="75">
        <v>0</v>
      </c>
      <c r="V473" s="75"/>
      <c r="W473" s="75">
        <v>0</v>
      </c>
      <c r="X473" s="1122">
        <v>0</v>
      </c>
      <c r="Y473" s="75">
        <v>0</v>
      </c>
      <c r="Z473" s="75">
        <v>0</v>
      </c>
      <c r="AA473" s="1122">
        <v>0</v>
      </c>
      <c r="AB473" s="75">
        <v>0</v>
      </c>
      <c r="AC473" s="75">
        <v>0</v>
      </c>
      <c r="AD473" s="1122">
        <v>0</v>
      </c>
      <c r="AE473" s="75">
        <v>0</v>
      </c>
      <c r="AF473" s="75">
        <v>0</v>
      </c>
      <c r="AG473" s="1122">
        <v>0</v>
      </c>
      <c r="AH473" s="505">
        <f t="shared" si="69"/>
        <v>0</v>
      </c>
      <c r="AI473" s="132"/>
      <c r="AJ473" s="75">
        <f t="shared" si="68"/>
        <v>0</v>
      </c>
      <c r="AK473" s="75"/>
      <c r="AL473" s="75"/>
      <c r="AM473" s="75"/>
      <c r="AN473" s="64" t="s">
        <v>39</v>
      </c>
      <c r="AO473" s="64"/>
      <c r="AP473" s="64"/>
      <c r="AQ473" s="189"/>
      <c r="AR473" s="64"/>
      <c r="AS473" s="476"/>
      <c r="AT473" s="64"/>
      <c r="AU473" s="646"/>
      <c r="AV473" s="353"/>
      <c r="AW473" s="185"/>
    </row>
    <row r="474" spans="1:57" ht="48" hidden="1" customHeight="1" outlineLevel="4" x14ac:dyDescent="0.25">
      <c r="A474" s="63" t="str">
        <f t="shared" si="63"/>
        <v>1.3.1.9.22.64</v>
      </c>
      <c r="B474" s="64">
        <v>1</v>
      </c>
      <c r="C474" s="64">
        <v>3</v>
      </c>
      <c r="D474" s="64">
        <v>1</v>
      </c>
      <c r="E474" s="64">
        <v>9</v>
      </c>
      <c r="F474" s="64">
        <v>22</v>
      </c>
      <c r="G474" s="64">
        <v>64</v>
      </c>
      <c r="H474" s="65"/>
      <c r="I474" s="65"/>
      <c r="J474" s="65"/>
      <c r="K474" s="86" t="s">
        <v>515</v>
      </c>
      <c r="L474" s="64" t="s">
        <v>72</v>
      </c>
      <c r="M474" s="64" t="s">
        <v>255</v>
      </c>
      <c r="N474" s="64" t="s">
        <v>265</v>
      </c>
      <c r="O474" s="64" t="s">
        <v>264</v>
      </c>
      <c r="P474" s="69"/>
      <c r="Q474" s="69"/>
      <c r="R474" s="170"/>
      <c r="S474" s="170"/>
      <c r="T474" s="1188"/>
      <c r="U474" s="75">
        <v>0</v>
      </c>
      <c r="V474" s="75"/>
      <c r="W474" s="75">
        <v>0</v>
      </c>
      <c r="X474" s="1122">
        <v>0</v>
      </c>
      <c r="Y474" s="75">
        <v>0</v>
      </c>
      <c r="Z474" s="75">
        <v>0</v>
      </c>
      <c r="AA474" s="1122">
        <v>0</v>
      </c>
      <c r="AB474" s="75">
        <v>0</v>
      </c>
      <c r="AC474" s="75">
        <v>0</v>
      </c>
      <c r="AD474" s="1122">
        <v>0</v>
      </c>
      <c r="AE474" s="75">
        <v>0</v>
      </c>
      <c r="AF474" s="75">
        <v>0</v>
      </c>
      <c r="AG474" s="1122">
        <v>0</v>
      </c>
      <c r="AH474" s="505">
        <f t="shared" si="69"/>
        <v>0</v>
      </c>
      <c r="AI474" s="132"/>
      <c r="AJ474" s="75">
        <f t="shared" si="68"/>
        <v>0</v>
      </c>
      <c r="AK474" s="75"/>
      <c r="AL474" s="75"/>
      <c r="AM474" s="75"/>
      <c r="AN474" s="64" t="s">
        <v>39</v>
      </c>
      <c r="AO474" s="64"/>
      <c r="AP474" s="64"/>
      <c r="AQ474" s="189"/>
      <c r="AR474" s="64"/>
      <c r="AS474" s="476"/>
      <c r="AT474" s="64"/>
      <c r="AU474" s="646"/>
      <c r="AV474" s="353"/>
      <c r="AW474" s="185"/>
    </row>
    <row r="475" spans="1:57" ht="48" hidden="1" customHeight="1" outlineLevel="4" x14ac:dyDescent="0.25">
      <c r="A475" s="63" t="str">
        <f t="shared" si="63"/>
        <v>1.3.1.9.23.0</v>
      </c>
      <c r="B475" s="64">
        <v>1</v>
      </c>
      <c r="C475" s="64">
        <v>3</v>
      </c>
      <c r="D475" s="64">
        <v>1</v>
      </c>
      <c r="E475" s="64">
        <v>9</v>
      </c>
      <c r="F475" s="64">
        <v>23</v>
      </c>
      <c r="G475" s="64">
        <v>0</v>
      </c>
      <c r="H475" s="65"/>
      <c r="I475" s="65"/>
      <c r="J475" s="65"/>
      <c r="K475" s="86" t="s">
        <v>1855</v>
      </c>
      <c r="L475" s="64" t="s">
        <v>72</v>
      </c>
      <c r="M475" s="64" t="s">
        <v>422</v>
      </c>
      <c r="N475" s="64" t="s">
        <v>423</v>
      </c>
      <c r="O475" s="64" t="s">
        <v>246</v>
      </c>
      <c r="P475" s="69"/>
      <c r="Q475" s="69"/>
      <c r="R475" s="170"/>
      <c r="S475" s="170"/>
      <c r="T475" s="1188"/>
      <c r="U475" s="75">
        <v>0</v>
      </c>
      <c r="V475" s="75"/>
      <c r="W475" s="75">
        <v>0</v>
      </c>
      <c r="X475" s="1122">
        <v>0</v>
      </c>
      <c r="Y475" s="75">
        <v>0</v>
      </c>
      <c r="Z475" s="75">
        <v>0</v>
      </c>
      <c r="AA475" s="1122">
        <v>0</v>
      </c>
      <c r="AB475" s="75">
        <v>0</v>
      </c>
      <c r="AC475" s="75">
        <v>0</v>
      </c>
      <c r="AD475" s="1122">
        <v>0</v>
      </c>
      <c r="AE475" s="75">
        <v>0</v>
      </c>
      <c r="AF475" s="75">
        <v>0</v>
      </c>
      <c r="AG475" s="1122">
        <v>0</v>
      </c>
      <c r="AH475" s="505">
        <f t="shared" si="69"/>
        <v>0</v>
      </c>
      <c r="AI475" s="132"/>
      <c r="AJ475" s="75">
        <f t="shared" si="68"/>
        <v>0</v>
      </c>
      <c r="AK475" s="75"/>
      <c r="AL475" s="75"/>
      <c r="AM475" s="75"/>
      <c r="AN475" s="64" t="s">
        <v>39</v>
      </c>
      <c r="AO475" s="64"/>
      <c r="AP475" s="64"/>
      <c r="AQ475" s="189"/>
      <c r="AR475" s="64"/>
      <c r="AS475" s="476"/>
      <c r="AT475" s="64"/>
      <c r="AU475" s="646"/>
      <c r="AV475" s="353"/>
      <c r="AW475" s="441"/>
    </row>
    <row r="476" spans="1:57" ht="48" hidden="1" customHeight="1" outlineLevel="4" x14ac:dyDescent="0.25">
      <c r="A476" s="63" t="str">
        <f t="shared" si="63"/>
        <v>1.3.1.9.24.0</v>
      </c>
      <c r="B476" s="64">
        <v>1</v>
      </c>
      <c r="C476" s="64">
        <v>3</v>
      </c>
      <c r="D476" s="64">
        <v>1</v>
      </c>
      <c r="E476" s="64">
        <v>9</v>
      </c>
      <c r="F476" s="64">
        <v>24</v>
      </c>
      <c r="G476" s="64">
        <v>0</v>
      </c>
      <c r="H476" s="65"/>
      <c r="I476" s="65"/>
      <c r="J476" s="65"/>
      <c r="K476" s="86" t="s">
        <v>1856</v>
      </c>
      <c r="L476" s="64" t="s">
        <v>72</v>
      </c>
      <c r="M476" s="64" t="s">
        <v>73</v>
      </c>
      <c r="N476" s="64" t="s">
        <v>516</v>
      </c>
      <c r="O476" s="64" t="s">
        <v>367</v>
      </c>
      <c r="P476" s="69"/>
      <c r="Q476" s="69"/>
      <c r="R476" s="170"/>
      <c r="S476" s="170"/>
      <c r="T476" s="1188"/>
      <c r="U476" s="75">
        <v>0</v>
      </c>
      <c r="V476" s="75"/>
      <c r="W476" s="75">
        <v>0</v>
      </c>
      <c r="X476" s="1122">
        <v>0</v>
      </c>
      <c r="Y476" s="75">
        <v>0</v>
      </c>
      <c r="Z476" s="75">
        <v>0</v>
      </c>
      <c r="AA476" s="1122">
        <v>0</v>
      </c>
      <c r="AB476" s="75">
        <v>0</v>
      </c>
      <c r="AC476" s="75">
        <v>0</v>
      </c>
      <c r="AD476" s="1122">
        <v>0</v>
      </c>
      <c r="AE476" s="75">
        <v>0</v>
      </c>
      <c r="AF476" s="75">
        <v>0</v>
      </c>
      <c r="AG476" s="1122">
        <v>0</v>
      </c>
      <c r="AH476" s="505">
        <f t="shared" si="69"/>
        <v>0</v>
      </c>
      <c r="AI476" s="132"/>
      <c r="AJ476" s="75">
        <f t="shared" si="68"/>
        <v>0</v>
      </c>
      <c r="AK476" s="75"/>
      <c r="AL476" s="75"/>
      <c r="AM476" s="75"/>
      <c r="AN476" s="64" t="s">
        <v>39</v>
      </c>
      <c r="AO476" s="64"/>
      <c r="AP476" s="64"/>
      <c r="AQ476" s="189"/>
      <c r="AR476" s="64"/>
      <c r="AS476" s="476"/>
      <c r="AT476" s="64"/>
      <c r="AU476" s="646"/>
      <c r="AV476" s="353"/>
      <c r="AW476" s="442"/>
    </row>
    <row r="477" spans="1:57" ht="48" hidden="1" customHeight="1" outlineLevel="4" x14ac:dyDescent="0.25">
      <c r="A477" s="63" t="str">
        <f t="shared" si="63"/>
        <v>1.3.1.9.25.58</v>
      </c>
      <c r="B477" s="64">
        <v>1</v>
      </c>
      <c r="C477" s="64">
        <v>3</v>
      </c>
      <c r="D477" s="64">
        <v>1</v>
      </c>
      <c r="E477" s="64">
        <v>9</v>
      </c>
      <c r="F477" s="64">
        <v>25</v>
      </c>
      <c r="G477" s="64">
        <v>58</v>
      </c>
      <c r="H477" s="65"/>
      <c r="I477" s="65"/>
      <c r="J477" s="65"/>
      <c r="K477" s="125" t="s">
        <v>517</v>
      </c>
      <c r="L477" s="64" t="s">
        <v>72</v>
      </c>
      <c r="M477" s="64" t="s">
        <v>73</v>
      </c>
      <c r="N477" s="64" t="s">
        <v>74</v>
      </c>
      <c r="O477" s="64" t="s">
        <v>367</v>
      </c>
      <c r="P477" s="69">
        <v>44930</v>
      </c>
      <c r="Q477" s="69">
        <v>45291</v>
      </c>
      <c r="R477" s="64">
        <f t="shared" ref="R477:R483" si="70">+SUM(T477+X477+AA477+AD477)</f>
        <v>337</v>
      </c>
      <c r="S477" s="123" t="s">
        <v>518</v>
      </c>
      <c r="T477" s="194">
        <v>337</v>
      </c>
      <c r="U477" s="75">
        <v>0</v>
      </c>
      <c r="V477" s="75"/>
      <c r="W477" s="75">
        <v>0</v>
      </c>
      <c r="X477" s="1122">
        <v>0</v>
      </c>
      <c r="Y477" s="75">
        <v>0</v>
      </c>
      <c r="Z477" s="75">
        <v>0</v>
      </c>
      <c r="AA477" s="1122">
        <v>0</v>
      </c>
      <c r="AB477" s="75">
        <v>0</v>
      </c>
      <c r="AC477" s="75">
        <v>0</v>
      </c>
      <c r="AD477" s="1122">
        <v>0</v>
      </c>
      <c r="AE477" s="75">
        <v>0</v>
      </c>
      <c r="AF477" s="75">
        <v>0</v>
      </c>
      <c r="AG477" s="1122">
        <v>0</v>
      </c>
      <c r="AH477" s="505">
        <f t="shared" si="69"/>
        <v>0</v>
      </c>
      <c r="AI477" s="132"/>
      <c r="AJ477" s="75">
        <f t="shared" si="68"/>
        <v>0</v>
      </c>
      <c r="AK477" s="75"/>
      <c r="AL477" s="75"/>
      <c r="AM477" s="75"/>
      <c r="AN477" s="64" t="s">
        <v>39</v>
      </c>
      <c r="AO477" s="313" t="s">
        <v>1819</v>
      </c>
      <c r="AP477" s="313" t="s">
        <v>2160</v>
      </c>
      <c r="AQ477" s="408" t="s">
        <v>2161</v>
      </c>
      <c r="AR477" s="69">
        <v>44658</v>
      </c>
      <c r="AS477" s="562">
        <v>45023</v>
      </c>
      <c r="AT477" s="89" t="s">
        <v>2029</v>
      </c>
      <c r="AU477" s="883" t="s">
        <v>2162</v>
      </c>
      <c r="AV477" s="1338">
        <v>9444</v>
      </c>
      <c r="AW477" s="1339" t="s">
        <v>519</v>
      </c>
    </row>
    <row r="478" spans="1:57" ht="48" hidden="1" customHeight="1" outlineLevel="4" x14ac:dyDescent="0.25">
      <c r="A478" s="63" t="str">
        <f t="shared" si="63"/>
        <v>1.3.1.9.25.59</v>
      </c>
      <c r="B478" s="64">
        <v>1</v>
      </c>
      <c r="C478" s="64">
        <v>3</v>
      </c>
      <c r="D478" s="64">
        <v>1</v>
      </c>
      <c r="E478" s="64">
        <v>9</v>
      </c>
      <c r="F478" s="64">
        <v>25</v>
      </c>
      <c r="G478" s="64">
        <v>59</v>
      </c>
      <c r="H478" s="65"/>
      <c r="I478" s="65"/>
      <c r="J478" s="65"/>
      <c r="K478" s="125" t="s">
        <v>520</v>
      </c>
      <c r="L478" s="64" t="s">
        <v>72</v>
      </c>
      <c r="M478" s="64" t="s">
        <v>73</v>
      </c>
      <c r="N478" s="64" t="s">
        <v>74</v>
      </c>
      <c r="O478" s="64" t="s">
        <v>367</v>
      </c>
      <c r="P478" s="69">
        <v>44930</v>
      </c>
      <c r="Q478" s="69">
        <v>45291</v>
      </c>
      <c r="R478" s="64">
        <f t="shared" si="70"/>
        <v>337</v>
      </c>
      <c r="S478" s="123"/>
      <c r="T478" s="194">
        <v>337</v>
      </c>
      <c r="U478" s="75">
        <v>0</v>
      </c>
      <c r="V478" s="75"/>
      <c r="W478" s="75">
        <v>0</v>
      </c>
      <c r="X478" s="1122">
        <v>0</v>
      </c>
      <c r="Y478" s="75">
        <v>0</v>
      </c>
      <c r="Z478" s="75">
        <v>0</v>
      </c>
      <c r="AA478" s="1122">
        <v>0</v>
      </c>
      <c r="AB478" s="75">
        <v>0</v>
      </c>
      <c r="AC478" s="75">
        <v>0</v>
      </c>
      <c r="AD478" s="1122">
        <v>0</v>
      </c>
      <c r="AE478" s="75">
        <v>0</v>
      </c>
      <c r="AF478" s="75">
        <v>0</v>
      </c>
      <c r="AG478" s="1122">
        <v>0</v>
      </c>
      <c r="AH478" s="505">
        <f t="shared" si="69"/>
        <v>0</v>
      </c>
      <c r="AI478" s="132"/>
      <c r="AJ478" s="75">
        <f t="shared" si="68"/>
        <v>0</v>
      </c>
      <c r="AK478" s="75"/>
      <c r="AL478" s="75"/>
      <c r="AM478" s="75"/>
      <c r="AN478" s="64" t="s">
        <v>39</v>
      </c>
      <c r="AO478" s="313" t="s">
        <v>1819</v>
      </c>
      <c r="AP478" s="313" t="s">
        <v>2160</v>
      </c>
      <c r="AQ478" s="408" t="s">
        <v>2161</v>
      </c>
      <c r="AR478" s="69">
        <v>44658</v>
      </c>
      <c r="AS478" s="562">
        <v>45023</v>
      </c>
      <c r="AT478" s="89" t="s">
        <v>2029</v>
      </c>
      <c r="AU478" s="883" t="s">
        <v>2162</v>
      </c>
      <c r="AV478" s="1338"/>
      <c r="AW478" s="1339"/>
    </row>
    <row r="479" spans="1:57" ht="48" hidden="1" customHeight="1" outlineLevel="4" x14ac:dyDescent="0.25">
      <c r="A479" s="63" t="str">
        <f t="shared" si="63"/>
        <v>1.3.1.9.25.60</v>
      </c>
      <c r="B479" s="64">
        <v>1</v>
      </c>
      <c r="C479" s="64">
        <v>3</v>
      </c>
      <c r="D479" s="64">
        <v>1</v>
      </c>
      <c r="E479" s="64">
        <v>9</v>
      </c>
      <c r="F479" s="64">
        <v>25</v>
      </c>
      <c r="G479" s="64">
        <v>60</v>
      </c>
      <c r="H479" s="65"/>
      <c r="I479" s="65"/>
      <c r="J479" s="65"/>
      <c r="K479" s="125" t="s">
        <v>521</v>
      </c>
      <c r="L479" s="64" t="s">
        <v>72</v>
      </c>
      <c r="M479" s="64" t="s">
        <v>73</v>
      </c>
      <c r="N479" s="64" t="s">
        <v>74</v>
      </c>
      <c r="O479" s="64" t="s">
        <v>367</v>
      </c>
      <c r="P479" s="69">
        <v>44930</v>
      </c>
      <c r="Q479" s="69">
        <v>45291</v>
      </c>
      <c r="R479" s="64">
        <f t="shared" si="70"/>
        <v>337</v>
      </c>
      <c r="S479" s="123"/>
      <c r="T479" s="194">
        <v>337</v>
      </c>
      <c r="U479" s="75">
        <v>0</v>
      </c>
      <c r="V479" s="75"/>
      <c r="W479" s="75">
        <v>0</v>
      </c>
      <c r="X479" s="1122">
        <v>0</v>
      </c>
      <c r="Y479" s="75">
        <v>0</v>
      </c>
      <c r="Z479" s="75">
        <v>0</v>
      </c>
      <c r="AA479" s="1122">
        <v>0</v>
      </c>
      <c r="AB479" s="75">
        <v>0</v>
      </c>
      <c r="AC479" s="75">
        <v>0</v>
      </c>
      <c r="AD479" s="1122">
        <v>0</v>
      </c>
      <c r="AE479" s="75">
        <v>0</v>
      </c>
      <c r="AF479" s="75">
        <v>0</v>
      </c>
      <c r="AG479" s="1122">
        <v>0</v>
      </c>
      <c r="AH479" s="505">
        <f t="shared" si="69"/>
        <v>0</v>
      </c>
      <c r="AI479" s="132"/>
      <c r="AJ479" s="75">
        <f t="shared" si="68"/>
        <v>0</v>
      </c>
      <c r="AK479" s="75"/>
      <c r="AL479" s="75"/>
      <c r="AM479" s="75"/>
      <c r="AN479" s="64" t="s">
        <v>39</v>
      </c>
      <c r="AO479" s="313" t="s">
        <v>1819</v>
      </c>
      <c r="AP479" s="313" t="s">
        <v>2160</v>
      </c>
      <c r="AQ479" s="408" t="s">
        <v>2161</v>
      </c>
      <c r="AR479" s="69">
        <v>44658</v>
      </c>
      <c r="AS479" s="562">
        <v>45023</v>
      </c>
      <c r="AT479" s="89" t="s">
        <v>2029</v>
      </c>
      <c r="AU479" s="883" t="s">
        <v>2162</v>
      </c>
      <c r="AV479" s="1338"/>
      <c r="AW479" s="1339"/>
    </row>
    <row r="480" spans="1:57" ht="48" hidden="1" customHeight="1" outlineLevel="4" x14ac:dyDescent="0.25">
      <c r="A480" s="63" t="str">
        <f t="shared" si="63"/>
        <v>1.3.1.9.25.61</v>
      </c>
      <c r="B480" s="64">
        <v>1</v>
      </c>
      <c r="C480" s="64">
        <v>3</v>
      </c>
      <c r="D480" s="64">
        <v>1</v>
      </c>
      <c r="E480" s="64">
        <v>9</v>
      </c>
      <c r="F480" s="64">
        <v>25</v>
      </c>
      <c r="G480" s="64">
        <v>61</v>
      </c>
      <c r="H480" s="65"/>
      <c r="I480" s="65"/>
      <c r="J480" s="65"/>
      <c r="K480" s="125" t="s">
        <v>522</v>
      </c>
      <c r="L480" s="64" t="s">
        <v>72</v>
      </c>
      <c r="M480" s="64" t="s">
        <v>73</v>
      </c>
      <c r="N480" s="64" t="s">
        <v>74</v>
      </c>
      <c r="O480" s="64" t="s">
        <v>367</v>
      </c>
      <c r="P480" s="69">
        <v>44930</v>
      </c>
      <c r="Q480" s="69">
        <v>45291</v>
      </c>
      <c r="R480" s="64">
        <f t="shared" si="70"/>
        <v>337</v>
      </c>
      <c r="S480" s="123"/>
      <c r="T480" s="194">
        <v>337</v>
      </c>
      <c r="U480" s="75">
        <v>0</v>
      </c>
      <c r="V480" s="75"/>
      <c r="W480" s="75">
        <v>0</v>
      </c>
      <c r="X480" s="1122">
        <v>0</v>
      </c>
      <c r="Y480" s="75">
        <v>0</v>
      </c>
      <c r="Z480" s="75">
        <v>0</v>
      </c>
      <c r="AA480" s="1122">
        <v>0</v>
      </c>
      <c r="AB480" s="75">
        <v>0</v>
      </c>
      <c r="AC480" s="75">
        <v>0</v>
      </c>
      <c r="AD480" s="1122">
        <v>0</v>
      </c>
      <c r="AE480" s="75">
        <v>0</v>
      </c>
      <c r="AF480" s="75">
        <v>0</v>
      </c>
      <c r="AG480" s="1122">
        <v>0</v>
      </c>
      <c r="AH480" s="505">
        <f t="shared" si="69"/>
        <v>0</v>
      </c>
      <c r="AI480" s="132"/>
      <c r="AJ480" s="75">
        <f t="shared" si="68"/>
        <v>0</v>
      </c>
      <c r="AK480" s="75"/>
      <c r="AL480" s="75"/>
      <c r="AM480" s="75"/>
      <c r="AN480" s="64" t="s">
        <v>39</v>
      </c>
      <c r="AO480" s="313" t="s">
        <v>1819</v>
      </c>
      <c r="AP480" s="313" t="s">
        <v>2160</v>
      </c>
      <c r="AQ480" s="408" t="s">
        <v>2161</v>
      </c>
      <c r="AR480" s="69">
        <v>44658</v>
      </c>
      <c r="AS480" s="562">
        <v>45023</v>
      </c>
      <c r="AT480" s="89" t="s">
        <v>2029</v>
      </c>
      <c r="AU480" s="883" t="s">
        <v>2162</v>
      </c>
      <c r="AV480" s="1338"/>
      <c r="AW480" s="1339"/>
    </row>
    <row r="481" spans="1:49" ht="48" hidden="1" customHeight="1" outlineLevel="4" x14ac:dyDescent="0.25">
      <c r="A481" s="63" t="str">
        <f t="shared" si="63"/>
        <v>1.3.1.9.25.62</v>
      </c>
      <c r="B481" s="64">
        <v>1</v>
      </c>
      <c r="C481" s="64">
        <v>3</v>
      </c>
      <c r="D481" s="64">
        <v>1</v>
      </c>
      <c r="E481" s="64">
        <v>9</v>
      </c>
      <c r="F481" s="64">
        <v>25</v>
      </c>
      <c r="G481" s="64">
        <v>62</v>
      </c>
      <c r="H481" s="65"/>
      <c r="I481" s="65"/>
      <c r="J481" s="65"/>
      <c r="K481" s="125" t="s">
        <v>1742</v>
      </c>
      <c r="L481" s="64" t="s">
        <v>72</v>
      </c>
      <c r="M481" s="64" t="s">
        <v>73</v>
      </c>
      <c r="N481" s="64" t="s">
        <v>74</v>
      </c>
      <c r="O481" s="64" t="s">
        <v>367</v>
      </c>
      <c r="P481" s="69">
        <v>44930</v>
      </c>
      <c r="Q481" s="69">
        <v>45291</v>
      </c>
      <c r="R481" s="64">
        <f t="shared" si="70"/>
        <v>337</v>
      </c>
      <c r="S481" s="123"/>
      <c r="T481" s="194">
        <v>337</v>
      </c>
      <c r="U481" s="75">
        <v>0</v>
      </c>
      <c r="V481" s="75"/>
      <c r="W481" s="75">
        <v>0</v>
      </c>
      <c r="X481" s="1122">
        <v>0</v>
      </c>
      <c r="Y481" s="75">
        <v>0</v>
      </c>
      <c r="Z481" s="75">
        <v>0</v>
      </c>
      <c r="AA481" s="1122">
        <v>0</v>
      </c>
      <c r="AB481" s="75">
        <v>0</v>
      </c>
      <c r="AC481" s="75">
        <v>0</v>
      </c>
      <c r="AD481" s="1122">
        <v>0</v>
      </c>
      <c r="AE481" s="75">
        <v>0</v>
      </c>
      <c r="AF481" s="75">
        <v>0</v>
      </c>
      <c r="AG481" s="1122">
        <v>0</v>
      </c>
      <c r="AH481" s="505">
        <f t="shared" si="69"/>
        <v>0</v>
      </c>
      <c r="AI481" s="132"/>
      <c r="AJ481" s="75">
        <f t="shared" si="68"/>
        <v>0</v>
      </c>
      <c r="AK481" s="75"/>
      <c r="AL481" s="75"/>
      <c r="AM481" s="75"/>
      <c r="AN481" s="64" t="s">
        <v>39</v>
      </c>
      <c r="AO481" s="313" t="s">
        <v>1819</v>
      </c>
      <c r="AP481" s="313" t="s">
        <v>2160</v>
      </c>
      <c r="AQ481" s="408" t="s">
        <v>2161</v>
      </c>
      <c r="AR481" s="69">
        <v>44658</v>
      </c>
      <c r="AS481" s="562">
        <v>45023</v>
      </c>
      <c r="AT481" s="89" t="s">
        <v>2029</v>
      </c>
      <c r="AU481" s="883" t="s">
        <v>2162</v>
      </c>
      <c r="AV481" s="1338"/>
      <c r="AW481" s="1339"/>
    </row>
    <row r="482" spans="1:49" ht="48" hidden="1" customHeight="1" outlineLevel="4" x14ac:dyDescent="0.25">
      <c r="A482" s="63" t="str">
        <f t="shared" si="63"/>
        <v>1.3.1.9.25.63</v>
      </c>
      <c r="B482" s="64">
        <v>1</v>
      </c>
      <c r="C482" s="64">
        <v>3</v>
      </c>
      <c r="D482" s="64">
        <v>1</v>
      </c>
      <c r="E482" s="64">
        <v>9</v>
      </c>
      <c r="F482" s="64">
        <v>25</v>
      </c>
      <c r="G482" s="64">
        <v>63</v>
      </c>
      <c r="H482" s="65"/>
      <c r="I482" s="65"/>
      <c r="J482" s="65"/>
      <c r="K482" s="125" t="s">
        <v>523</v>
      </c>
      <c r="L482" s="64" t="s">
        <v>72</v>
      </c>
      <c r="M482" s="64" t="s">
        <v>73</v>
      </c>
      <c r="N482" s="64" t="s">
        <v>74</v>
      </c>
      <c r="O482" s="64" t="s">
        <v>367</v>
      </c>
      <c r="P482" s="69">
        <v>44930</v>
      </c>
      <c r="Q482" s="69">
        <v>45291</v>
      </c>
      <c r="R482" s="64">
        <f t="shared" si="70"/>
        <v>337</v>
      </c>
      <c r="S482" s="123"/>
      <c r="T482" s="194">
        <v>337</v>
      </c>
      <c r="U482" s="75">
        <v>0</v>
      </c>
      <c r="V482" s="75"/>
      <c r="W482" s="75">
        <v>0</v>
      </c>
      <c r="X482" s="1122">
        <v>0</v>
      </c>
      <c r="Y482" s="75">
        <v>0</v>
      </c>
      <c r="Z482" s="75">
        <v>0</v>
      </c>
      <c r="AA482" s="1122">
        <v>0</v>
      </c>
      <c r="AB482" s="75">
        <v>0</v>
      </c>
      <c r="AC482" s="75">
        <v>0</v>
      </c>
      <c r="AD482" s="1122">
        <v>0</v>
      </c>
      <c r="AE482" s="75">
        <v>0</v>
      </c>
      <c r="AF482" s="75">
        <v>0</v>
      </c>
      <c r="AG482" s="1122">
        <v>0</v>
      </c>
      <c r="AH482" s="505">
        <f t="shared" si="69"/>
        <v>0</v>
      </c>
      <c r="AI482" s="132"/>
      <c r="AJ482" s="75">
        <f t="shared" si="68"/>
        <v>0</v>
      </c>
      <c r="AK482" s="75"/>
      <c r="AL482" s="75"/>
      <c r="AM482" s="75"/>
      <c r="AN482" s="64" t="s">
        <v>39</v>
      </c>
      <c r="AO482" s="313" t="s">
        <v>1819</v>
      </c>
      <c r="AP482" s="313" t="s">
        <v>2160</v>
      </c>
      <c r="AQ482" s="408" t="s">
        <v>2161</v>
      </c>
      <c r="AR482" s="69">
        <v>44658</v>
      </c>
      <c r="AS482" s="562">
        <v>45023</v>
      </c>
      <c r="AT482" s="89" t="s">
        <v>2029</v>
      </c>
      <c r="AU482" s="883" t="s">
        <v>2162</v>
      </c>
      <c r="AV482" s="1338"/>
      <c r="AW482" s="1339"/>
    </row>
    <row r="483" spans="1:49" ht="48" hidden="1" customHeight="1" outlineLevel="4" x14ac:dyDescent="0.25">
      <c r="A483" s="63" t="str">
        <f t="shared" si="63"/>
        <v>1.3.1.9.25.64</v>
      </c>
      <c r="B483" s="64">
        <v>1</v>
      </c>
      <c r="C483" s="64">
        <v>3</v>
      </c>
      <c r="D483" s="64">
        <v>1</v>
      </c>
      <c r="E483" s="64">
        <v>9</v>
      </c>
      <c r="F483" s="64">
        <v>25</v>
      </c>
      <c r="G483" s="64">
        <v>64</v>
      </c>
      <c r="H483" s="65"/>
      <c r="I483" s="65"/>
      <c r="J483" s="65"/>
      <c r="K483" s="125" t="s">
        <v>524</v>
      </c>
      <c r="L483" s="64" t="s">
        <v>72</v>
      </c>
      <c r="M483" s="64" t="s">
        <v>73</v>
      </c>
      <c r="N483" s="64" t="s">
        <v>74</v>
      </c>
      <c r="O483" s="64" t="s">
        <v>367</v>
      </c>
      <c r="P483" s="69">
        <v>44930</v>
      </c>
      <c r="Q483" s="69">
        <v>45291</v>
      </c>
      <c r="R483" s="64">
        <f t="shared" si="70"/>
        <v>337</v>
      </c>
      <c r="S483" s="123"/>
      <c r="T483" s="194">
        <v>337</v>
      </c>
      <c r="U483" s="75">
        <v>0</v>
      </c>
      <c r="V483" s="75"/>
      <c r="W483" s="75">
        <v>0</v>
      </c>
      <c r="X483" s="1122">
        <v>0</v>
      </c>
      <c r="Y483" s="75">
        <v>0</v>
      </c>
      <c r="Z483" s="75">
        <v>0</v>
      </c>
      <c r="AA483" s="1122">
        <v>0</v>
      </c>
      <c r="AB483" s="75">
        <v>0</v>
      </c>
      <c r="AC483" s="75">
        <v>0</v>
      </c>
      <c r="AD483" s="1122">
        <v>0</v>
      </c>
      <c r="AE483" s="75">
        <v>0</v>
      </c>
      <c r="AF483" s="75">
        <v>0</v>
      </c>
      <c r="AG483" s="1122">
        <v>0</v>
      </c>
      <c r="AH483" s="505">
        <f t="shared" si="69"/>
        <v>0</v>
      </c>
      <c r="AI483" s="132"/>
      <c r="AJ483" s="75">
        <f t="shared" si="68"/>
        <v>0</v>
      </c>
      <c r="AK483" s="75"/>
      <c r="AL483" s="75"/>
      <c r="AM483" s="75"/>
      <c r="AN483" s="64" t="s">
        <v>39</v>
      </c>
      <c r="AO483" s="313" t="s">
        <v>1819</v>
      </c>
      <c r="AP483" s="313" t="s">
        <v>2160</v>
      </c>
      <c r="AQ483" s="408" t="s">
        <v>2161</v>
      </c>
      <c r="AR483" s="69">
        <v>44658</v>
      </c>
      <c r="AS483" s="562">
        <v>45023</v>
      </c>
      <c r="AT483" s="89" t="s">
        <v>2029</v>
      </c>
      <c r="AU483" s="883" t="s">
        <v>2162</v>
      </c>
      <c r="AV483" s="1338"/>
      <c r="AW483" s="1339"/>
    </row>
    <row r="484" spans="1:49" ht="48" hidden="1" customHeight="1" outlineLevel="4" x14ac:dyDescent="0.25">
      <c r="A484" s="63" t="str">
        <f t="shared" si="63"/>
        <v>1.3.1.9.26.58</v>
      </c>
      <c r="B484" s="64">
        <v>1</v>
      </c>
      <c r="C484" s="64">
        <v>3</v>
      </c>
      <c r="D484" s="64">
        <v>1</v>
      </c>
      <c r="E484" s="64">
        <v>9</v>
      </c>
      <c r="F484" s="64">
        <v>26</v>
      </c>
      <c r="G484" s="64">
        <v>58</v>
      </c>
      <c r="H484" s="65"/>
      <c r="I484" s="65"/>
      <c r="J484" s="65"/>
      <c r="K484" s="125" t="s">
        <v>525</v>
      </c>
      <c r="L484" s="64" t="s">
        <v>72</v>
      </c>
      <c r="M484" s="64" t="s">
        <v>73</v>
      </c>
      <c r="N484" s="64" t="s">
        <v>516</v>
      </c>
      <c r="O484" s="64" t="s">
        <v>367</v>
      </c>
      <c r="P484" s="69">
        <v>44930</v>
      </c>
      <c r="Q484" s="69">
        <v>45291</v>
      </c>
      <c r="R484" s="171">
        <v>0</v>
      </c>
      <c r="S484" s="123"/>
      <c r="T484" s="194">
        <f>+T477/4</f>
        <v>84.25</v>
      </c>
      <c r="U484" s="75">
        <v>124481.15</v>
      </c>
      <c r="V484" s="75"/>
      <c r="W484" s="75">
        <v>0</v>
      </c>
      <c r="X484" s="1122">
        <v>0</v>
      </c>
      <c r="Y484" s="75">
        <v>124481.15</v>
      </c>
      <c r="Z484" s="75">
        <v>0</v>
      </c>
      <c r="AA484" s="1122">
        <v>0</v>
      </c>
      <c r="AB484" s="75">
        <v>124481.15</v>
      </c>
      <c r="AC484" s="75">
        <v>0</v>
      </c>
      <c r="AD484" s="1122">
        <v>0</v>
      </c>
      <c r="AE484" s="75">
        <v>124481.15</v>
      </c>
      <c r="AF484" s="75">
        <v>0</v>
      </c>
      <c r="AG484" s="1122">
        <v>0</v>
      </c>
      <c r="AH484" s="505">
        <f t="shared" si="69"/>
        <v>497924.6</v>
      </c>
      <c r="AI484" s="132"/>
      <c r="AJ484" s="75">
        <f t="shared" si="68"/>
        <v>0</v>
      </c>
      <c r="AK484" s="75"/>
      <c r="AL484" s="75"/>
      <c r="AM484" s="75"/>
      <c r="AN484" s="64" t="s">
        <v>39</v>
      </c>
      <c r="AO484" s="100"/>
      <c r="AP484" s="100"/>
      <c r="AQ484" s="993"/>
      <c r="AR484" s="104"/>
      <c r="AS484" s="1095"/>
      <c r="AT484" s="100"/>
      <c r="AU484" s="964"/>
      <c r="AV484" s="1065"/>
      <c r="AW484" s="65" t="s">
        <v>2823</v>
      </c>
    </row>
    <row r="485" spans="1:49" ht="48" hidden="1" customHeight="1" outlineLevel="4" x14ac:dyDescent="0.25">
      <c r="A485" s="63" t="str">
        <f t="shared" si="63"/>
        <v>1.3.1.9.26.59</v>
      </c>
      <c r="B485" s="64">
        <v>1</v>
      </c>
      <c r="C485" s="64">
        <v>3</v>
      </c>
      <c r="D485" s="64">
        <v>1</v>
      </c>
      <c r="E485" s="64">
        <v>9</v>
      </c>
      <c r="F485" s="64">
        <v>26</v>
      </c>
      <c r="G485" s="64">
        <v>59</v>
      </c>
      <c r="H485" s="65"/>
      <c r="I485" s="65"/>
      <c r="J485" s="65"/>
      <c r="K485" s="125" t="s">
        <v>526</v>
      </c>
      <c r="L485" s="64" t="s">
        <v>72</v>
      </c>
      <c r="M485" s="64" t="s">
        <v>73</v>
      </c>
      <c r="N485" s="64" t="s">
        <v>516</v>
      </c>
      <c r="O485" s="64" t="s">
        <v>367</v>
      </c>
      <c r="P485" s="69">
        <v>44930</v>
      </c>
      <c r="Q485" s="69">
        <v>45291</v>
      </c>
      <c r="R485" s="171">
        <f t="shared" ref="R485:R490" si="71">+SUM(T485+X485+AA485+AD485)</f>
        <v>0</v>
      </c>
      <c r="S485" s="123"/>
      <c r="T485" s="194"/>
      <c r="U485" s="75">
        <v>124481.15</v>
      </c>
      <c r="V485" s="75"/>
      <c r="W485" s="75">
        <v>0</v>
      </c>
      <c r="X485" s="1122">
        <v>0</v>
      </c>
      <c r="Y485" s="75">
        <v>124481.15</v>
      </c>
      <c r="Z485" s="75">
        <v>0</v>
      </c>
      <c r="AA485" s="1122">
        <v>0</v>
      </c>
      <c r="AB485" s="75">
        <v>124481.15</v>
      </c>
      <c r="AC485" s="75">
        <v>0</v>
      </c>
      <c r="AD485" s="1122">
        <v>0</v>
      </c>
      <c r="AE485" s="75">
        <v>124481.15</v>
      </c>
      <c r="AF485" s="75">
        <v>0</v>
      </c>
      <c r="AG485" s="1122">
        <v>0</v>
      </c>
      <c r="AH485" s="505">
        <f t="shared" si="69"/>
        <v>497924.6</v>
      </c>
      <c r="AI485" s="132"/>
      <c r="AJ485" s="75">
        <f t="shared" si="68"/>
        <v>0</v>
      </c>
      <c r="AK485" s="75"/>
      <c r="AL485" s="75"/>
      <c r="AM485" s="75"/>
      <c r="AN485" s="64" t="s">
        <v>39</v>
      </c>
      <c r="AO485" s="100"/>
      <c r="AP485" s="100"/>
      <c r="AQ485" s="993"/>
      <c r="AR485" s="104"/>
      <c r="AS485" s="1095"/>
      <c r="AT485" s="100"/>
      <c r="AU485" s="964"/>
      <c r="AV485" s="1065"/>
      <c r="AW485" s="65" t="s">
        <v>2824</v>
      </c>
    </row>
    <row r="486" spans="1:49" ht="48" hidden="1" customHeight="1" outlineLevel="4" x14ac:dyDescent="0.25">
      <c r="A486" s="63" t="str">
        <f t="shared" si="63"/>
        <v>1.3.1.9.26.60</v>
      </c>
      <c r="B486" s="64">
        <v>1</v>
      </c>
      <c r="C486" s="64">
        <v>3</v>
      </c>
      <c r="D486" s="64">
        <v>1</v>
      </c>
      <c r="E486" s="64">
        <v>9</v>
      </c>
      <c r="F486" s="64">
        <v>26</v>
      </c>
      <c r="G486" s="64">
        <v>60</v>
      </c>
      <c r="H486" s="65"/>
      <c r="I486" s="65"/>
      <c r="J486" s="65"/>
      <c r="K486" s="125" t="s">
        <v>527</v>
      </c>
      <c r="L486" s="64" t="s">
        <v>72</v>
      </c>
      <c r="M486" s="64" t="s">
        <v>73</v>
      </c>
      <c r="N486" s="64" t="s">
        <v>516</v>
      </c>
      <c r="O486" s="64" t="s">
        <v>367</v>
      </c>
      <c r="P486" s="69">
        <v>44930</v>
      </c>
      <c r="Q486" s="69">
        <v>45291</v>
      </c>
      <c r="R486" s="171">
        <f t="shared" si="71"/>
        <v>0</v>
      </c>
      <c r="S486" s="123"/>
      <c r="T486" s="194"/>
      <c r="U486" s="75">
        <v>124481.15</v>
      </c>
      <c r="V486" s="75"/>
      <c r="W486" s="75">
        <v>0</v>
      </c>
      <c r="X486" s="1122">
        <v>0</v>
      </c>
      <c r="Y486" s="75">
        <v>124481.15</v>
      </c>
      <c r="Z486" s="75">
        <v>0</v>
      </c>
      <c r="AA486" s="1122">
        <v>0</v>
      </c>
      <c r="AB486" s="75">
        <v>124481.15</v>
      </c>
      <c r="AC486" s="75">
        <v>0</v>
      </c>
      <c r="AD486" s="1122">
        <v>0</v>
      </c>
      <c r="AE486" s="75">
        <v>124481.15</v>
      </c>
      <c r="AF486" s="75">
        <v>0</v>
      </c>
      <c r="AG486" s="1122">
        <v>0</v>
      </c>
      <c r="AH486" s="505">
        <f t="shared" si="69"/>
        <v>497924.6</v>
      </c>
      <c r="AI486" s="132"/>
      <c r="AJ486" s="75">
        <f t="shared" si="68"/>
        <v>0</v>
      </c>
      <c r="AK486" s="75"/>
      <c r="AL486" s="75"/>
      <c r="AM486" s="75"/>
      <c r="AN486" s="64" t="s">
        <v>39</v>
      </c>
      <c r="AO486" s="100"/>
      <c r="AP486" s="100"/>
      <c r="AQ486" s="993"/>
      <c r="AR486" s="104"/>
      <c r="AS486" s="1095"/>
      <c r="AT486" s="100"/>
      <c r="AU486" s="964"/>
      <c r="AV486" s="1065"/>
      <c r="AW486" s="65" t="s">
        <v>2824</v>
      </c>
    </row>
    <row r="487" spans="1:49" ht="48" hidden="1" customHeight="1" outlineLevel="4" x14ac:dyDescent="0.25">
      <c r="A487" s="63" t="str">
        <f t="shared" si="63"/>
        <v>1.3.1.9.26.61</v>
      </c>
      <c r="B487" s="64">
        <v>1</v>
      </c>
      <c r="C487" s="64">
        <v>3</v>
      </c>
      <c r="D487" s="64">
        <v>1</v>
      </c>
      <c r="E487" s="64">
        <v>9</v>
      </c>
      <c r="F487" s="64">
        <v>26</v>
      </c>
      <c r="G487" s="64">
        <v>61</v>
      </c>
      <c r="H487" s="65"/>
      <c r="I487" s="65"/>
      <c r="J487" s="65"/>
      <c r="K487" s="125" t="s">
        <v>528</v>
      </c>
      <c r="L487" s="64" t="s">
        <v>72</v>
      </c>
      <c r="M487" s="64" t="s">
        <v>73</v>
      </c>
      <c r="N487" s="64" t="s">
        <v>516</v>
      </c>
      <c r="O487" s="64" t="s">
        <v>367</v>
      </c>
      <c r="P487" s="69">
        <v>44930</v>
      </c>
      <c r="Q487" s="69">
        <v>45291</v>
      </c>
      <c r="R487" s="171">
        <f t="shared" si="71"/>
        <v>0</v>
      </c>
      <c r="S487" s="123"/>
      <c r="T487" s="194"/>
      <c r="U487" s="75">
        <v>124481.15</v>
      </c>
      <c r="V487" s="75"/>
      <c r="W487" s="75">
        <v>0</v>
      </c>
      <c r="X487" s="1122">
        <v>0</v>
      </c>
      <c r="Y487" s="75">
        <v>124481.15</v>
      </c>
      <c r="Z487" s="75">
        <v>0</v>
      </c>
      <c r="AA487" s="1122">
        <v>0</v>
      </c>
      <c r="AB487" s="75">
        <v>124481.15</v>
      </c>
      <c r="AC487" s="75">
        <v>0</v>
      </c>
      <c r="AD487" s="1122">
        <v>0</v>
      </c>
      <c r="AE487" s="75">
        <v>124481.15</v>
      </c>
      <c r="AF487" s="75">
        <v>0</v>
      </c>
      <c r="AG487" s="1122">
        <v>0</v>
      </c>
      <c r="AH487" s="505">
        <f t="shared" si="69"/>
        <v>497924.6</v>
      </c>
      <c r="AI487" s="132"/>
      <c r="AJ487" s="75">
        <f t="shared" si="68"/>
        <v>0</v>
      </c>
      <c r="AK487" s="75"/>
      <c r="AL487" s="75"/>
      <c r="AM487" s="75"/>
      <c r="AN487" s="64" t="s">
        <v>39</v>
      </c>
      <c r="AO487" s="100"/>
      <c r="AP487" s="100"/>
      <c r="AQ487" s="993"/>
      <c r="AR487" s="104"/>
      <c r="AS487" s="1095"/>
      <c r="AT487" s="100"/>
      <c r="AU487" s="964"/>
      <c r="AV487" s="1065"/>
      <c r="AW487" s="65" t="s">
        <v>2823</v>
      </c>
    </row>
    <row r="488" spans="1:49" ht="48" hidden="1" customHeight="1" outlineLevel="4" x14ac:dyDescent="0.25">
      <c r="A488" s="63" t="str">
        <f t="shared" si="63"/>
        <v>1.3.1.9.26.62</v>
      </c>
      <c r="B488" s="64">
        <v>1</v>
      </c>
      <c r="C488" s="64">
        <v>3</v>
      </c>
      <c r="D488" s="64">
        <v>1</v>
      </c>
      <c r="E488" s="64">
        <v>9</v>
      </c>
      <c r="F488" s="64">
        <v>26</v>
      </c>
      <c r="G488" s="64">
        <v>62</v>
      </c>
      <c r="H488" s="65"/>
      <c r="I488" s="65"/>
      <c r="J488" s="65"/>
      <c r="K488" s="125" t="s">
        <v>1743</v>
      </c>
      <c r="L488" s="64" t="s">
        <v>72</v>
      </c>
      <c r="M488" s="64" t="s">
        <v>73</v>
      </c>
      <c r="N488" s="64" t="s">
        <v>516</v>
      </c>
      <c r="O488" s="64" t="s">
        <v>367</v>
      </c>
      <c r="P488" s="69">
        <v>44930</v>
      </c>
      <c r="Q488" s="69">
        <v>45291</v>
      </c>
      <c r="R488" s="171">
        <f t="shared" si="71"/>
        <v>0</v>
      </c>
      <c r="S488" s="123"/>
      <c r="T488" s="194"/>
      <c r="U488" s="75">
        <v>124481.15</v>
      </c>
      <c r="V488" s="75"/>
      <c r="W488" s="75">
        <v>0</v>
      </c>
      <c r="X488" s="1122">
        <v>0</v>
      </c>
      <c r="Y488" s="75">
        <v>124481.15</v>
      </c>
      <c r="Z488" s="75">
        <v>0</v>
      </c>
      <c r="AA488" s="1122">
        <v>0</v>
      </c>
      <c r="AB488" s="75">
        <v>124481.15</v>
      </c>
      <c r="AC488" s="75">
        <v>0</v>
      </c>
      <c r="AD488" s="1122">
        <v>0</v>
      </c>
      <c r="AE488" s="75">
        <v>124481.15</v>
      </c>
      <c r="AF488" s="75">
        <v>0</v>
      </c>
      <c r="AG488" s="1122">
        <v>0</v>
      </c>
      <c r="AH488" s="505">
        <f t="shared" si="69"/>
        <v>497924.6</v>
      </c>
      <c r="AI488" s="132"/>
      <c r="AJ488" s="75">
        <f t="shared" si="68"/>
        <v>0</v>
      </c>
      <c r="AK488" s="75"/>
      <c r="AL488" s="75"/>
      <c r="AM488" s="75"/>
      <c r="AN488" s="64" t="s">
        <v>39</v>
      </c>
      <c r="AO488" s="100"/>
      <c r="AP488" s="100"/>
      <c r="AQ488" s="993"/>
      <c r="AR488" s="104"/>
      <c r="AS488" s="1095"/>
      <c r="AT488" s="100"/>
      <c r="AU488" s="964"/>
      <c r="AV488" s="1065"/>
      <c r="AW488" s="65" t="s">
        <v>2823</v>
      </c>
    </row>
    <row r="489" spans="1:49" ht="48" hidden="1" customHeight="1" outlineLevel="4" x14ac:dyDescent="0.25">
      <c r="A489" s="63" t="str">
        <f t="shared" si="63"/>
        <v>1.3.1.9.26.63</v>
      </c>
      <c r="B489" s="64">
        <v>1</v>
      </c>
      <c r="C489" s="64">
        <v>3</v>
      </c>
      <c r="D489" s="64">
        <v>1</v>
      </c>
      <c r="E489" s="64">
        <v>9</v>
      </c>
      <c r="F489" s="64">
        <v>26</v>
      </c>
      <c r="G489" s="64">
        <v>63</v>
      </c>
      <c r="H489" s="65"/>
      <c r="I489" s="65"/>
      <c r="J489" s="65"/>
      <c r="K489" s="125" t="s">
        <v>529</v>
      </c>
      <c r="L489" s="64" t="s">
        <v>72</v>
      </c>
      <c r="M489" s="64" t="s">
        <v>73</v>
      </c>
      <c r="N489" s="64" t="s">
        <v>516</v>
      </c>
      <c r="O489" s="64" t="s">
        <v>367</v>
      </c>
      <c r="P489" s="69">
        <v>44930</v>
      </c>
      <c r="Q489" s="69">
        <v>45291</v>
      </c>
      <c r="R489" s="171">
        <f t="shared" si="71"/>
        <v>0</v>
      </c>
      <c r="S489" s="123"/>
      <c r="T489" s="194"/>
      <c r="U489" s="75">
        <v>124481.15</v>
      </c>
      <c r="V489" s="75"/>
      <c r="W489" s="75">
        <v>0</v>
      </c>
      <c r="X489" s="1122">
        <v>0</v>
      </c>
      <c r="Y489" s="75">
        <v>124481.15</v>
      </c>
      <c r="Z489" s="75">
        <v>0</v>
      </c>
      <c r="AA489" s="1122">
        <v>0</v>
      </c>
      <c r="AB489" s="75">
        <v>124481.15</v>
      </c>
      <c r="AC489" s="75">
        <v>0</v>
      </c>
      <c r="AD489" s="1122">
        <v>0</v>
      </c>
      <c r="AE489" s="75">
        <v>124481.15</v>
      </c>
      <c r="AF489" s="75">
        <v>0</v>
      </c>
      <c r="AG489" s="1122">
        <v>0</v>
      </c>
      <c r="AH489" s="505">
        <f t="shared" si="69"/>
        <v>497924.6</v>
      </c>
      <c r="AI489" s="132"/>
      <c r="AJ489" s="75">
        <f t="shared" si="68"/>
        <v>0</v>
      </c>
      <c r="AK489" s="75"/>
      <c r="AL489" s="75"/>
      <c r="AM489" s="75"/>
      <c r="AN489" s="64" t="s">
        <v>39</v>
      </c>
      <c r="AO489" s="100"/>
      <c r="AP489" s="100"/>
      <c r="AQ489" s="993"/>
      <c r="AR489" s="104"/>
      <c r="AS489" s="1095"/>
      <c r="AT489" s="100"/>
      <c r="AU489" s="964"/>
      <c r="AV489" s="1065"/>
      <c r="AW489" s="65" t="s">
        <v>2823</v>
      </c>
    </row>
    <row r="490" spans="1:49" ht="48" hidden="1" customHeight="1" outlineLevel="4" x14ac:dyDescent="0.25">
      <c r="A490" s="63" t="str">
        <f t="shared" si="63"/>
        <v>1.3.1.9.26.64</v>
      </c>
      <c r="B490" s="64">
        <v>1</v>
      </c>
      <c r="C490" s="64">
        <v>3</v>
      </c>
      <c r="D490" s="64">
        <v>1</v>
      </c>
      <c r="E490" s="64">
        <v>9</v>
      </c>
      <c r="F490" s="64">
        <v>26</v>
      </c>
      <c r="G490" s="64">
        <v>64</v>
      </c>
      <c r="H490" s="65"/>
      <c r="I490" s="65"/>
      <c r="J490" s="65"/>
      <c r="K490" s="125" t="s">
        <v>530</v>
      </c>
      <c r="L490" s="64" t="s">
        <v>72</v>
      </c>
      <c r="M490" s="64" t="s">
        <v>73</v>
      </c>
      <c r="N490" s="64" t="s">
        <v>516</v>
      </c>
      <c r="O490" s="64" t="s">
        <v>367</v>
      </c>
      <c r="P490" s="69">
        <v>44930</v>
      </c>
      <c r="Q490" s="69">
        <v>45291</v>
      </c>
      <c r="R490" s="171">
        <f t="shared" si="71"/>
        <v>0</v>
      </c>
      <c r="S490" s="123"/>
      <c r="T490" s="194"/>
      <c r="U490" s="75">
        <v>124481.15</v>
      </c>
      <c r="V490" s="75"/>
      <c r="W490" s="75">
        <v>0</v>
      </c>
      <c r="X490" s="1122">
        <v>0</v>
      </c>
      <c r="Y490" s="75">
        <v>124481.15</v>
      </c>
      <c r="Z490" s="75">
        <v>0</v>
      </c>
      <c r="AA490" s="1122">
        <v>0</v>
      </c>
      <c r="AB490" s="75">
        <v>124481.15</v>
      </c>
      <c r="AC490" s="75">
        <v>0</v>
      </c>
      <c r="AD490" s="1122">
        <v>0</v>
      </c>
      <c r="AE490" s="75">
        <v>124481.15</v>
      </c>
      <c r="AF490" s="75">
        <v>0</v>
      </c>
      <c r="AG490" s="1122">
        <v>0</v>
      </c>
      <c r="AH490" s="505">
        <f t="shared" si="69"/>
        <v>497924.6</v>
      </c>
      <c r="AI490" s="132"/>
      <c r="AJ490" s="75">
        <f t="shared" si="68"/>
        <v>0</v>
      </c>
      <c r="AK490" s="75"/>
      <c r="AL490" s="75"/>
      <c r="AM490" s="75"/>
      <c r="AN490" s="64" t="s">
        <v>39</v>
      </c>
      <c r="AO490" s="100"/>
      <c r="AP490" s="100"/>
      <c r="AQ490" s="993"/>
      <c r="AR490" s="104"/>
      <c r="AS490" s="1095"/>
      <c r="AT490" s="100"/>
      <c r="AU490" s="964"/>
      <c r="AV490" s="1065"/>
      <c r="AW490" s="65" t="s">
        <v>2823</v>
      </c>
    </row>
    <row r="491" spans="1:49" ht="48" hidden="1" customHeight="1" outlineLevel="4" x14ac:dyDescent="0.25">
      <c r="A491" s="63" t="str">
        <f t="shared" si="63"/>
        <v>1.3.1.9.27.58</v>
      </c>
      <c r="B491" s="64">
        <v>1</v>
      </c>
      <c r="C491" s="64">
        <v>3</v>
      </c>
      <c r="D491" s="64">
        <v>1</v>
      </c>
      <c r="E491" s="64">
        <v>9</v>
      </c>
      <c r="F491" s="64">
        <v>27</v>
      </c>
      <c r="G491" s="64">
        <v>58</v>
      </c>
      <c r="H491" s="65"/>
      <c r="I491" s="65"/>
      <c r="J491" s="65"/>
      <c r="K491" s="67" t="s">
        <v>1857</v>
      </c>
      <c r="L491" s="64" t="s">
        <v>72</v>
      </c>
      <c r="M491" s="64" t="s">
        <v>73</v>
      </c>
      <c r="N491" s="64" t="s">
        <v>74</v>
      </c>
      <c r="O491" s="64" t="s">
        <v>367</v>
      </c>
      <c r="P491" s="69">
        <v>44571</v>
      </c>
      <c r="Q491" s="69">
        <v>44742</v>
      </c>
      <c r="R491" s="171">
        <v>1</v>
      </c>
      <c r="S491" s="170"/>
      <c r="T491" s="1188">
        <v>1</v>
      </c>
      <c r="U491" s="75">
        <v>0</v>
      </c>
      <c r="V491" s="75"/>
      <c r="W491" s="75">
        <v>0</v>
      </c>
      <c r="X491" s="1122">
        <v>0</v>
      </c>
      <c r="Y491" s="75">
        <v>0</v>
      </c>
      <c r="Z491" s="75">
        <v>0</v>
      </c>
      <c r="AA491" s="1122">
        <v>0</v>
      </c>
      <c r="AB491" s="75">
        <v>0</v>
      </c>
      <c r="AC491" s="75">
        <v>0</v>
      </c>
      <c r="AD491" s="1122">
        <v>0</v>
      </c>
      <c r="AE491" s="75">
        <v>0</v>
      </c>
      <c r="AF491" s="75">
        <v>0</v>
      </c>
      <c r="AG491" s="1122">
        <v>0</v>
      </c>
      <c r="AH491" s="505">
        <f t="shared" si="69"/>
        <v>0</v>
      </c>
      <c r="AI491" s="132"/>
      <c r="AJ491" s="75">
        <f t="shared" si="68"/>
        <v>0</v>
      </c>
      <c r="AK491" s="75"/>
      <c r="AL491" s="75"/>
      <c r="AM491" s="75"/>
      <c r="AN491" s="64" t="s">
        <v>39</v>
      </c>
      <c r="AO491" s="64"/>
      <c r="AP491" s="64"/>
      <c r="AQ491" s="189"/>
      <c r="AR491" s="64"/>
      <c r="AS491" s="476"/>
      <c r="AT491" s="64"/>
      <c r="AU491" s="646"/>
      <c r="AV491" s="353" t="s">
        <v>531</v>
      </c>
      <c r="AW491" s="185" t="s">
        <v>532</v>
      </c>
    </row>
    <row r="492" spans="1:49" ht="48" hidden="1" customHeight="1" outlineLevel="4" x14ac:dyDescent="0.25">
      <c r="A492" s="63" t="str">
        <f t="shared" si="63"/>
        <v>1.3.1.9.27.59</v>
      </c>
      <c r="B492" s="64">
        <v>1</v>
      </c>
      <c r="C492" s="64">
        <v>3</v>
      </c>
      <c r="D492" s="64">
        <v>1</v>
      </c>
      <c r="E492" s="64">
        <v>9</v>
      </c>
      <c r="F492" s="64">
        <v>27</v>
      </c>
      <c r="G492" s="64">
        <v>59</v>
      </c>
      <c r="H492" s="65"/>
      <c r="I492" s="65"/>
      <c r="J492" s="65"/>
      <c r="K492" s="65" t="s">
        <v>1858</v>
      </c>
      <c r="L492" s="64" t="s">
        <v>72</v>
      </c>
      <c r="M492" s="64" t="s">
        <v>73</v>
      </c>
      <c r="N492" s="64" t="s">
        <v>74</v>
      </c>
      <c r="O492" s="64" t="s">
        <v>367</v>
      </c>
      <c r="P492" s="69">
        <v>44571</v>
      </c>
      <c r="Q492" s="69">
        <v>44742</v>
      </c>
      <c r="R492" s="171">
        <v>1</v>
      </c>
      <c r="S492" s="170"/>
      <c r="T492" s="1188"/>
      <c r="U492" s="75">
        <v>0</v>
      </c>
      <c r="V492" s="75"/>
      <c r="W492" s="75">
        <v>0</v>
      </c>
      <c r="X492" s="1122">
        <v>0</v>
      </c>
      <c r="Y492" s="75">
        <v>0</v>
      </c>
      <c r="Z492" s="75">
        <v>0</v>
      </c>
      <c r="AA492" s="1122">
        <v>0</v>
      </c>
      <c r="AB492" s="75">
        <v>0</v>
      </c>
      <c r="AC492" s="75">
        <v>0</v>
      </c>
      <c r="AD492" s="1122">
        <v>0</v>
      </c>
      <c r="AE492" s="75">
        <v>0</v>
      </c>
      <c r="AF492" s="75">
        <v>0</v>
      </c>
      <c r="AG492" s="1122">
        <v>0</v>
      </c>
      <c r="AH492" s="505">
        <f t="shared" si="69"/>
        <v>0</v>
      </c>
      <c r="AI492" s="132"/>
      <c r="AJ492" s="75">
        <f t="shared" si="68"/>
        <v>0</v>
      </c>
      <c r="AK492" s="75"/>
      <c r="AL492" s="75"/>
      <c r="AM492" s="75"/>
      <c r="AN492" s="64" t="s">
        <v>39</v>
      </c>
      <c r="AO492" s="64"/>
      <c r="AP492" s="64"/>
      <c r="AQ492" s="189"/>
      <c r="AR492" s="64"/>
      <c r="AS492" s="476"/>
      <c r="AT492" s="64"/>
      <c r="AU492" s="646"/>
      <c r="AV492" s="353"/>
      <c r="AW492" s="185" t="s">
        <v>532</v>
      </c>
    </row>
    <row r="493" spans="1:49" ht="48" hidden="1" customHeight="1" outlineLevel="4" x14ac:dyDescent="0.25">
      <c r="A493" s="63" t="str">
        <f t="shared" si="63"/>
        <v>1.3.1.9.27.60</v>
      </c>
      <c r="B493" s="64">
        <v>1</v>
      </c>
      <c r="C493" s="64">
        <v>3</v>
      </c>
      <c r="D493" s="64">
        <v>1</v>
      </c>
      <c r="E493" s="64">
        <v>9</v>
      </c>
      <c r="F493" s="64">
        <v>27</v>
      </c>
      <c r="G493" s="64">
        <v>60</v>
      </c>
      <c r="H493" s="65"/>
      <c r="I493" s="65"/>
      <c r="J493" s="65"/>
      <c r="K493" s="65" t="s">
        <v>1859</v>
      </c>
      <c r="L493" s="64" t="s">
        <v>72</v>
      </c>
      <c r="M493" s="64" t="s">
        <v>73</v>
      </c>
      <c r="N493" s="64" t="s">
        <v>74</v>
      </c>
      <c r="O493" s="64" t="s">
        <v>367</v>
      </c>
      <c r="P493" s="69">
        <v>44571</v>
      </c>
      <c r="Q493" s="69">
        <v>44742</v>
      </c>
      <c r="R493" s="171">
        <v>1</v>
      </c>
      <c r="S493" s="170"/>
      <c r="T493" s="1188"/>
      <c r="U493" s="75">
        <v>0</v>
      </c>
      <c r="V493" s="75"/>
      <c r="W493" s="75">
        <v>0</v>
      </c>
      <c r="X493" s="1122">
        <v>0</v>
      </c>
      <c r="Y493" s="75">
        <v>0</v>
      </c>
      <c r="Z493" s="75">
        <v>0</v>
      </c>
      <c r="AA493" s="1122">
        <v>0</v>
      </c>
      <c r="AB493" s="75">
        <v>0</v>
      </c>
      <c r="AC493" s="75">
        <v>0</v>
      </c>
      <c r="AD493" s="1122">
        <v>0</v>
      </c>
      <c r="AE493" s="75">
        <v>0</v>
      </c>
      <c r="AF493" s="75">
        <v>0</v>
      </c>
      <c r="AG493" s="1122">
        <v>0</v>
      </c>
      <c r="AH493" s="505">
        <f t="shared" si="69"/>
        <v>0</v>
      </c>
      <c r="AI493" s="132"/>
      <c r="AJ493" s="75">
        <f t="shared" si="68"/>
        <v>0</v>
      </c>
      <c r="AK493" s="75"/>
      <c r="AL493" s="75"/>
      <c r="AM493" s="75"/>
      <c r="AN493" s="64" t="s">
        <v>39</v>
      </c>
      <c r="AO493" s="64"/>
      <c r="AP493" s="64"/>
      <c r="AQ493" s="189"/>
      <c r="AR493" s="64"/>
      <c r="AS493" s="476"/>
      <c r="AT493" s="64"/>
      <c r="AU493" s="646"/>
      <c r="AV493" s="353"/>
      <c r="AW493" s="185" t="s">
        <v>532</v>
      </c>
    </row>
    <row r="494" spans="1:49" ht="48" hidden="1" customHeight="1" outlineLevel="4" x14ac:dyDescent="0.25">
      <c r="A494" s="63" t="str">
        <f t="shared" si="63"/>
        <v>1.3.1.9.27.61</v>
      </c>
      <c r="B494" s="64">
        <v>1</v>
      </c>
      <c r="C494" s="64">
        <v>3</v>
      </c>
      <c r="D494" s="64">
        <v>1</v>
      </c>
      <c r="E494" s="64">
        <v>9</v>
      </c>
      <c r="F494" s="64">
        <v>27</v>
      </c>
      <c r="G494" s="64">
        <v>61</v>
      </c>
      <c r="H494" s="65"/>
      <c r="I494" s="65"/>
      <c r="J494" s="65"/>
      <c r="K494" s="65" t="s">
        <v>1860</v>
      </c>
      <c r="L494" s="64" t="s">
        <v>72</v>
      </c>
      <c r="M494" s="64" t="s">
        <v>73</v>
      </c>
      <c r="N494" s="64" t="s">
        <v>74</v>
      </c>
      <c r="O494" s="64" t="s">
        <v>367</v>
      </c>
      <c r="P494" s="69">
        <v>44571</v>
      </c>
      <c r="Q494" s="69">
        <v>44742</v>
      </c>
      <c r="R494" s="171">
        <v>1</v>
      </c>
      <c r="S494" s="170"/>
      <c r="T494" s="1188"/>
      <c r="U494" s="75">
        <v>0</v>
      </c>
      <c r="V494" s="75"/>
      <c r="W494" s="75">
        <v>0</v>
      </c>
      <c r="X494" s="1122">
        <v>0</v>
      </c>
      <c r="Y494" s="75">
        <v>0</v>
      </c>
      <c r="Z494" s="75">
        <v>0</v>
      </c>
      <c r="AA494" s="1122">
        <v>0</v>
      </c>
      <c r="AB494" s="75">
        <v>0</v>
      </c>
      <c r="AC494" s="75">
        <v>0</v>
      </c>
      <c r="AD494" s="1122">
        <v>0</v>
      </c>
      <c r="AE494" s="75">
        <v>0</v>
      </c>
      <c r="AF494" s="75">
        <v>0</v>
      </c>
      <c r="AG494" s="1122">
        <v>0</v>
      </c>
      <c r="AH494" s="505">
        <f t="shared" si="69"/>
        <v>0</v>
      </c>
      <c r="AI494" s="132"/>
      <c r="AJ494" s="75">
        <f t="shared" si="68"/>
        <v>0</v>
      </c>
      <c r="AK494" s="75"/>
      <c r="AL494" s="75"/>
      <c r="AM494" s="75"/>
      <c r="AN494" s="64" t="s">
        <v>39</v>
      </c>
      <c r="AO494" s="64"/>
      <c r="AP494" s="64"/>
      <c r="AQ494" s="189"/>
      <c r="AR494" s="64"/>
      <c r="AS494" s="476"/>
      <c r="AT494" s="64"/>
      <c r="AU494" s="646"/>
      <c r="AV494" s="353"/>
      <c r="AW494" s="185" t="s">
        <v>532</v>
      </c>
    </row>
    <row r="495" spans="1:49" ht="48" hidden="1" customHeight="1" outlineLevel="4" x14ac:dyDescent="0.25">
      <c r="A495" s="63" t="str">
        <f t="shared" si="63"/>
        <v>1.3.1.9.27.62</v>
      </c>
      <c r="B495" s="64">
        <v>1</v>
      </c>
      <c r="C495" s="64">
        <v>3</v>
      </c>
      <c r="D495" s="64">
        <v>1</v>
      </c>
      <c r="E495" s="64">
        <v>9</v>
      </c>
      <c r="F495" s="64">
        <v>27</v>
      </c>
      <c r="G495" s="64">
        <v>62</v>
      </c>
      <c r="H495" s="65"/>
      <c r="I495" s="65"/>
      <c r="J495" s="65"/>
      <c r="K495" s="65" t="s">
        <v>1861</v>
      </c>
      <c r="L495" s="64" t="s">
        <v>72</v>
      </c>
      <c r="M495" s="64" t="s">
        <v>73</v>
      </c>
      <c r="N495" s="64" t="s">
        <v>74</v>
      </c>
      <c r="O495" s="64" t="s">
        <v>367</v>
      </c>
      <c r="P495" s="69">
        <v>44571</v>
      </c>
      <c r="Q495" s="69">
        <v>44742</v>
      </c>
      <c r="R495" s="171">
        <v>1</v>
      </c>
      <c r="S495" s="170"/>
      <c r="T495" s="1188"/>
      <c r="U495" s="75">
        <v>0</v>
      </c>
      <c r="V495" s="75"/>
      <c r="W495" s="75">
        <v>0</v>
      </c>
      <c r="X495" s="1122">
        <v>0</v>
      </c>
      <c r="Y495" s="75">
        <v>0</v>
      </c>
      <c r="Z495" s="75">
        <v>0</v>
      </c>
      <c r="AA495" s="1122">
        <v>0</v>
      </c>
      <c r="AB495" s="75">
        <v>0</v>
      </c>
      <c r="AC495" s="75">
        <v>0</v>
      </c>
      <c r="AD495" s="1122">
        <v>0</v>
      </c>
      <c r="AE495" s="75">
        <v>0</v>
      </c>
      <c r="AF495" s="75">
        <v>0</v>
      </c>
      <c r="AG495" s="1122">
        <v>0</v>
      </c>
      <c r="AH495" s="505">
        <f t="shared" si="69"/>
        <v>0</v>
      </c>
      <c r="AI495" s="132"/>
      <c r="AJ495" s="75">
        <f t="shared" si="68"/>
        <v>0</v>
      </c>
      <c r="AK495" s="75"/>
      <c r="AL495" s="75"/>
      <c r="AM495" s="75"/>
      <c r="AN495" s="64" t="s">
        <v>39</v>
      </c>
      <c r="AO495" s="64"/>
      <c r="AP495" s="64"/>
      <c r="AQ495" s="189"/>
      <c r="AR495" s="64"/>
      <c r="AS495" s="476"/>
      <c r="AT495" s="64"/>
      <c r="AU495" s="646"/>
      <c r="AV495" s="353"/>
      <c r="AW495" s="185" t="s">
        <v>532</v>
      </c>
    </row>
    <row r="496" spans="1:49" ht="48" hidden="1" customHeight="1" outlineLevel="4" x14ac:dyDescent="0.25">
      <c r="A496" s="63" t="str">
        <f t="shared" si="63"/>
        <v>1.3.1.9.27.63</v>
      </c>
      <c r="B496" s="64">
        <v>1</v>
      </c>
      <c r="C496" s="64">
        <v>3</v>
      </c>
      <c r="D496" s="64">
        <v>1</v>
      </c>
      <c r="E496" s="64">
        <v>9</v>
      </c>
      <c r="F496" s="64">
        <v>27</v>
      </c>
      <c r="G496" s="64">
        <v>63</v>
      </c>
      <c r="H496" s="65"/>
      <c r="I496" s="65"/>
      <c r="J496" s="65"/>
      <c r="K496" s="65" t="s">
        <v>1862</v>
      </c>
      <c r="L496" s="64" t="s">
        <v>72</v>
      </c>
      <c r="M496" s="64" t="s">
        <v>73</v>
      </c>
      <c r="N496" s="64" t="s">
        <v>74</v>
      </c>
      <c r="O496" s="64" t="s">
        <v>367</v>
      </c>
      <c r="P496" s="69">
        <v>44571</v>
      </c>
      <c r="Q496" s="69">
        <v>44742</v>
      </c>
      <c r="R496" s="171">
        <v>1</v>
      </c>
      <c r="S496" s="170"/>
      <c r="T496" s="1188"/>
      <c r="U496" s="75">
        <v>0</v>
      </c>
      <c r="V496" s="75"/>
      <c r="W496" s="75">
        <v>0</v>
      </c>
      <c r="X496" s="1122">
        <v>0</v>
      </c>
      <c r="Y496" s="75">
        <v>0</v>
      </c>
      <c r="Z496" s="75">
        <v>0</v>
      </c>
      <c r="AA496" s="1122">
        <v>0</v>
      </c>
      <c r="AB496" s="75">
        <v>0</v>
      </c>
      <c r="AC496" s="75">
        <v>0</v>
      </c>
      <c r="AD496" s="1122">
        <v>0</v>
      </c>
      <c r="AE496" s="75">
        <v>0</v>
      </c>
      <c r="AF496" s="75">
        <v>0</v>
      </c>
      <c r="AG496" s="1122">
        <v>0</v>
      </c>
      <c r="AH496" s="505">
        <f t="shared" si="69"/>
        <v>0</v>
      </c>
      <c r="AI496" s="132"/>
      <c r="AJ496" s="75">
        <f t="shared" si="68"/>
        <v>0</v>
      </c>
      <c r="AK496" s="75"/>
      <c r="AL496" s="75"/>
      <c r="AM496" s="75"/>
      <c r="AN496" s="64" t="s">
        <v>39</v>
      </c>
      <c r="AO496" s="64"/>
      <c r="AP496" s="64"/>
      <c r="AQ496" s="189"/>
      <c r="AR496" s="64"/>
      <c r="AS496" s="476"/>
      <c r="AT496" s="64"/>
      <c r="AU496" s="646"/>
      <c r="AV496" s="353"/>
      <c r="AW496" s="185" t="s">
        <v>532</v>
      </c>
    </row>
    <row r="497" spans="1:49" ht="48" hidden="1" customHeight="1" outlineLevel="4" x14ac:dyDescent="0.25">
      <c r="A497" s="63" t="str">
        <f t="shared" si="63"/>
        <v>1.3.1.9.27.64</v>
      </c>
      <c r="B497" s="64">
        <v>1</v>
      </c>
      <c r="C497" s="64">
        <v>3</v>
      </c>
      <c r="D497" s="64">
        <v>1</v>
      </c>
      <c r="E497" s="64">
        <v>9</v>
      </c>
      <c r="F497" s="64">
        <v>27</v>
      </c>
      <c r="G497" s="64">
        <v>64</v>
      </c>
      <c r="H497" s="65"/>
      <c r="I497" s="65"/>
      <c r="J497" s="65"/>
      <c r="K497" s="65" t="s">
        <v>1863</v>
      </c>
      <c r="L497" s="64" t="s">
        <v>72</v>
      </c>
      <c r="M497" s="64" t="s">
        <v>73</v>
      </c>
      <c r="N497" s="64" t="s">
        <v>74</v>
      </c>
      <c r="O497" s="64" t="s">
        <v>367</v>
      </c>
      <c r="P497" s="69">
        <v>44571</v>
      </c>
      <c r="Q497" s="69">
        <v>44742</v>
      </c>
      <c r="R497" s="171">
        <v>1</v>
      </c>
      <c r="S497" s="170"/>
      <c r="T497" s="1188"/>
      <c r="U497" s="75">
        <v>0</v>
      </c>
      <c r="V497" s="75"/>
      <c r="W497" s="75">
        <v>0</v>
      </c>
      <c r="X497" s="1122">
        <v>0</v>
      </c>
      <c r="Y497" s="75">
        <v>0</v>
      </c>
      <c r="Z497" s="75">
        <v>0</v>
      </c>
      <c r="AA497" s="1122">
        <v>0</v>
      </c>
      <c r="AB497" s="75">
        <v>0</v>
      </c>
      <c r="AC497" s="75">
        <v>0</v>
      </c>
      <c r="AD497" s="1122">
        <v>0</v>
      </c>
      <c r="AE497" s="75">
        <v>0</v>
      </c>
      <c r="AF497" s="75">
        <v>0</v>
      </c>
      <c r="AG497" s="1122">
        <v>0</v>
      </c>
      <c r="AH497" s="505">
        <f t="shared" si="69"/>
        <v>0</v>
      </c>
      <c r="AI497" s="132"/>
      <c r="AJ497" s="75">
        <f t="shared" si="68"/>
        <v>0</v>
      </c>
      <c r="AK497" s="75"/>
      <c r="AL497" s="75"/>
      <c r="AM497" s="75"/>
      <c r="AN497" s="64" t="s">
        <v>39</v>
      </c>
      <c r="AO497" s="64"/>
      <c r="AP497" s="64"/>
      <c r="AQ497" s="189"/>
      <c r="AR497" s="64"/>
      <c r="AS497" s="476"/>
      <c r="AT497" s="64"/>
      <c r="AU497" s="646"/>
      <c r="AV497" s="353"/>
      <c r="AW497" s="185" t="s">
        <v>532</v>
      </c>
    </row>
    <row r="498" spans="1:49" ht="48" hidden="1" customHeight="1" outlineLevel="4" x14ac:dyDescent="0.25">
      <c r="A498" s="63" t="str">
        <f>CONCATENATE(B498,".",C498,".",D498,".",E498,".",F498,".",G498)</f>
        <v>1.3.0.9.28.58</v>
      </c>
      <c r="B498" s="64">
        <v>1</v>
      </c>
      <c r="C498" s="64">
        <v>3</v>
      </c>
      <c r="D498" s="64">
        <v>0</v>
      </c>
      <c r="E498" s="64">
        <v>9</v>
      </c>
      <c r="F498" s="64">
        <v>28</v>
      </c>
      <c r="G498" s="100">
        <v>58</v>
      </c>
      <c r="H498" s="65"/>
      <c r="I498" s="65"/>
      <c r="J498" s="65"/>
      <c r="K498" s="67" t="s">
        <v>533</v>
      </c>
      <c r="L498" s="64" t="s">
        <v>359</v>
      </c>
      <c r="M498" s="64" t="s">
        <v>73</v>
      </c>
      <c r="N498" s="64" t="s">
        <v>226</v>
      </c>
      <c r="O498" s="64" t="s">
        <v>361</v>
      </c>
      <c r="P498" s="69">
        <v>45045</v>
      </c>
      <c r="Q498" s="69">
        <v>45168</v>
      </c>
      <c r="R498" s="124">
        <v>153000</v>
      </c>
      <c r="S498" s="123" t="s">
        <v>535</v>
      </c>
      <c r="T498" s="194">
        <v>0</v>
      </c>
      <c r="U498" s="75">
        <v>0</v>
      </c>
      <c r="V498" s="75"/>
      <c r="W498" s="75">
        <v>0</v>
      </c>
      <c r="X498" s="1122">
        <v>0</v>
      </c>
      <c r="Y498" s="75">
        <v>0</v>
      </c>
      <c r="Z498" s="75">
        <v>0</v>
      </c>
      <c r="AA498" s="1122">
        <v>0</v>
      </c>
      <c r="AB498" s="75">
        <v>0</v>
      </c>
      <c r="AC498" s="75">
        <v>0</v>
      </c>
      <c r="AD498" s="1122">
        <v>0</v>
      </c>
      <c r="AE498" s="75">
        <v>0</v>
      </c>
      <c r="AF498" s="75">
        <v>0</v>
      </c>
      <c r="AG498" s="1122">
        <v>0</v>
      </c>
      <c r="AH498" s="505">
        <f t="shared" si="69"/>
        <v>0</v>
      </c>
      <c r="AI498" s="132"/>
      <c r="AJ498" s="75">
        <f t="shared" si="68"/>
        <v>0</v>
      </c>
      <c r="AK498" s="75"/>
      <c r="AL498" s="75"/>
      <c r="AM498" s="75"/>
      <c r="AN498" s="64" t="s">
        <v>181</v>
      </c>
      <c r="AO498" s="165" t="s">
        <v>1819</v>
      </c>
      <c r="AP498" s="165" t="s">
        <v>2598</v>
      </c>
      <c r="AQ498" s="413" t="s">
        <v>2599</v>
      </c>
      <c r="AR498" s="69">
        <v>45129</v>
      </c>
      <c r="AS498" s="562">
        <v>44764</v>
      </c>
      <c r="AT498" s="64" t="s">
        <v>2029</v>
      </c>
      <c r="AU498" s="877">
        <v>550</v>
      </c>
      <c r="AV498" s="353"/>
      <c r="AW498" s="1274" t="s">
        <v>2600</v>
      </c>
    </row>
    <row r="499" spans="1:49" ht="48" hidden="1" customHeight="1" outlineLevel="4" x14ac:dyDescent="0.25">
      <c r="A499" s="63" t="str">
        <f t="shared" ref="A499:A504" si="72">CONCATENATE(B499,".",C499,".",D499,".",E499,".",F499,".",G499)</f>
        <v>1.3.0.9.28.59</v>
      </c>
      <c r="B499" s="64">
        <v>1</v>
      </c>
      <c r="C499" s="64">
        <v>3</v>
      </c>
      <c r="D499" s="64">
        <v>0</v>
      </c>
      <c r="E499" s="64">
        <v>9</v>
      </c>
      <c r="F499" s="64">
        <v>28</v>
      </c>
      <c r="G499" s="100">
        <v>59</v>
      </c>
      <c r="H499" s="65"/>
      <c r="I499" s="65"/>
      <c r="J499" s="65"/>
      <c r="K499" s="65" t="s">
        <v>536</v>
      </c>
      <c r="L499" s="64" t="s">
        <v>359</v>
      </c>
      <c r="M499" s="64" t="s">
        <v>73</v>
      </c>
      <c r="N499" s="64" t="s">
        <v>226</v>
      </c>
      <c r="O499" s="64" t="s">
        <v>361</v>
      </c>
      <c r="P499" s="69">
        <v>45045</v>
      </c>
      <c r="Q499" s="69">
        <v>45168</v>
      </c>
      <c r="R499" s="124">
        <v>153001</v>
      </c>
      <c r="S499" s="123"/>
      <c r="T499" s="194"/>
      <c r="U499" s="75">
        <v>0</v>
      </c>
      <c r="V499" s="75"/>
      <c r="W499" s="75">
        <v>0</v>
      </c>
      <c r="X499" s="1122">
        <v>0</v>
      </c>
      <c r="Y499" s="75">
        <v>0</v>
      </c>
      <c r="Z499" s="75">
        <v>0</v>
      </c>
      <c r="AA499" s="1122">
        <v>0</v>
      </c>
      <c r="AB499" s="75">
        <v>0</v>
      </c>
      <c r="AC499" s="75">
        <v>0</v>
      </c>
      <c r="AD499" s="1122">
        <v>0</v>
      </c>
      <c r="AE499" s="75">
        <v>0</v>
      </c>
      <c r="AF499" s="75">
        <v>0</v>
      </c>
      <c r="AG499" s="1122">
        <v>0</v>
      </c>
      <c r="AH499" s="505">
        <f t="shared" si="69"/>
        <v>0</v>
      </c>
      <c r="AI499" s="132"/>
      <c r="AJ499" s="75">
        <f t="shared" si="68"/>
        <v>0</v>
      </c>
      <c r="AK499" s="75"/>
      <c r="AL499" s="75"/>
      <c r="AM499" s="75"/>
      <c r="AN499" s="64" t="s">
        <v>181</v>
      </c>
      <c r="AO499" s="165" t="s">
        <v>1819</v>
      </c>
      <c r="AP499" s="165" t="s">
        <v>2598</v>
      </c>
      <c r="AQ499" s="413" t="s">
        <v>2599</v>
      </c>
      <c r="AR499" s="69">
        <v>45129</v>
      </c>
      <c r="AS499" s="562">
        <v>44764</v>
      </c>
      <c r="AT499" s="64" t="s">
        <v>2029</v>
      </c>
      <c r="AU499" s="877">
        <v>550</v>
      </c>
      <c r="AV499" s="353"/>
      <c r="AW499" s="1274"/>
    </row>
    <row r="500" spans="1:49" ht="48" hidden="1" customHeight="1" outlineLevel="4" x14ac:dyDescent="0.25">
      <c r="A500" s="63" t="str">
        <f t="shared" si="72"/>
        <v>1.3.0.9.28.60</v>
      </c>
      <c r="B500" s="64">
        <v>1</v>
      </c>
      <c r="C500" s="64">
        <v>3</v>
      </c>
      <c r="D500" s="64">
        <v>0</v>
      </c>
      <c r="E500" s="64">
        <v>9</v>
      </c>
      <c r="F500" s="64">
        <v>28</v>
      </c>
      <c r="G500" s="100">
        <v>60</v>
      </c>
      <c r="H500" s="65"/>
      <c r="I500" s="65"/>
      <c r="J500" s="65"/>
      <c r="K500" s="65" t="s">
        <v>537</v>
      </c>
      <c r="L500" s="64" t="s">
        <v>359</v>
      </c>
      <c r="M500" s="64" t="s">
        <v>73</v>
      </c>
      <c r="N500" s="64" t="s">
        <v>226</v>
      </c>
      <c r="O500" s="64" t="s">
        <v>361</v>
      </c>
      <c r="P500" s="69">
        <v>45045</v>
      </c>
      <c r="Q500" s="69">
        <v>45168</v>
      </c>
      <c r="R500" s="124">
        <v>153002</v>
      </c>
      <c r="S500" s="123"/>
      <c r="T500" s="194"/>
      <c r="U500" s="75">
        <v>0</v>
      </c>
      <c r="V500" s="75"/>
      <c r="W500" s="75">
        <v>0</v>
      </c>
      <c r="X500" s="1122">
        <v>0</v>
      </c>
      <c r="Y500" s="75">
        <v>0</v>
      </c>
      <c r="Z500" s="75">
        <v>0</v>
      </c>
      <c r="AA500" s="1122">
        <v>0</v>
      </c>
      <c r="AB500" s="75">
        <v>0</v>
      </c>
      <c r="AC500" s="75">
        <v>0</v>
      </c>
      <c r="AD500" s="1122">
        <v>0</v>
      </c>
      <c r="AE500" s="75">
        <v>0</v>
      </c>
      <c r="AF500" s="75">
        <v>0</v>
      </c>
      <c r="AG500" s="1122">
        <v>0</v>
      </c>
      <c r="AH500" s="505">
        <f t="shared" si="69"/>
        <v>0</v>
      </c>
      <c r="AI500" s="132"/>
      <c r="AJ500" s="75">
        <f t="shared" si="68"/>
        <v>0</v>
      </c>
      <c r="AK500" s="75"/>
      <c r="AL500" s="75"/>
      <c r="AM500" s="75"/>
      <c r="AN500" s="64" t="s">
        <v>181</v>
      </c>
      <c r="AO500" s="165" t="s">
        <v>1819</v>
      </c>
      <c r="AP500" s="165" t="s">
        <v>2598</v>
      </c>
      <c r="AQ500" s="413" t="s">
        <v>2599</v>
      </c>
      <c r="AR500" s="69">
        <v>45129</v>
      </c>
      <c r="AS500" s="562">
        <v>44764</v>
      </c>
      <c r="AT500" s="64" t="s">
        <v>2029</v>
      </c>
      <c r="AU500" s="877">
        <v>550</v>
      </c>
      <c r="AV500" s="353"/>
      <c r="AW500" s="1274"/>
    </row>
    <row r="501" spans="1:49" ht="48" hidden="1" customHeight="1" outlineLevel="4" x14ac:dyDescent="0.25">
      <c r="A501" s="63" t="str">
        <f t="shared" si="72"/>
        <v>1.3.0.9.28.61</v>
      </c>
      <c r="B501" s="64">
        <v>1</v>
      </c>
      <c r="C501" s="64">
        <v>3</v>
      </c>
      <c r="D501" s="64">
        <v>0</v>
      </c>
      <c r="E501" s="64">
        <v>9</v>
      </c>
      <c r="F501" s="64">
        <v>28</v>
      </c>
      <c r="G501" s="100">
        <v>61</v>
      </c>
      <c r="H501" s="65"/>
      <c r="I501" s="65"/>
      <c r="J501" s="65"/>
      <c r="K501" s="65" t="s">
        <v>538</v>
      </c>
      <c r="L501" s="64" t="s">
        <v>359</v>
      </c>
      <c r="M501" s="64" t="s">
        <v>73</v>
      </c>
      <c r="N501" s="64" t="s">
        <v>226</v>
      </c>
      <c r="O501" s="64" t="s">
        <v>361</v>
      </c>
      <c r="P501" s="69">
        <v>45045</v>
      </c>
      <c r="Q501" s="69">
        <v>45168</v>
      </c>
      <c r="R501" s="124">
        <v>153003</v>
      </c>
      <c r="S501" s="123"/>
      <c r="T501" s="194"/>
      <c r="U501" s="75">
        <v>0</v>
      </c>
      <c r="V501" s="75"/>
      <c r="W501" s="75">
        <v>0</v>
      </c>
      <c r="X501" s="1122">
        <v>0</v>
      </c>
      <c r="Y501" s="75">
        <v>0</v>
      </c>
      <c r="Z501" s="75">
        <v>0</v>
      </c>
      <c r="AA501" s="1122">
        <v>0</v>
      </c>
      <c r="AB501" s="75">
        <v>0</v>
      </c>
      <c r="AC501" s="75">
        <v>0</v>
      </c>
      <c r="AD501" s="1122">
        <v>0</v>
      </c>
      <c r="AE501" s="75">
        <v>0</v>
      </c>
      <c r="AF501" s="75">
        <v>0</v>
      </c>
      <c r="AG501" s="1122">
        <v>0</v>
      </c>
      <c r="AH501" s="505">
        <f t="shared" si="69"/>
        <v>0</v>
      </c>
      <c r="AI501" s="132"/>
      <c r="AJ501" s="75">
        <f t="shared" si="68"/>
        <v>0</v>
      </c>
      <c r="AK501" s="75"/>
      <c r="AL501" s="75"/>
      <c r="AM501" s="75"/>
      <c r="AN501" s="64" t="s">
        <v>181</v>
      </c>
      <c r="AO501" s="165" t="s">
        <v>1819</v>
      </c>
      <c r="AP501" s="165" t="s">
        <v>2598</v>
      </c>
      <c r="AQ501" s="413" t="s">
        <v>2599</v>
      </c>
      <c r="AR501" s="69">
        <v>45129</v>
      </c>
      <c r="AS501" s="562">
        <v>44764</v>
      </c>
      <c r="AT501" s="64" t="s">
        <v>2029</v>
      </c>
      <c r="AU501" s="877">
        <v>550</v>
      </c>
      <c r="AV501" s="353"/>
      <c r="AW501" s="1274"/>
    </row>
    <row r="502" spans="1:49" ht="48" hidden="1" customHeight="1" outlineLevel="4" x14ac:dyDescent="0.25">
      <c r="A502" s="63" t="str">
        <f t="shared" si="72"/>
        <v>1.3.0.9.28.62</v>
      </c>
      <c r="B502" s="64">
        <v>1</v>
      </c>
      <c r="C502" s="64">
        <v>3</v>
      </c>
      <c r="D502" s="64">
        <v>0</v>
      </c>
      <c r="E502" s="64">
        <v>9</v>
      </c>
      <c r="F502" s="64">
        <v>28</v>
      </c>
      <c r="G502" s="100">
        <v>62</v>
      </c>
      <c r="H502" s="65"/>
      <c r="I502" s="65"/>
      <c r="J502" s="65"/>
      <c r="K502" s="65" t="s">
        <v>1744</v>
      </c>
      <c r="L502" s="64" t="s">
        <v>359</v>
      </c>
      <c r="M502" s="64" t="s">
        <v>73</v>
      </c>
      <c r="N502" s="64" t="s">
        <v>226</v>
      </c>
      <c r="O502" s="64" t="s">
        <v>361</v>
      </c>
      <c r="P502" s="69">
        <v>45045</v>
      </c>
      <c r="Q502" s="69">
        <v>45168</v>
      </c>
      <c r="R502" s="124">
        <v>153004</v>
      </c>
      <c r="S502" s="123"/>
      <c r="T502" s="194"/>
      <c r="U502" s="75">
        <v>0</v>
      </c>
      <c r="V502" s="75"/>
      <c r="W502" s="75">
        <v>0</v>
      </c>
      <c r="X502" s="1122">
        <v>0</v>
      </c>
      <c r="Y502" s="75">
        <v>0</v>
      </c>
      <c r="Z502" s="75">
        <v>0</v>
      </c>
      <c r="AA502" s="1122">
        <v>0</v>
      </c>
      <c r="AB502" s="75">
        <v>0</v>
      </c>
      <c r="AC502" s="75">
        <v>0</v>
      </c>
      <c r="AD502" s="1122">
        <v>0</v>
      </c>
      <c r="AE502" s="75">
        <v>0</v>
      </c>
      <c r="AF502" s="75">
        <v>0</v>
      </c>
      <c r="AG502" s="1122">
        <v>0</v>
      </c>
      <c r="AH502" s="505">
        <f t="shared" si="69"/>
        <v>0</v>
      </c>
      <c r="AI502" s="132"/>
      <c r="AJ502" s="75">
        <f t="shared" si="68"/>
        <v>0</v>
      </c>
      <c r="AK502" s="75"/>
      <c r="AL502" s="75"/>
      <c r="AM502" s="75"/>
      <c r="AN502" s="64" t="s">
        <v>181</v>
      </c>
      <c r="AO502" s="165" t="s">
        <v>1819</v>
      </c>
      <c r="AP502" s="165" t="s">
        <v>2598</v>
      </c>
      <c r="AQ502" s="413" t="s">
        <v>2599</v>
      </c>
      <c r="AR502" s="69">
        <v>45129</v>
      </c>
      <c r="AS502" s="562">
        <v>44764</v>
      </c>
      <c r="AT502" s="64" t="s">
        <v>2029</v>
      </c>
      <c r="AU502" s="877">
        <v>550</v>
      </c>
      <c r="AV502" s="353"/>
      <c r="AW502" s="1274"/>
    </row>
    <row r="503" spans="1:49" ht="48" hidden="1" customHeight="1" outlineLevel="4" x14ac:dyDescent="0.25">
      <c r="A503" s="63" t="str">
        <f t="shared" si="72"/>
        <v>1.3.0.9.28.63</v>
      </c>
      <c r="B503" s="64">
        <v>1</v>
      </c>
      <c r="C503" s="64">
        <v>3</v>
      </c>
      <c r="D503" s="64">
        <v>0</v>
      </c>
      <c r="E503" s="64">
        <v>9</v>
      </c>
      <c r="F503" s="64">
        <v>28</v>
      </c>
      <c r="G503" s="100">
        <v>63</v>
      </c>
      <c r="H503" s="65"/>
      <c r="I503" s="65"/>
      <c r="J503" s="65"/>
      <c r="K503" s="65" t="s">
        <v>539</v>
      </c>
      <c r="L503" s="64" t="s">
        <v>359</v>
      </c>
      <c r="M503" s="64" t="s">
        <v>73</v>
      </c>
      <c r="N503" s="64" t="s">
        <v>226</v>
      </c>
      <c r="O503" s="64" t="s">
        <v>361</v>
      </c>
      <c r="P503" s="69">
        <v>45045</v>
      </c>
      <c r="Q503" s="69">
        <v>45168</v>
      </c>
      <c r="R503" s="124">
        <v>153005</v>
      </c>
      <c r="S503" s="123"/>
      <c r="T503" s="194"/>
      <c r="U503" s="75">
        <v>0</v>
      </c>
      <c r="V503" s="75"/>
      <c r="W503" s="75">
        <v>0</v>
      </c>
      <c r="X503" s="1122">
        <v>0</v>
      </c>
      <c r="Y503" s="75">
        <v>0</v>
      </c>
      <c r="Z503" s="75">
        <v>0</v>
      </c>
      <c r="AA503" s="1122">
        <v>0</v>
      </c>
      <c r="AB503" s="75">
        <v>0</v>
      </c>
      <c r="AC503" s="75">
        <v>0</v>
      </c>
      <c r="AD503" s="1122">
        <v>0</v>
      </c>
      <c r="AE503" s="75">
        <v>0</v>
      </c>
      <c r="AF503" s="75">
        <v>0</v>
      </c>
      <c r="AG503" s="1122">
        <v>0</v>
      </c>
      <c r="AH503" s="505">
        <f t="shared" si="69"/>
        <v>0</v>
      </c>
      <c r="AI503" s="132"/>
      <c r="AJ503" s="75">
        <f t="shared" si="68"/>
        <v>0</v>
      </c>
      <c r="AK503" s="75"/>
      <c r="AL503" s="75"/>
      <c r="AM503" s="75"/>
      <c r="AN503" s="64" t="s">
        <v>181</v>
      </c>
      <c r="AO503" s="165" t="s">
        <v>1819</v>
      </c>
      <c r="AP503" s="165" t="s">
        <v>2598</v>
      </c>
      <c r="AQ503" s="413" t="s">
        <v>2599</v>
      </c>
      <c r="AR503" s="69">
        <v>45129</v>
      </c>
      <c r="AS503" s="562">
        <v>44764</v>
      </c>
      <c r="AT503" s="64" t="s">
        <v>2029</v>
      </c>
      <c r="AU503" s="877">
        <v>550</v>
      </c>
      <c r="AV503" s="353"/>
      <c r="AW503" s="1274"/>
    </row>
    <row r="504" spans="1:49" ht="48" hidden="1" customHeight="1" outlineLevel="4" x14ac:dyDescent="0.25">
      <c r="A504" s="63" t="str">
        <f t="shared" si="72"/>
        <v>1.3.0.9.28.64</v>
      </c>
      <c r="B504" s="64">
        <v>1</v>
      </c>
      <c r="C504" s="64">
        <v>3</v>
      </c>
      <c r="D504" s="64">
        <v>0</v>
      </c>
      <c r="E504" s="64">
        <v>9</v>
      </c>
      <c r="F504" s="64">
        <v>28</v>
      </c>
      <c r="G504" s="100">
        <v>64</v>
      </c>
      <c r="H504" s="65"/>
      <c r="I504" s="65"/>
      <c r="J504" s="65"/>
      <c r="K504" s="65" t="s">
        <v>540</v>
      </c>
      <c r="L504" s="64" t="s">
        <v>359</v>
      </c>
      <c r="M504" s="64" t="s">
        <v>73</v>
      </c>
      <c r="N504" s="64" t="s">
        <v>226</v>
      </c>
      <c r="O504" s="64" t="s">
        <v>361</v>
      </c>
      <c r="P504" s="69">
        <v>45045</v>
      </c>
      <c r="Q504" s="69">
        <v>45168</v>
      </c>
      <c r="R504" s="124">
        <v>153005</v>
      </c>
      <c r="S504" s="123"/>
      <c r="T504" s="194"/>
      <c r="U504" s="75">
        <v>0</v>
      </c>
      <c r="V504" s="75"/>
      <c r="W504" s="75">
        <v>0</v>
      </c>
      <c r="X504" s="1122">
        <v>0</v>
      </c>
      <c r="Y504" s="75">
        <v>0</v>
      </c>
      <c r="Z504" s="75">
        <v>0</v>
      </c>
      <c r="AA504" s="1122">
        <v>0</v>
      </c>
      <c r="AB504" s="75">
        <v>0</v>
      </c>
      <c r="AC504" s="75">
        <v>0</v>
      </c>
      <c r="AD504" s="1122">
        <v>0</v>
      </c>
      <c r="AE504" s="75">
        <v>0</v>
      </c>
      <c r="AF504" s="75">
        <v>0</v>
      </c>
      <c r="AG504" s="1122">
        <v>0</v>
      </c>
      <c r="AH504" s="505">
        <f t="shared" si="69"/>
        <v>0</v>
      </c>
      <c r="AI504" s="132"/>
      <c r="AJ504" s="75">
        <f t="shared" si="68"/>
        <v>0</v>
      </c>
      <c r="AK504" s="75"/>
      <c r="AL504" s="75"/>
      <c r="AM504" s="75"/>
      <c r="AN504" s="64" t="s">
        <v>181</v>
      </c>
      <c r="AO504" s="165" t="s">
        <v>1819</v>
      </c>
      <c r="AP504" s="165" t="s">
        <v>2598</v>
      </c>
      <c r="AQ504" s="413" t="s">
        <v>2599</v>
      </c>
      <c r="AR504" s="69">
        <v>45129</v>
      </c>
      <c r="AS504" s="562">
        <v>44764</v>
      </c>
      <c r="AT504" s="64" t="s">
        <v>2029</v>
      </c>
      <c r="AU504" s="877">
        <v>550</v>
      </c>
      <c r="AV504" s="353"/>
      <c r="AW504" s="1274"/>
    </row>
    <row r="505" spans="1:49" ht="48" hidden="1" customHeight="1" outlineLevel="4" x14ac:dyDescent="0.25">
      <c r="A505" s="63" t="str">
        <f t="shared" si="63"/>
        <v>1.3.1.9.29.58</v>
      </c>
      <c r="B505" s="64">
        <v>1</v>
      </c>
      <c r="C505" s="64">
        <v>3</v>
      </c>
      <c r="D505" s="64">
        <v>1</v>
      </c>
      <c r="E505" s="64">
        <v>9</v>
      </c>
      <c r="F505" s="64">
        <v>29</v>
      </c>
      <c r="G505" s="64">
        <v>58</v>
      </c>
      <c r="H505" s="65"/>
      <c r="I505" s="65"/>
      <c r="J505" s="65"/>
      <c r="K505" s="86" t="s">
        <v>541</v>
      </c>
      <c r="L505" s="64" t="s">
        <v>72</v>
      </c>
      <c r="M505" s="64" t="s">
        <v>73</v>
      </c>
      <c r="N505" s="64" t="s">
        <v>74</v>
      </c>
      <c r="O505" s="64" t="s">
        <v>542</v>
      </c>
      <c r="P505" s="69"/>
      <c r="Q505" s="69"/>
      <c r="R505" s="124"/>
      <c r="S505" s="123">
        <v>0</v>
      </c>
      <c r="T505" s="194"/>
      <c r="U505" s="75">
        <f>160310/7</f>
        <v>22901.428571428572</v>
      </c>
      <c r="V505" s="75"/>
      <c r="W505" s="75">
        <v>0</v>
      </c>
      <c r="X505" s="1122">
        <v>0</v>
      </c>
      <c r="Y505" s="75">
        <v>0</v>
      </c>
      <c r="Z505" s="75">
        <v>0</v>
      </c>
      <c r="AA505" s="1122">
        <v>0</v>
      </c>
      <c r="AB505" s="75">
        <v>0</v>
      </c>
      <c r="AC505" s="75">
        <v>0</v>
      </c>
      <c r="AD505" s="1122">
        <v>0</v>
      </c>
      <c r="AE505" s="75">
        <v>0</v>
      </c>
      <c r="AF505" s="75">
        <v>0</v>
      </c>
      <c r="AG505" s="1122">
        <v>0</v>
      </c>
      <c r="AH505" s="505">
        <f t="shared" si="69"/>
        <v>22901.428571428572</v>
      </c>
      <c r="AI505" s="132"/>
      <c r="AJ505" s="75">
        <f t="shared" si="68"/>
        <v>0</v>
      </c>
      <c r="AK505" s="75"/>
      <c r="AL505" s="75"/>
      <c r="AM505" s="75"/>
      <c r="AN505" s="64" t="s">
        <v>39</v>
      </c>
      <c r="AO505" s="64"/>
      <c r="AP505" s="64"/>
      <c r="AQ505" s="189"/>
      <c r="AR505" s="64"/>
      <c r="AS505" s="476"/>
      <c r="AT505" s="64"/>
      <c r="AU505" s="646"/>
      <c r="AV505" s="347" t="s">
        <v>166</v>
      </c>
      <c r="AW505" s="185" t="s">
        <v>2786</v>
      </c>
    </row>
    <row r="506" spans="1:49" ht="48" hidden="1" customHeight="1" outlineLevel="4" x14ac:dyDescent="0.25">
      <c r="A506" s="63" t="str">
        <f t="shared" si="63"/>
        <v>1.3.1.9.29.59</v>
      </c>
      <c r="B506" s="64">
        <v>1</v>
      </c>
      <c r="C506" s="64">
        <v>3</v>
      </c>
      <c r="D506" s="64">
        <v>1</v>
      </c>
      <c r="E506" s="64">
        <v>9</v>
      </c>
      <c r="F506" s="64">
        <v>29</v>
      </c>
      <c r="G506" s="64">
        <v>59</v>
      </c>
      <c r="H506" s="65"/>
      <c r="I506" s="65"/>
      <c r="J506" s="65"/>
      <c r="K506" s="86" t="s">
        <v>543</v>
      </c>
      <c r="L506" s="64" t="s">
        <v>72</v>
      </c>
      <c r="M506" s="64" t="s">
        <v>73</v>
      </c>
      <c r="N506" s="64" t="s">
        <v>74</v>
      </c>
      <c r="O506" s="64" t="s">
        <v>542</v>
      </c>
      <c r="P506" s="69"/>
      <c r="Q506" s="69"/>
      <c r="R506" s="124"/>
      <c r="S506" s="123"/>
      <c r="T506" s="194"/>
      <c r="U506" s="75">
        <v>22901.43</v>
      </c>
      <c r="V506" s="75"/>
      <c r="W506" s="75">
        <v>0</v>
      </c>
      <c r="X506" s="1122">
        <v>0</v>
      </c>
      <c r="Y506" s="75">
        <v>0</v>
      </c>
      <c r="Z506" s="75">
        <v>0</v>
      </c>
      <c r="AA506" s="1122">
        <v>0</v>
      </c>
      <c r="AB506" s="75">
        <v>0</v>
      </c>
      <c r="AC506" s="75">
        <v>0</v>
      </c>
      <c r="AD506" s="1122">
        <v>0</v>
      </c>
      <c r="AE506" s="75">
        <v>0</v>
      </c>
      <c r="AF506" s="75">
        <v>0</v>
      </c>
      <c r="AG506" s="1122">
        <v>0</v>
      </c>
      <c r="AH506" s="505">
        <f t="shared" si="69"/>
        <v>22901.43</v>
      </c>
      <c r="AI506" s="132"/>
      <c r="AJ506" s="75">
        <f t="shared" si="68"/>
        <v>0</v>
      </c>
      <c r="AK506" s="75"/>
      <c r="AL506" s="75"/>
      <c r="AM506" s="75"/>
      <c r="AN506" s="64" t="s">
        <v>39</v>
      </c>
      <c r="AO506" s="64"/>
      <c r="AP506" s="64"/>
      <c r="AQ506" s="189"/>
      <c r="AR506" s="64"/>
      <c r="AS506" s="476"/>
      <c r="AT506" s="64"/>
      <c r="AU506" s="646"/>
      <c r="AV506" s="347" t="s">
        <v>166</v>
      </c>
      <c r="AW506" s="185" t="s">
        <v>2786</v>
      </c>
    </row>
    <row r="507" spans="1:49" ht="48" hidden="1" customHeight="1" outlineLevel="4" x14ac:dyDescent="0.25">
      <c r="A507" s="63" t="str">
        <f t="shared" si="63"/>
        <v>1.3.1.9.29.60</v>
      </c>
      <c r="B507" s="64">
        <v>1</v>
      </c>
      <c r="C507" s="64">
        <v>3</v>
      </c>
      <c r="D507" s="64">
        <v>1</v>
      </c>
      <c r="E507" s="64">
        <v>9</v>
      </c>
      <c r="F507" s="64">
        <v>29</v>
      </c>
      <c r="G507" s="64">
        <v>60</v>
      </c>
      <c r="H507" s="65"/>
      <c r="I507" s="65"/>
      <c r="J507" s="65"/>
      <c r="K507" s="86" t="s">
        <v>544</v>
      </c>
      <c r="L507" s="64" t="s">
        <v>72</v>
      </c>
      <c r="M507" s="64" t="s">
        <v>73</v>
      </c>
      <c r="N507" s="64" t="s">
        <v>74</v>
      </c>
      <c r="O507" s="64" t="s">
        <v>542</v>
      </c>
      <c r="P507" s="69"/>
      <c r="Q507" s="69"/>
      <c r="R507" s="124"/>
      <c r="S507" s="123"/>
      <c r="T507" s="194"/>
      <c r="U507" s="75">
        <v>22901.43</v>
      </c>
      <c r="V507" s="75"/>
      <c r="W507" s="75">
        <v>0</v>
      </c>
      <c r="X507" s="1122">
        <v>0</v>
      </c>
      <c r="Y507" s="75">
        <v>0</v>
      </c>
      <c r="Z507" s="75">
        <v>0</v>
      </c>
      <c r="AA507" s="1122">
        <v>0</v>
      </c>
      <c r="AB507" s="75">
        <v>0</v>
      </c>
      <c r="AC507" s="75">
        <v>0</v>
      </c>
      <c r="AD507" s="1122">
        <v>0</v>
      </c>
      <c r="AE507" s="75">
        <v>0</v>
      </c>
      <c r="AF507" s="75">
        <v>0</v>
      </c>
      <c r="AG507" s="1122">
        <v>0</v>
      </c>
      <c r="AH507" s="505">
        <f t="shared" si="69"/>
        <v>22901.43</v>
      </c>
      <c r="AI507" s="132"/>
      <c r="AJ507" s="75">
        <f t="shared" si="68"/>
        <v>0</v>
      </c>
      <c r="AK507" s="75"/>
      <c r="AL507" s="75"/>
      <c r="AM507" s="75"/>
      <c r="AN507" s="64" t="s">
        <v>39</v>
      </c>
      <c r="AO507" s="64"/>
      <c r="AP507" s="64"/>
      <c r="AQ507" s="189"/>
      <c r="AR507" s="64"/>
      <c r="AS507" s="476"/>
      <c r="AT507" s="64"/>
      <c r="AU507" s="646"/>
      <c r="AV507" s="347" t="s">
        <v>166</v>
      </c>
      <c r="AW507" s="185" t="s">
        <v>2786</v>
      </c>
    </row>
    <row r="508" spans="1:49" ht="48" hidden="1" customHeight="1" outlineLevel="4" x14ac:dyDescent="0.25">
      <c r="A508" s="63" t="str">
        <f t="shared" si="63"/>
        <v>1.3.1.9.29.61</v>
      </c>
      <c r="B508" s="64">
        <v>1</v>
      </c>
      <c r="C508" s="64">
        <v>3</v>
      </c>
      <c r="D508" s="64">
        <v>1</v>
      </c>
      <c r="E508" s="64">
        <v>9</v>
      </c>
      <c r="F508" s="64">
        <v>29</v>
      </c>
      <c r="G508" s="64">
        <v>61</v>
      </c>
      <c r="H508" s="65"/>
      <c r="I508" s="65"/>
      <c r="J508" s="65"/>
      <c r="K508" s="86" t="s">
        <v>545</v>
      </c>
      <c r="L508" s="64" t="s">
        <v>72</v>
      </c>
      <c r="M508" s="64" t="s">
        <v>73</v>
      </c>
      <c r="N508" s="64" t="s">
        <v>74</v>
      </c>
      <c r="O508" s="64" t="s">
        <v>542</v>
      </c>
      <c r="P508" s="69"/>
      <c r="Q508" s="69"/>
      <c r="R508" s="124"/>
      <c r="S508" s="123"/>
      <c r="T508" s="194"/>
      <c r="U508" s="75">
        <v>22901.43</v>
      </c>
      <c r="V508" s="75"/>
      <c r="W508" s="75">
        <v>0</v>
      </c>
      <c r="X508" s="1122">
        <v>0</v>
      </c>
      <c r="Y508" s="75">
        <v>0</v>
      </c>
      <c r="Z508" s="75">
        <v>0</v>
      </c>
      <c r="AA508" s="1122">
        <v>0</v>
      </c>
      <c r="AB508" s="75">
        <v>0</v>
      </c>
      <c r="AC508" s="75">
        <v>0</v>
      </c>
      <c r="AD508" s="1122">
        <v>0</v>
      </c>
      <c r="AE508" s="75">
        <v>0</v>
      </c>
      <c r="AF508" s="75">
        <v>0</v>
      </c>
      <c r="AG508" s="1122">
        <v>0</v>
      </c>
      <c r="AH508" s="505">
        <f t="shared" si="69"/>
        <v>22901.43</v>
      </c>
      <c r="AI508" s="132"/>
      <c r="AJ508" s="75">
        <f t="shared" si="68"/>
        <v>0</v>
      </c>
      <c r="AK508" s="75"/>
      <c r="AL508" s="75"/>
      <c r="AM508" s="75"/>
      <c r="AN508" s="64" t="s">
        <v>39</v>
      </c>
      <c r="AO508" s="64"/>
      <c r="AP508" s="64"/>
      <c r="AQ508" s="189"/>
      <c r="AR508" s="64"/>
      <c r="AS508" s="476"/>
      <c r="AT508" s="64"/>
      <c r="AU508" s="646"/>
      <c r="AV508" s="347" t="s">
        <v>166</v>
      </c>
      <c r="AW508" s="185" t="s">
        <v>2786</v>
      </c>
    </row>
    <row r="509" spans="1:49" ht="48" hidden="1" customHeight="1" outlineLevel="4" x14ac:dyDescent="0.25">
      <c r="A509" s="63" t="str">
        <f t="shared" si="63"/>
        <v>1.3.1.9.29.62</v>
      </c>
      <c r="B509" s="64">
        <v>1</v>
      </c>
      <c r="C509" s="64">
        <v>3</v>
      </c>
      <c r="D509" s="64">
        <v>1</v>
      </c>
      <c r="E509" s="64">
        <v>9</v>
      </c>
      <c r="F509" s="64">
        <v>29</v>
      </c>
      <c r="G509" s="64">
        <v>62</v>
      </c>
      <c r="H509" s="65"/>
      <c r="I509" s="65"/>
      <c r="J509" s="65"/>
      <c r="K509" s="86" t="s">
        <v>1745</v>
      </c>
      <c r="L509" s="64" t="s">
        <v>72</v>
      </c>
      <c r="M509" s="64" t="s">
        <v>73</v>
      </c>
      <c r="N509" s="64" t="s">
        <v>74</v>
      </c>
      <c r="O509" s="64" t="s">
        <v>542</v>
      </c>
      <c r="P509" s="69"/>
      <c r="Q509" s="69"/>
      <c r="R509" s="124"/>
      <c r="S509" s="123"/>
      <c r="T509" s="194"/>
      <c r="U509" s="75">
        <v>22901.43</v>
      </c>
      <c r="V509" s="75"/>
      <c r="W509" s="75">
        <v>0</v>
      </c>
      <c r="X509" s="1122">
        <v>0</v>
      </c>
      <c r="Y509" s="75">
        <v>0</v>
      </c>
      <c r="Z509" s="75">
        <v>0</v>
      </c>
      <c r="AA509" s="1122">
        <v>0</v>
      </c>
      <c r="AB509" s="75">
        <v>0</v>
      </c>
      <c r="AC509" s="75">
        <v>0</v>
      </c>
      <c r="AD509" s="1122">
        <v>0</v>
      </c>
      <c r="AE509" s="75">
        <v>0</v>
      </c>
      <c r="AF509" s="75">
        <v>0</v>
      </c>
      <c r="AG509" s="1122">
        <v>0</v>
      </c>
      <c r="AH509" s="505">
        <f t="shared" si="69"/>
        <v>22901.43</v>
      </c>
      <c r="AI509" s="132"/>
      <c r="AJ509" s="75">
        <f t="shared" si="68"/>
        <v>0</v>
      </c>
      <c r="AK509" s="75"/>
      <c r="AL509" s="75"/>
      <c r="AM509" s="75"/>
      <c r="AN509" s="64" t="s">
        <v>39</v>
      </c>
      <c r="AO509" s="64"/>
      <c r="AP509" s="64"/>
      <c r="AQ509" s="189"/>
      <c r="AR509" s="64"/>
      <c r="AS509" s="476"/>
      <c r="AT509" s="64"/>
      <c r="AU509" s="646"/>
      <c r="AV509" s="347" t="s">
        <v>166</v>
      </c>
      <c r="AW509" s="185" t="s">
        <v>2786</v>
      </c>
    </row>
    <row r="510" spans="1:49" ht="48" hidden="1" customHeight="1" outlineLevel="4" x14ac:dyDescent="0.25">
      <c r="A510" s="63" t="str">
        <f t="shared" si="63"/>
        <v>1.3.1.9.29.63</v>
      </c>
      <c r="B510" s="64">
        <v>1</v>
      </c>
      <c r="C510" s="64">
        <v>3</v>
      </c>
      <c r="D510" s="64">
        <v>1</v>
      </c>
      <c r="E510" s="64">
        <v>9</v>
      </c>
      <c r="F510" s="64">
        <v>29</v>
      </c>
      <c r="G510" s="64">
        <v>63</v>
      </c>
      <c r="H510" s="65"/>
      <c r="I510" s="65"/>
      <c r="J510" s="65"/>
      <c r="K510" s="86" t="s">
        <v>546</v>
      </c>
      <c r="L510" s="64" t="s">
        <v>72</v>
      </c>
      <c r="M510" s="64" t="s">
        <v>73</v>
      </c>
      <c r="N510" s="64" t="s">
        <v>74</v>
      </c>
      <c r="O510" s="64" t="s">
        <v>542</v>
      </c>
      <c r="P510" s="69"/>
      <c r="Q510" s="69"/>
      <c r="R510" s="124"/>
      <c r="S510" s="123"/>
      <c r="T510" s="194"/>
      <c r="U510" s="75">
        <v>22901.43</v>
      </c>
      <c r="V510" s="75"/>
      <c r="W510" s="75">
        <v>0</v>
      </c>
      <c r="X510" s="1122">
        <v>0</v>
      </c>
      <c r="Y510" s="75">
        <v>0</v>
      </c>
      <c r="Z510" s="75">
        <v>0</v>
      </c>
      <c r="AA510" s="1122">
        <v>0</v>
      </c>
      <c r="AB510" s="75">
        <v>0</v>
      </c>
      <c r="AC510" s="75">
        <v>0</v>
      </c>
      <c r="AD510" s="1122">
        <v>0</v>
      </c>
      <c r="AE510" s="75">
        <v>0</v>
      </c>
      <c r="AF510" s="75">
        <v>0</v>
      </c>
      <c r="AG510" s="1122">
        <v>0</v>
      </c>
      <c r="AH510" s="505">
        <f t="shared" si="69"/>
        <v>22901.43</v>
      </c>
      <c r="AI510" s="132"/>
      <c r="AJ510" s="75">
        <f t="shared" si="68"/>
        <v>0</v>
      </c>
      <c r="AK510" s="75"/>
      <c r="AL510" s="75"/>
      <c r="AM510" s="75"/>
      <c r="AN510" s="64" t="s">
        <v>39</v>
      </c>
      <c r="AO510" s="64"/>
      <c r="AP510" s="64"/>
      <c r="AQ510" s="189"/>
      <c r="AR510" s="64"/>
      <c r="AS510" s="476"/>
      <c r="AT510" s="64"/>
      <c r="AU510" s="646"/>
      <c r="AV510" s="347" t="s">
        <v>166</v>
      </c>
      <c r="AW510" s="185" t="s">
        <v>2786</v>
      </c>
    </row>
    <row r="511" spans="1:49" ht="48" hidden="1" customHeight="1" outlineLevel="4" x14ac:dyDescent="0.25">
      <c r="A511" s="63" t="str">
        <f t="shared" si="63"/>
        <v>1.3.1.9.29.64</v>
      </c>
      <c r="B511" s="64">
        <v>1</v>
      </c>
      <c r="C511" s="64">
        <v>3</v>
      </c>
      <c r="D511" s="64">
        <v>1</v>
      </c>
      <c r="E511" s="64">
        <v>9</v>
      </c>
      <c r="F511" s="64">
        <v>29</v>
      </c>
      <c r="G511" s="64">
        <v>64</v>
      </c>
      <c r="H511" s="65"/>
      <c r="I511" s="65"/>
      <c r="J511" s="65"/>
      <c r="K511" s="86" t="s">
        <v>547</v>
      </c>
      <c r="L511" s="64" t="s">
        <v>72</v>
      </c>
      <c r="M511" s="64" t="s">
        <v>73</v>
      </c>
      <c r="N511" s="64" t="s">
        <v>74</v>
      </c>
      <c r="O511" s="64" t="s">
        <v>542</v>
      </c>
      <c r="P511" s="69"/>
      <c r="Q511" s="69"/>
      <c r="R511" s="124"/>
      <c r="S511" s="123"/>
      <c r="T511" s="194"/>
      <c r="U511" s="75">
        <v>22901.43</v>
      </c>
      <c r="V511" s="75"/>
      <c r="W511" s="75">
        <v>0</v>
      </c>
      <c r="X511" s="1122">
        <v>0</v>
      </c>
      <c r="Y511" s="75">
        <v>0</v>
      </c>
      <c r="Z511" s="75">
        <v>0</v>
      </c>
      <c r="AA511" s="1122">
        <v>0</v>
      </c>
      <c r="AB511" s="75">
        <v>0</v>
      </c>
      <c r="AC511" s="75">
        <v>0</v>
      </c>
      <c r="AD511" s="1122">
        <v>0</v>
      </c>
      <c r="AE511" s="75">
        <v>0</v>
      </c>
      <c r="AF511" s="75">
        <v>0</v>
      </c>
      <c r="AG511" s="1122">
        <v>0</v>
      </c>
      <c r="AH511" s="505">
        <f t="shared" si="69"/>
        <v>22901.43</v>
      </c>
      <c r="AI511" s="132"/>
      <c r="AJ511" s="75">
        <f t="shared" si="68"/>
        <v>0</v>
      </c>
      <c r="AK511" s="75"/>
      <c r="AL511" s="75"/>
      <c r="AM511" s="75"/>
      <c r="AN511" s="64" t="s">
        <v>39</v>
      </c>
      <c r="AO511" s="64"/>
      <c r="AP511" s="64"/>
      <c r="AQ511" s="189"/>
      <c r="AR511" s="64"/>
      <c r="AS511" s="476"/>
      <c r="AT511" s="64"/>
      <c r="AU511" s="646"/>
      <c r="AV511" s="347" t="s">
        <v>166</v>
      </c>
      <c r="AW511" s="185" t="s">
        <v>2786</v>
      </c>
    </row>
    <row r="512" spans="1:49" ht="48" hidden="1" customHeight="1" outlineLevel="4" x14ac:dyDescent="0.25">
      <c r="A512" s="63" t="str">
        <f t="shared" si="63"/>
        <v>1.3.1.9.30.58</v>
      </c>
      <c r="B512" s="64">
        <v>1</v>
      </c>
      <c r="C512" s="64">
        <v>3</v>
      </c>
      <c r="D512" s="64">
        <v>1</v>
      </c>
      <c r="E512" s="64">
        <v>9</v>
      </c>
      <c r="F512" s="64">
        <v>30</v>
      </c>
      <c r="G512" s="64">
        <v>58</v>
      </c>
      <c r="H512" s="65"/>
      <c r="I512" s="65"/>
      <c r="J512" s="65"/>
      <c r="K512" s="86" t="s">
        <v>548</v>
      </c>
      <c r="L512" s="64" t="s">
        <v>72</v>
      </c>
      <c r="M512" s="64" t="s">
        <v>73</v>
      </c>
      <c r="N512" s="64" t="s">
        <v>74</v>
      </c>
      <c r="O512" s="64" t="s">
        <v>542</v>
      </c>
      <c r="P512" s="69">
        <v>44930</v>
      </c>
      <c r="Q512" s="69">
        <v>45081</v>
      </c>
      <c r="R512" s="124">
        <v>964341</v>
      </c>
      <c r="S512" s="123" t="s">
        <v>535</v>
      </c>
      <c r="T512" s="194">
        <v>964341</v>
      </c>
      <c r="U512" s="75">
        <v>0</v>
      </c>
      <c r="V512" s="75"/>
      <c r="W512" s="75">
        <v>0</v>
      </c>
      <c r="X512" s="1122">
        <v>0</v>
      </c>
      <c r="Y512" s="75">
        <v>0</v>
      </c>
      <c r="Z512" s="75">
        <v>0</v>
      </c>
      <c r="AA512" s="1122">
        <v>0</v>
      </c>
      <c r="AB512" s="75">
        <v>0</v>
      </c>
      <c r="AC512" s="75">
        <v>0</v>
      </c>
      <c r="AD512" s="1122">
        <v>0</v>
      </c>
      <c r="AE512" s="75">
        <v>0</v>
      </c>
      <c r="AF512" s="75">
        <v>0</v>
      </c>
      <c r="AG512" s="1122">
        <v>0</v>
      </c>
      <c r="AH512" s="505">
        <f t="shared" si="69"/>
        <v>0</v>
      </c>
      <c r="AI512" s="132"/>
      <c r="AJ512" s="75">
        <f t="shared" si="68"/>
        <v>0</v>
      </c>
      <c r="AK512" s="75"/>
      <c r="AL512" s="75"/>
      <c r="AM512" s="75"/>
      <c r="AN512" s="64" t="s">
        <v>39</v>
      </c>
      <c r="AO512" s="64"/>
      <c r="AP512" s="64"/>
      <c r="AQ512" s="189"/>
      <c r="AR512" s="64"/>
      <c r="AS512" s="476"/>
      <c r="AT512" s="64"/>
      <c r="AU512" s="646"/>
      <c r="AV512" s="348" t="s">
        <v>549</v>
      </c>
      <c r="AW512" s="185"/>
    </row>
    <row r="513" spans="1:49" ht="48" hidden="1" customHeight="1" outlineLevel="4" x14ac:dyDescent="0.25">
      <c r="A513" s="63" t="str">
        <f t="shared" si="63"/>
        <v>1.3.1.9.30.59</v>
      </c>
      <c r="B513" s="64">
        <v>1</v>
      </c>
      <c r="C513" s="64">
        <v>3</v>
      </c>
      <c r="D513" s="64">
        <v>1</v>
      </c>
      <c r="E513" s="64">
        <v>9</v>
      </c>
      <c r="F513" s="64">
        <v>30</v>
      </c>
      <c r="G513" s="64">
        <v>59</v>
      </c>
      <c r="H513" s="65"/>
      <c r="I513" s="65"/>
      <c r="J513" s="65"/>
      <c r="K513" s="125" t="s">
        <v>550</v>
      </c>
      <c r="L513" s="64" t="s">
        <v>72</v>
      </c>
      <c r="M513" s="64" t="s">
        <v>73</v>
      </c>
      <c r="N513" s="64" t="s">
        <v>74</v>
      </c>
      <c r="O513" s="64" t="s">
        <v>542</v>
      </c>
      <c r="P513" s="69">
        <v>44930</v>
      </c>
      <c r="Q513" s="69">
        <v>45081</v>
      </c>
      <c r="R513" s="124">
        <v>964342</v>
      </c>
      <c r="S513" s="123"/>
      <c r="T513" s="194"/>
      <c r="U513" s="75">
        <v>0</v>
      </c>
      <c r="V513" s="75"/>
      <c r="W513" s="75">
        <v>0</v>
      </c>
      <c r="X513" s="1122">
        <v>0</v>
      </c>
      <c r="Y513" s="75">
        <v>0</v>
      </c>
      <c r="Z513" s="75">
        <v>0</v>
      </c>
      <c r="AA513" s="1122">
        <v>0</v>
      </c>
      <c r="AB513" s="75">
        <v>0</v>
      </c>
      <c r="AC513" s="75">
        <v>0</v>
      </c>
      <c r="AD513" s="1122">
        <v>0</v>
      </c>
      <c r="AE513" s="75">
        <v>0</v>
      </c>
      <c r="AF513" s="75">
        <v>0</v>
      </c>
      <c r="AG513" s="1122">
        <v>0</v>
      </c>
      <c r="AH513" s="505">
        <f t="shared" si="69"/>
        <v>0</v>
      </c>
      <c r="AI513" s="132"/>
      <c r="AJ513" s="75">
        <f t="shared" ref="AJ513:AJ574" si="73">+W514+Z514+AC514+AF514</f>
        <v>0</v>
      </c>
      <c r="AK513" s="75"/>
      <c r="AL513" s="75"/>
      <c r="AM513" s="75"/>
      <c r="AN513" s="64" t="s">
        <v>39</v>
      </c>
      <c r="AO513" s="64"/>
      <c r="AP513" s="64"/>
      <c r="AQ513" s="189"/>
      <c r="AR513" s="64"/>
      <c r="AS513" s="476"/>
      <c r="AT513" s="64"/>
      <c r="AU513" s="646"/>
      <c r="AV513" s="348"/>
      <c r="AW513" s="185"/>
    </row>
    <row r="514" spans="1:49" ht="48" hidden="1" customHeight="1" outlineLevel="4" x14ac:dyDescent="0.25">
      <c r="A514" s="63" t="str">
        <f t="shared" si="63"/>
        <v>1.3.1.9.30.60</v>
      </c>
      <c r="B514" s="64">
        <v>1</v>
      </c>
      <c r="C514" s="64">
        <v>3</v>
      </c>
      <c r="D514" s="64">
        <v>1</v>
      </c>
      <c r="E514" s="64">
        <v>9</v>
      </c>
      <c r="F514" s="64">
        <v>30</v>
      </c>
      <c r="G514" s="64">
        <v>60</v>
      </c>
      <c r="H514" s="65"/>
      <c r="I514" s="65"/>
      <c r="J514" s="65"/>
      <c r="K514" s="125" t="s">
        <v>551</v>
      </c>
      <c r="L514" s="64" t="s">
        <v>72</v>
      </c>
      <c r="M514" s="64" t="s">
        <v>73</v>
      </c>
      <c r="N514" s="64" t="s">
        <v>74</v>
      </c>
      <c r="O514" s="64" t="s">
        <v>542</v>
      </c>
      <c r="P514" s="69">
        <v>44930</v>
      </c>
      <c r="Q514" s="69">
        <v>45081</v>
      </c>
      <c r="R514" s="124">
        <v>964343</v>
      </c>
      <c r="S514" s="123"/>
      <c r="T514" s="194"/>
      <c r="U514" s="75">
        <v>0</v>
      </c>
      <c r="V514" s="75"/>
      <c r="W514" s="75">
        <v>0</v>
      </c>
      <c r="X514" s="1122">
        <v>0</v>
      </c>
      <c r="Y514" s="75">
        <v>0</v>
      </c>
      <c r="Z514" s="75">
        <v>0</v>
      </c>
      <c r="AA514" s="1122">
        <v>0</v>
      </c>
      <c r="AB514" s="75">
        <v>0</v>
      </c>
      <c r="AC514" s="75">
        <v>0</v>
      </c>
      <c r="AD514" s="1122">
        <v>0</v>
      </c>
      <c r="AE514" s="75">
        <v>0</v>
      </c>
      <c r="AF514" s="75">
        <v>0</v>
      </c>
      <c r="AG514" s="1122">
        <v>0</v>
      </c>
      <c r="AH514" s="505">
        <f t="shared" ref="AH514:AH575" si="74">+U514+Y514+AB514+AE514</f>
        <v>0</v>
      </c>
      <c r="AI514" s="132"/>
      <c r="AJ514" s="75">
        <f t="shared" si="73"/>
        <v>0</v>
      </c>
      <c r="AK514" s="75"/>
      <c r="AL514" s="75"/>
      <c r="AM514" s="75"/>
      <c r="AN514" s="64" t="s">
        <v>39</v>
      </c>
      <c r="AO514" s="64"/>
      <c r="AP514" s="64"/>
      <c r="AQ514" s="189"/>
      <c r="AR514" s="64"/>
      <c r="AS514" s="476"/>
      <c r="AT514" s="64"/>
      <c r="AU514" s="646"/>
      <c r="AV514" s="348"/>
      <c r="AW514" s="185"/>
    </row>
    <row r="515" spans="1:49" ht="48" hidden="1" customHeight="1" outlineLevel="4" x14ac:dyDescent="0.25">
      <c r="A515" s="63" t="str">
        <f t="shared" si="63"/>
        <v>1.3.1.9.30.61</v>
      </c>
      <c r="B515" s="64">
        <v>1</v>
      </c>
      <c r="C515" s="64">
        <v>3</v>
      </c>
      <c r="D515" s="64">
        <v>1</v>
      </c>
      <c r="E515" s="64">
        <v>9</v>
      </c>
      <c r="F515" s="64">
        <v>30</v>
      </c>
      <c r="G515" s="64">
        <v>61</v>
      </c>
      <c r="H515" s="65"/>
      <c r="I515" s="65"/>
      <c r="J515" s="65"/>
      <c r="K515" s="125" t="s">
        <v>552</v>
      </c>
      <c r="L515" s="64" t="s">
        <v>72</v>
      </c>
      <c r="M515" s="64" t="s">
        <v>73</v>
      </c>
      <c r="N515" s="64" t="s">
        <v>74</v>
      </c>
      <c r="O515" s="64" t="s">
        <v>542</v>
      </c>
      <c r="P515" s="69">
        <v>44930</v>
      </c>
      <c r="Q515" s="69">
        <v>45081</v>
      </c>
      <c r="R515" s="124">
        <v>964344</v>
      </c>
      <c r="S515" s="123"/>
      <c r="T515" s="194"/>
      <c r="U515" s="75">
        <v>0</v>
      </c>
      <c r="V515" s="75"/>
      <c r="W515" s="75">
        <v>0</v>
      </c>
      <c r="X515" s="1122">
        <v>0</v>
      </c>
      <c r="Y515" s="75">
        <v>0</v>
      </c>
      <c r="Z515" s="75">
        <v>0</v>
      </c>
      <c r="AA515" s="1122">
        <v>0</v>
      </c>
      <c r="AB515" s="75">
        <v>0</v>
      </c>
      <c r="AC515" s="75">
        <v>0</v>
      </c>
      <c r="AD515" s="1122">
        <v>0</v>
      </c>
      <c r="AE515" s="75">
        <v>0</v>
      </c>
      <c r="AF515" s="75">
        <v>0</v>
      </c>
      <c r="AG515" s="1122">
        <v>0</v>
      </c>
      <c r="AH515" s="505">
        <f t="shared" si="74"/>
        <v>0</v>
      </c>
      <c r="AI515" s="132"/>
      <c r="AJ515" s="75">
        <f t="shared" si="73"/>
        <v>0</v>
      </c>
      <c r="AK515" s="75"/>
      <c r="AL515" s="75"/>
      <c r="AM515" s="75"/>
      <c r="AN515" s="64" t="s">
        <v>39</v>
      </c>
      <c r="AO515" s="64"/>
      <c r="AP515" s="64"/>
      <c r="AQ515" s="189"/>
      <c r="AR515" s="64"/>
      <c r="AS515" s="476"/>
      <c r="AT515" s="64"/>
      <c r="AU515" s="646"/>
      <c r="AV515" s="348"/>
      <c r="AW515" s="185"/>
    </row>
    <row r="516" spans="1:49" ht="48" hidden="1" customHeight="1" outlineLevel="4" x14ac:dyDescent="0.25">
      <c r="A516" s="63" t="str">
        <f t="shared" si="63"/>
        <v>1.3.1.9.30.62</v>
      </c>
      <c r="B516" s="64">
        <v>1</v>
      </c>
      <c r="C516" s="64">
        <v>3</v>
      </c>
      <c r="D516" s="64">
        <v>1</v>
      </c>
      <c r="E516" s="64">
        <v>9</v>
      </c>
      <c r="F516" s="64">
        <v>30</v>
      </c>
      <c r="G516" s="64">
        <v>62</v>
      </c>
      <c r="H516" s="65"/>
      <c r="I516" s="65"/>
      <c r="J516" s="65"/>
      <c r="K516" s="125" t="s">
        <v>1746</v>
      </c>
      <c r="L516" s="64" t="s">
        <v>72</v>
      </c>
      <c r="M516" s="64" t="s">
        <v>73</v>
      </c>
      <c r="N516" s="64" t="s">
        <v>74</v>
      </c>
      <c r="O516" s="64" t="s">
        <v>542</v>
      </c>
      <c r="P516" s="69">
        <v>44930</v>
      </c>
      <c r="Q516" s="69">
        <v>45081</v>
      </c>
      <c r="R516" s="124">
        <v>964345</v>
      </c>
      <c r="S516" s="123"/>
      <c r="T516" s="194"/>
      <c r="U516" s="75">
        <v>0</v>
      </c>
      <c r="V516" s="75"/>
      <c r="W516" s="75">
        <v>0</v>
      </c>
      <c r="X516" s="1122">
        <v>0</v>
      </c>
      <c r="Y516" s="75">
        <v>0</v>
      </c>
      <c r="Z516" s="75">
        <v>0</v>
      </c>
      <c r="AA516" s="1122">
        <v>0</v>
      </c>
      <c r="AB516" s="75">
        <v>0</v>
      </c>
      <c r="AC516" s="75">
        <v>0</v>
      </c>
      <c r="AD516" s="1122">
        <v>0</v>
      </c>
      <c r="AE516" s="75">
        <v>0</v>
      </c>
      <c r="AF516" s="75">
        <v>0</v>
      </c>
      <c r="AG516" s="1122">
        <v>0</v>
      </c>
      <c r="AH516" s="505">
        <f t="shared" si="74"/>
        <v>0</v>
      </c>
      <c r="AI516" s="132"/>
      <c r="AJ516" s="75">
        <f t="shared" si="73"/>
        <v>0</v>
      </c>
      <c r="AK516" s="75"/>
      <c r="AL516" s="75"/>
      <c r="AM516" s="75"/>
      <c r="AN516" s="64" t="s">
        <v>39</v>
      </c>
      <c r="AO516" s="64"/>
      <c r="AP516" s="64"/>
      <c r="AQ516" s="189"/>
      <c r="AR516" s="64"/>
      <c r="AS516" s="476"/>
      <c r="AT516" s="64"/>
      <c r="AU516" s="646"/>
      <c r="AV516" s="348"/>
      <c r="AW516" s="185"/>
    </row>
    <row r="517" spans="1:49" ht="48" hidden="1" customHeight="1" outlineLevel="4" x14ac:dyDescent="0.25">
      <c r="A517" s="63" t="str">
        <f t="shared" si="63"/>
        <v>1.3.1.9.30.63</v>
      </c>
      <c r="B517" s="64">
        <v>1</v>
      </c>
      <c r="C517" s="64">
        <v>3</v>
      </c>
      <c r="D517" s="64">
        <v>1</v>
      </c>
      <c r="E517" s="64">
        <v>9</v>
      </c>
      <c r="F517" s="64">
        <v>30</v>
      </c>
      <c r="G517" s="64">
        <v>63</v>
      </c>
      <c r="H517" s="65"/>
      <c r="I517" s="65"/>
      <c r="J517" s="65"/>
      <c r="K517" s="125" t="s">
        <v>553</v>
      </c>
      <c r="L517" s="64" t="s">
        <v>72</v>
      </c>
      <c r="M517" s="64" t="s">
        <v>73</v>
      </c>
      <c r="N517" s="64" t="s">
        <v>74</v>
      </c>
      <c r="O517" s="64" t="s">
        <v>542</v>
      </c>
      <c r="P517" s="69">
        <v>44930</v>
      </c>
      <c r="Q517" s="69">
        <v>45081</v>
      </c>
      <c r="R517" s="124">
        <v>964346</v>
      </c>
      <c r="S517" s="123"/>
      <c r="T517" s="194"/>
      <c r="U517" s="75">
        <v>0</v>
      </c>
      <c r="V517" s="75"/>
      <c r="W517" s="75">
        <v>0</v>
      </c>
      <c r="X517" s="1122">
        <v>0</v>
      </c>
      <c r="Y517" s="75">
        <v>0</v>
      </c>
      <c r="Z517" s="75">
        <v>0</v>
      </c>
      <c r="AA517" s="1122">
        <v>0</v>
      </c>
      <c r="AB517" s="75">
        <v>0</v>
      </c>
      <c r="AC517" s="75">
        <v>0</v>
      </c>
      <c r="AD517" s="1122">
        <v>0</v>
      </c>
      <c r="AE517" s="75">
        <v>0</v>
      </c>
      <c r="AF517" s="75">
        <v>0</v>
      </c>
      <c r="AG517" s="1122">
        <v>0</v>
      </c>
      <c r="AH517" s="505">
        <f t="shared" si="74"/>
        <v>0</v>
      </c>
      <c r="AI517" s="132"/>
      <c r="AJ517" s="75">
        <f t="shared" si="73"/>
        <v>0</v>
      </c>
      <c r="AK517" s="75"/>
      <c r="AL517" s="75"/>
      <c r="AM517" s="75"/>
      <c r="AN517" s="64" t="s">
        <v>39</v>
      </c>
      <c r="AO517" s="64"/>
      <c r="AP517" s="64"/>
      <c r="AQ517" s="189"/>
      <c r="AR517" s="64"/>
      <c r="AS517" s="476"/>
      <c r="AT517" s="64"/>
      <c r="AU517" s="646"/>
      <c r="AV517" s="348"/>
      <c r="AW517" s="185"/>
    </row>
    <row r="518" spans="1:49" ht="48" hidden="1" customHeight="1" outlineLevel="4" x14ac:dyDescent="0.25">
      <c r="A518" s="63" t="str">
        <f t="shared" si="63"/>
        <v>1.3.1.9.30.64</v>
      </c>
      <c r="B518" s="64">
        <v>1</v>
      </c>
      <c r="C518" s="64">
        <v>3</v>
      </c>
      <c r="D518" s="64">
        <v>1</v>
      </c>
      <c r="E518" s="64">
        <v>9</v>
      </c>
      <c r="F518" s="64">
        <v>30</v>
      </c>
      <c r="G518" s="64">
        <v>64</v>
      </c>
      <c r="H518" s="65"/>
      <c r="I518" s="65"/>
      <c r="J518" s="65"/>
      <c r="K518" s="125" t="s">
        <v>554</v>
      </c>
      <c r="L518" s="64" t="s">
        <v>72</v>
      </c>
      <c r="M518" s="64" t="s">
        <v>73</v>
      </c>
      <c r="N518" s="64" t="s">
        <v>74</v>
      </c>
      <c r="O518" s="64" t="s">
        <v>542</v>
      </c>
      <c r="P518" s="69">
        <v>44930</v>
      </c>
      <c r="Q518" s="69">
        <v>45081</v>
      </c>
      <c r="R518" s="124">
        <v>964346</v>
      </c>
      <c r="S518" s="123"/>
      <c r="T518" s="194"/>
      <c r="U518" s="75">
        <v>0</v>
      </c>
      <c r="V518" s="75"/>
      <c r="W518" s="75">
        <v>0</v>
      </c>
      <c r="X518" s="1122">
        <v>0</v>
      </c>
      <c r="Y518" s="75">
        <v>0</v>
      </c>
      <c r="Z518" s="75">
        <v>0</v>
      </c>
      <c r="AA518" s="1122">
        <v>0</v>
      </c>
      <c r="AB518" s="75">
        <v>0</v>
      </c>
      <c r="AC518" s="75">
        <v>0</v>
      </c>
      <c r="AD518" s="1122">
        <v>0</v>
      </c>
      <c r="AE518" s="75">
        <v>0</v>
      </c>
      <c r="AF518" s="75">
        <v>0</v>
      </c>
      <c r="AG518" s="1122">
        <v>0</v>
      </c>
      <c r="AH518" s="505">
        <f t="shared" si="74"/>
        <v>0</v>
      </c>
      <c r="AI518" s="132"/>
      <c r="AJ518" s="75">
        <f t="shared" si="73"/>
        <v>0</v>
      </c>
      <c r="AK518" s="75"/>
      <c r="AL518" s="75"/>
      <c r="AM518" s="75"/>
      <c r="AN518" s="64" t="s">
        <v>39</v>
      </c>
      <c r="AO518" s="64"/>
      <c r="AP518" s="64"/>
      <c r="AQ518" s="189"/>
      <c r="AR518" s="64"/>
      <c r="AS518" s="476"/>
      <c r="AT518" s="64"/>
      <c r="AU518" s="646"/>
      <c r="AV518" s="348"/>
      <c r="AW518" s="185"/>
    </row>
    <row r="519" spans="1:49" ht="48" hidden="1" customHeight="1" outlineLevel="4" x14ac:dyDescent="0.25">
      <c r="A519" s="63" t="str">
        <f t="shared" si="63"/>
        <v>1.3.1.9.31.58</v>
      </c>
      <c r="B519" s="64">
        <v>1</v>
      </c>
      <c r="C519" s="64">
        <v>3</v>
      </c>
      <c r="D519" s="64">
        <v>1</v>
      </c>
      <c r="E519" s="64">
        <v>9</v>
      </c>
      <c r="F519" s="64">
        <v>31</v>
      </c>
      <c r="G519" s="64">
        <v>58</v>
      </c>
      <c r="H519" s="65"/>
      <c r="I519" s="65"/>
      <c r="J519" s="65"/>
      <c r="K519" s="86" t="s">
        <v>555</v>
      </c>
      <c r="L519" s="64" t="s">
        <v>72</v>
      </c>
      <c r="M519" s="64" t="s">
        <v>73</v>
      </c>
      <c r="N519" s="64" t="s">
        <v>74</v>
      </c>
      <c r="O519" s="64" t="s">
        <v>542</v>
      </c>
      <c r="P519" s="69">
        <v>44930</v>
      </c>
      <c r="Q519" s="69">
        <v>45081</v>
      </c>
      <c r="R519" s="124">
        <f>3050*17</f>
        <v>51850</v>
      </c>
      <c r="S519" s="123" t="s">
        <v>535</v>
      </c>
      <c r="T519" s="194">
        <v>51850</v>
      </c>
      <c r="U519" s="75">
        <v>0</v>
      </c>
      <c r="V519" s="75"/>
      <c r="W519" s="75">
        <v>0</v>
      </c>
      <c r="X519" s="1122">
        <v>0</v>
      </c>
      <c r="Y519" s="75">
        <v>0</v>
      </c>
      <c r="Z519" s="75">
        <v>0</v>
      </c>
      <c r="AA519" s="1122">
        <v>0</v>
      </c>
      <c r="AB519" s="75">
        <v>0</v>
      </c>
      <c r="AC519" s="75">
        <v>0</v>
      </c>
      <c r="AD519" s="1122">
        <v>0</v>
      </c>
      <c r="AE519" s="75">
        <v>0</v>
      </c>
      <c r="AF519" s="75">
        <v>0</v>
      </c>
      <c r="AG519" s="1122">
        <v>0</v>
      </c>
      <c r="AH519" s="505">
        <f t="shared" si="74"/>
        <v>0</v>
      </c>
      <c r="AI519" s="132"/>
      <c r="AJ519" s="75">
        <f t="shared" si="73"/>
        <v>0</v>
      </c>
      <c r="AK519" s="75"/>
      <c r="AL519" s="75"/>
      <c r="AM519" s="75"/>
      <c r="AN519" s="64" t="s">
        <v>39</v>
      </c>
      <c r="AO519" s="64"/>
      <c r="AP519" s="64"/>
      <c r="AQ519" s="189"/>
      <c r="AR519" s="64"/>
      <c r="AS519" s="476"/>
      <c r="AT519" s="64"/>
      <c r="AU519" s="646"/>
      <c r="AV519" s="347"/>
      <c r="AW519" s="441"/>
    </row>
    <row r="520" spans="1:49" ht="48" hidden="1" customHeight="1" outlineLevel="4" x14ac:dyDescent="0.25">
      <c r="A520" s="63" t="str">
        <f t="shared" si="63"/>
        <v>1.3.1.9.31.59</v>
      </c>
      <c r="B520" s="64">
        <v>1</v>
      </c>
      <c r="C520" s="64">
        <v>3</v>
      </c>
      <c r="D520" s="64">
        <v>1</v>
      </c>
      <c r="E520" s="64">
        <v>9</v>
      </c>
      <c r="F520" s="64">
        <v>31</v>
      </c>
      <c r="G520" s="64">
        <v>59</v>
      </c>
      <c r="H520" s="65"/>
      <c r="I520" s="65"/>
      <c r="J520" s="65"/>
      <c r="K520" s="125" t="s">
        <v>556</v>
      </c>
      <c r="L520" s="64" t="s">
        <v>72</v>
      </c>
      <c r="M520" s="64" t="s">
        <v>73</v>
      </c>
      <c r="N520" s="64" t="s">
        <v>74</v>
      </c>
      <c r="O520" s="64" t="s">
        <v>542</v>
      </c>
      <c r="P520" s="69">
        <v>44930</v>
      </c>
      <c r="Q520" s="69">
        <v>45081</v>
      </c>
      <c r="R520" s="124">
        <f t="shared" ref="R520:R525" si="75">3050*17</f>
        <v>51850</v>
      </c>
      <c r="S520" s="123"/>
      <c r="T520" s="194"/>
      <c r="U520" s="75">
        <v>0</v>
      </c>
      <c r="V520" s="75"/>
      <c r="W520" s="75">
        <v>0</v>
      </c>
      <c r="X520" s="1122">
        <v>0</v>
      </c>
      <c r="Y520" s="75">
        <v>0</v>
      </c>
      <c r="Z520" s="75">
        <v>0</v>
      </c>
      <c r="AA520" s="1122">
        <v>0</v>
      </c>
      <c r="AB520" s="75">
        <v>0</v>
      </c>
      <c r="AC520" s="75">
        <v>0</v>
      </c>
      <c r="AD520" s="1122">
        <v>0</v>
      </c>
      <c r="AE520" s="75">
        <v>0</v>
      </c>
      <c r="AF520" s="75">
        <v>0</v>
      </c>
      <c r="AG520" s="1122">
        <v>0</v>
      </c>
      <c r="AH520" s="505">
        <f t="shared" si="74"/>
        <v>0</v>
      </c>
      <c r="AI520" s="132"/>
      <c r="AJ520" s="75">
        <f t="shared" si="73"/>
        <v>0</v>
      </c>
      <c r="AK520" s="75"/>
      <c r="AL520" s="75"/>
      <c r="AM520" s="75"/>
      <c r="AN520" s="64" t="s">
        <v>39</v>
      </c>
      <c r="AO520" s="64"/>
      <c r="AP520" s="64"/>
      <c r="AQ520" s="189"/>
      <c r="AR520" s="64"/>
      <c r="AS520" s="476"/>
      <c r="AT520" s="64"/>
      <c r="AU520" s="646"/>
      <c r="AV520" s="347"/>
      <c r="AW520" s="441"/>
    </row>
    <row r="521" spans="1:49" ht="48" hidden="1" customHeight="1" outlineLevel="4" x14ac:dyDescent="0.25">
      <c r="A521" s="63" t="str">
        <f t="shared" si="63"/>
        <v>1.3.1.9.31.60</v>
      </c>
      <c r="B521" s="64">
        <v>1</v>
      </c>
      <c r="C521" s="64">
        <v>3</v>
      </c>
      <c r="D521" s="64">
        <v>1</v>
      </c>
      <c r="E521" s="64">
        <v>9</v>
      </c>
      <c r="F521" s="64">
        <v>31</v>
      </c>
      <c r="G521" s="64">
        <v>60</v>
      </c>
      <c r="H521" s="65"/>
      <c r="I521" s="65"/>
      <c r="J521" s="65"/>
      <c r="K521" s="125" t="s">
        <v>557</v>
      </c>
      <c r="L521" s="64" t="s">
        <v>72</v>
      </c>
      <c r="M521" s="64" t="s">
        <v>73</v>
      </c>
      <c r="N521" s="64" t="s">
        <v>74</v>
      </c>
      <c r="O521" s="64" t="s">
        <v>542</v>
      </c>
      <c r="P521" s="69">
        <v>44930</v>
      </c>
      <c r="Q521" s="69">
        <v>45081</v>
      </c>
      <c r="R521" s="124">
        <f t="shared" si="75"/>
        <v>51850</v>
      </c>
      <c r="S521" s="123"/>
      <c r="T521" s="194"/>
      <c r="U521" s="75">
        <v>0</v>
      </c>
      <c r="V521" s="75"/>
      <c r="W521" s="75">
        <v>0</v>
      </c>
      <c r="X521" s="1122">
        <v>0</v>
      </c>
      <c r="Y521" s="75">
        <v>0</v>
      </c>
      <c r="Z521" s="75">
        <v>0</v>
      </c>
      <c r="AA521" s="1122">
        <v>0</v>
      </c>
      <c r="AB521" s="75">
        <v>0</v>
      </c>
      <c r="AC521" s="75">
        <v>0</v>
      </c>
      <c r="AD521" s="1122">
        <v>0</v>
      </c>
      <c r="AE521" s="75">
        <v>0</v>
      </c>
      <c r="AF521" s="75">
        <v>0</v>
      </c>
      <c r="AG521" s="1122">
        <v>0</v>
      </c>
      <c r="AH521" s="505">
        <f t="shared" si="74"/>
        <v>0</v>
      </c>
      <c r="AI521" s="132"/>
      <c r="AJ521" s="75">
        <f t="shared" si="73"/>
        <v>0</v>
      </c>
      <c r="AK521" s="75"/>
      <c r="AL521" s="75"/>
      <c r="AM521" s="75"/>
      <c r="AN521" s="64" t="s">
        <v>39</v>
      </c>
      <c r="AO521" s="64"/>
      <c r="AP521" s="64"/>
      <c r="AQ521" s="189"/>
      <c r="AR521" s="64"/>
      <c r="AS521" s="476"/>
      <c r="AT521" s="64"/>
      <c r="AU521" s="646"/>
      <c r="AV521" s="347"/>
      <c r="AW521" s="441"/>
    </row>
    <row r="522" spans="1:49" ht="48" hidden="1" customHeight="1" outlineLevel="4" x14ac:dyDescent="0.25">
      <c r="A522" s="63" t="str">
        <f t="shared" si="63"/>
        <v>1.3.1.9.31.61</v>
      </c>
      <c r="B522" s="64">
        <v>1</v>
      </c>
      <c r="C522" s="64">
        <v>3</v>
      </c>
      <c r="D522" s="64">
        <v>1</v>
      </c>
      <c r="E522" s="64">
        <v>9</v>
      </c>
      <c r="F522" s="64">
        <v>31</v>
      </c>
      <c r="G522" s="64">
        <v>61</v>
      </c>
      <c r="H522" s="65"/>
      <c r="I522" s="65"/>
      <c r="J522" s="65"/>
      <c r="K522" s="125" t="s">
        <v>558</v>
      </c>
      <c r="L522" s="64" t="s">
        <v>72</v>
      </c>
      <c r="M522" s="64" t="s">
        <v>73</v>
      </c>
      <c r="N522" s="64" t="s">
        <v>74</v>
      </c>
      <c r="O522" s="64" t="s">
        <v>542</v>
      </c>
      <c r="P522" s="69">
        <v>44930</v>
      </c>
      <c r="Q522" s="69">
        <v>45081</v>
      </c>
      <c r="R522" s="124">
        <f t="shared" si="75"/>
        <v>51850</v>
      </c>
      <c r="S522" s="123"/>
      <c r="T522" s="194"/>
      <c r="U522" s="75">
        <v>0</v>
      </c>
      <c r="V522" s="75"/>
      <c r="W522" s="75">
        <v>0</v>
      </c>
      <c r="X522" s="1122">
        <v>0</v>
      </c>
      <c r="Y522" s="75">
        <v>0</v>
      </c>
      <c r="Z522" s="75">
        <v>0</v>
      </c>
      <c r="AA522" s="1122">
        <v>0</v>
      </c>
      <c r="AB522" s="75">
        <v>0</v>
      </c>
      <c r="AC522" s="75">
        <v>0</v>
      </c>
      <c r="AD522" s="1122">
        <v>0</v>
      </c>
      <c r="AE522" s="75">
        <v>0</v>
      </c>
      <c r="AF522" s="75">
        <v>0</v>
      </c>
      <c r="AG522" s="1122">
        <v>0</v>
      </c>
      <c r="AH522" s="505">
        <f t="shared" si="74"/>
        <v>0</v>
      </c>
      <c r="AI522" s="132"/>
      <c r="AJ522" s="75">
        <f t="shared" si="73"/>
        <v>0</v>
      </c>
      <c r="AK522" s="75"/>
      <c r="AL522" s="75"/>
      <c r="AM522" s="75"/>
      <c r="AN522" s="64" t="s">
        <v>39</v>
      </c>
      <c r="AO522" s="64"/>
      <c r="AP522" s="64"/>
      <c r="AQ522" s="189"/>
      <c r="AR522" s="64"/>
      <c r="AS522" s="476"/>
      <c r="AT522" s="64"/>
      <c r="AU522" s="646"/>
      <c r="AV522" s="347"/>
      <c r="AW522" s="441"/>
    </row>
    <row r="523" spans="1:49" ht="48" hidden="1" customHeight="1" outlineLevel="4" x14ac:dyDescent="0.25">
      <c r="A523" s="63" t="str">
        <f t="shared" si="63"/>
        <v>1.3.1.9.31.62</v>
      </c>
      <c r="B523" s="64">
        <v>1</v>
      </c>
      <c r="C523" s="64">
        <v>3</v>
      </c>
      <c r="D523" s="64">
        <v>1</v>
      </c>
      <c r="E523" s="64">
        <v>9</v>
      </c>
      <c r="F523" s="64">
        <v>31</v>
      </c>
      <c r="G523" s="64">
        <v>62</v>
      </c>
      <c r="H523" s="65"/>
      <c r="I523" s="65"/>
      <c r="J523" s="65"/>
      <c r="K523" s="125" t="s">
        <v>1747</v>
      </c>
      <c r="L523" s="64" t="s">
        <v>72</v>
      </c>
      <c r="M523" s="64" t="s">
        <v>73</v>
      </c>
      <c r="N523" s="64" t="s">
        <v>74</v>
      </c>
      <c r="O523" s="64" t="s">
        <v>542</v>
      </c>
      <c r="P523" s="69">
        <v>44930</v>
      </c>
      <c r="Q523" s="69">
        <v>45081</v>
      </c>
      <c r="R523" s="124">
        <f t="shared" si="75"/>
        <v>51850</v>
      </c>
      <c r="S523" s="123"/>
      <c r="T523" s="194"/>
      <c r="U523" s="75">
        <v>0</v>
      </c>
      <c r="V523" s="75"/>
      <c r="W523" s="75">
        <v>0</v>
      </c>
      <c r="X523" s="1122">
        <v>0</v>
      </c>
      <c r="Y523" s="75">
        <v>0</v>
      </c>
      <c r="Z523" s="75">
        <v>0</v>
      </c>
      <c r="AA523" s="1122">
        <v>0</v>
      </c>
      <c r="AB523" s="75">
        <v>0</v>
      </c>
      <c r="AC523" s="75">
        <v>0</v>
      </c>
      <c r="AD523" s="1122">
        <v>0</v>
      </c>
      <c r="AE523" s="75">
        <v>0</v>
      </c>
      <c r="AF523" s="75">
        <v>0</v>
      </c>
      <c r="AG523" s="1122">
        <v>0</v>
      </c>
      <c r="AH523" s="505">
        <f t="shared" si="74"/>
        <v>0</v>
      </c>
      <c r="AI523" s="132"/>
      <c r="AJ523" s="75">
        <f t="shared" si="73"/>
        <v>0</v>
      </c>
      <c r="AK523" s="75"/>
      <c r="AL523" s="75"/>
      <c r="AM523" s="75"/>
      <c r="AN523" s="64" t="s">
        <v>39</v>
      </c>
      <c r="AO523" s="64"/>
      <c r="AP523" s="64"/>
      <c r="AQ523" s="189"/>
      <c r="AR523" s="64"/>
      <c r="AS523" s="476"/>
      <c r="AT523" s="64"/>
      <c r="AU523" s="646"/>
      <c r="AV523" s="347"/>
      <c r="AW523" s="441"/>
    </row>
    <row r="524" spans="1:49" ht="48" hidden="1" customHeight="1" outlineLevel="4" x14ac:dyDescent="0.25">
      <c r="A524" s="63" t="str">
        <f t="shared" si="63"/>
        <v>1.3.1.9.31.63</v>
      </c>
      <c r="B524" s="64">
        <v>1</v>
      </c>
      <c r="C524" s="64">
        <v>3</v>
      </c>
      <c r="D524" s="64">
        <v>1</v>
      </c>
      <c r="E524" s="64">
        <v>9</v>
      </c>
      <c r="F524" s="64">
        <v>31</v>
      </c>
      <c r="G524" s="64">
        <v>63</v>
      </c>
      <c r="H524" s="65"/>
      <c r="I524" s="65"/>
      <c r="J524" s="65"/>
      <c r="K524" s="125" t="s">
        <v>559</v>
      </c>
      <c r="L524" s="64" t="s">
        <v>72</v>
      </c>
      <c r="M524" s="64" t="s">
        <v>73</v>
      </c>
      <c r="N524" s="64" t="s">
        <v>74</v>
      </c>
      <c r="O524" s="64" t="s">
        <v>542</v>
      </c>
      <c r="P524" s="69">
        <v>44930</v>
      </c>
      <c r="Q524" s="69">
        <v>45081</v>
      </c>
      <c r="R524" s="124">
        <f t="shared" si="75"/>
        <v>51850</v>
      </c>
      <c r="S524" s="123"/>
      <c r="T524" s="194"/>
      <c r="U524" s="75">
        <v>0</v>
      </c>
      <c r="V524" s="75"/>
      <c r="W524" s="75">
        <v>0</v>
      </c>
      <c r="X524" s="1122">
        <v>0</v>
      </c>
      <c r="Y524" s="75">
        <v>0</v>
      </c>
      <c r="Z524" s="75">
        <v>0</v>
      </c>
      <c r="AA524" s="1122">
        <v>0</v>
      </c>
      <c r="AB524" s="75">
        <v>0</v>
      </c>
      <c r="AC524" s="75">
        <v>0</v>
      </c>
      <c r="AD524" s="1122">
        <v>0</v>
      </c>
      <c r="AE524" s="75">
        <v>0</v>
      </c>
      <c r="AF524" s="75">
        <v>0</v>
      </c>
      <c r="AG524" s="1122">
        <v>0</v>
      </c>
      <c r="AH524" s="505">
        <f t="shared" si="74"/>
        <v>0</v>
      </c>
      <c r="AI524" s="132"/>
      <c r="AJ524" s="75">
        <f t="shared" si="73"/>
        <v>0</v>
      </c>
      <c r="AK524" s="75"/>
      <c r="AL524" s="75"/>
      <c r="AM524" s="75"/>
      <c r="AN524" s="64" t="s">
        <v>39</v>
      </c>
      <c r="AO524" s="64"/>
      <c r="AP524" s="64"/>
      <c r="AQ524" s="189"/>
      <c r="AR524" s="64"/>
      <c r="AS524" s="476"/>
      <c r="AT524" s="64"/>
      <c r="AU524" s="646"/>
      <c r="AV524" s="347"/>
      <c r="AW524" s="441"/>
    </row>
    <row r="525" spans="1:49" ht="48" hidden="1" customHeight="1" outlineLevel="4" x14ac:dyDescent="0.25">
      <c r="A525" s="63" t="str">
        <f t="shared" si="63"/>
        <v>1.3.1.9.31.64</v>
      </c>
      <c r="B525" s="64">
        <v>1</v>
      </c>
      <c r="C525" s="64">
        <v>3</v>
      </c>
      <c r="D525" s="64">
        <v>1</v>
      </c>
      <c r="E525" s="64">
        <v>9</v>
      </c>
      <c r="F525" s="64">
        <v>31</v>
      </c>
      <c r="G525" s="64">
        <v>64</v>
      </c>
      <c r="H525" s="65"/>
      <c r="I525" s="65"/>
      <c r="J525" s="65"/>
      <c r="K525" s="125" t="s">
        <v>560</v>
      </c>
      <c r="L525" s="64" t="s">
        <v>72</v>
      </c>
      <c r="M525" s="64" t="s">
        <v>73</v>
      </c>
      <c r="N525" s="64" t="s">
        <v>74</v>
      </c>
      <c r="O525" s="64" t="s">
        <v>542</v>
      </c>
      <c r="P525" s="69">
        <v>44930</v>
      </c>
      <c r="Q525" s="69">
        <v>45081</v>
      </c>
      <c r="R525" s="124">
        <f t="shared" si="75"/>
        <v>51850</v>
      </c>
      <c r="S525" s="123"/>
      <c r="T525" s="194"/>
      <c r="U525" s="75">
        <v>0</v>
      </c>
      <c r="V525" s="75"/>
      <c r="W525" s="75">
        <v>0</v>
      </c>
      <c r="X525" s="1122">
        <v>0</v>
      </c>
      <c r="Y525" s="75">
        <v>0</v>
      </c>
      <c r="Z525" s="75">
        <v>0</v>
      </c>
      <c r="AA525" s="1122">
        <v>0</v>
      </c>
      <c r="AB525" s="75">
        <v>0</v>
      </c>
      <c r="AC525" s="75">
        <v>0</v>
      </c>
      <c r="AD525" s="1122">
        <v>0</v>
      </c>
      <c r="AE525" s="75">
        <v>0</v>
      </c>
      <c r="AF525" s="75">
        <v>0</v>
      </c>
      <c r="AG525" s="1122">
        <v>0</v>
      </c>
      <c r="AH525" s="505">
        <f t="shared" si="74"/>
        <v>0</v>
      </c>
      <c r="AI525" s="132"/>
      <c r="AJ525" s="75">
        <f t="shared" si="73"/>
        <v>0</v>
      </c>
      <c r="AK525" s="75"/>
      <c r="AL525" s="75"/>
      <c r="AM525" s="75"/>
      <c r="AN525" s="64" t="s">
        <v>39</v>
      </c>
      <c r="AO525" s="64"/>
      <c r="AP525" s="64"/>
      <c r="AQ525" s="189"/>
      <c r="AR525" s="64"/>
      <c r="AS525" s="476"/>
      <c r="AT525" s="64"/>
      <c r="AU525" s="646"/>
      <c r="AV525" s="347"/>
      <c r="AW525" s="441"/>
    </row>
    <row r="526" spans="1:49" ht="48" hidden="1" customHeight="1" outlineLevel="4" x14ac:dyDescent="0.25">
      <c r="A526" s="63" t="str">
        <f>CONCATENATE(B526,".",C526,".",D526,".",E526,".",F526,".",G526)</f>
        <v>1.3.0.9.32.58-64</v>
      </c>
      <c r="B526" s="64">
        <v>1</v>
      </c>
      <c r="C526" s="64">
        <v>3</v>
      </c>
      <c r="D526" s="64">
        <v>0</v>
      </c>
      <c r="E526" s="64">
        <v>9</v>
      </c>
      <c r="F526" s="64">
        <v>32</v>
      </c>
      <c r="G526" s="64" t="s">
        <v>64</v>
      </c>
      <c r="H526" s="65"/>
      <c r="I526" s="65"/>
      <c r="J526" s="65"/>
      <c r="K526" s="67" t="s">
        <v>561</v>
      </c>
      <c r="L526" s="64" t="s">
        <v>72</v>
      </c>
      <c r="M526" s="64" t="s">
        <v>562</v>
      </c>
      <c r="N526" s="64" t="s">
        <v>226</v>
      </c>
      <c r="O526" s="64" t="s">
        <v>361</v>
      </c>
      <c r="P526" s="69">
        <v>44930</v>
      </c>
      <c r="Q526" s="69">
        <v>45081</v>
      </c>
      <c r="R526" s="124">
        <f>70*300</f>
        <v>21000</v>
      </c>
      <c r="S526" s="123" t="s">
        <v>535</v>
      </c>
      <c r="T526" s="194">
        <v>0</v>
      </c>
      <c r="U526" s="75">
        <v>0</v>
      </c>
      <c r="V526" s="75"/>
      <c r="W526" s="75">
        <v>0</v>
      </c>
      <c r="X526" s="1122">
        <v>0</v>
      </c>
      <c r="Y526" s="75">
        <v>0</v>
      </c>
      <c r="Z526" s="75">
        <v>0</v>
      </c>
      <c r="AA526" s="1122">
        <v>0</v>
      </c>
      <c r="AB526" s="75">
        <v>0</v>
      </c>
      <c r="AC526" s="75">
        <v>0</v>
      </c>
      <c r="AD526" s="1122">
        <v>0</v>
      </c>
      <c r="AE526" s="75">
        <v>0</v>
      </c>
      <c r="AF526" s="75">
        <v>0</v>
      </c>
      <c r="AG526" s="1122">
        <v>0</v>
      </c>
      <c r="AH526" s="505">
        <f t="shared" si="74"/>
        <v>0</v>
      </c>
      <c r="AI526" s="132"/>
      <c r="AJ526" s="75">
        <f t="shared" si="73"/>
        <v>0</v>
      </c>
      <c r="AK526" s="75"/>
      <c r="AL526" s="75"/>
      <c r="AM526" s="75"/>
      <c r="AN526" s="64" t="s">
        <v>39</v>
      </c>
      <c r="AO526" s="64"/>
      <c r="AP526" s="64"/>
      <c r="AQ526" s="189"/>
      <c r="AR526" s="64"/>
      <c r="AS526" s="476"/>
      <c r="AT526" s="64"/>
      <c r="AU526" s="646"/>
      <c r="AV526" s="348" t="s">
        <v>563</v>
      </c>
      <c r="AW526" s="335" t="s">
        <v>127</v>
      </c>
    </row>
    <row r="527" spans="1:49" ht="48" hidden="1" customHeight="1" outlineLevel="4" x14ac:dyDescent="0.25">
      <c r="A527" s="63" t="str">
        <f>CONCATENATE(B527,".",C527,".",D527,".",E527,".",F527,".",G527)</f>
        <v>1.3.0.9.33.58</v>
      </c>
      <c r="B527" s="64">
        <v>1</v>
      </c>
      <c r="C527" s="64">
        <v>3</v>
      </c>
      <c r="D527" s="64">
        <v>0</v>
      </c>
      <c r="E527" s="64">
        <v>9</v>
      </c>
      <c r="F527" s="64">
        <v>33</v>
      </c>
      <c r="G527" s="64">
        <v>58</v>
      </c>
      <c r="H527" s="65"/>
      <c r="I527" s="65"/>
      <c r="J527" s="65"/>
      <c r="K527" s="67" t="s">
        <v>564</v>
      </c>
      <c r="L527" s="64" t="s">
        <v>359</v>
      </c>
      <c r="M527" s="64" t="s">
        <v>272</v>
      </c>
      <c r="N527" s="64" t="s">
        <v>360</v>
      </c>
      <c r="O527" s="64" t="s">
        <v>361</v>
      </c>
      <c r="P527" s="147">
        <v>44927</v>
      </c>
      <c r="Q527" s="147">
        <v>45291</v>
      </c>
      <c r="R527" s="124">
        <v>20</v>
      </c>
      <c r="S527" s="123"/>
      <c r="T527" s="194">
        <v>3</v>
      </c>
      <c r="U527" s="75">
        <v>0</v>
      </c>
      <c r="V527" s="75"/>
      <c r="W527" s="75">
        <v>0</v>
      </c>
      <c r="X527" s="1122">
        <v>0</v>
      </c>
      <c r="Y527" s="75">
        <v>0</v>
      </c>
      <c r="Z527" s="75">
        <v>0</v>
      </c>
      <c r="AA527" s="1122">
        <v>0</v>
      </c>
      <c r="AB527" s="75">
        <v>0</v>
      </c>
      <c r="AC527" s="75">
        <v>0</v>
      </c>
      <c r="AD527" s="1122">
        <v>0</v>
      </c>
      <c r="AE527" s="75">
        <v>0</v>
      </c>
      <c r="AF527" s="75">
        <v>0</v>
      </c>
      <c r="AG527" s="1122">
        <v>0</v>
      </c>
      <c r="AH527" s="505">
        <f t="shared" si="74"/>
        <v>0</v>
      </c>
      <c r="AI527" s="132"/>
      <c r="AJ527" s="75">
        <f t="shared" si="73"/>
        <v>0</v>
      </c>
      <c r="AK527" s="75"/>
      <c r="AL527" s="75"/>
      <c r="AM527" s="75"/>
      <c r="AN527" s="64" t="s">
        <v>39</v>
      </c>
      <c r="AO527" s="64" t="s">
        <v>1819</v>
      </c>
      <c r="AP527" s="68" t="s">
        <v>2231</v>
      </c>
      <c r="AQ527" s="873" t="s">
        <v>2233</v>
      </c>
      <c r="AR527" s="544" t="s">
        <v>2234</v>
      </c>
      <c r="AS527" s="880" t="s">
        <v>2235</v>
      </c>
      <c r="AT527" s="68" t="s">
        <v>2232</v>
      </c>
      <c r="AU527" s="964"/>
      <c r="AV527" s="348" t="s">
        <v>362</v>
      </c>
      <c r="AW527" s="335"/>
    </row>
    <row r="528" spans="1:49" ht="48" hidden="1" customHeight="1" outlineLevel="4" x14ac:dyDescent="0.25">
      <c r="A528" s="63" t="str">
        <f t="shared" ref="A528:A533" si="76">CONCATENATE(B528,".",C528,".",D528,".",E528,".",F528,".",G528)</f>
        <v>1.3.0.9.33.59</v>
      </c>
      <c r="B528" s="64">
        <v>1</v>
      </c>
      <c r="C528" s="64">
        <v>3</v>
      </c>
      <c r="D528" s="64">
        <v>0</v>
      </c>
      <c r="E528" s="64">
        <v>9</v>
      </c>
      <c r="F528" s="64">
        <v>33</v>
      </c>
      <c r="G528" s="64">
        <v>59</v>
      </c>
      <c r="H528" s="65"/>
      <c r="I528" s="65"/>
      <c r="J528" s="65"/>
      <c r="K528" s="67" t="s">
        <v>565</v>
      </c>
      <c r="L528" s="64" t="s">
        <v>359</v>
      </c>
      <c r="M528" s="64" t="s">
        <v>272</v>
      </c>
      <c r="N528" s="64" t="s">
        <v>360</v>
      </c>
      <c r="O528" s="64" t="s">
        <v>361</v>
      </c>
      <c r="P528" s="147">
        <v>44927</v>
      </c>
      <c r="Q528" s="147">
        <v>45291</v>
      </c>
      <c r="R528" s="124">
        <v>1</v>
      </c>
      <c r="S528" s="123"/>
      <c r="T528" s="194">
        <v>1</v>
      </c>
      <c r="U528" s="75">
        <v>0</v>
      </c>
      <c r="V528" s="75"/>
      <c r="W528" s="75">
        <v>0</v>
      </c>
      <c r="X528" s="1122">
        <v>0</v>
      </c>
      <c r="Y528" s="75">
        <v>0</v>
      </c>
      <c r="Z528" s="75">
        <v>0</v>
      </c>
      <c r="AA528" s="1122">
        <v>0</v>
      </c>
      <c r="AB528" s="75">
        <v>0</v>
      </c>
      <c r="AC528" s="75">
        <v>0</v>
      </c>
      <c r="AD528" s="1122">
        <v>0</v>
      </c>
      <c r="AE528" s="75">
        <v>0</v>
      </c>
      <c r="AF528" s="75">
        <v>0</v>
      </c>
      <c r="AG528" s="1122">
        <v>0</v>
      </c>
      <c r="AH528" s="505">
        <f t="shared" si="74"/>
        <v>0</v>
      </c>
      <c r="AI528" s="132"/>
      <c r="AJ528" s="75">
        <f t="shared" si="73"/>
        <v>0</v>
      </c>
      <c r="AK528" s="75"/>
      <c r="AL528" s="75"/>
      <c r="AM528" s="75"/>
      <c r="AN528" s="64" t="s">
        <v>39</v>
      </c>
      <c r="AO528" s="64" t="s">
        <v>1819</v>
      </c>
      <c r="AP528" s="64" t="s">
        <v>2198</v>
      </c>
      <c r="AQ528" s="189" t="s">
        <v>2199</v>
      </c>
      <c r="AR528" s="69">
        <v>44615</v>
      </c>
      <c r="AS528" s="865">
        <v>44704</v>
      </c>
      <c r="AT528" s="64" t="s">
        <v>2200</v>
      </c>
      <c r="AU528" s="964"/>
      <c r="AV528" s="348" t="s">
        <v>362</v>
      </c>
      <c r="AW528" s="335"/>
    </row>
    <row r="529" spans="1:49" ht="48" hidden="1" customHeight="1" outlineLevel="4" x14ac:dyDescent="0.25">
      <c r="A529" s="63" t="str">
        <f t="shared" si="76"/>
        <v>1.3.0.9.33.60</v>
      </c>
      <c r="B529" s="64">
        <v>1</v>
      </c>
      <c r="C529" s="64">
        <v>3</v>
      </c>
      <c r="D529" s="64">
        <v>0</v>
      </c>
      <c r="E529" s="64">
        <v>9</v>
      </c>
      <c r="F529" s="64">
        <v>33</v>
      </c>
      <c r="G529" s="64">
        <v>60</v>
      </c>
      <c r="H529" s="65"/>
      <c r="I529" s="65"/>
      <c r="J529" s="65"/>
      <c r="K529" s="67" t="s">
        <v>566</v>
      </c>
      <c r="L529" s="64" t="s">
        <v>359</v>
      </c>
      <c r="M529" s="64" t="s">
        <v>272</v>
      </c>
      <c r="N529" s="64" t="s">
        <v>360</v>
      </c>
      <c r="O529" s="64" t="s">
        <v>361</v>
      </c>
      <c r="P529" s="147">
        <v>44927</v>
      </c>
      <c r="Q529" s="147">
        <v>45291</v>
      </c>
      <c r="R529" s="124">
        <v>1</v>
      </c>
      <c r="S529" s="123"/>
      <c r="T529" s="194">
        <v>1</v>
      </c>
      <c r="U529" s="75">
        <v>0</v>
      </c>
      <c r="V529" s="75"/>
      <c r="W529" s="75">
        <v>0</v>
      </c>
      <c r="X529" s="1122">
        <v>0</v>
      </c>
      <c r="Y529" s="75">
        <v>0</v>
      </c>
      <c r="Z529" s="75">
        <v>0</v>
      </c>
      <c r="AA529" s="1122">
        <v>0</v>
      </c>
      <c r="AB529" s="75">
        <v>0</v>
      </c>
      <c r="AC529" s="75">
        <v>0</v>
      </c>
      <c r="AD529" s="1122">
        <v>0</v>
      </c>
      <c r="AE529" s="75">
        <v>0</v>
      </c>
      <c r="AF529" s="75">
        <v>0</v>
      </c>
      <c r="AG529" s="1122">
        <v>0</v>
      </c>
      <c r="AH529" s="505">
        <f t="shared" si="74"/>
        <v>0</v>
      </c>
      <c r="AI529" s="132"/>
      <c r="AJ529" s="75">
        <f t="shared" si="73"/>
        <v>0</v>
      </c>
      <c r="AK529" s="75"/>
      <c r="AL529" s="75"/>
      <c r="AM529" s="75"/>
      <c r="AN529" s="64" t="s">
        <v>39</v>
      </c>
      <c r="AO529" s="64" t="s">
        <v>1819</v>
      </c>
      <c r="AP529" s="64" t="s">
        <v>2198</v>
      </c>
      <c r="AQ529" s="189" t="s">
        <v>2199</v>
      </c>
      <c r="AR529" s="69">
        <v>44615</v>
      </c>
      <c r="AS529" s="865">
        <v>44704</v>
      </c>
      <c r="AT529" s="64" t="s">
        <v>2200</v>
      </c>
      <c r="AU529" s="964"/>
      <c r="AV529" s="348" t="s">
        <v>362</v>
      </c>
      <c r="AW529" s="335"/>
    </row>
    <row r="530" spans="1:49" ht="48" hidden="1" customHeight="1" outlineLevel="4" x14ac:dyDescent="0.25">
      <c r="A530" s="63" t="str">
        <f t="shared" si="76"/>
        <v>1.3.0.9.33.61</v>
      </c>
      <c r="B530" s="64">
        <v>1</v>
      </c>
      <c r="C530" s="64">
        <v>3</v>
      </c>
      <c r="D530" s="64">
        <v>0</v>
      </c>
      <c r="E530" s="64">
        <v>9</v>
      </c>
      <c r="F530" s="64">
        <v>33</v>
      </c>
      <c r="G530" s="64">
        <v>61</v>
      </c>
      <c r="H530" s="65"/>
      <c r="I530" s="65"/>
      <c r="J530" s="65"/>
      <c r="K530" s="67" t="s">
        <v>567</v>
      </c>
      <c r="L530" s="64" t="s">
        <v>359</v>
      </c>
      <c r="M530" s="64" t="s">
        <v>272</v>
      </c>
      <c r="N530" s="64" t="s">
        <v>360</v>
      </c>
      <c r="O530" s="64" t="s">
        <v>361</v>
      </c>
      <c r="P530" s="147">
        <v>44927</v>
      </c>
      <c r="Q530" s="147">
        <v>45291</v>
      </c>
      <c r="R530" s="124">
        <v>1</v>
      </c>
      <c r="S530" s="123"/>
      <c r="T530" s="194">
        <v>1</v>
      </c>
      <c r="U530" s="75">
        <v>0</v>
      </c>
      <c r="V530" s="75"/>
      <c r="W530" s="75">
        <v>0</v>
      </c>
      <c r="X530" s="1122">
        <v>0</v>
      </c>
      <c r="Y530" s="75">
        <v>0</v>
      </c>
      <c r="Z530" s="75">
        <v>0</v>
      </c>
      <c r="AA530" s="1122">
        <v>0</v>
      </c>
      <c r="AB530" s="75">
        <v>0</v>
      </c>
      <c r="AC530" s="75">
        <v>0</v>
      </c>
      <c r="AD530" s="1122">
        <v>0</v>
      </c>
      <c r="AE530" s="75">
        <v>0</v>
      </c>
      <c r="AF530" s="75">
        <v>0</v>
      </c>
      <c r="AG530" s="1122">
        <v>0</v>
      </c>
      <c r="AH530" s="505">
        <f t="shared" si="74"/>
        <v>0</v>
      </c>
      <c r="AI530" s="132"/>
      <c r="AJ530" s="75">
        <f t="shared" si="73"/>
        <v>0</v>
      </c>
      <c r="AK530" s="75"/>
      <c r="AL530" s="75"/>
      <c r="AM530" s="75"/>
      <c r="AN530" s="64" t="s">
        <v>39</v>
      </c>
      <c r="AO530" s="64" t="s">
        <v>1819</v>
      </c>
      <c r="AP530" s="64" t="s">
        <v>2198</v>
      </c>
      <c r="AQ530" s="189" t="s">
        <v>2199</v>
      </c>
      <c r="AR530" s="69">
        <v>44615</v>
      </c>
      <c r="AS530" s="865">
        <v>44704</v>
      </c>
      <c r="AT530" s="64" t="s">
        <v>2200</v>
      </c>
      <c r="AU530" s="964"/>
      <c r="AV530" s="348" t="s">
        <v>362</v>
      </c>
      <c r="AW530" s="335"/>
    </row>
    <row r="531" spans="1:49" ht="48" hidden="1" customHeight="1" outlineLevel="4" x14ac:dyDescent="0.25">
      <c r="A531" s="63" t="str">
        <f t="shared" si="76"/>
        <v>1.3.0.9.33.62</v>
      </c>
      <c r="B531" s="64">
        <v>1</v>
      </c>
      <c r="C531" s="64">
        <v>3</v>
      </c>
      <c r="D531" s="64">
        <v>0</v>
      </c>
      <c r="E531" s="64">
        <v>9</v>
      </c>
      <c r="F531" s="64">
        <v>33</v>
      </c>
      <c r="G531" s="64">
        <v>62</v>
      </c>
      <c r="H531" s="65"/>
      <c r="I531" s="65"/>
      <c r="J531" s="65"/>
      <c r="K531" s="67" t="s">
        <v>1748</v>
      </c>
      <c r="L531" s="64" t="s">
        <v>359</v>
      </c>
      <c r="M531" s="64" t="s">
        <v>272</v>
      </c>
      <c r="N531" s="64" t="s">
        <v>360</v>
      </c>
      <c r="O531" s="64" t="s">
        <v>361</v>
      </c>
      <c r="P531" s="147">
        <v>44927</v>
      </c>
      <c r="Q531" s="147">
        <v>45291</v>
      </c>
      <c r="R531" s="124">
        <v>1</v>
      </c>
      <c r="S531" s="123"/>
      <c r="T531" s="194">
        <v>1</v>
      </c>
      <c r="U531" s="75">
        <v>0</v>
      </c>
      <c r="V531" s="75"/>
      <c r="W531" s="75">
        <v>0</v>
      </c>
      <c r="X531" s="1122">
        <v>0</v>
      </c>
      <c r="Y531" s="75">
        <v>0</v>
      </c>
      <c r="Z531" s="75">
        <v>0</v>
      </c>
      <c r="AA531" s="1122">
        <v>0</v>
      </c>
      <c r="AB531" s="75">
        <v>0</v>
      </c>
      <c r="AC531" s="75">
        <v>0</v>
      </c>
      <c r="AD531" s="1122">
        <v>0</v>
      </c>
      <c r="AE531" s="75">
        <v>0</v>
      </c>
      <c r="AF531" s="75">
        <v>0</v>
      </c>
      <c r="AG531" s="1122">
        <v>0</v>
      </c>
      <c r="AH531" s="505">
        <f t="shared" si="74"/>
        <v>0</v>
      </c>
      <c r="AI531" s="132"/>
      <c r="AJ531" s="75">
        <f t="shared" si="73"/>
        <v>0</v>
      </c>
      <c r="AK531" s="75"/>
      <c r="AL531" s="75"/>
      <c r="AM531" s="75"/>
      <c r="AN531" s="64" t="s">
        <v>39</v>
      </c>
      <c r="AO531" s="64" t="s">
        <v>1819</v>
      </c>
      <c r="AP531" s="64" t="s">
        <v>2198</v>
      </c>
      <c r="AQ531" s="189" t="s">
        <v>2199</v>
      </c>
      <c r="AR531" s="69">
        <v>44615</v>
      </c>
      <c r="AS531" s="865">
        <v>44704</v>
      </c>
      <c r="AT531" s="64" t="s">
        <v>2200</v>
      </c>
      <c r="AU531" s="964"/>
      <c r="AV531" s="348" t="s">
        <v>362</v>
      </c>
      <c r="AW531" s="335"/>
    </row>
    <row r="532" spans="1:49" ht="48" hidden="1" customHeight="1" outlineLevel="4" x14ac:dyDescent="0.25">
      <c r="A532" s="63" t="str">
        <f t="shared" si="76"/>
        <v>1.3.0.9.33.63</v>
      </c>
      <c r="B532" s="64">
        <v>1</v>
      </c>
      <c r="C532" s="64">
        <v>3</v>
      </c>
      <c r="D532" s="64">
        <v>0</v>
      </c>
      <c r="E532" s="64">
        <v>9</v>
      </c>
      <c r="F532" s="64">
        <v>33</v>
      </c>
      <c r="G532" s="64">
        <v>63</v>
      </c>
      <c r="H532" s="65"/>
      <c r="I532" s="65"/>
      <c r="J532" s="65"/>
      <c r="K532" s="67" t="s">
        <v>568</v>
      </c>
      <c r="L532" s="64" t="s">
        <v>359</v>
      </c>
      <c r="M532" s="64" t="s">
        <v>272</v>
      </c>
      <c r="N532" s="64" t="s">
        <v>360</v>
      </c>
      <c r="O532" s="64" t="s">
        <v>361</v>
      </c>
      <c r="P532" s="147">
        <v>44927</v>
      </c>
      <c r="Q532" s="147">
        <v>45291</v>
      </c>
      <c r="R532" s="170"/>
      <c r="S532" s="170"/>
      <c r="T532" s="1188"/>
      <c r="U532" s="75">
        <v>0</v>
      </c>
      <c r="V532" s="75"/>
      <c r="W532" s="75">
        <v>0</v>
      </c>
      <c r="X532" s="1122">
        <v>0</v>
      </c>
      <c r="Y532" s="75">
        <v>0</v>
      </c>
      <c r="Z532" s="75">
        <v>0</v>
      </c>
      <c r="AA532" s="1122">
        <v>0</v>
      </c>
      <c r="AB532" s="75">
        <v>0</v>
      </c>
      <c r="AC532" s="75">
        <v>0</v>
      </c>
      <c r="AD532" s="1122">
        <v>0</v>
      </c>
      <c r="AE532" s="75">
        <v>0</v>
      </c>
      <c r="AF532" s="75">
        <v>0</v>
      </c>
      <c r="AG532" s="1122">
        <v>0</v>
      </c>
      <c r="AH532" s="505">
        <f t="shared" si="74"/>
        <v>0</v>
      </c>
      <c r="AI532" s="132"/>
      <c r="AJ532" s="75">
        <f t="shared" si="73"/>
        <v>0</v>
      </c>
      <c r="AK532" s="75"/>
      <c r="AL532" s="75"/>
      <c r="AM532" s="75"/>
      <c r="AN532" s="64" t="s">
        <v>39</v>
      </c>
      <c r="AO532" s="64" t="s">
        <v>1819</v>
      </c>
      <c r="AP532" s="64" t="s">
        <v>2198</v>
      </c>
      <c r="AQ532" s="189" t="s">
        <v>2199</v>
      </c>
      <c r="AR532" s="69">
        <v>44615</v>
      </c>
      <c r="AS532" s="865">
        <v>44704</v>
      </c>
      <c r="AT532" s="64" t="s">
        <v>2200</v>
      </c>
      <c r="AU532" s="964"/>
      <c r="AV532" s="348"/>
      <c r="AW532" s="441"/>
    </row>
    <row r="533" spans="1:49" ht="48" hidden="1" customHeight="1" outlineLevel="4" x14ac:dyDescent="0.25">
      <c r="A533" s="63" t="str">
        <f t="shared" si="76"/>
        <v>1.3.0.9.33.64</v>
      </c>
      <c r="B533" s="64">
        <v>1</v>
      </c>
      <c r="C533" s="64">
        <v>3</v>
      </c>
      <c r="D533" s="64">
        <v>0</v>
      </c>
      <c r="E533" s="64">
        <v>9</v>
      </c>
      <c r="F533" s="64">
        <v>33</v>
      </c>
      <c r="G533" s="64">
        <v>64</v>
      </c>
      <c r="H533" s="65"/>
      <c r="I533" s="65"/>
      <c r="J533" s="65"/>
      <c r="K533" s="67" t="s">
        <v>569</v>
      </c>
      <c r="L533" s="64" t="s">
        <v>359</v>
      </c>
      <c r="M533" s="100" t="s">
        <v>272</v>
      </c>
      <c r="N533" s="64" t="s">
        <v>360</v>
      </c>
      <c r="O533" s="64" t="s">
        <v>361</v>
      </c>
      <c r="P533" s="147">
        <v>44927</v>
      </c>
      <c r="Q533" s="147">
        <v>45291</v>
      </c>
      <c r="R533" s="124">
        <v>1</v>
      </c>
      <c r="S533" s="123"/>
      <c r="T533" s="194">
        <v>1</v>
      </c>
      <c r="U533" s="75">
        <v>0</v>
      </c>
      <c r="V533" s="75"/>
      <c r="W533" s="75">
        <v>0</v>
      </c>
      <c r="X533" s="1122">
        <v>0</v>
      </c>
      <c r="Y533" s="75">
        <v>0</v>
      </c>
      <c r="Z533" s="75">
        <v>0</v>
      </c>
      <c r="AA533" s="1122">
        <v>0</v>
      </c>
      <c r="AB533" s="75">
        <v>0</v>
      </c>
      <c r="AC533" s="75">
        <v>0</v>
      </c>
      <c r="AD533" s="1122">
        <v>0</v>
      </c>
      <c r="AE533" s="75">
        <v>0</v>
      </c>
      <c r="AF533" s="75">
        <v>0</v>
      </c>
      <c r="AG533" s="1122">
        <v>0</v>
      </c>
      <c r="AH533" s="505">
        <f t="shared" si="74"/>
        <v>0</v>
      </c>
      <c r="AI533" s="132"/>
      <c r="AJ533" s="75">
        <f t="shared" si="73"/>
        <v>0</v>
      </c>
      <c r="AK533" s="75"/>
      <c r="AL533" s="75"/>
      <c r="AM533" s="75"/>
      <c r="AN533" s="64" t="s">
        <v>39</v>
      </c>
      <c r="AO533" s="64"/>
      <c r="AP533" s="64"/>
      <c r="AQ533" s="189"/>
      <c r="AR533" s="69"/>
      <c r="AS533" s="865"/>
      <c r="AT533" s="64"/>
      <c r="AU533" s="964"/>
      <c r="AV533" s="348"/>
      <c r="AW533" s="335"/>
    </row>
    <row r="534" spans="1:49" ht="48" hidden="1" customHeight="1" outlineLevel="4" x14ac:dyDescent="0.25">
      <c r="A534" s="63" t="str">
        <f>CONCATENATE(B534,".",C534,".",D534,".",E534,".",F534,".",G534)</f>
        <v>1.3.0.9.34.58</v>
      </c>
      <c r="B534" s="64">
        <v>1</v>
      </c>
      <c r="C534" s="64">
        <v>3</v>
      </c>
      <c r="D534" s="64">
        <v>0</v>
      </c>
      <c r="E534" s="64">
        <v>9</v>
      </c>
      <c r="F534" s="64">
        <v>34</v>
      </c>
      <c r="G534" s="64">
        <v>58</v>
      </c>
      <c r="H534" s="65"/>
      <c r="I534" s="65"/>
      <c r="J534" s="65"/>
      <c r="K534" s="67" t="s">
        <v>570</v>
      </c>
      <c r="L534" s="64" t="s">
        <v>359</v>
      </c>
      <c r="M534" s="100" t="s">
        <v>571</v>
      </c>
      <c r="N534" s="64" t="s">
        <v>360</v>
      </c>
      <c r="O534" s="64" t="s">
        <v>361</v>
      </c>
      <c r="P534" s="147">
        <v>44927</v>
      </c>
      <c r="Q534" s="147">
        <v>45291</v>
      </c>
      <c r="R534" s="124">
        <v>20</v>
      </c>
      <c r="S534" s="123"/>
      <c r="T534" s="194">
        <v>11</v>
      </c>
      <c r="U534" s="75">
        <v>0</v>
      </c>
      <c r="V534" s="75"/>
      <c r="W534" s="75">
        <v>0</v>
      </c>
      <c r="X534" s="1122">
        <v>0</v>
      </c>
      <c r="Y534" s="75">
        <v>0</v>
      </c>
      <c r="Z534" s="75">
        <v>0</v>
      </c>
      <c r="AA534" s="1122">
        <v>0</v>
      </c>
      <c r="AB534" s="75">
        <v>0</v>
      </c>
      <c r="AC534" s="75">
        <v>0</v>
      </c>
      <c r="AD534" s="1122">
        <v>0</v>
      </c>
      <c r="AE534" s="75">
        <v>0</v>
      </c>
      <c r="AF534" s="75">
        <v>0</v>
      </c>
      <c r="AG534" s="1122">
        <v>0</v>
      </c>
      <c r="AH534" s="505">
        <f t="shared" si="74"/>
        <v>0</v>
      </c>
      <c r="AI534" s="132"/>
      <c r="AJ534" s="75">
        <f t="shared" si="73"/>
        <v>0</v>
      </c>
      <c r="AK534" s="75"/>
      <c r="AL534" s="75"/>
      <c r="AM534" s="75"/>
      <c r="AN534" s="64" t="s">
        <v>39</v>
      </c>
      <c r="AO534" s="64" t="s">
        <v>1819</v>
      </c>
      <c r="AP534" s="1331" t="s">
        <v>2219</v>
      </c>
      <c r="AQ534" s="164" t="s">
        <v>2022</v>
      </c>
      <c r="AR534" s="69">
        <v>44637</v>
      </c>
      <c r="AS534" s="865">
        <v>44637</v>
      </c>
      <c r="AT534" s="69">
        <v>44637</v>
      </c>
      <c r="AU534" s="964"/>
      <c r="AV534" s="348" t="s">
        <v>572</v>
      </c>
      <c r="AW534" s="1331" t="s">
        <v>2018</v>
      </c>
    </row>
    <row r="535" spans="1:49" ht="48" hidden="1" customHeight="1" outlineLevel="4" x14ac:dyDescent="0.25">
      <c r="A535" s="63" t="str">
        <f t="shared" ref="A535:A628" si="77">CONCATENATE(B535,".",C535,".",D535,".",E535,".",F535,".",G535)</f>
        <v>1.3.0.9.34.59</v>
      </c>
      <c r="B535" s="64">
        <v>1</v>
      </c>
      <c r="C535" s="64">
        <v>3</v>
      </c>
      <c r="D535" s="64">
        <v>0</v>
      </c>
      <c r="E535" s="64">
        <v>9</v>
      </c>
      <c r="F535" s="64">
        <v>34</v>
      </c>
      <c r="G535" s="64">
        <v>59</v>
      </c>
      <c r="H535" s="65"/>
      <c r="I535" s="65"/>
      <c r="J535" s="65"/>
      <c r="K535" s="67" t="s">
        <v>573</v>
      </c>
      <c r="L535" s="64" t="s">
        <v>359</v>
      </c>
      <c r="M535" s="100" t="s">
        <v>571</v>
      </c>
      <c r="N535" s="64" t="s">
        <v>360</v>
      </c>
      <c r="O535" s="64" t="s">
        <v>361</v>
      </c>
      <c r="P535" s="147">
        <v>44927</v>
      </c>
      <c r="Q535" s="147">
        <v>45291</v>
      </c>
      <c r="R535" s="124">
        <v>1</v>
      </c>
      <c r="S535" s="123"/>
      <c r="T535" s="194"/>
      <c r="U535" s="75">
        <v>0</v>
      </c>
      <c r="V535" s="75"/>
      <c r="W535" s="75">
        <v>0</v>
      </c>
      <c r="X535" s="1122">
        <v>0</v>
      </c>
      <c r="Y535" s="75">
        <v>0</v>
      </c>
      <c r="Z535" s="75">
        <v>0</v>
      </c>
      <c r="AA535" s="1122">
        <v>0</v>
      </c>
      <c r="AB535" s="75">
        <v>0</v>
      </c>
      <c r="AC535" s="75">
        <v>0</v>
      </c>
      <c r="AD535" s="1122">
        <v>0</v>
      </c>
      <c r="AE535" s="75">
        <v>0</v>
      </c>
      <c r="AF535" s="75">
        <v>0</v>
      </c>
      <c r="AG535" s="1122">
        <v>0</v>
      </c>
      <c r="AH535" s="505">
        <f t="shared" si="74"/>
        <v>0</v>
      </c>
      <c r="AI535" s="132"/>
      <c r="AJ535" s="75">
        <f t="shared" si="73"/>
        <v>0</v>
      </c>
      <c r="AK535" s="75"/>
      <c r="AL535" s="75"/>
      <c r="AM535" s="75"/>
      <c r="AN535" s="64" t="s">
        <v>39</v>
      </c>
      <c r="AO535" s="64" t="s">
        <v>1819</v>
      </c>
      <c r="AP535" s="1334"/>
      <c r="AQ535" s="164" t="s">
        <v>2023</v>
      </c>
      <c r="AR535" s="69">
        <v>44638</v>
      </c>
      <c r="AS535" s="865">
        <v>44638</v>
      </c>
      <c r="AT535" s="69">
        <v>44638</v>
      </c>
      <c r="AU535" s="964"/>
      <c r="AV535" s="348"/>
      <c r="AW535" s="1332"/>
    </row>
    <row r="536" spans="1:49" ht="48" hidden="1" customHeight="1" outlineLevel="4" x14ac:dyDescent="0.25">
      <c r="A536" s="63" t="str">
        <f t="shared" si="77"/>
        <v>1.3.0.9.34.60</v>
      </c>
      <c r="B536" s="64">
        <v>1</v>
      </c>
      <c r="C536" s="64">
        <v>3</v>
      </c>
      <c r="D536" s="64">
        <v>0</v>
      </c>
      <c r="E536" s="64">
        <v>9</v>
      </c>
      <c r="F536" s="64">
        <v>34</v>
      </c>
      <c r="G536" s="64">
        <v>60</v>
      </c>
      <c r="H536" s="65"/>
      <c r="I536" s="65"/>
      <c r="J536" s="65"/>
      <c r="K536" s="67" t="s">
        <v>574</v>
      </c>
      <c r="L536" s="64" t="s">
        <v>359</v>
      </c>
      <c r="M536" s="100" t="s">
        <v>571</v>
      </c>
      <c r="N536" s="64" t="s">
        <v>360</v>
      </c>
      <c r="O536" s="64" t="s">
        <v>361</v>
      </c>
      <c r="P536" s="147">
        <v>44927</v>
      </c>
      <c r="Q536" s="147">
        <v>45291</v>
      </c>
      <c r="R536" s="124">
        <v>1</v>
      </c>
      <c r="S536" s="123"/>
      <c r="T536" s="194"/>
      <c r="U536" s="75">
        <v>0</v>
      </c>
      <c r="V536" s="75"/>
      <c r="W536" s="75">
        <v>0</v>
      </c>
      <c r="X536" s="1122">
        <v>0</v>
      </c>
      <c r="Y536" s="75">
        <v>0</v>
      </c>
      <c r="Z536" s="75">
        <v>0</v>
      </c>
      <c r="AA536" s="1122">
        <v>0</v>
      </c>
      <c r="AB536" s="75">
        <v>0</v>
      </c>
      <c r="AC536" s="75">
        <v>0</v>
      </c>
      <c r="AD536" s="1122">
        <v>0</v>
      </c>
      <c r="AE536" s="75">
        <v>0</v>
      </c>
      <c r="AF536" s="75">
        <v>0</v>
      </c>
      <c r="AG536" s="1122">
        <v>0</v>
      </c>
      <c r="AH536" s="505">
        <f t="shared" si="74"/>
        <v>0</v>
      </c>
      <c r="AI536" s="132"/>
      <c r="AJ536" s="75">
        <f t="shared" si="73"/>
        <v>0</v>
      </c>
      <c r="AK536" s="75"/>
      <c r="AL536" s="75"/>
      <c r="AM536" s="75"/>
      <c r="AN536" s="64" t="s">
        <v>39</v>
      </c>
      <c r="AO536" s="64" t="s">
        <v>1819</v>
      </c>
      <c r="AP536" s="1334"/>
      <c r="AQ536" s="863" t="s">
        <v>2183</v>
      </c>
      <c r="AR536" s="69">
        <v>44691</v>
      </c>
      <c r="AS536" s="865">
        <v>44722</v>
      </c>
      <c r="AT536" s="69">
        <v>44691</v>
      </c>
      <c r="AU536" s="964"/>
      <c r="AV536" s="348"/>
      <c r="AW536" s="1332"/>
    </row>
    <row r="537" spans="1:49" ht="48" hidden="1" customHeight="1" outlineLevel="4" x14ac:dyDescent="0.25">
      <c r="A537" s="63" t="str">
        <f t="shared" si="77"/>
        <v>1.3.0.9.34.61</v>
      </c>
      <c r="B537" s="64">
        <v>1</v>
      </c>
      <c r="C537" s="64">
        <v>3</v>
      </c>
      <c r="D537" s="64">
        <v>0</v>
      </c>
      <c r="E537" s="64">
        <v>9</v>
      </c>
      <c r="F537" s="64">
        <v>34</v>
      </c>
      <c r="G537" s="64">
        <v>61</v>
      </c>
      <c r="H537" s="65"/>
      <c r="I537" s="65"/>
      <c r="J537" s="65"/>
      <c r="K537" s="67" t="s">
        <v>575</v>
      </c>
      <c r="L537" s="64" t="s">
        <v>359</v>
      </c>
      <c r="M537" s="100" t="s">
        <v>571</v>
      </c>
      <c r="N537" s="64" t="s">
        <v>360</v>
      </c>
      <c r="O537" s="64" t="s">
        <v>361</v>
      </c>
      <c r="P537" s="147">
        <v>44927</v>
      </c>
      <c r="Q537" s="147">
        <v>45291</v>
      </c>
      <c r="R537" s="124"/>
      <c r="S537" s="123"/>
      <c r="T537" s="194"/>
      <c r="U537" s="75">
        <v>0</v>
      </c>
      <c r="V537" s="75"/>
      <c r="W537" s="75">
        <v>0</v>
      </c>
      <c r="X537" s="1122">
        <v>0</v>
      </c>
      <c r="Y537" s="75">
        <v>0</v>
      </c>
      <c r="Z537" s="75">
        <v>0</v>
      </c>
      <c r="AA537" s="1122">
        <v>0</v>
      </c>
      <c r="AB537" s="75">
        <v>0</v>
      </c>
      <c r="AC537" s="75">
        <v>0</v>
      </c>
      <c r="AD537" s="1122">
        <v>0</v>
      </c>
      <c r="AE537" s="75">
        <v>0</v>
      </c>
      <c r="AF537" s="75">
        <v>0</v>
      </c>
      <c r="AG537" s="1122">
        <v>0</v>
      </c>
      <c r="AH537" s="505">
        <f t="shared" si="74"/>
        <v>0</v>
      </c>
      <c r="AI537" s="132"/>
      <c r="AJ537" s="75">
        <f t="shared" si="73"/>
        <v>0</v>
      </c>
      <c r="AK537" s="75"/>
      <c r="AL537" s="75"/>
      <c r="AM537" s="75"/>
      <c r="AN537" s="64" t="s">
        <v>39</v>
      </c>
      <c r="AO537" s="64" t="s">
        <v>1819</v>
      </c>
      <c r="AP537" s="1334"/>
      <c r="AQ537" s="863" t="s">
        <v>2220</v>
      </c>
      <c r="AR537" s="64" t="s">
        <v>2221</v>
      </c>
      <c r="AS537" s="865">
        <v>44874</v>
      </c>
      <c r="AT537" s="69">
        <v>44711</v>
      </c>
      <c r="AU537" s="964"/>
      <c r="AV537" s="348"/>
      <c r="AW537" s="1332"/>
    </row>
    <row r="538" spans="1:49" ht="48" hidden="1" customHeight="1" outlineLevel="4" x14ac:dyDescent="0.25">
      <c r="A538" s="63" t="str">
        <f t="shared" si="77"/>
        <v>1.3.0.9.34.62</v>
      </c>
      <c r="B538" s="64">
        <v>1</v>
      </c>
      <c r="C538" s="64">
        <v>3</v>
      </c>
      <c r="D538" s="64">
        <v>0</v>
      </c>
      <c r="E538" s="64">
        <v>9</v>
      </c>
      <c r="F538" s="64">
        <v>34</v>
      </c>
      <c r="G538" s="64">
        <v>62</v>
      </c>
      <c r="H538" s="65"/>
      <c r="I538" s="65"/>
      <c r="J538" s="65"/>
      <c r="K538" s="67" t="s">
        <v>1749</v>
      </c>
      <c r="L538" s="64" t="s">
        <v>359</v>
      </c>
      <c r="M538" s="100" t="s">
        <v>571</v>
      </c>
      <c r="N538" s="64" t="s">
        <v>360</v>
      </c>
      <c r="O538" s="64" t="s">
        <v>361</v>
      </c>
      <c r="P538" s="147">
        <v>44927</v>
      </c>
      <c r="Q538" s="147">
        <v>45291</v>
      </c>
      <c r="R538" s="124"/>
      <c r="S538" s="123"/>
      <c r="T538" s="194"/>
      <c r="U538" s="75">
        <v>0</v>
      </c>
      <c r="V538" s="75"/>
      <c r="W538" s="75">
        <v>0</v>
      </c>
      <c r="X538" s="1122">
        <v>0</v>
      </c>
      <c r="Y538" s="75">
        <v>0</v>
      </c>
      <c r="Z538" s="75">
        <v>0</v>
      </c>
      <c r="AA538" s="1122">
        <v>0</v>
      </c>
      <c r="AB538" s="75">
        <v>0</v>
      </c>
      <c r="AC538" s="75">
        <v>0</v>
      </c>
      <c r="AD538" s="1122">
        <v>0</v>
      </c>
      <c r="AE538" s="75">
        <v>0</v>
      </c>
      <c r="AF538" s="75">
        <v>0</v>
      </c>
      <c r="AG538" s="1122">
        <v>0</v>
      </c>
      <c r="AH538" s="505">
        <f t="shared" si="74"/>
        <v>0</v>
      </c>
      <c r="AI538" s="132"/>
      <c r="AJ538" s="75">
        <f t="shared" si="73"/>
        <v>0</v>
      </c>
      <c r="AK538" s="75"/>
      <c r="AL538" s="75"/>
      <c r="AM538" s="75"/>
      <c r="AN538" s="64" t="s">
        <v>39</v>
      </c>
      <c r="AO538" s="64" t="s">
        <v>1819</v>
      </c>
      <c r="AP538" s="1334"/>
      <c r="AQ538" s="863"/>
      <c r="AR538" s="64"/>
      <c r="AS538" s="476"/>
      <c r="AT538" s="64"/>
      <c r="AU538" s="964"/>
      <c r="AV538" s="348"/>
      <c r="AW538" s="1332"/>
    </row>
    <row r="539" spans="1:49" ht="48" hidden="1" customHeight="1" outlineLevel="4" x14ac:dyDescent="0.25">
      <c r="A539" s="63" t="str">
        <f t="shared" si="77"/>
        <v>1.3.0.9.34.63</v>
      </c>
      <c r="B539" s="64">
        <v>1</v>
      </c>
      <c r="C539" s="64">
        <v>3</v>
      </c>
      <c r="D539" s="64">
        <v>0</v>
      </c>
      <c r="E539" s="64">
        <v>9</v>
      </c>
      <c r="F539" s="64">
        <v>34</v>
      </c>
      <c r="G539" s="64">
        <v>63</v>
      </c>
      <c r="H539" s="65"/>
      <c r="I539" s="65"/>
      <c r="J539" s="65"/>
      <c r="K539" s="67" t="s">
        <v>576</v>
      </c>
      <c r="L539" s="64" t="s">
        <v>359</v>
      </c>
      <c r="M539" s="100" t="s">
        <v>571</v>
      </c>
      <c r="N539" s="64" t="s">
        <v>360</v>
      </c>
      <c r="O539" s="64" t="s">
        <v>361</v>
      </c>
      <c r="P539" s="147">
        <v>44927</v>
      </c>
      <c r="Q539" s="147">
        <v>45291</v>
      </c>
      <c r="R539" s="124"/>
      <c r="S539" s="123"/>
      <c r="T539" s="194"/>
      <c r="U539" s="75">
        <v>0</v>
      </c>
      <c r="V539" s="75"/>
      <c r="W539" s="75">
        <v>0</v>
      </c>
      <c r="X539" s="1122">
        <v>0</v>
      </c>
      <c r="Y539" s="75">
        <v>0</v>
      </c>
      <c r="Z539" s="75">
        <v>0</v>
      </c>
      <c r="AA539" s="1122">
        <v>0</v>
      </c>
      <c r="AB539" s="75">
        <v>0</v>
      </c>
      <c r="AC539" s="75">
        <v>0</v>
      </c>
      <c r="AD539" s="1122">
        <v>0</v>
      </c>
      <c r="AE539" s="75">
        <v>0</v>
      </c>
      <c r="AF539" s="75">
        <v>0</v>
      </c>
      <c r="AG539" s="1122">
        <v>0</v>
      </c>
      <c r="AH539" s="505">
        <f t="shared" si="74"/>
        <v>0</v>
      </c>
      <c r="AI539" s="132"/>
      <c r="AJ539" s="75">
        <f t="shared" si="73"/>
        <v>0</v>
      </c>
      <c r="AK539" s="75"/>
      <c r="AL539" s="75"/>
      <c r="AM539" s="75"/>
      <c r="AN539" s="64" t="s">
        <v>39</v>
      </c>
      <c r="AO539" s="64" t="s">
        <v>1819</v>
      </c>
      <c r="AP539" s="1334"/>
      <c r="AQ539" s="863"/>
      <c r="AR539" s="64"/>
      <c r="AS539" s="476"/>
      <c r="AT539" s="64"/>
      <c r="AU539" s="964"/>
      <c r="AV539" s="348"/>
      <c r="AW539" s="1332"/>
    </row>
    <row r="540" spans="1:49" ht="48" hidden="1" customHeight="1" outlineLevel="4" x14ac:dyDescent="0.25">
      <c r="A540" s="63" t="str">
        <f t="shared" si="77"/>
        <v>1.3.0.9.34.64</v>
      </c>
      <c r="B540" s="64">
        <v>1</v>
      </c>
      <c r="C540" s="64">
        <v>3</v>
      </c>
      <c r="D540" s="64">
        <v>0</v>
      </c>
      <c r="E540" s="64">
        <v>9</v>
      </c>
      <c r="F540" s="64">
        <v>34</v>
      </c>
      <c r="G540" s="64">
        <v>64</v>
      </c>
      <c r="H540" s="65"/>
      <c r="I540" s="65"/>
      <c r="J540" s="65"/>
      <c r="K540" s="67" t="s">
        <v>577</v>
      </c>
      <c r="L540" s="64" t="s">
        <v>359</v>
      </c>
      <c r="M540" s="100" t="s">
        <v>571</v>
      </c>
      <c r="N540" s="64" t="s">
        <v>360</v>
      </c>
      <c r="O540" s="64" t="s">
        <v>361</v>
      </c>
      <c r="P540" s="147">
        <v>44927</v>
      </c>
      <c r="Q540" s="147">
        <v>45291</v>
      </c>
      <c r="R540" s="124"/>
      <c r="S540" s="123"/>
      <c r="T540" s="194"/>
      <c r="U540" s="75">
        <v>0</v>
      </c>
      <c r="V540" s="75"/>
      <c r="W540" s="75">
        <v>0</v>
      </c>
      <c r="X540" s="1122">
        <v>0</v>
      </c>
      <c r="Y540" s="75">
        <v>0</v>
      </c>
      <c r="Z540" s="75">
        <v>0</v>
      </c>
      <c r="AA540" s="1122">
        <v>0</v>
      </c>
      <c r="AB540" s="75">
        <v>0</v>
      </c>
      <c r="AC540" s="75">
        <v>0</v>
      </c>
      <c r="AD540" s="1122">
        <v>0</v>
      </c>
      <c r="AE540" s="75">
        <v>0</v>
      </c>
      <c r="AF540" s="75">
        <v>0</v>
      </c>
      <c r="AG540" s="1122">
        <v>0</v>
      </c>
      <c r="AH540" s="505">
        <f t="shared" si="74"/>
        <v>0</v>
      </c>
      <c r="AI540" s="132"/>
      <c r="AJ540" s="75">
        <f t="shared" si="73"/>
        <v>0</v>
      </c>
      <c r="AK540" s="75"/>
      <c r="AL540" s="75"/>
      <c r="AM540" s="75"/>
      <c r="AN540" s="64" t="s">
        <v>39</v>
      </c>
      <c r="AO540" s="64" t="s">
        <v>1819</v>
      </c>
      <c r="AP540" s="1335"/>
      <c r="AQ540" s="864"/>
      <c r="AR540" s="64"/>
      <c r="AS540" s="476"/>
      <c r="AT540" s="64"/>
      <c r="AU540" s="964"/>
      <c r="AV540" s="348"/>
      <c r="AW540" s="1333"/>
    </row>
    <row r="541" spans="1:49" ht="48" hidden="1" customHeight="1" outlineLevel="4" x14ac:dyDescent="0.25">
      <c r="A541" s="63" t="str">
        <f t="shared" si="77"/>
        <v>1.3.0.9.35.58</v>
      </c>
      <c r="B541" s="64">
        <v>1</v>
      </c>
      <c r="C541" s="64">
        <v>3</v>
      </c>
      <c r="D541" s="64">
        <v>0</v>
      </c>
      <c r="E541" s="64">
        <v>9</v>
      </c>
      <c r="F541" s="64">
        <v>35</v>
      </c>
      <c r="G541" s="64">
        <v>58</v>
      </c>
      <c r="H541" s="65"/>
      <c r="I541" s="65"/>
      <c r="J541" s="65"/>
      <c r="K541" s="67" t="s">
        <v>578</v>
      </c>
      <c r="L541" s="64" t="s">
        <v>359</v>
      </c>
      <c r="M541" s="100" t="s">
        <v>271</v>
      </c>
      <c r="N541" s="64" t="s">
        <v>360</v>
      </c>
      <c r="O541" s="64" t="s">
        <v>361</v>
      </c>
      <c r="P541" s="147">
        <v>44927</v>
      </c>
      <c r="Q541" s="147">
        <v>45291</v>
      </c>
      <c r="R541" s="124"/>
      <c r="S541" s="123" t="s">
        <v>323</v>
      </c>
      <c r="T541" s="194"/>
      <c r="U541" s="75">
        <v>0</v>
      </c>
      <c r="V541" s="75"/>
      <c r="W541" s="75">
        <v>0</v>
      </c>
      <c r="X541" s="1122">
        <v>0</v>
      </c>
      <c r="Y541" s="75">
        <v>0</v>
      </c>
      <c r="Z541" s="75">
        <v>0</v>
      </c>
      <c r="AA541" s="1122">
        <v>0</v>
      </c>
      <c r="AB541" s="75">
        <v>0</v>
      </c>
      <c r="AC541" s="75">
        <v>0</v>
      </c>
      <c r="AD541" s="1122">
        <v>0</v>
      </c>
      <c r="AE541" s="75">
        <v>0</v>
      </c>
      <c r="AF541" s="75">
        <v>0</v>
      </c>
      <c r="AG541" s="1122">
        <v>0</v>
      </c>
      <c r="AH541" s="505">
        <f t="shared" si="74"/>
        <v>0</v>
      </c>
      <c r="AI541" s="132"/>
      <c r="AJ541" s="75">
        <f t="shared" si="73"/>
        <v>0</v>
      </c>
      <c r="AK541" s="75"/>
      <c r="AL541" s="75"/>
      <c r="AM541" s="75"/>
      <c r="AN541" s="64" t="s">
        <v>39</v>
      </c>
      <c r="AO541" s="64"/>
      <c r="AP541" s="64"/>
      <c r="AQ541" s="189"/>
      <c r="AR541" s="64"/>
      <c r="AS541" s="476"/>
      <c r="AT541" s="64"/>
      <c r="AU541" s="646"/>
      <c r="AV541" s="348"/>
      <c r="AW541" s="335" t="s">
        <v>127</v>
      </c>
    </row>
    <row r="542" spans="1:49" ht="48" hidden="1" customHeight="1" outlineLevel="4" x14ac:dyDescent="0.25">
      <c r="A542" s="63" t="str">
        <f t="shared" si="77"/>
        <v>1.3.0.9.35.59</v>
      </c>
      <c r="B542" s="64">
        <v>1</v>
      </c>
      <c r="C542" s="64">
        <v>3</v>
      </c>
      <c r="D542" s="64">
        <v>0</v>
      </c>
      <c r="E542" s="64">
        <v>9</v>
      </c>
      <c r="F542" s="64">
        <v>35</v>
      </c>
      <c r="G542" s="64">
        <v>59</v>
      </c>
      <c r="H542" s="65"/>
      <c r="I542" s="65"/>
      <c r="J542" s="65"/>
      <c r="K542" s="65" t="s">
        <v>579</v>
      </c>
      <c r="L542" s="64" t="s">
        <v>359</v>
      </c>
      <c r="M542" s="100" t="s">
        <v>271</v>
      </c>
      <c r="N542" s="64" t="s">
        <v>360</v>
      </c>
      <c r="O542" s="64" t="s">
        <v>361</v>
      </c>
      <c r="P542" s="147">
        <v>44927</v>
      </c>
      <c r="Q542" s="147">
        <v>45291</v>
      </c>
      <c r="R542" s="124"/>
      <c r="S542" s="123" t="s">
        <v>323</v>
      </c>
      <c r="T542" s="194"/>
      <c r="U542" s="75">
        <v>0</v>
      </c>
      <c r="V542" s="75"/>
      <c r="W542" s="75">
        <v>0</v>
      </c>
      <c r="X542" s="1122">
        <v>0</v>
      </c>
      <c r="Y542" s="75">
        <v>0</v>
      </c>
      <c r="Z542" s="75">
        <v>0</v>
      </c>
      <c r="AA542" s="1122">
        <v>0</v>
      </c>
      <c r="AB542" s="75">
        <v>0</v>
      </c>
      <c r="AC542" s="75">
        <v>0</v>
      </c>
      <c r="AD542" s="1122">
        <v>0</v>
      </c>
      <c r="AE542" s="75">
        <v>0</v>
      </c>
      <c r="AF542" s="75">
        <v>0</v>
      </c>
      <c r="AG542" s="1122">
        <v>0</v>
      </c>
      <c r="AH542" s="505">
        <f t="shared" si="74"/>
        <v>0</v>
      </c>
      <c r="AI542" s="132"/>
      <c r="AJ542" s="75">
        <f t="shared" si="73"/>
        <v>0</v>
      </c>
      <c r="AK542" s="75"/>
      <c r="AL542" s="75"/>
      <c r="AM542" s="75"/>
      <c r="AN542" s="64" t="s">
        <v>39</v>
      </c>
      <c r="AO542" s="64"/>
      <c r="AP542" s="64"/>
      <c r="AQ542" s="189"/>
      <c r="AR542" s="64"/>
      <c r="AS542" s="476"/>
      <c r="AT542" s="64"/>
      <c r="AU542" s="646"/>
      <c r="AV542" s="348"/>
      <c r="AW542" s="335" t="s">
        <v>127</v>
      </c>
    </row>
    <row r="543" spans="1:49" ht="48" hidden="1" customHeight="1" outlineLevel="4" x14ac:dyDescent="0.25">
      <c r="A543" s="63" t="str">
        <f t="shared" si="77"/>
        <v>1.3.0.9.35.60</v>
      </c>
      <c r="B543" s="64">
        <v>1</v>
      </c>
      <c r="C543" s="64">
        <v>3</v>
      </c>
      <c r="D543" s="64">
        <v>0</v>
      </c>
      <c r="E543" s="64">
        <v>9</v>
      </c>
      <c r="F543" s="64">
        <v>35</v>
      </c>
      <c r="G543" s="64">
        <v>60</v>
      </c>
      <c r="H543" s="65"/>
      <c r="I543" s="65"/>
      <c r="J543" s="65"/>
      <c r="K543" s="65" t="s">
        <v>580</v>
      </c>
      <c r="L543" s="64" t="s">
        <v>359</v>
      </c>
      <c r="M543" s="100" t="s">
        <v>271</v>
      </c>
      <c r="N543" s="64" t="s">
        <v>360</v>
      </c>
      <c r="O543" s="64" t="s">
        <v>361</v>
      </c>
      <c r="P543" s="147">
        <v>44927</v>
      </c>
      <c r="Q543" s="147">
        <v>45291</v>
      </c>
      <c r="R543" s="124">
        <v>1</v>
      </c>
      <c r="S543" s="123" t="s">
        <v>323</v>
      </c>
      <c r="T543" s="194"/>
      <c r="U543" s="75">
        <v>0</v>
      </c>
      <c r="V543" s="75"/>
      <c r="W543" s="75">
        <v>0</v>
      </c>
      <c r="X543" s="1122">
        <v>0</v>
      </c>
      <c r="Y543" s="75">
        <v>0</v>
      </c>
      <c r="Z543" s="75">
        <v>0</v>
      </c>
      <c r="AA543" s="1122">
        <v>0</v>
      </c>
      <c r="AB543" s="75">
        <v>0</v>
      </c>
      <c r="AC543" s="75">
        <v>0</v>
      </c>
      <c r="AD543" s="1122">
        <v>0</v>
      </c>
      <c r="AE543" s="75">
        <v>0</v>
      </c>
      <c r="AF543" s="75">
        <v>0</v>
      </c>
      <c r="AG543" s="1122">
        <v>0</v>
      </c>
      <c r="AH543" s="505">
        <f t="shared" si="74"/>
        <v>0</v>
      </c>
      <c r="AI543" s="132"/>
      <c r="AJ543" s="75">
        <f t="shared" si="73"/>
        <v>0</v>
      </c>
      <c r="AK543" s="75"/>
      <c r="AL543" s="75"/>
      <c r="AM543" s="75"/>
      <c r="AN543" s="64" t="s">
        <v>39</v>
      </c>
      <c r="AO543" s="64"/>
      <c r="AP543" s="64"/>
      <c r="AQ543" s="189"/>
      <c r="AR543" s="64"/>
      <c r="AS543" s="476"/>
      <c r="AT543" s="64"/>
      <c r="AU543" s="646"/>
      <c r="AV543" s="1094" t="s">
        <v>581</v>
      </c>
      <c r="AW543" s="90" t="s">
        <v>127</v>
      </c>
    </row>
    <row r="544" spans="1:49" ht="48" hidden="1" customHeight="1" outlineLevel="4" x14ac:dyDescent="0.25">
      <c r="A544" s="63" t="str">
        <f t="shared" si="77"/>
        <v>1.3.0.9.35.61</v>
      </c>
      <c r="B544" s="64">
        <v>1</v>
      </c>
      <c r="C544" s="64">
        <v>3</v>
      </c>
      <c r="D544" s="64">
        <v>0</v>
      </c>
      <c r="E544" s="64">
        <v>9</v>
      </c>
      <c r="F544" s="64">
        <v>35</v>
      </c>
      <c r="G544" s="64">
        <v>61</v>
      </c>
      <c r="H544" s="65"/>
      <c r="I544" s="65"/>
      <c r="J544" s="65"/>
      <c r="K544" s="65" t="s">
        <v>582</v>
      </c>
      <c r="L544" s="64" t="s">
        <v>359</v>
      </c>
      <c r="M544" s="100" t="s">
        <v>271</v>
      </c>
      <c r="N544" s="64" t="s">
        <v>360</v>
      </c>
      <c r="O544" s="64" t="s">
        <v>361</v>
      </c>
      <c r="P544" s="147">
        <v>44927</v>
      </c>
      <c r="Q544" s="147">
        <v>45291</v>
      </c>
      <c r="R544" s="124"/>
      <c r="S544" s="123" t="s">
        <v>323</v>
      </c>
      <c r="T544" s="194"/>
      <c r="U544" s="75">
        <v>0</v>
      </c>
      <c r="V544" s="75"/>
      <c r="W544" s="75">
        <v>0</v>
      </c>
      <c r="X544" s="1122">
        <v>0</v>
      </c>
      <c r="Y544" s="75">
        <v>0</v>
      </c>
      <c r="Z544" s="75">
        <v>0</v>
      </c>
      <c r="AA544" s="1122">
        <v>0</v>
      </c>
      <c r="AB544" s="75">
        <v>0</v>
      </c>
      <c r="AC544" s="75">
        <v>0</v>
      </c>
      <c r="AD544" s="1122">
        <v>0</v>
      </c>
      <c r="AE544" s="75">
        <v>0</v>
      </c>
      <c r="AF544" s="75">
        <v>0</v>
      </c>
      <c r="AG544" s="1122">
        <v>0</v>
      </c>
      <c r="AH544" s="505">
        <f t="shared" si="74"/>
        <v>0</v>
      </c>
      <c r="AI544" s="132"/>
      <c r="AJ544" s="75">
        <f t="shared" si="73"/>
        <v>0</v>
      </c>
      <c r="AK544" s="75"/>
      <c r="AL544" s="75"/>
      <c r="AM544" s="75"/>
      <c r="AN544" s="64" t="s">
        <v>39</v>
      </c>
      <c r="AO544" s="64"/>
      <c r="AP544" s="64"/>
      <c r="AQ544" s="189"/>
      <c r="AR544" s="64"/>
      <c r="AS544" s="476"/>
      <c r="AT544" s="64"/>
      <c r="AU544" s="646"/>
      <c r="AV544" s="1094"/>
      <c r="AW544" s="90" t="s">
        <v>127</v>
      </c>
    </row>
    <row r="545" spans="1:49" ht="48" hidden="1" customHeight="1" outlineLevel="4" x14ac:dyDescent="0.25">
      <c r="A545" s="63" t="str">
        <f t="shared" si="77"/>
        <v>1.3.0.9.35.62</v>
      </c>
      <c r="B545" s="64">
        <v>1</v>
      </c>
      <c r="C545" s="64">
        <v>3</v>
      </c>
      <c r="D545" s="64">
        <v>0</v>
      </c>
      <c r="E545" s="64">
        <v>9</v>
      </c>
      <c r="F545" s="64">
        <v>35</v>
      </c>
      <c r="G545" s="64">
        <v>62</v>
      </c>
      <c r="H545" s="65"/>
      <c r="I545" s="65"/>
      <c r="J545" s="65"/>
      <c r="K545" s="65" t="s">
        <v>1750</v>
      </c>
      <c r="L545" s="64" t="s">
        <v>359</v>
      </c>
      <c r="M545" s="100" t="s">
        <v>271</v>
      </c>
      <c r="N545" s="64" t="s">
        <v>360</v>
      </c>
      <c r="O545" s="64" t="s">
        <v>361</v>
      </c>
      <c r="P545" s="147">
        <v>44927</v>
      </c>
      <c r="Q545" s="147">
        <v>45291</v>
      </c>
      <c r="R545" s="124"/>
      <c r="S545" s="123" t="s">
        <v>323</v>
      </c>
      <c r="T545" s="194"/>
      <c r="U545" s="75">
        <v>0</v>
      </c>
      <c r="V545" s="75"/>
      <c r="W545" s="75">
        <v>0</v>
      </c>
      <c r="X545" s="1122">
        <v>0</v>
      </c>
      <c r="Y545" s="75">
        <v>0</v>
      </c>
      <c r="Z545" s="75">
        <v>0</v>
      </c>
      <c r="AA545" s="1122">
        <v>0</v>
      </c>
      <c r="AB545" s="75">
        <v>0</v>
      </c>
      <c r="AC545" s="75">
        <v>0</v>
      </c>
      <c r="AD545" s="1122">
        <v>0</v>
      </c>
      <c r="AE545" s="75">
        <v>0</v>
      </c>
      <c r="AF545" s="75">
        <v>0</v>
      </c>
      <c r="AG545" s="1122">
        <v>0</v>
      </c>
      <c r="AH545" s="505">
        <f t="shared" si="74"/>
        <v>0</v>
      </c>
      <c r="AI545" s="132"/>
      <c r="AJ545" s="75">
        <f t="shared" si="73"/>
        <v>0</v>
      </c>
      <c r="AK545" s="75"/>
      <c r="AL545" s="75"/>
      <c r="AM545" s="75"/>
      <c r="AN545" s="64" t="s">
        <v>39</v>
      </c>
      <c r="AO545" s="64"/>
      <c r="AP545" s="64"/>
      <c r="AQ545" s="189"/>
      <c r="AR545" s="64"/>
      <c r="AS545" s="476"/>
      <c r="AT545" s="64"/>
      <c r="AU545" s="646"/>
      <c r="AV545" s="1094"/>
      <c r="AW545" s="90" t="s">
        <v>127</v>
      </c>
    </row>
    <row r="546" spans="1:49" ht="48" hidden="1" customHeight="1" outlineLevel="4" x14ac:dyDescent="0.25">
      <c r="A546" s="63" t="str">
        <f t="shared" si="77"/>
        <v>1.3.0.9.35.63</v>
      </c>
      <c r="B546" s="64">
        <v>1</v>
      </c>
      <c r="C546" s="64">
        <v>3</v>
      </c>
      <c r="D546" s="64">
        <v>0</v>
      </c>
      <c r="E546" s="64">
        <v>9</v>
      </c>
      <c r="F546" s="64">
        <v>35</v>
      </c>
      <c r="G546" s="64">
        <v>63</v>
      </c>
      <c r="H546" s="65"/>
      <c r="I546" s="65"/>
      <c r="J546" s="65"/>
      <c r="K546" s="65" t="s">
        <v>583</v>
      </c>
      <c r="L546" s="64" t="s">
        <v>359</v>
      </c>
      <c r="M546" s="100" t="s">
        <v>271</v>
      </c>
      <c r="N546" s="64" t="s">
        <v>360</v>
      </c>
      <c r="O546" s="64" t="s">
        <v>361</v>
      </c>
      <c r="P546" s="147">
        <v>44927</v>
      </c>
      <c r="Q546" s="147">
        <v>45291</v>
      </c>
      <c r="R546" s="124">
        <v>1</v>
      </c>
      <c r="S546" s="123" t="s">
        <v>323</v>
      </c>
      <c r="T546" s="194"/>
      <c r="U546" s="75">
        <v>0</v>
      </c>
      <c r="V546" s="75"/>
      <c r="W546" s="75">
        <v>0</v>
      </c>
      <c r="X546" s="1122">
        <v>0</v>
      </c>
      <c r="Y546" s="75">
        <v>0</v>
      </c>
      <c r="Z546" s="75">
        <v>0</v>
      </c>
      <c r="AA546" s="1122">
        <v>0</v>
      </c>
      <c r="AB546" s="75">
        <v>0</v>
      </c>
      <c r="AC546" s="75">
        <v>0</v>
      </c>
      <c r="AD546" s="1122">
        <v>0</v>
      </c>
      <c r="AE546" s="75">
        <v>0</v>
      </c>
      <c r="AF546" s="75">
        <v>0</v>
      </c>
      <c r="AG546" s="1122">
        <v>0</v>
      </c>
      <c r="AH546" s="505">
        <f t="shared" si="74"/>
        <v>0</v>
      </c>
      <c r="AI546" s="132"/>
      <c r="AJ546" s="75">
        <f t="shared" si="73"/>
        <v>0</v>
      </c>
      <c r="AK546" s="75"/>
      <c r="AL546" s="75"/>
      <c r="AM546" s="75"/>
      <c r="AN546" s="64" t="s">
        <v>39</v>
      </c>
      <c r="AO546" s="64"/>
      <c r="AP546" s="64"/>
      <c r="AQ546" s="189"/>
      <c r="AR546" s="64"/>
      <c r="AS546" s="476"/>
      <c r="AT546" s="64"/>
      <c r="AU546" s="646"/>
      <c r="AV546" s="1094" t="s">
        <v>584</v>
      </c>
      <c r="AW546" s="90" t="s">
        <v>127</v>
      </c>
    </row>
    <row r="547" spans="1:49" ht="48" hidden="1" customHeight="1" outlineLevel="4" x14ac:dyDescent="0.25">
      <c r="A547" s="63" t="str">
        <f t="shared" si="77"/>
        <v>1.3.0.9.35.64</v>
      </c>
      <c r="B547" s="64">
        <v>1</v>
      </c>
      <c r="C547" s="64">
        <v>3</v>
      </c>
      <c r="D547" s="64">
        <v>0</v>
      </c>
      <c r="E547" s="64">
        <v>9</v>
      </c>
      <c r="F547" s="64">
        <v>35</v>
      </c>
      <c r="G547" s="64">
        <v>64</v>
      </c>
      <c r="H547" s="65"/>
      <c r="I547" s="65"/>
      <c r="J547" s="65"/>
      <c r="K547" s="65" t="s">
        <v>585</v>
      </c>
      <c r="L547" s="64" t="s">
        <v>359</v>
      </c>
      <c r="M547" s="100" t="s">
        <v>271</v>
      </c>
      <c r="N547" s="64" t="s">
        <v>360</v>
      </c>
      <c r="O547" s="64" t="s">
        <v>361</v>
      </c>
      <c r="P547" s="147">
        <v>44927</v>
      </c>
      <c r="Q547" s="147">
        <v>45291</v>
      </c>
      <c r="R547" s="124">
        <v>1</v>
      </c>
      <c r="S547" s="123" t="s">
        <v>323</v>
      </c>
      <c r="T547" s="194"/>
      <c r="U547" s="75">
        <v>0</v>
      </c>
      <c r="V547" s="75"/>
      <c r="W547" s="75">
        <v>0</v>
      </c>
      <c r="X547" s="1122">
        <v>0</v>
      </c>
      <c r="Y547" s="75">
        <v>0</v>
      </c>
      <c r="Z547" s="75">
        <v>0</v>
      </c>
      <c r="AA547" s="1122">
        <v>0</v>
      </c>
      <c r="AB547" s="75">
        <v>0</v>
      </c>
      <c r="AC547" s="75">
        <v>0</v>
      </c>
      <c r="AD547" s="1122">
        <v>0</v>
      </c>
      <c r="AE547" s="75">
        <v>0</v>
      </c>
      <c r="AF547" s="75">
        <v>0</v>
      </c>
      <c r="AG547" s="1122">
        <v>0</v>
      </c>
      <c r="AH547" s="505">
        <f t="shared" si="74"/>
        <v>0</v>
      </c>
      <c r="AI547" s="132"/>
      <c r="AJ547" s="75">
        <f t="shared" si="73"/>
        <v>0</v>
      </c>
      <c r="AK547" s="75"/>
      <c r="AL547" s="75"/>
      <c r="AM547" s="75"/>
      <c r="AN547" s="64" t="s">
        <v>39</v>
      </c>
      <c r="AO547" s="64"/>
      <c r="AP547" s="64"/>
      <c r="AQ547" s="189"/>
      <c r="AR547" s="64"/>
      <c r="AS547" s="476"/>
      <c r="AT547" s="64"/>
      <c r="AU547" s="646"/>
      <c r="AV547" s="1094" t="s">
        <v>581</v>
      </c>
      <c r="AW547" s="90" t="s">
        <v>127</v>
      </c>
    </row>
    <row r="548" spans="1:49" ht="48" hidden="1" customHeight="1" outlineLevel="4" x14ac:dyDescent="0.25">
      <c r="A548" s="63" t="str">
        <f t="shared" si="77"/>
        <v>1.3.0.9.36.58</v>
      </c>
      <c r="B548" s="64">
        <v>1</v>
      </c>
      <c r="C548" s="64">
        <v>3</v>
      </c>
      <c r="D548" s="64">
        <v>0</v>
      </c>
      <c r="E548" s="64">
        <v>9</v>
      </c>
      <c r="F548" s="64">
        <v>36</v>
      </c>
      <c r="G548" s="64">
        <v>58</v>
      </c>
      <c r="H548" s="65"/>
      <c r="I548" s="65"/>
      <c r="J548" s="65"/>
      <c r="K548" s="65" t="s">
        <v>586</v>
      </c>
      <c r="L548" s="64" t="s">
        <v>72</v>
      </c>
      <c r="M548" s="100" t="s">
        <v>587</v>
      </c>
      <c r="N548" s="64" t="s">
        <v>288</v>
      </c>
      <c r="O548" s="64" t="s">
        <v>72</v>
      </c>
      <c r="P548" s="147">
        <v>44927</v>
      </c>
      <c r="Q548" s="147">
        <v>45291</v>
      </c>
      <c r="R548" s="124">
        <v>12</v>
      </c>
      <c r="S548" s="123"/>
      <c r="T548" s="194">
        <v>3</v>
      </c>
      <c r="U548" s="75">
        <v>0</v>
      </c>
      <c r="V548" s="75"/>
      <c r="W548" s="75">
        <v>0</v>
      </c>
      <c r="X548" s="1122">
        <v>0</v>
      </c>
      <c r="Y548" s="75">
        <v>0</v>
      </c>
      <c r="Z548" s="75">
        <v>0</v>
      </c>
      <c r="AA548" s="1122">
        <v>0</v>
      </c>
      <c r="AB548" s="75">
        <v>0</v>
      </c>
      <c r="AC548" s="75">
        <v>0</v>
      </c>
      <c r="AD548" s="1122">
        <v>0</v>
      </c>
      <c r="AE548" s="75">
        <v>0</v>
      </c>
      <c r="AF548" s="75">
        <v>0</v>
      </c>
      <c r="AG548" s="1122">
        <v>0</v>
      </c>
      <c r="AH548" s="505">
        <f t="shared" si="74"/>
        <v>0</v>
      </c>
      <c r="AI548" s="132"/>
      <c r="AJ548" s="75">
        <f t="shared" si="73"/>
        <v>0</v>
      </c>
      <c r="AK548" s="75"/>
      <c r="AL548" s="75"/>
      <c r="AM548" s="75"/>
      <c r="AN548" s="64" t="s">
        <v>39</v>
      </c>
      <c r="AO548" s="64"/>
      <c r="AP548" s="64"/>
      <c r="AQ548" s="189"/>
      <c r="AR548" s="64"/>
      <c r="AS548" s="476"/>
      <c r="AT548" s="64"/>
      <c r="AU548" s="646"/>
      <c r="AV548" s="354" t="s">
        <v>588</v>
      </c>
      <c r="AW548" s="335" t="s">
        <v>589</v>
      </c>
    </row>
    <row r="549" spans="1:49" ht="48" hidden="1" customHeight="1" outlineLevel="4" x14ac:dyDescent="0.25">
      <c r="A549" s="63" t="str">
        <f t="shared" si="77"/>
        <v>1.3.0.9.36.59</v>
      </c>
      <c r="B549" s="64">
        <v>1</v>
      </c>
      <c r="C549" s="64">
        <v>3</v>
      </c>
      <c r="D549" s="64">
        <v>0</v>
      </c>
      <c r="E549" s="64">
        <v>9</v>
      </c>
      <c r="F549" s="64">
        <v>36</v>
      </c>
      <c r="G549" s="64">
        <v>59</v>
      </c>
      <c r="H549" s="65"/>
      <c r="I549" s="65"/>
      <c r="J549" s="65"/>
      <c r="K549" s="65" t="s">
        <v>590</v>
      </c>
      <c r="L549" s="64" t="s">
        <v>72</v>
      </c>
      <c r="M549" s="100" t="s">
        <v>587</v>
      </c>
      <c r="N549" s="64" t="s">
        <v>288</v>
      </c>
      <c r="O549" s="64" t="s">
        <v>72</v>
      </c>
      <c r="P549" s="147">
        <v>44927</v>
      </c>
      <c r="Q549" s="147">
        <v>45291</v>
      </c>
      <c r="R549" s="124">
        <v>12</v>
      </c>
      <c r="S549" s="124">
        <v>3</v>
      </c>
      <c r="T549" s="194">
        <v>3</v>
      </c>
      <c r="U549" s="75">
        <v>0</v>
      </c>
      <c r="V549" s="75"/>
      <c r="W549" s="75">
        <v>0</v>
      </c>
      <c r="X549" s="1122">
        <v>0</v>
      </c>
      <c r="Y549" s="75">
        <v>0</v>
      </c>
      <c r="Z549" s="75">
        <v>0</v>
      </c>
      <c r="AA549" s="1122">
        <v>0</v>
      </c>
      <c r="AB549" s="75">
        <v>0</v>
      </c>
      <c r="AC549" s="75">
        <v>0</v>
      </c>
      <c r="AD549" s="1122">
        <v>0</v>
      </c>
      <c r="AE549" s="75">
        <v>0</v>
      </c>
      <c r="AF549" s="75">
        <v>0</v>
      </c>
      <c r="AG549" s="1122">
        <v>0</v>
      </c>
      <c r="AH549" s="505">
        <f t="shared" si="74"/>
        <v>0</v>
      </c>
      <c r="AI549" s="132"/>
      <c r="AJ549" s="75">
        <f t="shared" si="73"/>
        <v>0</v>
      </c>
      <c r="AK549" s="157"/>
      <c r="AL549" s="157"/>
      <c r="AM549" s="157"/>
      <c r="AN549" s="64" t="s">
        <v>39</v>
      </c>
      <c r="AO549" s="64"/>
      <c r="AP549" s="64"/>
      <c r="AQ549" s="189"/>
      <c r="AR549" s="64"/>
      <c r="AS549" s="476"/>
      <c r="AT549" s="64"/>
      <c r="AU549" s="646"/>
      <c r="AV549" s="354" t="s">
        <v>588</v>
      </c>
      <c r="AW549" s="335" t="s">
        <v>589</v>
      </c>
    </row>
    <row r="550" spans="1:49" ht="48" hidden="1" customHeight="1" outlineLevel="4" x14ac:dyDescent="0.25">
      <c r="A550" s="63" t="str">
        <f t="shared" si="77"/>
        <v>1.3.0.9.36.60</v>
      </c>
      <c r="B550" s="64">
        <v>1</v>
      </c>
      <c r="C550" s="64">
        <v>3</v>
      </c>
      <c r="D550" s="64">
        <v>0</v>
      </c>
      <c r="E550" s="64">
        <v>9</v>
      </c>
      <c r="F550" s="64">
        <v>36</v>
      </c>
      <c r="G550" s="64">
        <v>60</v>
      </c>
      <c r="H550" s="65"/>
      <c r="I550" s="65"/>
      <c r="J550" s="65"/>
      <c r="K550" s="65" t="s">
        <v>591</v>
      </c>
      <c r="L550" s="64" t="s">
        <v>72</v>
      </c>
      <c r="M550" s="100" t="s">
        <v>587</v>
      </c>
      <c r="N550" s="64" t="s">
        <v>288</v>
      </c>
      <c r="O550" s="64" t="s">
        <v>72</v>
      </c>
      <c r="P550" s="147">
        <v>44927</v>
      </c>
      <c r="Q550" s="147">
        <v>45291</v>
      </c>
      <c r="R550" s="124">
        <v>12</v>
      </c>
      <c r="S550" s="124">
        <v>3</v>
      </c>
      <c r="T550" s="194">
        <v>3</v>
      </c>
      <c r="U550" s="75">
        <v>0</v>
      </c>
      <c r="V550" s="75"/>
      <c r="W550" s="75">
        <v>0</v>
      </c>
      <c r="X550" s="1122">
        <v>0</v>
      </c>
      <c r="Y550" s="75">
        <v>0</v>
      </c>
      <c r="Z550" s="75">
        <v>0</v>
      </c>
      <c r="AA550" s="1122">
        <v>0</v>
      </c>
      <c r="AB550" s="75">
        <v>0</v>
      </c>
      <c r="AC550" s="75">
        <v>0</v>
      </c>
      <c r="AD550" s="1122">
        <v>0</v>
      </c>
      <c r="AE550" s="75">
        <v>0</v>
      </c>
      <c r="AF550" s="75">
        <v>0</v>
      </c>
      <c r="AG550" s="1122">
        <v>0</v>
      </c>
      <c r="AH550" s="505">
        <f t="shared" si="74"/>
        <v>0</v>
      </c>
      <c r="AI550" s="132"/>
      <c r="AJ550" s="75">
        <f t="shared" si="73"/>
        <v>0</v>
      </c>
      <c r="AK550" s="75"/>
      <c r="AL550" s="75"/>
      <c r="AM550" s="75"/>
      <c r="AN550" s="64" t="s">
        <v>39</v>
      </c>
      <c r="AO550" s="64"/>
      <c r="AP550" s="64"/>
      <c r="AQ550" s="189"/>
      <c r="AR550" s="64"/>
      <c r="AS550" s="476"/>
      <c r="AT550" s="64"/>
      <c r="AU550" s="646"/>
      <c r="AV550" s="354" t="s">
        <v>588</v>
      </c>
      <c r="AW550" s="335" t="s">
        <v>589</v>
      </c>
    </row>
    <row r="551" spans="1:49" ht="48" hidden="1" customHeight="1" outlineLevel="4" x14ac:dyDescent="0.25">
      <c r="A551" s="63" t="str">
        <f t="shared" si="77"/>
        <v>1.3.0.9.36.61</v>
      </c>
      <c r="B551" s="64">
        <v>1</v>
      </c>
      <c r="C551" s="64">
        <v>3</v>
      </c>
      <c r="D551" s="64">
        <v>0</v>
      </c>
      <c r="E551" s="64">
        <v>9</v>
      </c>
      <c r="F551" s="64">
        <v>36</v>
      </c>
      <c r="G551" s="64">
        <v>61</v>
      </c>
      <c r="H551" s="65"/>
      <c r="I551" s="65"/>
      <c r="J551" s="65"/>
      <c r="K551" s="65" t="s">
        <v>592</v>
      </c>
      <c r="L551" s="64" t="s">
        <v>72</v>
      </c>
      <c r="M551" s="100" t="s">
        <v>587</v>
      </c>
      <c r="N551" s="64" t="s">
        <v>288</v>
      </c>
      <c r="O551" s="64" t="s">
        <v>72</v>
      </c>
      <c r="P551" s="147">
        <v>44927</v>
      </c>
      <c r="Q551" s="147">
        <v>45291</v>
      </c>
      <c r="R551" s="124">
        <v>12</v>
      </c>
      <c r="S551" s="124">
        <v>3</v>
      </c>
      <c r="T551" s="194">
        <v>3</v>
      </c>
      <c r="U551" s="75">
        <v>0</v>
      </c>
      <c r="V551" s="75"/>
      <c r="W551" s="75">
        <v>0</v>
      </c>
      <c r="X551" s="1122">
        <v>0</v>
      </c>
      <c r="Y551" s="75">
        <v>0</v>
      </c>
      <c r="Z551" s="75">
        <v>0</v>
      </c>
      <c r="AA551" s="1122">
        <v>0</v>
      </c>
      <c r="AB551" s="75">
        <v>0</v>
      </c>
      <c r="AC551" s="75">
        <v>0</v>
      </c>
      <c r="AD551" s="1122">
        <v>0</v>
      </c>
      <c r="AE551" s="75">
        <v>0</v>
      </c>
      <c r="AF551" s="75">
        <v>0</v>
      </c>
      <c r="AG551" s="1122">
        <v>0</v>
      </c>
      <c r="AH551" s="505">
        <f t="shared" si="74"/>
        <v>0</v>
      </c>
      <c r="AI551" s="132"/>
      <c r="AJ551" s="75">
        <f t="shared" si="73"/>
        <v>0</v>
      </c>
      <c r="AK551" s="75"/>
      <c r="AL551" s="75"/>
      <c r="AM551" s="75"/>
      <c r="AN551" s="64" t="s">
        <v>39</v>
      </c>
      <c r="AO551" s="64"/>
      <c r="AP551" s="64"/>
      <c r="AQ551" s="189"/>
      <c r="AR551" s="64"/>
      <c r="AS551" s="476"/>
      <c r="AT551" s="64"/>
      <c r="AU551" s="646"/>
      <c r="AV551" s="354" t="s">
        <v>588</v>
      </c>
      <c r="AW551" s="335" t="s">
        <v>589</v>
      </c>
    </row>
    <row r="552" spans="1:49" ht="48" hidden="1" customHeight="1" outlineLevel="4" x14ac:dyDescent="0.25">
      <c r="A552" s="63" t="str">
        <f t="shared" si="77"/>
        <v>1.3.0.9.36.62</v>
      </c>
      <c r="B552" s="64">
        <v>1</v>
      </c>
      <c r="C552" s="64">
        <v>3</v>
      </c>
      <c r="D552" s="64">
        <v>0</v>
      </c>
      <c r="E552" s="64">
        <v>9</v>
      </c>
      <c r="F552" s="64">
        <v>36</v>
      </c>
      <c r="G552" s="64">
        <v>62</v>
      </c>
      <c r="H552" s="65"/>
      <c r="I552" s="65"/>
      <c r="J552" s="65"/>
      <c r="K552" s="65" t="s">
        <v>1751</v>
      </c>
      <c r="L552" s="64" t="s">
        <v>72</v>
      </c>
      <c r="M552" s="100" t="s">
        <v>587</v>
      </c>
      <c r="N552" s="64" t="s">
        <v>288</v>
      </c>
      <c r="O552" s="64" t="s">
        <v>72</v>
      </c>
      <c r="P552" s="147">
        <v>44927</v>
      </c>
      <c r="Q552" s="147">
        <v>45291</v>
      </c>
      <c r="R552" s="124">
        <v>12</v>
      </c>
      <c r="S552" s="124">
        <v>3</v>
      </c>
      <c r="T552" s="194">
        <v>3</v>
      </c>
      <c r="U552" s="75">
        <v>0</v>
      </c>
      <c r="V552" s="75"/>
      <c r="W552" s="75">
        <v>0</v>
      </c>
      <c r="X552" s="1122">
        <v>0</v>
      </c>
      <c r="Y552" s="75">
        <v>0</v>
      </c>
      <c r="Z552" s="75">
        <v>0</v>
      </c>
      <c r="AA552" s="1122">
        <v>0</v>
      </c>
      <c r="AB552" s="75">
        <v>0</v>
      </c>
      <c r="AC552" s="75">
        <v>0</v>
      </c>
      <c r="AD552" s="1122">
        <v>0</v>
      </c>
      <c r="AE552" s="75">
        <v>0</v>
      </c>
      <c r="AF552" s="75">
        <v>0</v>
      </c>
      <c r="AG552" s="1122">
        <v>0</v>
      </c>
      <c r="AH552" s="505">
        <f t="shared" si="74"/>
        <v>0</v>
      </c>
      <c r="AI552" s="132"/>
      <c r="AJ552" s="75">
        <f t="shared" si="73"/>
        <v>0</v>
      </c>
      <c r="AK552" s="157"/>
      <c r="AL552" s="157"/>
      <c r="AM552" s="157"/>
      <c r="AN552" s="64" t="s">
        <v>39</v>
      </c>
      <c r="AO552" s="64"/>
      <c r="AP552" s="64"/>
      <c r="AQ552" s="189"/>
      <c r="AR552" s="64"/>
      <c r="AS552" s="476"/>
      <c r="AT552" s="64"/>
      <c r="AU552" s="646"/>
      <c r="AV552" s="354" t="s">
        <v>588</v>
      </c>
      <c r="AW552" s="335" t="s">
        <v>589</v>
      </c>
    </row>
    <row r="553" spans="1:49" ht="48" hidden="1" customHeight="1" outlineLevel="4" x14ac:dyDescent="0.25">
      <c r="A553" s="63" t="str">
        <f t="shared" si="77"/>
        <v>1.3.0.9.36.63</v>
      </c>
      <c r="B553" s="64">
        <v>1</v>
      </c>
      <c r="C553" s="64">
        <v>3</v>
      </c>
      <c r="D553" s="64">
        <v>0</v>
      </c>
      <c r="E553" s="64">
        <v>9</v>
      </c>
      <c r="F553" s="64">
        <v>36</v>
      </c>
      <c r="G553" s="64">
        <v>63</v>
      </c>
      <c r="H553" s="65"/>
      <c r="I553" s="65"/>
      <c r="J553" s="65"/>
      <c r="K553" s="65" t="s">
        <v>593</v>
      </c>
      <c r="L553" s="64" t="s">
        <v>72</v>
      </c>
      <c r="M553" s="100" t="s">
        <v>587</v>
      </c>
      <c r="N553" s="64" t="s">
        <v>288</v>
      </c>
      <c r="O553" s="64" t="s">
        <v>72</v>
      </c>
      <c r="P553" s="147">
        <v>44927</v>
      </c>
      <c r="Q553" s="147">
        <v>45291</v>
      </c>
      <c r="R553" s="124">
        <v>12</v>
      </c>
      <c r="S553" s="124">
        <v>3</v>
      </c>
      <c r="T553" s="194">
        <v>3</v>
      </c>
      <c r="U553" s="75">
        <v>0</v>
      </c>
      <c r="V553" s="75"/>
      <c r="W553" s="75">
        <v>0</v>
      </c>
      <c r="X553" s="1122">
        <v>0</v>
      </c>
      <c r="Y553" s="75">
        <v>0</v>
      </c>
      <c r="Z553" s="75">
        <v>0</v>
      </c>
      <c r="AA553" s="1122">
        <v>0</v>
      </c>
      <c r="AB553" s="75">
        <v>0</v>
      </c>
      <c r="AC553" s="75">
        <v>0</v>
      </c>
      <c r="AD553" s="1122">
        <v>0</v>
      </c>
      <c r="AE553" s="75">
        <v>0</v>
      </c>
      <c r="AF553" s="75">
        <v>0</v>
      </c>
      <c r="AG553" s="1122">
        <v>0</v>
      </c>
      <c r="AH553" s="505">
        <f t="shared" si="74"/>
        <v>0</v>
      </c>
      <c r="AI553" s="132"/>
      <c r="AJ553" s="75">
        <f t="shared" si="73"/>
        <v>0</v>
      </c>
      <c r="AK553" s="157"/>
      <c r="AL553" s="157"/>
      <c r="AM553" s="157"/>
      <c r="AN553" s="64" t="s">
        <v>39</v>
      </c>
      <c r="AO553" s="64"/>
      <c r="AP553" s="64"/>
      <c r="AQ553" s="189"/>
      <c r="AR553" s="64"/>
      <c r="AS553" s="476"/>
      <c r="AT553" s="64"/>
      <c r="AU553" s="646"/>
      <c r="AV553" s="354" t="s">
        <v>588</v>
      </c>
      <c r="AW553" s="335" t="s">
        <v>589</v>
      </c>
    </row>
    <row r="554" spans="1:49" ht="48" hidden="1" customHeight="1" outlineLevel="4" x14ac:dyDescent="0.25">
      <c r="A554" s="63" t="str">
        <f t="shared" si="77"/>
        <v>1.3.0.9.36.64</v>
      </c>
      <c r="B554" s="64">
        <v>1</v>
      </c>
      <c r="C554" s="64">
        <v>3</v>
      </c>
      <c r="D554" s="64">
        <v>0</v>
      </c>
      <c r="E554" s="64">
        <v>9</v>
      </c>
      <c r="F554" s="64">
        <v>36</v>
      </c>
      <c r="G554" s="64">
        <v>64</v>
      </c>
      <c r="H554" s="65"/>
      <c r="I554" s="65"/>
      <c r="J554" s="65"/>
      <c r="K554" s="65" t="s">
        <v>594</v>
      </c>
      <c r="L554" s="64" t="s">
        <v>72</v>
      </c>
      <c r="M554" s="100" t="s">
        <v>587</v>
      </c>
      <c r="N554" s="64" t="s">
        <v>288</v>
      </c>
      <c r="O554" s="64" t="s">
        <v>72</v>
      </c>
      <c r="P554" s="147">
        <v>44927</v>
      </c>
      <c r="Q554" s="147">
        <v>45291</v>
      </c>
      <c r="R554" s="124">
        <v>12</v>
      </c>
      <c r="S554" s="124">
        <v>3</v>
      </c>
      <c r="T554" s="194">
        <v>3</v>
      </c>
      <c r="U554" s="75">
        <v>0</v>
      </c>
      <c r="V554" s="75"/>
      <c r="W554" s="75">
        <v>0</v>
      </c>
      <c r="X554" s="1122">
        <v>0</v>
      </c>
      <c r="Y554" s="75">
        <v>0</v>
      </c>
      <c r="Z554" s="75">
        <v>0</v>
      </c>
      <c r="AA554" s="1122">
        <v>0</v>
      </c>
      <c r="AB554" s="75">
        <v>0</v>
      </c>
      <c r="AC554" s="75">
        <v>0</v>
      </c>
      <c r="AD554" s="1122">
        <v>0</v>
      </c>
      <c r="AE554" s="75">
        <v>0</v>
      </c>
      <c r="AF554" s="75">
        <v>0</v>
      </c>
      <c r="AG554" s="1122">
        <v>0</v>
      </c>
      <c r="AH554" s="505">
        <f t="shared" si="74"/>
        <v>0</v>
      </c>
      <c r="AI554" s="132"/>
      <c r="AJ554" s="75">
        <f t="shared" si="73"/>
        <v>0</v>
      </c>
      <c r="AK554" s="75"/>
      <c r="AL554" s="75"/>
      <c r="AM554" s="75"/>
      <c r="AN554" s="64" t="s">
        <v>39</v>
      </c>
      <c r="AO554" s="64"/>
      <c r="AP554" s="64"/>
      <c r="AQ554" s="189"/>
      <c r="AR554" s="64"/>
      <c r="AS554" s="476"/>
      <c r="AT554" s="64"/>
      <c r="AU554" s="646"/>
      <c r="AV554" s="354" t="s">
        <v>588</v>
      </c>
      <c r="AW554" s="335" t="s">
        <v>589</v>
      </c>
    </row>
    <row r="555" spans="1:49" ht="48" hidden="1" customHeight="1" outlineLevel="4" x14ac:dyDescent="0.25">
      <c r="A555" s="63" t="str">
        <f t="shared" si="77"/>
        <v>1.3.1.9.37.58</v>
      </c>
      <c r="B555" s="64">
        <v>1</v>
      </c>
      <c r="C555" s="64">
        <v>3</v>
      </c>
      <c r="D555" s="64">
        <v>1</v>
      </c>
      <c r="E555" s="64">
        <v>9</v>
      </c>
      <c r="F555" s="64">
        <v>37</v>
      </c>
      <c r="G555" s="64">
        <v>58</v>
      </c>
      <c r="H555" s="65"/>
      <c r="I555" s="65"/>
      <c r="J555" s="65"/>
      <c r="K555" s="65" t="s">
        <v>595</v>
      </c>
      <c r="L555" s="64"/>
      <c r="M555" s="100" t="s">
        <v>596</v>
      </c>
      <c r="N555" s="64"/>
      <c r="O555" s="64"/>
      <c r="P555" s="147"/>
      <c r="Q555" s="147"/>
      <c r="R555" s="124"/>
      <c r="S555" s="124"/>
      <c r="T555" s="194"/>
      <c r="U555" s="75">
        <v>0</v>
      </c>
      <c r="V555" s="75"/>
      <c r="W555" s="75">
        <v>0</v>
      </c>
      <c r="X555" s="1122">
        <v>0</v>
      </c>
      <c r="Y555" s="75">
        <v>0</v>
      </c>
      <c r="Z555" s="75">
        <v>0</v>
      </c>
      <c r="AA555" s="1122">
        <v>0</v>
      </c>
      <c r="AB555" s="75">
        <v>0</v>
      </c>
      <c r="AC555" s="75">
        <v>0</v>
      </c>
      <c r="AD555" s="1122">
        <v>0</v>
      </c>
      <c r="AE555" s="75">
        <v>0</v>
      </c>
      <c r="AF555" s="75">
        <v>0</v>
      </c>
      <c r="AG555" s="1122">
        <v>0</v>
      </c>
      <c r="AH555" s="505">
        <f t="shared" si="74"/>
        <v>0</v>
      </c>
      <c r="AI555" s="132"/>
      <c r="AJ555" s="75">
        <f t="shared" si="73"/>
        <v>0</v>
      </c>
      <c r="AK555" s="75"/>
      <c r="AL555" s="75"/>
      <c r="AM555" s="75"/>
      <c r="AN555" s="64"/>
      <c r="AO555" s="165"/>
      <c r="AP555" s="165"/>
      <c r="AQ555" s="413"/>
      <c r="AR555" s="64"/>
      <c r="AS555" s="475"/>
      <c r="AT555" s="64"/>
      <c r="AU555" s="646"/>
      <c r="AV555" s="354"/>
      <c r="AW555" s="1274" t="s">
        <v>597</v>
      </c>
    </row>
    <row r="556" spans="1:49" ht="48" hidden="1" customHeight="1" outlineLevel="4" x14ac:dyDescent="0.25">
      <c r="A556" s="63" t="str">
        <f t="shared" si="77"/>
        <v>1.3.1.9.37.59</v>
      </c>
      <c r="B556" s="64">
        <v>1</v>
      </c>
      <c r="C556" s="64">
        <v>3</v>
      </c>
      <c r="D556" s="64">
        <v>1</v>
      </c>
      <c r="E556" s="64">
        <v>9</v>
      </c>
      <c r="F556" s="64">
        <v>37</v>
      </c>
      <c r="G556" s="64">
        <v>59</v>
      </c>
      <c r="H556" s="65"/>
      <c r="I556" s="65"/>
      <c r="J556" s="65"/>
      <c r="K556" s="65" t="s">
        <v>598</v>
      </c>
      <c r="L556" s="64"/>
      <c r="M556" s="100" t="s">
        <v>596</v>
      </c>
      <c r="N556" s="64"/>
      <c r="O556" s="64"/>
      <c r="P556" s="147"/>
      <c r="Q556" s="147"/>
      <c r="R556" s="124"/>
      <c r="S556" s="124"/>
      <c r="T556" s="194"/>
      <c r="U556" s="75">
        <v>0</v>
      </c>
      <c r="V556" s="75"/>
      <c r="W556" s="75">
        <v>0</v>
      </c>
      <c r="X556" s="1122">
        <v>0</v>
      </c>
      <c r="Y556" s="75">
        <v>0</v>
      </c>
      <c r="Z556" s="75">
        <v>0</v>
      </c>
      <c r="AA556" s="1122">
        <v>0</v>
      </c>
      <c r="AB556" s="75">
        <v>0</v>
      </c>
      <c r="AC556" s="75">
        <v>0</v>
      </c>
      <c r="AD556" s="1122">
        <v>0</v>
      </c>
      <c r="AE556" s="75">
        <v>0</v>
      </c>
      <c r="AF556" s="75">
        <v>0</v>
      </c>
      <c r="AG556" s="1122">
        <v>0</v>
      </c>
      <c r="AH556" s="505">
        <f t="shared" si="74"/>
        <v>0</v>
      </c>
      <c r="AI556" s="132"/>
      <c r="AJ556" s="75">
        <f t="shared" si="73"/>
        <v>0</v>
      </c>
      <c r="AK556" s="75"/>
      <c r="AL556" s="75"/>
      <c r="AM556" s="75"/>
      <c r="AN556" s="64"/>
      <c r="AO556" s="165"/>
      <c r="AP556" s="165"/>
      <c r="AQ556" s="413"/>
      <c r="AR556" s="64"/>
      <c r="AS556" s="475"/>
      <c r="AT556" s="64"/>
      <c r="AU556" s="646"/>
      <c r="AV556" s="354"/>
      <c r="AW556" s="1274"/>
    </row>
    <row r="557" spans="1:49" ht="48" hidden="1" customHeight="1" outlineLevel="4" x14ac:dyDescent="0.25">
      <c r="A557" s="63" t="str">
        <f t="shared" si="77"/>
        <v>1.3.1.9.37.60</v>
      </c>
      <c r="B557" s="64">
        <v>1</v>
      </c>
      <c r="C557" s="64">
        <v>3</v>
      </c>
      <c r="D557" s="64">
        <v>1</v>
      </c>
      <c r="E557" s="64">
        <v>9</v>
      </c>
      <c r="F557" s="64">
        <v>37</v>
      </c>
      <c r="G557" s="64">
        <v>60</v>
      </c>
      <c r="H557" s="65"/>
      <c r="I557" s="65"/>
      <c r="J557" s="65"/>
      <c r="K557" s="65" t="s">
        <v>599</v>
      </c>
      <c r="L557" s="64"/>
      <c r="M557" s="100" t="s">
        <v>596</v>
      </c>
      <c r="N557" s="64"/>
      <c r="O557" s="64"/>
      <c r="P557" s="147"/>
      <c r="Q557" s="147"/>
      <c r="R557" s="124"/>
      <c r="S557" s="124"/>
      <c r="T557" s="194"/>
      <c r="U557" s="75">
        <v>0</v>
      </c>
      <c r="V557" s="75"/>
      <c r="W557" s="75">
        <v>0</v>
      </c>
      <c r="X557" s="1122">
        <v>0</v>
      </c>
      <c r="Y557" s="75">
        <v>0</v>
      </c>
      <c r="Z557" s="75">
        <v>0</v>
      </c>
      <c r="AA557" s="1122">
        <v>0</v>
      </c>
      <c r="AB557" s="75">
        <v>0</v>
      </c>
      <c r="AC557" s="75">
        <v>0</v>
      </c>
      <c r="AD557" s="1122">
        <v>0</v>
      </c>
      <c r="AE557" s="75">
        <v>0</v>
      </c>
      <c r="AF557" s="75">
        <v>0</v>
      </c>
      <c r="AG557" s="1122">
        <v>0</v>
      </c>
      <c r="AH557" s="505">
        <f t="shared" si="74"/>
        <v>0</v>
      </c>
      <c r="AI557" s="132"/>
      <c r="AJ557" s="75">
        <f t="shared" si="73"/>
        <v>0</v>
      </c>
      <c r="AK557" s="75"/>
      <c r="AL557" s="75"/>
      <c r="AM557" s="75"/>
      <c r="AN557" s="64"/>
      <c r="AO557" s="165"/>
      <c r="AP557" s="165"/>
      <c r="AQ557" s="413"/>
      <c r="AR557" s="64"/>
      <c r="AS557" s="475"/>
      <c r="AT557" s="64"/>
      <c r="AU557" s="646"/>
      <c r="AV557" s="354"/>
      <c r="AW557" s="1274"/>
    </row>
    <row r="558" spans="1:49" ht="48" hidden="1" customHeight="1" outlineLevel="4" x14ac:dyDescent="0.25">
      <c r="A558" s="63" t="str">
        <f t="shared" si="77"/>
        <v>1.3.1.9.37.61</v>
      </c>
      <c r="B558" s="64">
        <v>1</v>
      </c>
      <c r="C558" s="64">
        <v>3</v>
      </c>
      <c r="D558" s="64">
        <v>1</v>
      </c>
      <c r="E558" s="64">
        <v>9</v>
      </c>
      <c r="F558" s="64">
        <v>37</v>
      </c>
      <c r="G558" s="64">
        <v>61</v>
      </c>
      <c r="H558" s="65"/>
      <c r="I558" s="65"/>
      <c r="J558" s="65"/>
      <c r="K558" s="65" t="s">
        <v>600</v>
      </c>
      <c r="L558" s="64"/>
      <c r="M558" s="100" t="s">
        <v>596</v>
      </c>
      <c r="N558" s="64"/>
      <c r="O558" s="64"/>
      <c r="P558" s="147"/>
      <c r="Q558" s="147"/>
      <c r="R558" s="124"/>
      <c r="S558" s="124"/>
      <c r="T558" s="194"/>
      <c r="U558" s="75">
        <v>0</v>
      </c>
      <c r="V558" s="75"/>
      <c r="W558" s="75">
        <v>0</v>
      </c>
      <c r="X558" s="1122">
        <v>0</v>
      </c>
      <c r="Y558" s="75">
        <v>0</v>
      </c>
      <c r="Z558" s="75">
        <v>0</v>
      </c>
      <c r="AA558" s="1122">
        <v>0</v>
      </c>
      <c r="AB558" s="75">
        <v>0</v>
      </c>
      <c r="AC558" s="75">
        <v>0</v>
      </c>
      <c r="AD558" s="1122">
        <v>0</v>
      </c>
      <c r="AE558" s="75">
        <v>0</v>
      </c>
      <c r="AF558" s="75">
        <v>0</v>
      </c>
      <c r="AG558" s="1122">
        <v>0</v>
      </c>
      <c r="AH558" s="505">
        <f t="shared" si="74"/>
        <v>0</v>
      </c>
      <c r="AI558" s="132"/>
      <c r="AJ558" s="75">
        <f t="shared" si="73"/>
        <v>0</v>
      </c>
      <c r="AK558" s="75"/>
      <c r="AL558" s="75"/>
      <c r="AM558" s="75"/>
      <c r="AN558" s="64"/>
      <c r="AO558" s="165"/>
      <c r="AP558" s="165"/>
      <c r="AQ558" s="413"/>
      <c r="AR558" s="64"/>
      <c r="AS558" s="475"/>
      <c r="AT558" s="64"/>
      <c r="AU558" s="646"/>
      <c r="AV558" s="354"/>
      <c r="AW558" s="1274"/>
    </row>
    <row r="559" spans="1:49" ht="48" hidden="1" customHeight="1" outlineLevel="4" x14ac:dyDescent="0.25">
      <c r="A559" s="63" t="str">
        <f t="shared" si="77"/>
        <v>1.3.1.9.37.62</v>
      </c>
      <c r="B559" s="64">
        <v>1</v>
      </c>
      <c r="C559" s="64">
        <v>3</v>
      </c>
      <c r="D559" s="64">
        <v>1</v>
      </c>
      <c r="E559" s="64">
        <v>9</v>
      </c>
      <c r="F559" s="64">
        <v>37</v>
      </c>
      <c r="G559" s="64">
        <v>62</v>
      </c>
      <c r="H559" s="65"/>
      <c r="I559" s="65"/>
      <c r="J559" s="65"/>
      <c r="K559" s="65" t="s">
        <v>1752</v>
      </c>
      <c r="L559" s="64"/>
      <c r="M559" s="100" t="s">
        <v>596</v>
      </c>
      <c r="N559" s="64"/>
      <c r="O559" s="64"/>
      <c r="P559" s="147"/>
      <c r="Q559" s="147"/>
      <c r="R559" s="124"/>
      <c r="S559" s="124"/>
      <c r="T559" s="194"/>
      <c r="U559" s="75">
        <v>0</v>
      </c>
      <c r="V559" s="75"/>
      <c r="W559" s="75">
        <v>0</v>
      </c>
      <c r="X559" s="1122">
        <v>0</v>
      </c>
      <c r="Y559" s="75">
        <v>0</v>
      </c>
      <c r="Z559" s="75">
        <v>0</v>
      </c>
      <c r="AA559" s="1122">
        <v>0</v>
      </c>
      <c r="AB559" s="75">
        <v>0</v>
      </c>
      <c r="AC559" s="75">
        <v>0</v>
      </c>
      <c r="AD559" s="1122">
        <v>0</v>
      </c>
      <c r="AE559" s="75">
        <v>0</v>
      </c>
      <c r="AF559" s="75">
        <v>0</v>
      </c>
      <c r="AG559" s="1122">
        <v>0</v>
      </c>
      <c r="AH559" s="505">
        <f t="shared" si="74"/>
        <v>0</v>
      </c>
      <c r="AI559" s="132"/>
      <c r="AJ559" s="75">
        <f t="shared" si="73"/>
        <v>0</v>
      </c>
      <c r="AK559" s="75"/>
      <c r="AL559" s="75"/>
      <c r="AM559" s="75"/>
      <c r="AN559" s="64"/>
      <c r="AO559" s="165"/>
      <c r="AP559" s="165"/>
      <c r="AQ559" s="413"/>
      <c r="AR559" s="64"/>
      <c r="AS559" s="475"/>
      <c r="AT559" s="64"/>
      <c r="AU559" s="646"/>
      <c r="AV559" s="354"/>
      <c r="AW559" s="1274"/>
    </row>
    <row r="560" spans="1:49" ht="48" hidden="1" customHeight="1" outlineLevel="4" x14ac:dyDescent="0.25">
      <c r="A560" s="63" t="str">
        <f t="shared" si="77"/>
        <v>1.3.1.9.37.63</v>
      </c>
      <c r="B560" s="64">
        <v>1</v>
      </c>
      <c r="C560" s="64">
        <v>3</v>
      </c>
      <c r="D560" s="64">
        <v>1</v>
      </c>
      <c r="E560" s="64">
        <v>9</v>
      </c>
      <c r="F560" s="64">
        <v>37</v>
      </c>
      <c r="G560" s="64">
        <v>63</v>
      </c>
      <c r="H560" s="65"/>
      <c r="I560" s="65"/>
      <c r="J560" s="65"/>
      <c r="K560" s="65" t="s">
        <v>601</v>
      </c>
      <c r="L560" s="64"/>
      <c r="M560" s="100" t="s">
        <v>596</v>
      </c>
      <c r="N560" s="64"/>
      <c r="O560" s="64"/>
      <c r="P560" s="147"/>
      <c r="Q560" s="147"/>
      <c r="R560" s="124"/>
      <c r="S560" s="124"/>
      <c r="T560" s="194"/>
      <c r="U560" s="75">
        <v>0</v>
      </c>
      <c r="V560" s="75"/>
      <c r="W560" s="75">
        <v>0</v>
      </c>
      <c r="X560" s="1122">
        <v>0</v>
      </c>
      <c r="Y560" s="75">
        <v>0</v>
      </c>
      <c r="Z560" s="75">
        <v>0</v>
      </c>
      <c r="AA560" s="1122">
        <v>0</v>
      </c>
      <c r="AB560" s="75">
        <v>0</v>
      </c>
      <c r="AC560" s="75">
        <v>0</v>
      </c>
      <c r="AD560" s="1122">
        <v>0</v>
      </c>
      <c r="AE560" s="75">
        <v>0</v>
      </c>
      <c r="AF560" s="75">
        <v>0</v>
      </c>
      <c r="AG560" s="1122">
        <v>0</v>
      </c>
      <c r="AH560" s="505">
        <f t="shared" si="74"/>
        <v>0</v>
      </c>
      <c r="AI560" s="132"/>
      <c r="AJ560" s="75">
        <f t="shared" si="73"/>
        <v>0</v>
      </c>
      <c r="AK560" s="75"/>
      <c r="AL560" s="75"/>
      <c r="AM560" s="75"/>
      <c r="AN560" s="64"/>
      <c r="AO560" s="165"/>
      <c r="AP560" s="165"/>
      <c r="AQ560" s="413"/>
      <c r="AR560" s="64"/>
      <c r="AS560" s="475"/>
      <c r="AT560" s="64"/>
      <c r="AU560" s="646"/>
      <c r="AV560" s="354"/>
      <c r="AW560" s="1274"/>
    </row>
    <row r="561" spans="1:49" ht="48" hidden="1" customHeight="1" outlineLevel="4" x14ac:dyDescent="0.25">
      <c r="A561" s="63" t="str">
        <f t="shared" si="77"/>
        <v>1.3.1.9.37.64</v>
      </c>
      <c r="B561" s="64">
        <v>1</v>
      </c>
      <c r="C561" s="64">
        <v>3</v>
      </c>
      <c r="D561" s="64">
        <v>1</v>
      </c>
      <c r="E561" s="64">
        <v>9</v>
      </c>
      <c r="F561" s="64">
        <v>37</v>
      </c>
      <c r="G561" s="64">
        <v>64</v>
      </c>
      <c r="H561" s="65"/>
      <c r="I561" s="65"/>
      <c r="J561" s="65"/>
      <c r="K561" s="65" t="s">
        <v>602</v>
      </c>
      <c r="L561" s="64"/>
      <c r="M561" s="100" t="s">
        <v>596</v>
      </c>
      <c r="N561" s="64"/>
      <c r="O561" s="64"/>
      <c r="P561" s="147"/>
      <c r="Q561" s="147"/>
      <c r="R561" s="124"/>
      <c r="S561" s="124"/>
      <c r="T561" s="194"/>
      <c r="U561" s="75">
        <v>0</v>
      </c>
      <c r="V561" s="75"/>
      <c r="W561" s="75">
        <v>0</v>
      </c>
      <c r="X561" s="1122">
        <v>0</v>
      </c>
      <c r="Y561" s="75">
        <v>0</v>
      </c>
      <c r="Z561" s="75">
        <v>0</v>
      </c>
      <c r="AA561" s="1122">
        <v>0</v>
      </c>
      <c r="AB561" s="75">
        <v>0</v>
      </c>
      <c r="AC561" s="75">
        <v>0</v>
      </c>
      <c r="AD561" s="1122">
        <v>0</v>
      </c>
      <c r="AE561" s="75">
        <v>0</v>
      </c>
      <c r="AF561" s="75">
        <v>0</v>
      </c>
      <c r="AG561" s="1122">
        <v>0</v>
      </c>
      <c r="AH561" s="505">
        <f t="shared" si="74"/>
        <v>0</v>
      </c>
      <c r="AI561" s="132"/>
      <c r="AJ561" s="75">
        <f t="shared" si="73"/>
        <v>0</v>
      </c>
      <c r="AK561" s="75"/>
      <c r="AL561" s="75"/>
      <c r="AM561" s="75"/>
      <c r="AN561" s="64"/>
      <c r="AO561" s="165"/>
      <c r="AP561" s="165"/>
      <c r="AQ561" s="413"/>
      <c r="AR561" s="64"/>
      <c r="AS561" s="475"/>
      <c r="AT561" s="64"/>
      <c r="AU561" s="646"/>
      <c r="AV561" s="354"/>
      <c r="AW561" s="1274"/>
    </row>
    <row r="562" spans="1:49" ht="60" hidden="1" customHeight="1" outlineLevel="4" x14ac:dyDescent="0.25">
      <c r="A562" s="63" t="str">
        <f t="shared" si="77"/>
        <v>1.3.1.9.38.58</v>
      </c>
      <c r="B562" s="64">
        <v>1</v>
      </c>
      <c r="C562" s="64">
        <v>3</v>
      </c>
      <c r="D562" s="64">
        <v>1</v>
      </c>
      <c r="E562" s="64">
        <v>9</v>
      </c>
      <c r="F562" s="64">
        <v>38</v>
      </c>
      <c r="G562" s="64">
        <v>58</v>
      </c>
      <c r="H562" s="65"/>
      <c r="I562" s="65"/>
      <c r="J562" s="65"/>
      <c r="K562" s="67" t="s">
        <v>603</v>
      </c>
      <c r="L562" s="64"/>
      <c r="M562" s="100" t="s">
        <v>604</v>
      </c>
      <c r="N562" s="64"/>
      <c r="O562" s="64"/>
      <c r="P562" s="147"/>
      <c r="Q562" s="147"/>
      <c r="R562" s="124"/>
      <c r="S562" s="124"/>
      <c r="T562" s="194"/>
      <c r="U562" s="75">
        <v>0</v>
      </c>
      <c r="V562" s="75"/>
      <c r="W562" s="75">
        <v>0</v>
      </c>
      <c r="X562" s="1122">
        <v>0</v>
      </c>
      <c r="Y562" s="75">
        <v>0</v>
      </c>
      <c r="Z562" s="75">
        <v>0</v>
      </c>
      <c r="AA562" s="1122">
        <v>0</v>
      </c>
      <c r="AB562" s="75">
        <v>0</v>
      </c>
      <c r="AC562" s="75">
        <v>0</v>
      </c>
      <c r="AD562" s="1122">
        <v>0</v>
      </c>
      <c r="AE562" s="75">
        <v>0</v>
      </c>
      <c r="AF562" s="75">
        <v>0</v>
      </c>
      <c r="AG562" s="1122">
        <v>0</v>
      </c>
      <c r="AH562" s="505">
        <f t="shared" si="74"/>
        <v>0</v>
      </c>
      <c r="AI562" s="132"/>
      <c r="AJ562" s="75">
        <f t="shared" si="73"/>
        <v>0</v>
      </c>
      <c r="AK562" s="75"/>
      <c r="AL562" s="75"/>
      <c r="AM562" s="75"/>
      <c r="AN562" s="64" t="s">
        <v>39</v>
      </c>
      <c r="AO562" s="165" t="s">
        <v>1819</v>
      </c>
      <c r="AP562" s="165" t="s">
        <v>1917</v>
      </c>
      <c r="AQ562" s="882" t="s">
        <v>2152</v>
      </c>
      <c r="AR562" s="64">
        <v>2022</v>
      </c>
      <c r="AS562" s="475">
        <v>2023</v>
      </c>
      <c r="AT562" s="64" t="s">
        <v>2029</v>
      </c>
      <c r="AU562" s="879" t="s">
        <v>2151</v>
      </c>
      <c r="AV562" s="354"/>
      <c r="AW562" s="1274" t="s">
        <v>605</v>
      </c>
    </row>
    <row r="563" spans="1:49" ht="60" hidden="1" outlineLevel="4" x14ac:dyDescent="0.25">
      <c r="A563" s="63" t="str">
        <f t="shared" si="77"/>
        <v>1.3.1.9.38.59</v>
      </c>
      <c r="B563" s="64">
        <v>1</v>
      </c>
      <c r="C563" s="64">
        <v>3</v>
      </c>
      <c r="D563" s="64">
        <v>1</v>
      </c>
      <c r="E563" s="64">
        <v>9</v>
      </c>
      <c r="F563" s="64">
        <v>38</v>
      </c>
      <c r="G563" s="64">
        <v>59</v>
      </c>
      <c r="H563" s="65"/>
      <c r="I563" s="65"/>
      <c r="J563" s="65"/>
      <c r="K563" s="67" t="s">
        <v>606</v>
      </c>
      <c r="L563" s="64"/>
      <c r="M563" s="100" t="s">
        <v>604</v>
      </c>
      <c r="N563" s="64"/>
      <c r="O563" s="64"/>
      <c r="P563" s="147"/>
      <c r="Q563" s="147"/>
      <c r="R563" s="124"/>
      <c r="S563" s="124"/>
      <c r="T563" s="194"/>
      <c r="U563" s="75">
        <v>0</v>
      </c>
      <c r="V563" s="75"/>
      <c r="W563" s="75">
        <v>0</v>
      </c>
      <c r="X563" s="1122">
        <v>0</v>
      </c>
      <c r="Y563" s="75">
        <v>0</v>
      </c>
      <c r="Z563" s="75">
        <v>0</v>
      </c>
      <c r="AA563" s="1122">
        <v>0</v>
      </c>
      <c r="AB563" s="75">
        <v>0</v>
      </c>
      <c r="AC563" s="75">
        <v>0</v>
      </c>
      <c r="AD563" s="1122">
        <v>0</v>
      </c>
      <c r="AE563" s="75">
        <v>0</v>
      </c>
      <c r="AF563" s="75">
        <v>0</v>
      </c>
      <c r="AG563" s="1122">
        <v>0</v>
      </c>
      <c r="AH563" s="505">
        <f t="shared" si="74"/>
        <v>0</v>
      </c>
      <c r="AI563" s="132"/>
      <c r="AJ563" s="75">
        <f t="shared" si="73"/>
        <v>0</v>
      </c>
      <c r="AK563" s="75"/>
      <c r="AL563" s="75"/>
      <c r="AM563" s="75"/>
      <c r="AN563" s="64" t="s">
        <v>39</v>
      </c>
      <c r="AO563" s="165" t="s">
        <v>1819</v>
      </c>
      <c r="AP563" s="165" t="s">
        <v>1917</v>
      </c>
      <c r="AQ563" s="882" t="s">
        <v>2152</v>
      </c>
      <c r="AR563" s="64">
        <v>2022</v>
      </c>
      <c r="AS563" s="475">
        <v>2023</v>
      </c>
      <c r="AT563" s="64" t="s">
        <v>2029</v>
      </c>
      <c r="AU563" s="879" t="s">
        <v>2151</v>
      </c>
      <c r="AV563" s="354"/>
      <c r="AW563" s="1274"/>
    </row>
    <row r="564" spans="1:49" ht="60" hidden="1" outlineLevel="4" x14ac:dyDescent="0.25">
      <c r="A564" s="63" t="str">
        <f t="shared" si="77"/>
        <v>1.3.1.9.38.60</v>
      </c>
      <c r="B564" s="64">
        <v>1</v>
      </c>
      <c r="C564" s="64">
        <v>3</v>
      </c>
      <c r="D564" s="64">
        <v>1</v>
      </c>
      <c r="E564" s="64">
        <v>9</v>
      </c>
      <c r="F564" s="64">
        <v>38</v>
      </c>
      <c r="G564" s="64">
        <v>60</v>
      </c>
      <c r="H564" s="65"/>
      <c r="I564" s="65"/>
      <c r="J564" s="65"/>
      <c r="K564" s="67" t="s">
        <v>607</v>
      </c>
      <c r="L564" s="64"/>
      <c r="M564" s="100" t="s">
        <v>604</v>
      </c>
      <c r="N564" s="64"/>
      <c r="O564" s="64"/>
      <c r="P564" s="147"/>
      <c r="Q564" s="147"/>
      <c r="R564" s="124"/>
      <c r="S564" s="124"/>
      <c r="T564" s="194"/>
      <c r="U564" s="75">
        <v>0</v>
      </c>
      <c r="V564" s="75"/>
      <c r="W564" s="75">
        <v>0</v>
      </c>
      <c r="X564" s="1122">
        <v>0</v>
      </c>
      <c r="Y564" s="75">
        <v>0</v>
      </c>
      <c r="Z564" s="75">
        <v>0</v>
      </c>
      <c r="AA564" s="1122">
        <v>0</v>
      </c>
      <c r="AB564" s="75">
        <v>0</v>
      </c>
      <c r="AC564" s="75">
        <v>0</v>
      </c>
      <c r="AD564" s="1122">
        <v>0</v>
      </c>
      <c r="AE564" s="75">
        <v>0</v>
      </c>
      <c r="AF564" s="75">
        <v>0</v>
      </c>
      <c r="AG564" s="1122">
        <v>0</v>
      </c>
      <c r="AH564" s="505">
        <f t="shared" si="74"/>
        <v>0</v>
      </c>
      <c r="AI564" s="132"/>
      <c r="AJ564" s="75">
        <f t="shared" si="73"/>
        <v>0</v>
      </c>
      <c r="AK564" s="75"/>
      <c r="AL564" s="75"/>
      <c r="AM564" s="75"/>
      <c r="AN564" s="64" t="s">
        <v>39</v>
      </c>
      <c r="AO564" s="165" t="s">
        <v>1819</v>
      </c>
      <c r="AP564" s="165" t="s">
        <v>1917</v>
      </c>
      <c r="AQ564" s="882" t="s">
        <v>2152</v>
      </c>
      <c r="AR564" s="64">
        <v>2022</v>
      </c>
      <c r="AS564" s="475">
        <v>2023</v>
      </c>
      <c r="AT564" s="64" t="s">
        <v>2029</v>
      </c>
      <c r="AU564" s="879" t="s">
        <v>2151</v>
      </c>
      <c r="AV564" s="348"/>
      <c r="AW564" s="1274"/>
    </row>
    <row r="565" spans="1:49" ht="60" hidden="1" outlineLevel="4" x14ac:dyDescent="0.25">
      <c r="A565" s="63" t="str">
        <f t="shared" si="77"/>
        <v>1.3.1.9.38.61</v>
      </c>
      <c r="B565" s="64">
        <v>1</v>
      </c>
      <c r="C565" s="64">
        <v>3</v>
      </c>
      <c r="D565" s="64">
        <v>1</v>
      </c>
      <c r="E565" s="64">
        <v>9</v>
      </c>
      <c r="F565" s="64">
        <v>38</v>
      </c>
      <c r="G565" s="64">
        <v>61</v>
      </c>
      <c r="H565" s="65"/>
      <c r="I565" s="65"/>
      <c r="J565" s="65"/>
      <c r="K565" s="67" t="s">
        <v>608</v>
      </c>
      <c r="L565" s="64"/>
      <c r="M565" s="100" t="s">
        <v>604</v>
      </c>
      <c r="N565" s="64"/>
      <c r="O565" s="64"/>
      <c r="P565" s="147"/>
      <c r="Q565" s="147"/>
      <c r="R565" s="124"/>
      <c r="S565" s="124"/>
      <c r="T565" s="194"/>
      <c r="U565" s="75">
        <v>0</v>
      </c>
      <c r="V565" s="75"/>
      <c r="W565" s="75">
        <v>0</v>
      </c>
      <c r="X565" s="1122">
        <v>0</v>
      </c>
      <c r="Y565" s="75">
        <v>0</v>
      </c>
      <c r="Z565" s="75">
        <v>0</v>
      </c>
      <c r="AA565" s="1122">
        <v>0</v>
      </c>
      <c r="AB565" s="75">
        <v>0</v>
      </c>
      <c r="AC565" s="75">
        <v>0</v>
      </c>
      <c r="AD565" s="1122">
        <v>0</v>
      </c>
      <c r="AE565" s="75">
        <v>0</v>
      </c>
      <c r="AF565" s="75">
        <v>0</v>
      </c>
      <c r="AG565" s="1122">
        <v>0</v>
      </c>
      <c r="AH565" s="505">
        <f t="shared" si="74"/>
        <v>0</v>
      </c>
      <c r="AI565" s="132"/>
      <c r="AJ565" s="75">
        <f t="shared" si="73"/>
        <v>0</v>
      </c>
      <c r="AK565" s="75"/>
      <c r="AL565" s="75"/>
      <c r="AM565" s="75"/>
      <c r="AN565" s="64" t="s">
        <v>39</v>
      </c>
      <c r="AO565" s="165" t="s">
        <v>1819</v>
      </c>
      <c r="AP565" s="165" t="s">
        <v>1917</v>
      </c>
      <c r="AQ565" s="882" t="s">
        <v>2152</v>
      </c>
      <c r="AR565" s="64">
        <v>2022</v>
      </c>
      <c r="AS565" s="475">
        <v>2023</v>
      </c>
      <c r="AT565" s="64" t="s">
        <v>2029</v>
      </c>
      <c r="AU565" s="879" t="s">
        <v>2151</v>
      </c>
      <c r="AV565" s="348"/>
      <c r="AW565" s="1274"/>
    </row>
    <row r="566" spans="1:49" ht="60" hidden="1" outlineLevel="4" x14ac:dyDescent="0.25">
      <c r="A566" s="63" t="str">
        <f t="shared" si="77"/>
        <v>1.3.1.9.38.62</v>
      </c>
      <c r="B566" s="64">
        <v>1</v>
      </c>
      <c r="C566" s="64">
        <v>3</v>
      </c>
      <c r="D566" s="64">
        <v>1</v>
      </c>
      <c r="E566" s="64">
        <v>9</v>
      </c>
      <c r="F566" s="64">
        <v>38</v>
      </c>
      <c r="G566" s="64">
        <v>62</v>
      </c>
      <c r="H566" s="65"/>
      <c r="I566" s="65"/>
      <c r="J566" s="65"/>
      <c r="K566" s="67" t="s">
        <v>1753</v>
      </c>
      <c r="L566" s="64"/>
      <c r="M566" s="100" t="s">
        <v>604</v>
      </c>
      <c r="N566" s="64"/>
      <c r="O566" s="64"/>
      <c r="P566" s="147"/>
      <c r="Q566" s="147"/>
      <c r="R566" s="124"/>
      <c r="S566" s="124"/>
      <c r="T566" s="194"/>
      <c r="U566" s="75">
        <v>0</v>
      </c>
      <c r="V566" s="75"/>
      <c r="W566" s="75">
        <v>0</v>
      </c>
      <c r="X566" s="1122">
        <v>0</v>
      </c>
      <c r="Y566" s="75">
        <v>0</v>
      </c>
      <c r="Z566" s="75">
        <v>0</v>
      </c>
      <c r="AA566" s="1122">
        <v>0</v>
      </c>
      <c r="AB566" s="75">
        <v>0</v>
      </c>
      <c r="AC566" s="75">
        <v>0</v>
      </c>
      <c r="AD566" s="1122">
        <v>0</v>
      </c>
      <c r="AE566" s="75">
        <v>0</v>
      </c>
      <c r="AF566" s="75">
        <v>0</v>
      </c>
      <c r="AG566" s="1122">
        <v>0</v>
      </c>
      <c r="AH566" s="505">
        <f t="shared" si="74"/>
        <v>0</v>
      </c>
      <c r="AI566" s="132"/>
      <c r="AJ566" s="75">
        <f t="shared" si="73"/>
        <v>0</v>
      </c>
      <c r="AK566" s="75"/>
      <c r="AL566" s="75"/>
      <c r="AM566" s="75"/>
      <c r="AN566" s="64" t="s">
        <v>39</v>
      </c>
      <c r="AO566" s="165" t="s">
        <v>1819</v>
      </c>
      <c r="AP566" s="165" t="s">
        <v>1917</v>
      </c>
      <c r="AQ566" s="882" t="s">
        <v>2152</v>
      </c>
      <c r="AR566" s="64">
        <v>2022</v>
      </c>
      <c r="AS566" s="475">
        <v>2023</v>
      </c>
      <c r="AT566" s="64" t="s">
        <v>2029</v>
      </c>
      <c r="AU566" s="879" t="s">
        <v>2151</v>
      </c>
      <c r="AV566" s="348"/>
      <c r="AW566" s="1274"/>
    </row>
    <row r="567" spans="1:49" ht="60" hidden="1" outlineLevel="4" x14ac:dyDescent="0.25">
      <c r="A567" s="63" t="str">
        <f t="shared" si="77"/>
        <v>1.3.1.9.38.63</v>
      </c>
      <c r="B567" s="64">
        <v>1</v>
      </c>
      <c r="C567" s="64">
        <v>3</v>
      </c>
      <c r="D567" s="64">
        <v>1</v>
      </c>
      <c r="E567" s="64">
        <v>9</v>
      </c>
      <c r="F567" s="64">
        <v>38</v>
      </c>
      <c r="G567" s="64">
        <v>63</v>
      </c>
      <c r="H567" s="65"/>
      <c r="I567" s="65"/>
      <c r="J567" s="65"/>
      <c r="K567" s="67" t="s">
        <v>609</v>
      </c>
      <c r="L567" s="64"/>
      <c r="M567" s="100" t="s">
        <v>604</v>
      </c>
      <c r="N567" s="64"/>
      <c r="O567" s="64"/>
      <c r="P567" s="147"/>
      <c r="Q567" s="147"/>
      <c r="R567" s="124"/>
      <c r="S567" s="124"/>
      <c r="T567" s="194"/>
      <c r="U567" s="75">
        <v>0</v>
      </c>
      <c r="V567" s="75"/>
      <c r="W567" s="75">
        <v>0</v>
      </c>
      <c r="X567" s="1122">
        <v>0</v>
      </c>
      <c r="Y567" s="75">
        <v>0</v>
      </c>
      <c r="Z567" s="75">
        <v>0</v>
      </c>
      <c r="AA567" s="1122">
        <v>0</v>
      </c>
      <c r="AB567" s="75">
        <v>0</v>
      </c>
      <c r="AC567" s="75">
        <v>0</v>
      </c>
      <c r="AD567" s="1122">
        <v>0</v>
      </c>
      <c r="AE567" s="75">
        <v>0</v>
      </c>
      <c r="AF567" s="75">
        <v>0</v>
      </c>
      <c r="AG567" s="1122">
        <v>0</v>
      </c>
      <c r="AH567" s="505">
        <f t="shared" si="74"/>
        <v>0</v>
      </c>
      <c r="AI567" s="132"/>
      <c r="AJ567" s="75">
        <f t="shared" si="73"/>
        <v>0</v>
      </c>
      <c r="AK567" s="75"/>
      <c r="AL567" s="75"/>
      <c r="AM567" s="75"/>
      <c r="AN567" s="64" t="s">
        <v>39</v>
      </c>
      <c r="AO567" s="165" t="s">
        <v>1819</v>
      </c>
      <c r="AP567" s="165" t="s">
        <v>1917</v>
      </c>
      <c r="AQ567" s="882" t="s">
        <v>2152</v>
      </c>
      <c r="AR567" s="64">
        <v>2022</v>
      </c>
      <c r="AS567" s="475">
        <v>2023</v>
      </c>
      <c r="AT567" s="64" t="s">
        <v>2029</v>
      </c>
      <c r="AU567" s="879" t="s">
        <v>2249</v>
      </c>
      <c r="AV567" s="348"/>
      <c r="AW567" s="1274"/>
    </row>
    <row r="568" spans="1:49" ht="60" hidden="1" outlineLevel="4" x14ac:dyDescent="0.25">
      <c r="A568" s="63" t="str">
        <f t="shared" si="77"/>
        <v>1.3.1.9.38.64</v>
      </c>
      <c r="B568" s="64">
        <v>1</v>
      </c>
      <c r="C568" s="64">
        <v>3</v>
      </c>
      <c r="D568" s="64">
        <v>1</v>
      </c>
      <c r="E568" s="64">
        <v>9</v>
      </c>
      <c r="F568" s="64">
        <v>38</v>
      </c>
      <c r="G568" s="64">
        <v>64</v>
      </c>
      <c r="H568" s="65"/>
      <c r="I568" s="65"/>
      <c r="J568" s="65"/>
      <c r="K568" s="67" t="s">
        <v>610</v>
      </c>
      <c r="L568" s="64"/>
      <c r="M568" s="100" t="s">
        <v>604</v>
      </c>
      <c r="N568" s="64"/>
      <c r="O568" s="64"/>
      <c r="P568" s="147"/>
      <c r="Q568" s="147"/>
      <c r="R568" s="124"/>
      <c r="S568" s="124"/>
      <c r="T568" s="194"/>
      <c r="U568" s="75">
        <v>0</v>
      </c>
      <c r="V568" s="75"/>
      <c r="W568" s="75">
        <v>0</v>
      </c>
      <c r="X568" s="1122">
        <v>0</v>
      </c>
      <c r="Y568" s="75">
        <v>0</v>
      </c>
      <c r="Z568" s="75">
        <v>0</v>
      </c>
      <c r="AA568" s="1122">
        <v>0</v>
      </c>
      <c r="AB568" s="75">
        <v>0</v>
      </c>
      <c r="AC568" s="75">
        <v>0</v>
      </c>
      <c r="AD568" s="1122">
        <v>0</v>
      </c>
      <c r="AE568" s="75">
        <v>0</v>
      </c>
      <c r="AF568" s="75">
        <v>0</v>
      </c>
      <c r="AG568" s="1122">
        <v>0</v>
      </c>
      <c r="AH568" s="505">
        <f t="shared" si="74"/>
        <v>0</v>
      </c>
      <c r="AI568" s="132"/>
      <c r="AJ568" s="75">
        <f t="shared" si="73"/>
        <v>0</v>
      </c>
      <c r="AK568" s="75"/>
      <c r="AL568" s="75"/>
      <c r="AM568" s="75"/>
      <c r="AN568" s="64" t="s">
        <v>39</v>
      </c>
      <c r="AO568" s="165" t="s">
        <v>1819</v>
      </c>
      <c r="AP568" s="165" t="s">
        <v>1917</v>
      </c>
      <c r="AQ568" s="882" t="s">
        <v>2152</v>
      </c>
      <c r="AR568" s="64">
        <v>2022</v>
      </c>
      <c r="AS568" s="475">
        <v>2023</v>
      </c>
      <c r="AT568" s="64" t="s">
        <v>2029</v>
      </c>
      <c r="AU568" s="879" t="s">
        <v>2151</v>
      </c>
      <c r="AV568" s="348"/>
      <c r="AW568" s="1274"/>
    </row>
    <row r="569" spans="1:49" ht="30" hidden="1" customHeight="1" outlineLevel="4" x14ac:dyDescent="0.25">
      <c r="A569" s="63" t="str">
        <f t="shared" si="77"/>
        <v>1.3.0.9.39.58</v>
      </c>
      <c r="B569" s="64">
        <v>1</v>
      </c>
      <c r="C569" s="64">
        <v>3</v>
      </c>
      <c r="D569" s="64">
        <v>0</v>
      </c>
      <c r="E569" s="64">
        <v>9</v>
      </c>
      <c r="F569" s="64">
        <v>39</v>
      </c>
      <c r="G569" s="64">
        <v>58</v>
      </c>
      <c r="H569" s="65"/>
      <c r="I569" s="65"/>
      <c r="J569" s="65"/>
      <c r="K569" s="67" t="s">
        <v>1847</v>
      </c>
      <c r="L569" s="64"/>
      <c r="M569" s="100"/>
      <c r="N569" s="64"/>
      <c r="O569" s="64"/>
      <c r="P569" s="147"/>
      <c r="Q569" s="147"/>
      <c r="R569" s="124"/>
      <c r="S569" s="124"/>
      <c r="T569" s="194"/>
      <c r="U569" s="75">
        <v>0</v>
      </c>
      <c r="V569" s="75"/>
      <c r="W569" s="75">
        <v>0</v>
      </c>
      <c r="X569" s="1122">
        <v>0</v>
      </c>
      <c r="Y569" s="75">
        <v>0</v>
      </c>
      <c r="Z569" s="75">
        <v>0</v>
      </c>
      <c r="AA569" s="1122">
        <v>0</v>
      </c>
      <c r="AB569" s="75">
        <v>0</v>
      </c>
      <c r="AC569" s="75">
        <v>0</v>
      </c>
      <c r="AD569" s="1122">
        <v>0</v>
      </c>
      <c r="AE569" s="75">
        <v>0</v>
      </c>
      <c r="AF569" s="75">
        <v>0</v>
      </c>
      <c r="AG569" s="1122">
        <v>0</v>
      </c>
      <c r="AH569" s="505">
        <f t="shared" si="74"/>
        <v>0</v>
      </c>
      <c r="AI569" s="132"/>
      <c r="AJ569" s="75">
        <f t="shared" si="73"/>
        <v>0</v>
      </c>
      <c r="AK569" s="75"/>
      <c r="AL569" s="75"/>
      <c r="AM569" s="75"/>
      <c r="AN569" s="64"/>
      <c r="AO569" s="165"/>
      <c r="AP569" s="165"/>
      <c r="AQ569" s="413"/>
      <c r="AR569" s="64"/>
      <c r="AS569" s="475"/>
      <c r="AT569" s="64"/>
      <c r="AU569" s="646"/>
      <c r="AV569" s="348"/>
      <c r="AW569" s="432"/>
    </row>
    <row r="570" spans="1:49" ht="29.1" hidden="1" customHeight="1" outlineLevel="4" x14ac:dyDescent="0.25">
      <c r="A570" s="63" t="str">
        <f t="shared" si="77"/>
        <v>1.3.0.9.39.59</v>
      </c>
      <c r="B570" s="64">
        <v>1</v>
      </c>
      <c r="C570" s="64">
        <v>3</v>
      </c>
      <c r="D570" s="64">
        <v>0</v>
      </c>
      <c r="E570" s="64">
        <v>9</v>
      </c>
      <c r="F570" s="64">
        <v>39</v>
      </c>
      <c r="G570" s="64">
        <v>59</v>
      </c>
      <c r="H570" s="65"/>
      <c r="I570" s="65"/>
      <c r="J570" s="65"/>
      <c r="K570" s="65" t="s">
        <v>1848</v>
      </c>
      <c r="L570" s="64"/>
      <c r="M570" s="100"/>
      <c r="N570" s="64"/>
      <c r="O570" s="64"/>
      <c r="P570" s="147"/>
      <c r="Q570" s="147"/>
      <c r="R570" s="124"/>
      <c r="S570" s="124"/>
      <c r="T570" s="194"/>
      <c r="U570" s="75">
        <v>0</v>
      </c>
      <c r="V570" s="75"/>
      <c r="W570" s="75">
        <v>0</v>
      </c>
      <c r="X570" s="1122">
        <v>0</v>
      </c>
      <c r="Y570" s="75">
        <v>0</v>
      </c>
      <c r="Z570" s="75">
        <v>0</v>
      </c>
      <c r="AA570" s="1122">
        <v>0</v>
      </c>
      <c r="AB570" s="75">
        <v>0</v>
      </c>
      <c r="AC570" s="75">
        <v>0</v>
      </c>
      <c r="AD570" s="1122">
        <v>0</v>
      </c>
      <c r="AE570" s="75">
        <v>0</v>
      </c>
      <c r="AF570" s="75">
        <v>0</v>
      </c>
      <c r="AG570" s="1122">
        <v>0</v>
      </c>
      <c r="AH570" s="505">
        <f t="shared" si="74"/>
        <v>0</v>
      </c>
      <c r="AI570" s="132"/>
      <c r="AJ570" s="75">
        <f t="shared" si="73"/>
        <v>0</v>
      </c>
      <c r="AK570" s="75"/>
      <c r="AL570" s="75"/>
      <c r="AM570" s="75"/>
      <c r="AN570" s="64"/>
      <c r="AO570" s="165"/>
      <c r="AP570" s="165"/>
      <c r="AQ570" s="413"/>
      <c r="AR570" s="64"/>
      <c r="AS570" s="475"/>
      <c r="AT570" s="64"/>
      <c r="AU570" s="646"/>
      <c r="AV570" s="348"/>
      <c r="AW570" s="432"/>
    </row>
    <row r="571" spans="1:49" ht="29.1" hidden="1" customHeight="1" outlineLevel="4" x14ac:dyDescent="0.25">
      <c r="A571" s="63" t="str">
        <f t="shared" si="77"/>
        <v>1.3.0.9.39.60</v>
      </c>
      <c r="B571" s="64">
        <v>1</v>
      </c>
      <c r="C571" s="64">
        <v>3</v>
      </c>
      <c r="D571" s="64">
        <v>0</v>
      </c>
      <c r="E571" s="64">
        <v>9</v>
      </c>
      <c r="F571" s="64">
        <v>39</v>
      </c>
      <c r="G571" s="64">
        <v>60</v>
      </c>
      <c r="H571" s="65"/>
      <c r="I571" s="65"/>
      <c r="J571" s="65"/>
      <c r="K571" s="65" t="s">
        <v>1849</v>
      </c>
      <c r="L571" s="64"/>
      <c r="M571" s="100"/>
      <c r="N571" s="64"/>
      <c r="O571" s="64"/>
      <c r="P571" s="147"/>
      <c r="Q571" s="147"/>
      <c r="R571" s="124"/>
      <c r="S571" s="124"/>
      <c r="T571" s="194"/>
      <c r="U571" s="75">
        <v>0</v>
      </c>
      <c r="V571" s="75"/>
      <c r="W571" s="75">
        <v>0</v>
      </c>
      <c r="X571" s="1122">
        <v>0</v>
      </c>
      <c r="Y571" s="75">
        <v>0</v>
      </c>
      <c r="Z571" s="75">
        <v>0</v>
      </c>
      <c r="AA571" s="1122">
        <v>0</v>
      </c>
      <c r="AB571" s="75">
        <v>0</v>
      </c>
      <c r="AC571" s="75">
        <v>0</v>
      </c>
      <c r="AD571" s="1122">
        <v>0</v>
      </c>
      <c r="AE571" s="75">
        <v>0</v>
      </c>
      <c r="AF571" s="75">
        <v>0</v>
      </c>
      <c r="AG571" s="1122">
        <v>0</v>
      </c>
      <c r="AH571" s="505">
        <f t="shared" si="74"/>
        <v>0</v>
      </c>
      <c r="AI571" s="132"/>
      <c r="AJ571" s="75">
        <f t="shared" si="73"/>
        <v>0</v>
      </c>
      <c r="AK571" s="75"/>
      <c r="AL571" s="75"/>
      <c r="AM571" s="75"/>
      <c r="AN571" s="64"/>
      <c r="AO571" s="165"/>
      <c r="AP571" s="165"/>
      <c r="AQ571" s="413"/>
      <c r="AR571" s="64"/>
      <c r="AS571" s="475"/>
      <c r="AT571" s="64"/>
      <c r="AU571" s="646"/>
      <c r="AV571" s="348"/>
      <c r="AW571" s="432"/>
    </row>
    <row r="572" spans="1:49" ht="29.1" hidden="1" customHeight="1" outlineLevel="4" x14ac:dyDescent="0.25">
      <c r="A572" s="63" t="str">
        <f t="shared" si="77"/>
        <v>1.3.0.9.39.61</v>
      </c>
      <c r="B572" s="64">
        <v>1</v>
      </c>
      <c r="C572" s="64">
        <v>3</v>
      </c>
      <c r="D572" s="64">
        <v>0</v>
      </c>
      <c r="E572" s="64">
        <v>9</v>
      </c>
      <c r="F572" s="64">
        <v>39</v>
      </c>
      <c r="G572" s="64">
        <v>61</v>
      </c>
      <c r="H572" s="65"/>
      <c r="I572" s="65"/>
      <c r="J572" s="65"/>
      <c r="K572" s="65" t="s">
        <v>1850</v>
      </c>
      <c r="L572" s="64"/>
      <c r="M572" s="100"/>
      <c r="N572" s="64"/>
      <c r="O572" s="64"/>
      <c r="P572" s="147"/>
      <c r="Q572" s="147"/>
      <c r="R572" s="124"/>
      <c r="S572" s="124"/>
      <c r="T572" s="194"/>
      <c r="U572" s="75">
        <v>0</v>
      </c>
      <c r="V572" s="75"/>
      <c r="W572" s="75">
        <v>0</v>
      </c>
      <c r="X572" s="1122">
        <v>0</v>
      </c>
      <c r="Y572" s="75">
        <v>0</v>
      </c>
      <c r="Z572" s="75">
        <v>0</v>
      </c>
      <c r="AA572" s="1122">
        <v>0</v>
      </c>
      <c r="AB572" s="75">
        <v>0</v>
      </c>
      <c r="AC572" s="75">
        <v>0</v>
      </c>
      <c r="AD572" s="1122">
        <v>0</v>
      </c>
      <c r="AE572" s="75">
        <v>0</v>
      </c>
      <c r="AF572" s="75">
        <v>0</v>
      </c>
      <c r="AG572" s="1122">
        <v>0</v>
      </c>
      <c r="AH572" s="505">
        <f t="shared" si="74"/>
        <v>0</v>
      </c>
      <c r="AI572" s="132"/>
      <c r="AJ572" s="75">
        <f t="shared" si="73"/>
        <v>0</v>
      </c>
      <c r="AK572" s="75"/>
      <c r="AL572" s="75"/>
      <c r="AM572" s="75"/>
      <c r="AN572" s="64"/>
      <c r="AO572" s="165"/>
      <c r="AP572" s="165"/>
      <c r="AQ572" s="413"/>
      <c r="AR572" s="64"/>
      <c r="AS572" s="475"/>
      <c r="AT572" s="64"/>
      <c r="AU572" s="646"/>
      <c r="AV572" s="348"/>
      <c r="AW572" s="432"/>
    </row>
    <row r="573" spans="1:49" ht="29.1" hidden="1" customHeight="1" outlineLevel="4" x14ac:dyDescent="0.25">
      <c r="A573" s="63" t="str">
        <f t="shared" si="77"/>
        <v>1.3.0.9.39.62</v>
      </c>
      <c r="B573" s="64">
        <v>1</v>
      </c>
      <c r="C573" s="64">
        <v>3</v>
      </c>
      <c r="D573" s="64">
        <v>0</v>
      </c>
      <c r="E573" s="64">
        <v>9</v>
      </c>
      <c r="F573" s="64">
        <v>39</v>
      </c>
      <c r="G573" s="64">
        <v>62</v>
      </c>
      <c r="H573" s="65"/>
      <c r="I573" s="65"/>
      <c r="J573" s="65"/>
      <c r="K573" s="65" t="s">
        <v>1851</v>
      </c>
      <c r="L573" s="64"/>
      <c r="M573" s="100"/>
      <c r="N573" s="64"/>
      <c r="O573" s="64"/>
      <c r="P573" s="147"/>
      <c r="Q573" s="147"/>
      <c r="R573" s="124"/>
      <c r="S573" s="124"/>
      <c r="T573" s="194"/>
      <c r="U573" s="75">
        <v>0</v>
      </c>
      <c r="V573" s="75"/>
      <c r="W573" s="75">
        <v>0</v>
      </c>
      <c r="X573" s="1122">
        <v>0</v>
      </c>
      <c r="Y573" s="75">
        <v>0</v>
      </c>
      <c r="Z573" s="75">
        <v>0</v>
      </c>
      <c r="AA573" s="1122">
        <v>0</v>
      </c>
      <c r="AB573" s="75">
        <v>0</v>
      </c>
      <c r="AC573" s="75">
        <v>0</v>
      </c>
      <c r="AD573" s="1122">
        <v>0</v>
      </c>
      <c r="AE573" s="75">
        <v>0</v>
      </c>
      <c r="AF573" s="75">
        <v>0</v>
      </c>
      <c r="AG573" s="1122">
        <v>0</v>
      </c>
      <c r="AH573" s="505">
        <f t="shared" si="74"/>
        <v>0</v>
      </c>
      <c r="AI573" s="132"/>
      <c r="AJ573" s="75">
        <f t="shared" si="73"/>
        <v>0</v>
      </c>
      <c r="AK573" s="75"/>
      <c r="AL573" s="75"/>
      <c r="AM573" s="75"/>
      <c r="AN573" s="64"/>
      <c r="AO573" s="165"/>
      <c r="AP573" s="165"/>
      <c r="AQ573" s="413"/>
      <c r="AR573" s="64"/>
      <c r="AS573" s="475"/>
      <c r="AT573" s="64"/>
      <c r="AU573" s="646"/>
      <c r="AV573" s="348"/>
      <c r="AW573" s="432"/>
    </row>
    <row r="574" spans="1:49" ht="29.1" hidden="1" customHeight="1" outlineLevel="4" x14ac:dyDescent="0.25">
      <c r="A574" s="63" t="str">
        <f t="shared" si="77"/>
        <v>1.3.0.9.39.63</v>
      </c>
      <c r="B574" s="64">
        <v>1</v>
      </c>
      <c r="C574" s="64">
        <v>3</v>
      </c>
      <c r="D574" s="64">
        <v>0</v>
      </c>
      <c r="E574" s="64">
        <v>9</v>
      </c>
      <c r="F574" s="64">
        <v>39</v>
      </c>
      <c r="G574" s="64">
        <v>63</v>
      </c>
      <c r="H574" s="65"/>
      <c r="I574" s="65"/>
      <c r="J574" s="65"/>
      <c r="K574" s="65" t="s">
        <v>1852</v>
      </c>
      <c r="L574" s="64"/>
      <c r="M574" s="100"/>
      <c r="N574" s="64"/>
      <c r="O574" s="64"/>
      <c r="P574" s="147"/>
      <c r="Q574" s="147"/>
      <c r="R574" s="124"/>
      <c r="S574" s="124"/>
      <c r="T574" s="194"/>
      <c r="U574" s="75">
        <v>0</v>
      </c>
      <c r="V574" s="75"/>
      <c r="W574" s="75">
        <v>0</v>
      </c>
      <c r="X574" s="1122">
        <v>0</v>
      </c>
      <c r="Y574" s="75">
        <v>0</v>
      </c>
      <c r="Z574" s="75">
        <v>0</v>
      </c>
      <c r="AA574" s="1122">
        <v>0</v>
      </c>
      <c r="AB574" s="75">
        <v>0</v>
      </c>
      <c r="AC574" s="75">
        <v>0</v>
      </c>
      <c r="AD574" s="1122">
        <v>0</v>
      </c>
      <c r="AE574" s="75">
        <v>0</v>
      </c>
      <c r="AF574" s="75">
        <v>0</v>
      </c>
      <c r="AG574" s="1122">
        <v>0</v>
      </c>
      <c r="AH574" s="505">
        <f t="shared" si="74"/>
        <v>0</v>
      </c>
      <c r="AI574" s="132"/>
      <c r="AJ574" s="75">
        <f t="shared" si="73"/>
        <v>0</v>
      </c>
      <c r="AK574" s="75"/>
      <c r="AL574" s="75"/>
      <c r="AM574" s="75"/>
      <c r="AN574" s="64"/>
      <c r="AO574" s="165"/>
      <c r="AP574" s="165"/>
      <c r="AQ574" s="413"/>
      <c r="AR574" s="64"/>
      <c r="AS574" s="475"/>
      <c r="AT574" s="64"/>
      <c r="AU574" s="646"/>
      <c r="AV574" s="348"/>
      <c r="AW574" s="432"/>
    </row>
    <row r="575" spans="1:49" ht="29.1" hidden="1" customHeight="1" outlineLevel="4" x14ac:dyDescent="0.25">
      <c r="A575" s="63" t="str">
        <f t="shared" si="77"/>
        <v>1.3.0.9.39.64</v>
      </c>
      <c r="B575" s="64">
        <v>1</v>
      </c>
      <c r="C575" s="64">
        <v>3</v>
      </c>
      <c r="D575" s="64">
        <v>0</v>
      </c>
      <c r="E575" s="64">
        <v>9</v>
      </c>
      <c r="F575" s="64">
        <v>39</v>
      </c>
      <c r="G575" s="64">
        <v>64</v>
      </c>
      <c r="H575" s="65"/>
      <c r="I575" s="65"/>
      <c r="J575" s="65"/>
      <c r="K575" s="65" t="s">
        <v>1853</v>
      </c>
      <c r="L575" s="64"/>
      <c r="M575" s="100"/>
      <c r="N575" s="64"/>
      <c r="O575" s="64"/>
      <c r="P575" s="147"/>
      <c r="Q575" s="147"/>
      <c r="R575" s="124"/>
      <c r="S575" s="124"/>
      <c r="T575" s="194"/>
      <c r="U575" s="75">
        <v>0</v>
      </c>
      <c r="V575" s="75"/>
      <c r="W575" s="75">
        <v>0</v>
      </c>
      <c r="X575" s="1122">
        <v>0</v>
      </c>
      <c r="Y575" s="75">
        <v>0</v>
      </c>
      <c r="Z575" s="75">
        <v>0</v>
      </c>
      <c r="AA575" s="1122">
        <v>0</v>
      </c>
      <c r="AB575" s="75">
        <v>0</v>
      </c>
      <c r="AC575" s="75">
        <v>0</v>
      </c>
      <c r="AD575" s="1122">
        <v>0</v>
      </c>
      <c r="AE575" s="75">
        <v>0</v>
      </c>
      <c r="AF575" s="75">
        <v>0</v>
      </c>
      <c r="AG575" s="1122">
        <v>0</v>
      </c>
      <c r="AH575" s="505">
        <f t="shared" si="74"/>
        <v>0</v>
      </c>
      <c r="AI575" s="132"/>
      <c r="AJ575" s="75">
        <f>+W576+Z576+AC576+AF576</f>
        <v>0</v>
      </c>
      <c r="AK575" s="75"/>
      <c r="AL575" s="75"/>
      <c r="AM575" s="75"/>
      <c r="AN575" s="64"/>
      <c r="AO575" s="165"/>
      <c r="AP575" s="165"/>
      <c r="AQ575" s="413"/>
      <c r="AR575" s="64"/>
      <c r="AS575" s="475"/>
      <c r="AT575" s="64"/>
      <c r="AU575" s="646"/>
      <c r="AV575" s="348"/>
      <c r="AW575" s="432"/>
    </row>
    <row r="576" spans="1:49" s="153" customFormat="1" ht="67.5" customHeight="1" outlineLevel="1" collapsed="1" x14ac:dyDescent="0.25">
      <c r="A576" s="173" t="str">
        <f t="shared" si="77"/>
        <v>1.3.1.10.0.0</v>
      </c>
      <c r="B576" s="174">
        <v>1</v>
      </c>
      <c r="C576" s="174">
        <v>3</v>
      </c>
      <c r="D576" s="174">
        <v>1</v>
      </c>
      <c r="E576" s="174">
        <v>10</v>
      </c>
      <c r="F576" s="174">
        <v>0</v>
      </c>
      <c r="G576" s="174">
        <v>0</v>
      </c>
      <c r="H576" s="175"/>
      <c r="I576" s="175"/>
      <c r="J576" s="175" t="s">
        <v>611</v>
      </c>
      <c r="K576" s="176"/>
      <c r="L576" s="174" t="s">
        <v>612</v>
      </c>
      <c r="M576" s="174" t="s">
        <v>299</v>
      </c>
      <c r="N576" s="174" t="s">
        <v>613</v>
      </c>
      <c r="O576" s="174" t="s">
        <v>241</v>
      </c>
      <c r="P576" s="173"/>
      <c r="Q576" s="177"/>
      <c r="R576" s="177"/>
      <c r="S576" s="177"/>
      <c r="T576" s="1189"/>
      <c r="U576" s="178">
        <f>SUM(U577:U585)</f>
        <v>111250</v>
      </c>
      <c r="V576" s="178"/>
      <c r="W576" s="178">
        <f t="shared" ref="W576:AG576" si="78">SUM(W577:W585)</f>
        <v>0</v>
      </c>
      <c r="X576" s="1127">
        <f t="shared" si="78"/>
        <v>0</v>
      </c>
      <c r="Y576" s="178">
        <f t="shared" si="78"/>
        <v>211250</v>
      </c>
      <c r="Z576" s="178">
        <f t="shared" si="78"/>
        <v>0</v>
      </c>
      <c r="AA576" s="1127">
        <f t="shared" si="78"/>
        <v>0</v>
      </c>
      <c r="AB576" s="178">
        <f t="shared" si="78"/>
        <v>61250</v>
      </c>
      <c r="AC576" s="178">
        <f t="shared" si="78"/>
        <v>0</v>
      </c>
      <c r="AD576" s="1127">
        <f t="shared" si="78"/>
        <v>0</v>
      </c>
      <c r="AE576" s="178">
        <f t="shared" si="78"/>
        <v>61250</v>
      </c>
      <c r="AF576" s="178">
        <f t="shared" si="78"/>
        <v>0</v>
      </c>
      <c r="AG576" s="1127">
        <f t="shared" si="78"/>
        <v>0</v>
      </c>
      <c r="AH576" s="178">
        <f>SUM(AH577:AH585)</f>
        <v>445000</v>
      </c>
      <c r="AI576" s="511">
        <f>SUM(AI577:AI582)</f>
        <v>0</v>
      </c>
      <c r="AJ576" s="511">
        <f>SUM(AJ577:AJ582)</f>
        <v>0</v>
      </c>
      <c r="AK576" s="61"/>
      <c r="AL576" s="61"/>
      <c r="AM576" s="61"/>
      <c r="AN576" s="174" t="s">
        <v>39</v>
      </c>
      <c r="AO576" s="174"/>
      <c r="AP576" s="174"/>
      <c r="AQ576" s="417"/>
      <c r="AR576" s="174"/>
      <c r="AS576" s="482"/>
      <c r="AT576" s="174"/>
      <c r="AU576" s="665"/>
      <c r="AV576" s="345"/>
      <c r="AW576" s="428"/>
    </row>
    <row r="577" spans="1:49" ht="50.1" hidden="1" customHeight="1" outlineLevel="4" x14ac:dyDescent="0.25">
      <c r="A577" s="63" t="str">
        <f t="shared" si="77"/>
        <v>1.3.1.10.1.58-64</v>
      </c>
      <c r="B577" s="64">
        <v>1</v>
      </c>
      <c r="C577" s="64">
        <v>3</v>
      </c>
      <c r="D577" s="64">
        <v>1</v>
      </c>
      <c r="E577" s="64">
        <v>10</v>
      </c>
      <c r="F577" s="64">
        <v>1</v>
      </c>
      <c r="G577" s="64" t="s">
        <v>64</v>
      </c>
      <c r="H577" s="65"/>
      <c r="I577" s="65"/>
      <c r="J577" s="65"/>
      <c r="K577" s="67" t="s">
        <v>614</v>
      </c>
      <c r="L577" s="64" t="s">
        <v>612</v>
      </c>
      <c r="M577" s="68" t="s">
        <v>615</v>
      </c>
      <c r="N577" s="64" t="s">
        <v>613</v>
      </c>
      <c r="O577" s="64" t="s">
        <v>241</v>
      </c>
      <c r="P577" s="69">
        <v>44927</v>
      </c>
      <c r="Q577" s="69">
        <v>44985</v>
      </c>
      <c r="R577" s="64">
        <v>7</v>
      </c>
      <c r="S577" s="67" t="s">
        <v>2574</v>
      </c>
      <c r="T577" s="1190">
        <v>1</v>
      </c>
      <c r="U577" s="78">
        <v>0</v>
      </c>
      <c r="V577" s="78"/>
      <c r="W577" s="78">
        <v>0</v>
      </c>
      <c r="X577" s="1128">
        <v>0</v>
      </c>
      <c r="Y577" s="78">
        <v>0</v>
      </c>
      <c r="Z577" s="78">
        <v>0</v>
      </c>
      <c r="AA577" s="1128">
        <v>0</v>
      </c>
      <c r="AB577" s="78">
        <v>0</v>
      </c>
      <c r="AC577" s="78">
        <v>0</v>
      </c>
      <c r="AD577" s="1128">
        <v>0</v>
      </c>
      <c r="AE577" s="78">
        <v>0</v>
      </c>
      <c r="AF577" s="78">
        <v>0</v>
      </c>
      <c r="AG577" s="1128">
        <v>0</v>
      </c>
      <c r="AH577" s="505">
        <f>+U577+Y577+AB577+AE577</f>
        <v>0</v>
      </c>
      <c r="AI577" s="132"/>
      <c r="AJ577" s="75">
        <f t="shared" ref="AJ577:AJ585" si="79">+W578+Z578+AC578+AF578</f>
        <v>0</v>
      </c>
      <c r="AK577" s="75"/>
      <c r="AL577" s="75"/>
      <c r="AM577" s="75"/>
      <c r="AN577" s="64" t="s">
        <v>39</v>
      </c>
      <c r="AO577" s="64"/>
      <c r="AP577" s="64"/>
      <c r="AQ577" s="189"/>
      <c r="AR577" s="64"/>
      <c r="AS577" s="476"/>
      <c r="AT577" s="64"/>
      <c r="AU577" s="646"/>
      <c r="AV577" s="65"/>
      <c r="AW577" s="443"/>
    </row>
    <row r="578" spans="1:49" ht="50.1" hidden="1" customHeight="1" outlineLevel="4" x14ac:dyDescent="0.25">
      <c r="A578" s="63" t="str">
        <f t="shared" si="77"/>
        <v>1.3.1.10.2.58-64</v>
      </c>
      <c r="B578" s="64">
        <v>1</v>
      </c>
      <c r="C578" s="64">
        <v>3</v>
      </c>
      <c r="D578" s="64">
        <v>1</v>
      </c>
      <c r="E578" s="64">
        <v>10</v>
      </c>
      <c r="F578" s="64">
        <v>2</v>
      </c>
      <c r="G578" s="64" t="s">
        <v>64</v>
      </c>
      <c r="H578" s="65"/>
      <c r="I578" s="65"/>
      <c r="J578" s="65"/>
      <c r="K578" s="67" t="s">
        <v>617</v>
      </c>
      <c r="L578" s="64" t="s">
        <v>612</v>
      </c>
      <c r="M578" s="68" t="s">
        <v>618</v>
      </c>
      <c r="N578" s="64" t="s">
        <v>613</v>
      </c>
      <c r="O578" s="64" t="s">
        <v>241</v>
      </c>
      <c r="P578" s="69">
        <v>45231</v>
      </c>
      <c r="Q578" s="69">
        <v>44803</v>
      </c>
      <c r="R578" s="64"/>
      <c r="S578" s="67"/>
      <c r="T578" s="194"/>
      <c r="U578" s="78">
        <v>0</v>
      </c>
      <c r="V578" s="78"/>
      <c r="W578" s="78">
        <v>0</v>
      </c>
      <c r="X578" s="1128">
        <v>0</v>
      </c>
      <c r="Y578" s="78">
        <v>0</v>
      </c>
      <c r="Z578" s="78">
        <v>0</v>
      </c>
      <c r="AA578" s="1128">
        <v>0</v>
      </c>
      <c r="AB578" s="78">
        <v>0</v>
      </c>
      <c r="AC578" s="78">
        <v>0</v>
      </c>
      <c r="AD578" s="1128">
        <v>0</v>
      </c>
      <c r="AE578" s="78">
        <v>0</v>
      </c>
      <c r="AF578" s="78">
        <v>0</v>
      </c>
      <c r="AG578" s="1128">
        <v>0</v>
      </c>
      <c r="AH578" s="505">
        <f t="shared" ref="AH578:AH585" si="80">+U578+Y578+AB578+AE578</f>
        <v>0</v>
      </c>
      <c r="AI578" s="132"/>
      <c r="AJ578" s="75">
        <f t="shared" si="79"/>
        <v>0</v>
      </c>
      <c r="AK578" s="75"/>
      <c r="AL578" s="75"/>
      <c r="AM578" s="75"/>
      <c r="AN578" s="64" t="s">
        <v>39</v>
      </c>
      <c r="AO578" s="64"/>
      <c r="AP578" s="64"/>
      <c r="AQ578" s="189"/>
      <c r="AR578" s="64"/>
      <c r="AS578" s="865"/>
      <c r="AT578" s="64"/>
      <c r="AU578" s="860"/>
      <c r="AV578" s="65"/>
      <c r="AW578" s="335"/>
    </row>
    <row r="579" spans="1:49" ht="50.1" hidden="1" customHeight="1" outlineLevel="4" x14ac:dyDescent="0.25">
      <c r="A579" s="63" t="str">
        <f t="shared" si="77"/>
        <v>1.3.1.10.3.58-64</v>
      </c>
      <c r="B579" s="64">
        <v>1</v>
      </c>
      <c r="C579" s="64">
        <v>3</v>
      </c>
      <c r="D579" s="64">
        <v>1</v>
      </c>
      <c r="E579" s="64">
        <v>10</v>
      </c>
      <c r="F579" s="64">
        <v>3</v>
      </c>
      <c r="G579" s="64" t="s">
        <v>64</v>
      </c>
      <c r="H579" s="65"/>
      <c r="I579" s="65"/>
      <c r="J579" s="65"/>
      <c r="K579" s="67" t="s">
        <v>621</v>
      </c>
      <c r="L579" s="64" t="s">
        <v>612</v>
      </c>
      <c r="M579" s="68" t="s">
        <v>622</v>
      </c>
      <c r="N579" s="68" t="s">
        <v>623</v>
      </c>
      <c r="O579" s="64" t="s">
        <v>241</v>
      </c>
      <c r="P579" s="69"/>
      <c r="Q579" s="69"/>
      <c r="R579" s="63"/>
      <c r="S579" s="63"/>
      <c r="T579" s="1191"/>
      <c r="U579" s="78">
        <v>0</v>
      </c>
      <c r="V579" s="78"/>
      <c r="W579" s="78">
        <v>0</v>
      </c>
      <c r="X579" s="1128">
        <v>0</v>
      </c>
      <c r="Y579" s="78">
        <v>0</v>
      </c>
      <c r="Z579" s="78">
        <v>0</v>
      </c>
      <c r="AA579" s="1128">
        <v>0</v>
      </c>
      <c r="AB579" s="78">
        <v>0</v>
      </c>
      <c r="AC579" s="78">
        <v>0</v>
      </c>
      <c r="AD579" s="1128">
        <v>0</v>
      </c>
      <c r="AE579" s="78">
        <v>0</v>
      </c>
      <c r="AF579" s="78">
        <v>0</v>
      </c>
      <c r="AG579" s="1128">
        <v>0</v>
      </c>
      <c r="AH579" s="505">
        <f t="shared" si="80"/>
        <v>0</v>
      </c>
      <c r="AI579" s="132"/>
      <c r="AJ579" s="75">
        <f t="shared" si="79"/>
        <v>0</v>
      </c>
      <c r="AK579" s="75"/>
      <c r="AL579" s="75"/>
      <c r="AM579" s="75"/>
      <c r="AN579" s="64" t="s">
        <v>39</v>
      </c>
      <c r="AO579" s="64"/>
      <c r="AP579" s="64"/>
      <c r="AQ579" s="189"/>
      <c r="AR579" s="64"/>
      <c r="AS579" s="476"/>
      <c r="AT579" s="64"/>
      <c r="AU579" s="646"/>
      <c r="AV579" s="65"/>
      <c r="AW579" s="185"/>
    </row>
    <row r="580" spans="1:49" ht="50.1" hidden="1" customHeight="1" outlineLevel="4" x14ac:dyDescent="0.25">
      <c r="A580" s="63" t="str">
        <f t="shared" si="77"/>
        <v>1.3.1.10.4.58-64</v>
      </c>
      <c r="B580" s="64">
        <v>1</v>
      </c>
      <c r="C580" s="64">
        <v>3</v>
      </c>
      <c r="D580" s="64">
        <v>1</v>
      </c>
      <c r="E580" s="64">
        <v>10</v>
      </c>
      <c r="F580" s="64">
        <v>4</v>
      </c>
      <c r="G580" s="64" t="s">
        <v>64</v>
      </c>
      <c r="H580" s="65"/>
      <c r="I580" s="65"/>
      <c r="J580" s="65"/>
      <c r="K580" s="67" t="s">
        <v>624</v>
      </c>
      <c r="L580" s="64" t="s">
        <v>612</v>
      </c>
      <c r="M580" s="64" t="s">
        <v>625</v>
      </c>
      <c r="N580" s="68" t="s">
        <v>623</v>
      </c>
      <c r="O580" s="64" t="s">
        <v>241</v>
      </c>
      <c r="P580" s="69"/>
      <c r="Q580" s="69"/>
      <c r="R580" s="63">
        <v>7</v>
      </c>
      <c r="S580" s="67" t="s">
        <v>2574</v>
      </c>
      <c r="T580" s="1192">
        <v>2</v>
      </c>
      <c r="U580" s="78">
        <v>0</v>
      </c>
      <c r="V580" s="78"/>
      <c r="W580" s="78">
        <v>0</v>
      </c>
      <c r="X580" s="1128">
        <v>0</v>
      </c>
      <c r="Y580" s="78">
        <v>0</v>
      </c>
      <c r="Z580" s="78">
        <v>0</v>
      </c>
      <c r="AA580" s="1128">
        <v>0</v>
      </c>
      <c r="AB580" s="78">
        <v>0</v>
      </c>
      <c r="AC580" s="78">
        <v>0</v>
      </c>
      <c r="AD580" s="1128">
        <v>0</v>
      </c>
      <c r="AE580" s="78">
        <v>0</v>
      </c>
      <c r="AF580" s="78">
        <v>0</v>
      </c>
      <c r="AG580" s="1128">
        <v>0</v>
      </c>
      <c r="AH580" s="505">
        <f t="shared" si="80"/>
        <v>0</v>
      </c>
      <c r="AI580" s="132"/>
      <c r="AJ580" s="75">
        <f t="shared" si="79"/>
        <v>0</v>
      </c>
      <c r="AK580" s="75"/>
      <c r="AL580" s="75"/>
      <c r="AM580" s="75"/>
      <c r="AN580" s="64" t="s">
        <v>39</v>
      </c>
      <c r="AO580" s="64"/>
      <c r="AP580" s="64"/>
      <c r="AQ580" s="189"/>
      <c r="AR580" s="64"/>
      <c r="AS580" s="476"/>
      <c r="AT580" s="64"/>
      <c r="AU580" s="646"/>
      <c r="AV580" s="65"/>
      <c r="AW580" s="443"/>
    </row>
    <row r="581" spans="1:49" ht="50.1" hidden="1" customHeight="1" outlineLevel="4" x14ac:dyDescent="0.25">
      <c r="A581" s="63" t="str">
        <f t="shared" si="77"/>
        <v>1.3.1.10.5.58-64</v>
      </c>
      <c r="B581" s="64">
        <v>1</v>
      </c>
      <c r="C581" s="64">
        <v>3</v>
      </c>
      <c r="D581" s="64">
        <v>1</v>
      </c>
      <c r="E581" s="64">
        <v>10</v>
      </c>
      <c r="F581" s="64">
        <v>5</v>
      </c>
      <c r="G581" s="64" t="s">
        <v>64</v>
      </c>
      <c r="H581" s="65"/>
      <c r="I581" s="65"/>
      <c r="J581" s="65"/>
      <c r="K581" s="67" t="s">
        <v>626</v>
      </c>
      <c r="L581" s="64" t="s">
        <v>612</v>
      </c>
      <c r="M581" s="64"/>
      <c r="N581" s="68"/>
      <c r="O581" s="64"/>
      <c r="P581" s="69"/>
      <c r="Q581" s="69"/>
      <c r="R581" s="63">
        <v>5</v>
      </c>
      <c r="S581" s="67" t="s">
        <v>2574</v>
      </c>
      <c r="T581" s="1192">
        <v>1</v>
      </c>
      <c r="U581" s="78">
        <v>0</v>
      </c>
      <c r="V581" s="78"/>
      <c r="W581" s="78">
        <v>0</v>
      </c>
      <c r="X581" s="1128">
        <v>0</v>
      </c>
      <c r="Y581" s="78">
        <v>0</v>
      </c>
      <c r="Z581" s="78">
        <v>0</v>
      </c>
      <c r="AA581" s="1128">
        <v>0</v>
      </c>
      <c r="AB581" s="78">
        <v>0</v>
      </c>
      <c r="AC581" s="78">
        <v>0</v>
      </c>
      <c r="AD581" s="1128">
        <v>0</v>
      </c>
      <c r="AE581" s="78">
        <v>0</v>
      </c>
      <c r="AF581" s="78">
        <v>0</v>
      </c>
      <c r="AG581" s="1128">
        <v>0</v>
      </c>
      <c r="AH581" s="505">
        <f t="shared" si="80"/>
        <v>0</v>
      </c>
      <c r="AI581" s="132"/>
      <c r="AJ581" s="75">
        <f t="shared" si="79"/>
        <v>0</v>
      </c>
      <c r="AK581" s="75"/>
      <c r="AL581" s="75"/>
      <c r="AM581" s="75"/>
      <c r="AN581" s="64" t="s">
        <v>39</v>
      </c>
      <c r="AO581" s="64"/>
      <c r="AP581" s="64"/>
      <c r="AQ581" s="189"/>
      <c r="AR581" s="64"/>
      <c r="AS581" s="476"/>
      <c r="AT581" s="64"/>
      <c r="AU581" s="646"/>
      <c r="AV581" s="65"/>
      <c r="AW581" s="335" t="s">
        <v>2717</v>
      </c>
    </row>
    <row r="582" spans="1:49" ht="50.1" hidden="1" customHeight="1" outlineLevel="4" x14ac:dyDescent="0.25">
      <c r="A582" s="63" t="str">
        <f t="shared" si="77"/>
        <v>1.3.1.10.6.58-64</v>
      </c>
      <c r="B582" s="64">
        <v>1</v>
      </c>
      <c r="C582" s="64">
        <v>3</v>
      </c>
      <c r="D582" s="64">
        <v>1</v>
      </c>
      <c r="E582" s="64">
        <v>10</v>
      </c>
      <c r="F582" s="64">
        <v>6</v>
      </c>
      <c r="G582" s="64" t="s">
        <v>64</v>
      </c>
      <c r="H582" s="65"/>
      <c r="I582" s="65"/>
      <c r="J582" s="65"/>
      <c r="K582" s="67" t="s">
        <v>628</v>
      </c>
      <c r="L582" s="64" t="s">
        <v>612</v>
      </c>
      <c r="M582" s="64"/>
      <c r="N582" s="68"/>
      <c r="O582" s="64"/>
      <c r="P582" s="69"/>
      <c r="Q582" s="69"/>
      <c r="R582" s="63"/>
      <c r="S582" s="63"/>
      <c r="T582" s="1191"/>
      <c r="U582" s="78">
        <v>50500</v>
      </c>
      <c r="V582" s="78"/>
      <c r="W582" s="78">
        <v>0</v>
      </c>
      <c r="X582" s="1128">
        <v>0</v>
      </c>
      <c r="Y582" s="78">
        <v>50500</v>
      </c>
      <c r="Z582" s="78">
        <v>0</v>
      </c>
      <c r="AA582" s="1128">
        <v>0</v>
      </c>
      <c r="AB582" s="78">
        <v>50500</v>
      </c>
      <c r="AC582" s="78">
        <v>0</v>
      </c>
      <c r="AD582" s="1128">
        <v>0</v>
      </c>
      <c r="AE582" s="78">
        <v>50500</v>
      </c>
      <c r="AF582" s="78">
        <v>0</v>
      </c>
      <c r="AG582" s="1128">
        <v>0</v>
      </c>
      <c r="AH582" s="505">
        <f t="shared" si="80"/>
        <v>202000</v>
      </c>
      <c r="AI582" s="132"/>
      <c r="AJ582" s="75">
        <f t="shared" si="79"/>
        <v>0</v>
      </c>
      <c r="AK582" s="75"/>
      <c r="AL582" s="75"/>
      <c r="AM582" s="75"/>
      <c r="AN582" s="64" t="s">
        <v>39</v>
      </c>
      <c r="AO582" s="64"/>
      <c r="AP582" s="64"/>
      <c r="AQ582" s="533"/>
      <c r="AR582" s="554"/>
      <c r="AS582" s="554"/>
      <c r="AT582" s="64"/>
      <c r="AU582" s="646"/>
      <c r="AV582" s="65"/>
      <c r="AW582" s="1084" t="s">
        <v>2720</v>
      </c>
    </row>
    <row r="583" spans="1:49" ht="50.1" hidden="1" customHeight="1" outlineLevel="4" x14ac:dyDescent="0.25">
      <c r="A583" s="63" t="str">
        <f t="shared" si="77"/>
        <v>1.3.1.10.7.58-64</v>
      </c>
      <c r="B583" s="64">
        <v>1</v>
      </c>
      <c r="C583" s="64">
        <v>3</v>
      </c>
      <c r="D583" s="64">
        <v>1</v>
      </c>
      <c r="E583" s="64">
        <v>10</v>
      </c>
      <c r="F583" s="64">
        <v>7</v>
      </c>
      <c r="G583" s="64" t="s">
        <v>64</v>
      </c>
      <c r="H583" s="65"/>
      <c r="I583" s="65"/>
      <c r="J583" s="65"/>
      <c r="K583" s="67" t="s">
        <v>1584</v>
      </c>
      <c r="L583" s="64" t="s">
        <v>612</v>
      </c>
      <c r="M583" s="64"/>
      <c r="N583" s="68"/>
      <c r="O583" s="64"/>
      <c r="P583" s="69"/>
      <c r="Q583" s="69"/>
      <c r="R583" s="63"/>
      <c r="S583" s="63"/>
      <c r="T583" s="1191"/>
      <c r="U583" s="78">
        <v>10750</v>
      </c>
      <c r="V583" s="78"/>
      <c r="W583" s="78">
        <v>0</v>
      </c>
      <c r="X583" s="1128">
        <v>0</v>
      </c>
      <c r="Y583" s="78">
        <v>10750</v>
      </c>
      <c r="Z583" s="78">
        <v>0</v>
      </c>
      <c r="AA583" s="1128">
        <v>0</v>
      </c>
      <c r="AB583" s="78">
        <v>10750</v>
      </c>
      <c r="AC583" s="78">
        <v>0</v>
      </c>
      <c r="AD583" s="1128">
        <v>0</v>
      </c>
      <c r="AE583" s="78">
        <v>10750</v>
      </c>
      <c r="AF583" s="78">
        <v>0</v>
      </c>
      <c r="AG583" s="1128">
        <v>0</v>
      </c>
      <c r="AH583" s="505">
        <f t="shared" si="80"/>
        <v>43000</v>
      </c>
      <c r="AI583" s="132"/>
      <c r="AJ583" s="75">
        <f t="shared" si="79"/>
        <v>0</v>
      </c>
      <c r="AK583" s="75"/>
      <c r="AL583" s="75"/>
      <c r="AM583" s="75"/>
      <c r="AN583" s="64" t="s">
        <v>39</v>
      </c>
      <c r="AO583" s="64"/>
      <c r="AP583" s="64"/>
      <c r="AQ583" s="972"/>
      <c r="AR583" s="554"/>
      <c r="AS583" s="973"/>
      <c r="AT583" s="64"/>
      <c r="AU583" s="646"/>
      <c r="AV583" s="65"/>
      <c r="AW583" s="1084" t="s">
        <v>2718</v>
      </c>
    </row>
    <row r="584" spans="1:49" ht="50.1" hidden="1" customHeight="1" outlineLevel="4" x14ac:dyDescent="0.25">
      <c r="A584" s="63" t="str">
        <f t="shared" si="77"/>
        <v>1.3.1.10.8.58-64</v>
      </c>
      <c r="B584" s="64">
        <v>1</v>
      </c>
      <c r="C584" s="64">
        <v>3</v>
      </c>
      <c r="D584" s="64">
        <v>1</v>
      </c>
      <c r="E584" s="64">
        <v>10</v>
      </c>
      <c r="F584" s="64">
        <v>8</v>
      </c>
      <c r="G584" s="64" t="s">
        <v>64</v>
      </c>
      <c r="H584" s="65"/>
      <c r="I584" s="65"/>
      <c r="J584" s="65"/>
      <c r="K584" s="67" t="s">
        <v>1457</v>
      </c>
      <c r="L584" s="64"/>
      <c r="M584" s="64"/>
      <c r="N584" s="68"/>
      <c r="O584" s="64"/>
      <c r="P584" s="69"/>
      <c r="Q584" s="69"/>
      <c r="R584" s="63"/>
      <c r="S584" s="63"/>
      <c r="T584" s="1191"/>
      <c r="U584" s="78">
        <v>0</v>
      </c>
      <c r="V584" s="78"/>
      <c r="W584" s="78">
        <v>0</v>
      </c>
      <c r="X584" s="1128">
        <v>0</v>
      </c>
      <c r="Y584" s="78">
        <v>150000</v>
      </c>
      <c r="Z584" s="78">
        <v>0</v>
      </c>
      <c r="AA584" s="1128">
        <v>0</v>
      </c>
      <c r="AB584" s="78">
        <v>0</v>
      </c>
      <c r="AC584" s="78">
        <v>0</v>
      </c>
      <c r="AD584" s="1128">
        <v>0</v>
      </c>
      <c r="AE584" s="78">
        <v>0</v>
      </c>
      <c r="AF584" s="78">
        <v>0</v>
      </c>
      <c r="AG584" s="1128">
        <v>0</v>
      </c>
      <c r="AH584" s="505">
        <f t="shared" si="80"/>
        <v>150000</v>
      </c>
      <c r="AI584" s="132"/>
      <c r="AJ584" s="75">
        <f t="shared" si="79"/>
        <v>0</v>
      </c>
      <c r="AK584" s="75"/>
      <c r="AL584" s="75"/>
      <c r="AM584" s="75"/>
      <c r="AN584" s="64" t="s">
        <v>39</v>
      </c>
      <c r="AO584" s="64"/>
      <c r="AP584" s="64"/>
      <c r="AQ584" s="972"/>
      <c r="AR584" s="554"/>
      <c r="AS584" s="973"/>
      <c r="AT584" s="64"/>
      <c r="AU584" s="646"/>
      <c r="AV584" s="65"/>
      <c r="AW584" s="456" t="s">
        <v>2721</v>
      </c>
    </row>
    <row r="585" spans="1:49" ht="50.1" hidden="1" customHeight="1" outlineLevel="4" x14ac:dyDescent="0.25">
      <c r="A585" s="63" t="str">
        <f t="shared" si="77"/>
        <v>1.3.1.10.9.58-64</v>
      </c>
      <c r="B585" s="64">
        <v>1</v>
      </c>
      <c r="C585" s="64">
        <v>3</v>
      </c>
      <c r="D585" s="64">
        <v>1</v>
      </c>
      <c r="E585" s="64">
        <v>10</v>
      </c>
      <c r="F585" s="64">
        <v>9</v>
      </c>
      <c r="G585" s="64" t="s">
        <v>64</v>
      </c>
      <c r="H585" s="65"/>
      <c r="I585" s="65"/>
      <c r="J585" s="65"/>
      <c r="K585" s="67" t="s">
        <v>2576</v>
      </c>
      <c r="L585" s="64"/>
      <c r="M585" s="64"/>
      <c r="N585" s="68"/>
      <c r="O585" s="64"/>
      <c r="P585" s="69"/>
      <c r="Q585" s="69"/>
      <c r="R585" s="63">
        <v>7</v>
      </c>
      <c r="S585" s="63" t="s">
        <v>2577</v>
      </c>
      <c r="T585" s="1192">
        <v>7</v>
      </c>
      <c r="U585" s="78">
        <v>50000</v>
      </c>
      <c r="V585" s="78"/>
      <c r="W585" s="78">
        <v>0</v>
      </c>
      <c r="X585" s="1128">
        <v>0</v>
      </c>
      <c r="Y585" s="78">
        <v>0</v>
      </c>
      <c r="Z585" s="78">
        <v>0</v>
      </c>
      <c r="AA585" s="1128">
        <v>0</v>
      </c>
      <c r="AB585" s="78">
        <v>0</v>
      </c>
      <c r="AC585" s="78">
        <v>0</v>
      </c>
      <c r="AD585" s="1128">
        <v>0</v>
      </c>
      <c r="AE585" s="78">
        <v>0</v>
      </c>
      <c r="AF585" s="78">
        <v>0</v>
      </c>
      <c r="AG585" s="1128">
        <v>0</v>
      </c>
      <c r="AH585" s="505">
        <f t="shared" si="80"/>
        <v>50000</v>
      </c>
      <c r="AI585" s="132"/>
      <c r="AJ585" s="75">
        <f t="shared" si="79"/>
        <v>0</v>
      </c>
      <c r="AK585" s="75"/>
      <c r="AL585" s="75"/>
      <c r="AM585" s="75"/>
      <c r="AN585" s="64" t="s">
        <v>39</v>
      </c>
      <c r="AO585" s="64"/>
      <c r="AP585" s="64"/>
      <c r="AQ585" s="972"/>
      <c r="AR585" s="554"/>
      <c r="AS585" s="973"/>
      <c r="AT585" s="64"/>
      <c r="AU585" s="646"/>
      <c r="AV585" s="65"/>
      <c r="AW585" s="456" t="s">
        <v>2719</v>
      </c>
    </row>
    <row r="586" spans="1:49" s="180" customFormat="1" ht="66" customHeight="1" outlineLevel="1" collapsed="1" x14ac:dyDescent="0.25">
      <c r="A586" s="173" t="str">
        <f t="shared" si="77"/>
        <v>1.3.1.11.0.0</v>
      </c>
      <c r="B586" s="174">
        <v>1</v>
      </c>
      <c r="C586" s="174">
        <v>3</v>
      </c>
      <c r="D586" s="174">
        <v>1</v>
      </c>
      <c r="E586" s="174">
        <v>11</v>
      </c>
      <c r="F586" s="174">
        <v>0</v>
      </c>
      <c r="G586" s="174">
        <v>0</v>
      </c>
      <c r="H586" s="175"/>
      <c r="I586" s="175"/>
      <c r="J586" s="175" t="s">
        <v>629</v>
      </c>
      <c r="K586" s="176"/>
      <c r="L586" s="81" t="s">
        <v>630</v>
      </c>
      <c r="M586" s="81" t="s">
        <v>562</v>
      </c>
      <c r="N586" s="81" t="s">
        <v>631</v>
      </c>
      <c r="O586" s="81" t="s">
        <v>241</v>
      </c>
      <c r="P586" s="114"/>
      <c r="Q586" s="114"/>
      <c r="R586" s="81"/>
      <c r="S586" s="114"/>
      <c r="T586" s="1184"/>
      <c r="U586" s="61">
        <f>SUM(U587:U600)</f>
        <v>0</v>
      </c>
      <c r="V586" s="61"/>
      <c r="W586" s="61">
        <f t="shared" ref="W586:AH586" si="81">SUM(W587:W600)</f>
        <v>0</v>
      </c>
      <c r="X586" s="1123">
        <f t="shared" si="81"/>
        <v>0</v>
      </c>
      <c r="Y586" s="61">
        <f t="shared" si="81"/>
        <v>0</v>
      </c>
      <c r="Z586" s="61">
        <f t="shared" si="81"/>
        <v>0</v>
      </c>
      <c r="AA586" s="1123">
        <f t="shared" si="81"/>
        <v>0</v>
      </c>
      <c r="AB586" s="61">
        <f t="shared" si="81"/>
        <v>0</v>
      </c>
      <c r="AC586" s="61">
        <f t="shared" si="81"/>
        <v>0</v>
      </c>
      <c r="AD586" s="1123">
        <f t="shared" si="81"/>
        <v>0</v>
      </c>
      <c r="AE586" s="61">
        <f t="shared" si="81"/>
        <v>0</v>
      </c>
      <c r="AF586" s="61">
        <f t="shared" si="81"/>
        <v>0</v>
      </c>
      <c r="AG586" s="1123">
        <f t="shared" si="81"/>
        <v>0</v>
      </c>
      <c r="AH586" s="61">
        <f t="shared" si="81"/>
        <v>0</v>
      </c>
      <c r="AI586" s="511">
        <f>SUM(AI587:AI597)</f>
        <v>0</v>
      </c>
      <c r="AJ586" s="511">
        <f>SUM(AJ587:AJ597)</f>
        <v>0</v>
      </c>
      <c r="AK586" s="61"/>
      <c r="AL586" s="61"/>
      <c r="AM586" s="61"/>
      <c r="AN586" s="81" t="s">
        <v>39</v>
      </c>
      <c r="AO586" s="81"/>
      <c r="AP586" s="81"/>
      <c r="AQ586" s="412"/>
      <c r="AR586" s="81"/>
      <c r="AS586" s="474"/>
      <c r="AT586" s="81"/>
      <c r="AU586" s="663"/>
      <c r="AV586" s="663"/>
      <c r="AW586" s="663"/>
    </row>
    <row r="587" spans="1:49" ht="41.45" hidden="1" customHeight="1" outlineLevel="3" x14ac:dyDescent="0.25">
      <c r="A587" s="63" t="str">
        <f t="shared" si="77"/>
        <v>1.3.1.11.1.58-64</v>
      </c>
      <c r="B587" s="64">
        <v>1</v>
      </c>
      <c r="C587" s="64">
        <v>3</v>
      </c>
      <c r="D587" s="64">
        <v>1</v>
      </c>
      <c r="E587" s="64">
        <v>11</v>
      </c>
      <c r="F587" s="64">
        <v>1</v>
      </c>
      <c r="G587" s="64" t="s">
        <v>64</v>
      </c>
      <c r="H587" s="65"/>
      <c r="I587" s="65"/>
      <c r="J587" s="65"/>
      <c r="K587" s="67" t="s">
        <v>632</v>
      </c>
      <c r="L587" s="64" t="s">
        <v>630</v>
      </c>
      <c r="M587" s="68" t="s">
        <v>633</v>
      </c>
      <c r="N587" s="68" t="s">
        <v>631</v>
      </c>
      <c r="O587" s="64" t="s">
        <v>634</v>
      </c>
      <c r="P587" s="63">
        <v>43862</v>
      </c>
      <c r="Q587" s="63" t="s">
        <v>635</v>
      </c>
      <c r="R587" s="64">
        <v>1</v>
      </c>
      <c r="S587" s="67" t="s">
        <v>636</v>
      </c>
      <c r="T587" s="194"/>
      <c r="U587" s="75">
        <v>0</v>
      </c>
      <c r="V587" s="75"/>
      <c r="W587" s="75">
        <v>0</v>
      </c>
      <c r="X587" s="1122">
        <v>0</v>
      </c>
      <c r="Y587" s="75">
        <v>0</v>
      </c>
      <c r="Z587" s="75">
        <v>0</v>
      </c>
      <c r="AA587" s="1122">
        <v>0</v>
      </c>
      <c r="AB587" s="75">
        <v>0</v>
      </c>
      <c r="AC587" s="75">
        <v>0</v>
      </c>
      <c r="AD587" s="1122">
        <v>0</v>
      </c>
      <c r="AE587" s="75">
        <v>0</v>
      </c>
      <c r="AF587" s="75">
        <v>0</v>
      </c>
      <c r="AG587" s="1122">
        <v>0</v>
      </c>
      <c r="AH587" s="505">
        <f>+U587+Y587+AB587+AE587</f>
        <v>0</v>
      </c>
      <c r="AI587" s="132"/>
      <c r="AJ587" s="75">
        <f t="shared" ref="AJ587:AJ600" si="82">+W588+Z588+AC588+AF588</f>
        <v>0</v>
      </c>
      <c r="AK587" s="75"/>
      <c r="AL587" s="75"/>
      <c r="AM587" s="75"/>
      <c r="AN587" s="64" t="s">
        <v>39</v>
      </c>
      <c r="AO587" s="64"/>
      <c r="AP587" s="64"/>
      <c r="AQ587" s="189"/>
      <c r="AR587" s="64"/>
      <c r="AS587" s="476"/>
      <c r="AT587" s="64"/>
      <c r="AU587" s="646"/>
      <c r="AV587" s="259"/>
      <c r="AW587" s="185"/>
    </row>
    <row r="588" spans="1:49" ht="41.45" hidden="1" customHeight="1" outlineLevel="3" x14ac:dyDescent="0.25">
      <c r="A588" s="63" t="str">
        <f t="shared" si="77"/>
        <v>1.3.1.11.2.58</v>
      </c>
      <c r="B588" s="64">
        <v>1</v>
      </c>
      <c r="C588" s="64">
        <v>3</v>
      </c>
      <c r="D588" s="64">
        <v>1</v>
      </c>
      <c r="E588" s="64">
        <v>11</v>
      </c>
      <c r="F588" s="64">
        <v>2</v>
      </c>
      <c r="G588" s="64">
        <v>58</v>
      </c>
      <c r="H588" s="65"/>
      <c r="I588" s="65"/>
      <c r="J588" s="65"/>
      <c r="K588" s="67" t="s">
        <v>637</v>
      </c>
      <c r="L588" s="64" t="s">
        <v>630</v>
      </c>
      <c r="M588" s="64" t="s">
        <v>562</v>
      </c>
      <c r="N588" s="68" t="s">
        <v>631</v>
      </c>
      <c r="O588" s="64" t="s">
        <v>241</v>
      </c>
      <c r="P588" s="63">
        <v>43800</v>
      </c>
      <c r="Q588" s="63">
        <v>44166</v>
      </c>
      <c r="R588" s="64">
        <v>1</v>
      </c>
      <c r="S588" s="67" t="s">
        <v>619</v>
      </c>
      <c r="T588" s="194"/>
      <c r="U588" s="75">
        <v>0</v>
      </c>
      <c r="V588" s="75"/>
      <c r="W588" s="75">
        <v>0</v>
      </c>
      <c r="X588" s="1122">
        <v>0</v>
      </c>
      <c r="Y588" s="75">
        <v>0</v>
      </c>
      <c r="Z588" s="75">
        <v>0</v>
      </c>
      <c r="AA588" s="1122">
        <v>0</v>
      </c>
      <c r="AB588" s="75">
        <v>0</v>
      </c>
      <c r="AC588" s="75">
        <v>0</v>
      </c>
      <c r="AD588" s="1122">
        <v>0</v>
      </c>
      <c r="AE588" s="75">
        <v>0</v>
      </c>
      <c r="AF588" s="75">
        <v>0</v>
      </c>
      <c r="AG588" s="1122">
        <v>0</v>
      </c>
      <c r="AH588" s="505">
        <f t="shared" ref="AH588:AH600" si="83">+U588+Y588+AB588+AE588</f>
        <v>0</v>
      </c>
      <c r="AI588" s="132"/>
      <c r="AJ588" s="75">
        <f t="shared" si="82"/>
        <v>0</v>
      </c>
      <c r="AK588" s="75"/>
      <c r="AL588" s="75"/>
      <c r="AM588" s="75"/>
      <c r="AN588" s="64" t="s">
        <v>39</v>
      </c>
      <c r="AO588" s="64"/>
      <c r="AP588" s="64"/>
      <c r="AQ588" s="189"/>
      <c r="AR588" s="64"/>
      <c r="AS588" s="476"/>
      <c r="AT588" s="64"/>
      <c r="AU588" s="646"/>
      <c r="AV588" s="259"/>
      <c r="AW588" s="443"/>
    </row>
    <row r="589" spans="1:49" ht="41.45" hidden="1" customHeight="1" outlineLevel="3" x14ac:dyDescent="0.25">
      <c r="A589" s="63" t="str">
        <f t="shared" si="77"/>
        <v>1.3.1.11.2.59</v>
      </c>
      <c r="B589" s="64">
        <v>1</v>
      </c>
      <c r="C589" s="64">
        <v>3</v>
      </c>
      <c r="D589" s="64">
        <v>1</v>
      </c>
      <c r="E589" s="64">
        <v>11</v>
      </c>
      <c r="F589" s="64">
        <v>2</v>
      </c>
      <c r="G589" s="64">
        <v>59</v>
      </c>
      <c r="H589" s="65"/>
      <c r="I589" s="65"/>
      <c r="J589" s="65"/>
      <c r="K589" s="67" t="s">
        <v>637</v>
      </c>
      <c r="L589" s="64"/>
      <c r="M589" s="64"/>
      <c r="N589" s="68"/>
      <c r="O589" s="64"/>
      <c r="P589" s="170"/>
      <c r="Q589" s="170"/>
      <c r="R589" s="64">
        <v>1</v>
      </c>
      <c r="S589" s="67" t="s">
        <v>2574</v>
      </c>
      <c r="T589" s="1190">
        <v>1</v>
      </c>
      <c r="U589" s="75">
        <v>0</v>
      </c>
      <c r="V589" s="75"/>
      <c r="W589" s="75">
        <v>0</v>
      </c>
      <c r="X589" s="1122">
        <v>0</v>
      </c>
      <c r="Y589" s="75">
        <v>0</v>
      </c>
      <c r="Z589" s="75">
        <v>0</v>
      </c>
      <c r="AA589" s="1122">
        <v>0</v>
      </c>
      <c r="AB589" s="75">
        <v>0</v>
      </c>
      <c r="AC589" s="75">
        <v>0</v>
      </c>
      <c r="AD589" s="1122">
        <v>0</v>
      </c>
      <c r="AE589" s="75">
        <v>0</v>
      </c>
      <c r="AF589" s="75">
        <v>0</v>
      </c>
      <c r="AG589" s="1122">
        <v>0</v>
      </c>
      <c r="AH589" s="505">
        <f t="shared" si="83"/>
        <v>0</v>
      </c>
      <c r="AI589" s="132"/>
      <c r="AJ589" s="75">
        <f t="shared" si="82"/>
        <v>0</v>
      </c>
      <c r="AK589" s="75"/>
      <c r="AL589" s="75"/>
      <c r="AM589" s="75"/>
      <c r="AN589" s="64" t="s">
        <v>39</v>
      </c>
      <c r="AO589" s="64"/>
      <c r="AP589" s="64"/>
      <c r="AQ589" s="189"/>
      <c r="AR589" s="64"/>
      <c r="AS589" s="476"/>
      <c r="AT589" s="64"/>
      <c r="AU589" s="646"/>
      <c r="AV589" s="259"/>
      <c r="AW589" s="443"/>
    </row>
    <row r="590" spans="1:49" ht="41.45" hidden="1" customHeight="1" outlineLevel="3" x14ac:dyDescent="0.25">
      <c r="A590" s="63" t="str">
        <f t="shared" si="77"/>
        <v>1.3.1.11.2.60</v>
      </c>
      <c r="B590" s="64">
        <v>1</v>
      </c>
      <c r="C590" s="64">
        <v>3</v>
      </c>
      <c r="D590" s="64">
        <v>1</v>
      </c>
      <c r="E590" s="64">
        <v>11</v>
      </c>
      <c r="F590" s="64">
        <v>2</v>
      </c>
      <c r="G590" s="64">
        <v>60</v>
      </c>
      <c r="H590" s="65"/>
      <c r="I590" s="65"/>
      <c r="J590" s="65"/>
      <c r="K590" s="67" t="s">
        <v>637</v>
      </c>
      <c r="L590" s="64"/>
      <c r="M590" s="64"/>
      <c r="N590" s="68"/>
      <c r="O590" s="64"/>
      <c r="P590" s="170"/>
      <c r="Q590" s="170"/>
      <c r="R590" s="64">
        <v>1</v>
      </c>
      <c r="S590" s="67" t="s">
        <v>2574</v>
      </c>
      <c r="T590" s="1190">
        <v>1</v>
      </c>
      <c r="U590" s="75">
        <v>0</v>
      </c>
      <c r="V590" s="75"/>
      <c r="W590" s="75">
        <v>0</v>
      </c>
      <c r="X590" s="1122">
        <v>0</v>
      </c>
      <c r="Y590" s="75">
        <v>0</v>
      </c>
      <c r="Z590" s="75">
        <v>0</v>
      </c>
      <c r="AA590" s="1122">
        <v>0</v>
      </c>
      <c r="AB590" s="75">
        <v>0</v>
      </c>
      <c r="AC590" s="75">
        <v>0</v>
      </c>
      <c r="AD590" s="1122">
        <v>0</v>
      </c>
      <c r="AE590" s="75">
        <v>0</v>
      </c>
      <c r="AF590" s="75">
        <v>0</v>
      </c>
      <c r="AG590" s="1122">
        <v>0</v>
      </c>
      <c r="AH590" s="505">
        <f t="shared" si="83"/>
        <v>0</v>
      </c>
      <c r="AI590" s="132"/>
      <c r="AJ590" s="75">
        <f t="shared" si="82"/>
        <v>0</v>
      </c>
      <c r="AK590" s="75"/>
      <c r="AL590" s="75"/>
      <c r="AM590" s="75"/>
      <c r="AN590" s="64" t="s">
        <v>39</v>
      </c>
      <c r="AO590" s="64"/>
      <c r="AP590" s="64"/>
      <c r="AQ590" s="189"/>
      <c r="AR590" s="64"/>
      <c r="AS590" s="476"/>
      <c r="AT590" s="64"/>
      <c r="AU590" s="646"/>
      <c r="AV590" s="259"/>
      <c r="AW590" s="443"/>
    </row>
    <row r="591" spans="1:49" ht="41.45" hidden="1" customHeight="1" outlineLevel="3" x14ac:dyDescent="0.25">
      <c r="A591" s="63" t="str">
        <f t="shared" si="77"/>
        <v>1.3.1.11.2.61</v>
      </c>
      <c r="B591" s="64">
        <v>1</v>
      </c>
      <c r="C591" s="64">
        <v>3</v>
      </c>
      <c r="D591" s="64">
        <v>1</v>
      </c>
      <c r="E591" s="64">
        <v>11</v>
      </c>
      <c r="F591" s="64">
        <v>2</v>
      </c>
      <c r="G591" s="64">
        <v>61</v>
      </c>
      <c r="H591" s="65"/>
      <c r="I591" s="65"/>
      <c r="J591" s="65"/>
      <c r="K591" s="67" t="s">
        <v>637</v>
      </c>
      <c r="L591" s="64"/>
      <c r="M591" s="64"/>
      <c r="N591" s="68"/>
      <c r="O591" s="64"/>
      <c r="P591" s="170"/>
      <c r="Q591" s="170"/>
      <c r="R591" s="64">
        <v>1</v>
      </c>
      <c r="S591" s="67" t="s">
        <v>2574</v>
      </c>
      <c r="T591" s="194"/>
      <c r="U591" s="75">
        <v>0</v>
      </c>
      <c r="V591" s="75"/>
      <c r="W591" s="75">
        <v>0</v>
      </c>
      <c r="X591" s="1122">
        <v>0</v>
      </c>
      <c r="Y591" s="75">
        <v>0</v>
      </c>
      <c r="Z591" s="75">
        <v>0</v>
      </c>
      <c r="AA591" s="1122">
        <v>0</v>
      </c>
      <c r="AB591" s="75">
        <v>0</v>
      </c>
      <c r="AC591" s="75">
        <v>0</v>
      </c>
      <c r="AD591" s="1122">
        <v>0</v>
      </c>
      <c r="AE591" s="75">
        <v>0</v>
      </c>
      <c r="AF591" s="75">
        <v>0</v>
      </c>
      <c r="AG591" s="1122">
        <v>0</v>
      </c>
      <c r="AH591" s="505">
        <f t="shared" si="83"/>
        <v>0</v>
      </c>
      <c r="AI591" s="132"/>
      <c r="AJ591" s="75">
        <f t="shared" si="82"/>
        <v>0</v>
      </c>
      <c r="AK591" s="75"/>
      <c r="AL591" s="75"/>
      <c r="AM591" s="75"/>
      <c r="AN591" s="64" t="s">
        <v>39</v>
      </c>
      <c r="AO591" s="64"/>
      <c r="AP591" s="64"/>
      <c r="AQ591" s="189"/>
      <c r="AR591" s="64"/>
      <c r="AS591" s="476"/>
      <c r="AT591" s="64"/>
      <c r="AU591" s="646"/>
      <c r="AV591" s="259"/>
      <c r="AW591" s="443"/>
    </row>
    <row r="592" spans="1:49" ht="41.45" hidden="1" customHeight="1" outlineLevel="3" x14ac:dyDescent="0.25">
      <c r="A592" s="63" t="str">
        <f t="shared" si="77"/>
        <v>1.3.1.11.2.62</v>
      </c>
      <c r="B592" s="64">
        <v>1</v>
      </c>
      <c r="C592" s="64">
        <v>3</v>
      </c>
      <c r="D592" s="64">
        <v>1</v>
      </c>
      <c r="E592" s="64">
        <v>11</v>
      </c>
      <c r="F592" s="64">
        <v>2</v>
      </c>
      <c r="G592" s="64">
        <v>62</v>
      </c>
      <c r="H592" s="65"/>
      <c r="I592" s="65"/>
      <c r="J592" s="65"/>
      <c r="K592" s="67" t="s">
        <v>637</v>
      </c>
      <c r="L592" s="64"/>
      <c r="M592" s="64"/>
      <c r="N592" s="68"/>
      <c r="O592" s="64"/>
      <c r="P592" s="170"/>
      <c r="Q592" s="170"/>
      <c r="R592" s="64">
        <v>1</v>
      </c>
      <c r="S592" s="67" t="s">
        <v>2574</v>
      </c>
      <c r="T592" s="194"/>
      <c r="U592" s="75">
        <v>0</v>
      </c>
      <c r="V592" s="75"/>
      <c r="W592" s="75">
        <v>0</v>
      </c>
      <c r="X592" s="1122">
        <v>0</v>
      </c>
      <c r="Y592" s="75">
        <v>0</v>
      </c>
      <c r="Z592" s="75">
        <v>0</v>
      </c>
      <c r="AA592" s="1122">
        <v>0</v>
      </c>
      <c r="AB592" s="75">
        <v>0</v>
      </c>
      <c r="AC592" s="75">
        <v>0</v>
      </c>
      <c r="AD592" s="1122">
        <v>0</v>
      </c>
      <c r="AE592" s="75">
        <v>0</v>
      </c>
      <c r="AF592" s="75">
        <v>0</v>
      </c>
      <c r="AG592" s="1122">
        <v>0</v>
      </c>
      <c r="AH592" s="505">
        <f t="shared" si="83"/>
        <v>0</v>
      </c>
      <c r="AI592" s="132"/>
      <c r="AJ592" s="75">
        <f t="shared" si="82"/>
        <v>0</v>
      </c>
      <c r="AK592" s="75"/>
      <c r="AL592" s="75"/>
      <c r="AM592" s="75"/>
      <c r="AN592" s="64" t="s">
        <v>39</v>
      </c>
      <c r="AO592" s="64"/>
      <c r="AP592" s="64"/>
      <c r="AQ592" s="189"/>
      <c r="AR592" s="64"/>
      <c r="AS592" s="476"/>
      <c r="AT592" s="64"/>
      <c r="AU592" s="646"/>
      <c r="AV592" s="259"/>
      <c r="AW592" s="443"/>
    </row>
    <row r="593" spans="1:49" ht="41.45" hidden="1" customHeight="1" outlineLevel="3" x14ac:dyDescent="0.25">
      <c r="A593" s="63" t="str">
        <f t="shared" si="77"/>
        <v>1.3.1.11.2.63</v>
      </c>
      <c r="B593" s="64">
        <v>1</v>
      </c>
      <c r="C593" s="64">
        <v>3</v>
      </c>
      <c r="D593" s="64">
        <v>1</v>
      </c>
      <c r="E593" s="64">
        <v>11</v>
      </c>
      <c r="F593" s="64">
        <v>2</v>
      </c>
      <c r="G593" s="64">
        <v>63</v>
      </c>
      <c r="H593" s="65"/>
      <c r="I593" s="65"/>
      <c r="J593" s="65"/>
      <c r="K593" s="67" t="s">
        <v>637</v>
      </c>
      <c r="L593" s="64"/>
      <c r="M593" s="64"/>
      <c r="N593" s="68"/>
      <c r="O593" s="64"/>
      <c r="P593" s="170"/>
      <c r="Q593" s="170"/>
      <c r="R593" s="64">
        <v>1</v>
      </c>
      <c r="S593" s="67" t="s">
        <v>2574</v>
      </c>
      <c r="T593" s="194"/>
      <c r="U593" s="75">
        <v>0</v>
      </c>
      <c r="V593" s="75"/>
      <c r="W593" s="75">
        <v>0</v>
      </c>
      <c r="X593" s="1122">
        <v>0</v>
      </c>
      <c r="Y593" s="75">
        <v>0</v>
      </c>
      <c r="Z593" s="75">
        <v>0</v>
      </c>
      <c r="AA593" s="1122">
        <v>0</v>
      </c>
      <c r="AB593" s="75">
        <v>0</v>
      </c>
      <c r="AC593" s="75">
        <v>0</v>
      </c>
      <c r="AD593" s="1122">
        <v>0</v>
      </c>
      <c r="AE593" s="75">
        <v>0</v>
      </c>
      <c r="AF593" s="75">
        <v>0</v>
      </c>
      <c r="AG593" s="1122">
        <v>0</v>
      </c>
      <c r="AH593" s="505">
        <f t="shared" si="83"/>
        <v>0</v>
      </c>
      <c r="AI593" s="132"/>
      <c r="AJ593" s="75">
        <f t="shared" si="82"/>
        <v>0</v>
      </c>
      <c r="AK593" s="75"/>
      <c r="AL593" s="75"/>
      <c r="AM593" s="75"/>
      <c r="AN593" s="64" t="s">
        <v>39</v>
      </c>
      <c r="AO593" s="64"/>
      <c r="AP593" s="64"/>
      <c r="AQ593" s="189"/>
      <c r="AR593" s="64"/>
      <c r="AS593" s="476"/>
      <c r="AT593" s="64"/>
      <c r="AU593" s="646"/>
      <c r="AV593" s="259"/>
      <c r="AW593" s="443"/>
    </row>
    <row r="594" spans="1:49" ht="41.45" hidden="1" customHeight="1" outlineLevel="3" x14ac:dyDescent="0.25">
      <c r="A594" s="63" t="str">
        <f t="shared" si="77"/>
        <v>1.3.1.11.2.64</v>
      </c>
      <c r="B594" s="64">
        <v>1</v>
      </c>
      <c r="C594" s="64">
        <v>3</v>
      </c>
      <c r="D594" s="64">
        <v>1</v>
      </c>
      <c r="E594" s="64">
        <v>11</v>
      </c>
      <c r="F594" s="64">
        <v>2</v>
      </c>
      <c r="G594" s="64">
        <v>64</v>
      </c>
      <c r="H594" s="65"/>
      <c r="I594" s="65"/>
      <c r="J594" s="65"/>
      <c r="K594" s="67" t="s">
        <v>637</v>
      </c>
      <c r="L594" s="64"/>
      <c r="M594" s="64"/>
      <c r="N594" s="68"/>
      <c r="O594" s="64"/>
      <c r="P594" s="170"/>
      <c r="Q594" s="170"/>
      <c r="R594" s="64">
        <v>1</v>
      </c>
      <c r="S594" s="67" t="s">
        <v>2574</v>
      </c>
      <c r="T594" s="194"/>
      <c r="U594" s="75">
        <v>0</v>
      </c>
      <c r="V594" s="75"/>
      <c r="W594" s="75">
        <v>0</v>
      </c>
      <c r="X594" s="1122">
        <v>0</v>
      </c>
      <c r="Y594" s="75">
        <v>0</v>
      </c>
      <c r="Z594" s="75">
        <v>0</v>
      </c>
      <c r="AA594" s="1122">
        <v>0</v>
      </c>
      <c r="AB594" s="75">
        <v>0</v>
      </c>
      <c r="AC594" s="75">
        <v>0</v>
      </c>
      <c r="AD594" s="1122">
        <v>0</v>
      </c>
      <c r="AE594" s="75">
        <v>0</v>
      </c>
      <c r="AF594" s="75">
        <v>0</v>
      </c>
      <c r="AG594" s="1122">
        <v>0</v>
      </c>
      <c r="AH594" s="505">
        <f t="shared" si="83"/>
        <v>0</v>
      </c>
      <c r="AI594" s="132"/>
      <c r="AJ594" s="75">
        <f t="shared" si="82"/>
        <v>0</v>
      </c>
      <c r="AK594" s="75"/>
      <c r="AL594" s="75"/>
      <c r="AM594" s="75"/>
      <c r="AN594" s="64" t="s">
        <v>39</v>
      </c>
      <c r="AO594" s="64"/>
      <c r="AP594" s="64"/>
      <c r="AQ594" s="189"/>
      <c r="AR594" s="64"/>
      <c r="AS594" s="476"/>
      <c r="AT594" s="64"/>
      <c r="AU594" s="646"/>
      <c r="AV594" s="259"/>
      <c r="AW594" s="443"/>
    </row>
    <row r="595" spans="1:49" ht="41.45" hidden="1" customHeight="1" outlineLevel="3" x14ac:dyDescent="0.25">
      <c r="A595" s="63" t="str">
        <f t="shared" si="77"/>
        <v>1.3.1.11.3.58-64</v>
      </c>
      <c r="B595" s="64">
        <v>1</v>
      </c>
      <c r="C595" s="64">
        <v>3</v>
      </c>
      <c r="D595" s="64">
        <v>1</v>
      </c>
      <c r="E595" s="64">
        <v>11</v>
      </c>
      <c r="F595" s="64">
        <v>3</v>
      </c>
      <c r="G595" s="64" t="s">
        <v>64</v>
      </c>
      <c r="H595" s="65"/>
      <c r="I595" s="65"/>
      <c r="J595" s="65"/>
      <c r="K595" s="67" t="s">
        <v>638</v>
      </c>
      <c r="L595" s="64" t="s">
        <v>630</v>
      </c>
      <c r="M595" s="64" t="s">
        <v>299</v>
      </c>
      <c r="N595" s="68" t="s">
        <v>631</v>
      </c>
      <c r="O595" s="64" t="s">
        <v>359</v>
      </c>
      <c r="P595" s="63"/>
      <c r="Q595" s="63"/>
      <c r="R595" s="64">
        <v>7</v>
      </c>
      <c r="S595" s="67" t="s">
        <v>639</v>
      </c>
      <c r="T595" s="194"/>
      <c r="U595" s="75">
        <v>0</v>
      </c>
      <c r="V595" s="75"/>
      <c r="W595" s="75">
        <v>0</v>
      </c>
      <c r="X595" s="1122">
        <v>0</v>
      </c>
      <c r="Y595" s="75">
        <v>0</v>
      </c>
      <c r="Z595" s="75">
        <v>0</v>
      </c>
      <c r="AA595" s="1122">
        <v>0</v>
      </c>
      <c r="AB595" s="75">
        <v>0</v>
      </c>
      <c r="AC595" s="75">
        <v>0</v>
      </c>
      <c r="AD595" s="1122">
        <v>0</v>
      </c>
      <c r="AE595" s="75">
        <v>0</v>
      </c>
      <c r="AF595" s="75">
        <v>0</v>
      </c>
      <c r="AG595" s="1122">
        <v>0</v>
      </c>
      <c r="AH595" s="505">
        <f t="shared" si="83"/>
        <v>0</v>
      </c>
      <c r="AI595" s="132"/>
      <c r="AJ595" s="75">
        <f t="shared" si="82"/>
        <v>0</v>
      </c>
      <c r="AK595" s="75"/>
      <c r="AL595" s="75"/>
      <c r="AM595" s="75"/>
      <c r="AN595" s="64" t="s">
        <v>39</v>
      </c>
      <c r="AO595" s="64"/>
      <c r="AP595" s="64"/>
      <c r="AQ595" s="189"/>
      <c r="AR595" s="64"/>
      <c r="AS595" s="476"/>
      <c r="AT595" s="64"/>
      <c r="AU595" s="646"/>
      <c r="AV595" s="259"/>
      <c r="AW595" s="443"/>
    </row>
    <row r="596" spans="1:49" ht="41.45" hidden="1" customHeight="1" outlineLevel="3" x14ac:dyDescent="0.25">
      <c r="A596" s="63" t="str">
        <f t="shared" si="77"/>
        <v>1.3.1.11.4.58-64</v>
      </c>
      <c r="B596" s="64">
        <v>1</v>
      </c>
      <c r="C596" s="64">
        <v>3</v>
      </c>
      <c r="D596" s="64">
        <v>1</v>
      </c>
      <c r="E596" s="64">
        <v>11</v>
      </c>
      <c r="F596" s="64">
        <v>4</v>
      </c>
      <c r="G596" s="64" t="s">
        <v>64</v>
      </c>
      <c r="H596" s="65"/>
      <c r="I596" s="65"/>
      <c r="J596" s="65"/>
      <c r="K596" s="67" t="s">
        <v>640</v>
      </c>
      <c r="L596" s="64" t="s">
        <v>630</v>
      </c>
      <c r="M596" s="64" t="s">
        <v>641</v>
      </c>
      <c r="N596" s="68" t="s">
        <v>631</v>
      </c>
      <c r="O596" s="64" t="s">
        <v>359</v>
      </c>
      <c r="P596" s="64"/>
      <c r="Q596" s="64"/>
      <c r="R596" s="64">
        <v>7</v>
      </c>
      <c r="S596" s="67" t="s">
        <v>639</v>
      </c>
      <c r="T596" s="194"/>
      <c r="U596" s="75">
        <v>0</v>
      </c>
      <c r="V596" s="75"/>
      <c r="W596" s="75">
        <v>0</v>
      </c>
      <c r="X596" s="1122">
        <v>0</v>
      </c>
      <c r="Y596" s="75">
        <v>0</v>
      </c>
      <c r="Z596" s="75">
        <v>0</v>
      </c>
      <c r="AA596" s="1122">
        <v>0</v>
      </c>
      <c r="AB596" s="75">
        <v>0</v>
      </c>
      <c r="AC596" s="75">
        <v>0</v>
      </c>
      <c r="AD596" s="1122">
        <v>0</v>
      </c>
      <c r="AE596" s="75">
        <v>0</v>
      </c>
      <c r="AF596" s="75">
        <v>0</v>
      </c>
      <c r="AG596" s="1122">
        <v>0</v>
      </c>
      <c r="AH596" s="505">
        <f t="shared" si="83"/>
        <v>0</v>
      </c>
      <c r="AI596" s="132"/>
      <c r="AJ596" s="75">
        <f t="shared" si="82"/>
        <v>0</v>
      </c>
      <c r="AK596" s="75"/>
      <c r="AL596" s="75"/>
      <c r="AM596" s="75"/>
      <c r="AN596" s="64" t="s">
        <v>39</v>
      </c>
      <c r="AO596" s="64"/>
      <c r="AP596" s="64"/>
      <c r="AQ596" s="189"/>
      <c r="AR596" s="64"/>
      <c r="AS596" s="476"/>
      <c r="AT596" s="64"/>
      <c r="AU596" s="646"/>
      <c r="AV596" s="259"/>
      <c r="AW596" s="185"/>
    </row>
    <row r="597" spans="1:49" ht="41.45" hidden="1" customHeight="1" outlineLevel="4" x14ac:dyDescent="0.25">
      <c r="A597" s="63" t="str">
        <f t="shared" si="77"/>
        <v>1.3.1.11.5.58-64</v>
      </c>
      <c r="B597" s="64">
        <v>1</v>
      </c>
      <c r="C597" s="64">
        <v>3</v>
      </c>
      <c r="D597" s="64">
        <v>1</v>
      </c>
      <c r="E597" s="64">
        <v>11</v>
      </c>
      <c r="F597" s="64">
        <v>5</v>
      </c>
      <c r="G597" s="64" t="s">
        <v>64</v>
      </c>
      <c r="H597" s="65"/>
      <c r="I597" s="65"/>
      <c r="J597" s="65"/>
      <c r="K597" s="67" t="s">
        <v>628</v>
      </c>
      <c r="L597" s="64"/>
      <c r="M597" s="64"/>
      <c r="N597" s="68"/>
      <c r="O597" s="64"/>
      <c r="P597" s="69"/>
      <c r="Q597" s="69"/>
      <c r="R597" s="63"/>
      <c r="S597" s="63"/>
      <c r="T597" s="1191"/>
      <c r="U597" s="75">
        <v>0</v>
      </c>
      <c r="V597" s="75"/>
      <c r="W597" s="75">
        <v>0</v>
      </c>
      <c r="X597" s="1122">
        <v>0</v>
      </c>
      <c r="Y597" s="75">
        <v>0</v>
      </c>
      <c r="Z597" s="75">
        <v>0</v>
      </c>
      <c r="AA597" s="1122">
        <v>0</v>
      </c>
      <c r="AB597" s="75">
        <v>0</v>
      </c>
      <c r="AC597" s="75">
        <v>0</v>
      </c>
      <c r="AD597" s="1122">
        <v>0</v>
      </c>
      <c r="AE597" s="75">
        <v>0</v>
      </c>
      <c r="AF597" s="75">
        <v>0</v>
      </c>
      <c r="AG597" s="1122">
        <v>0</v>
      </c>
      <c r="AH597" s="505">
        <f t="shared" si="83"/>
        <v>0</v>
      </c>
      <c r="AI597" s="132"/>
      <c r="AJ597" s="75">
        <f t="shared" si="82"/>
        <v>0</v>
      </c>
      <c r="AK597" s="75"/>
      <c r="AL597" s="75"/>
      <c r="AM597" s="75"/>
      <c r="AN597" s="64" t="s">
        <v>39</v>
      </c>
      <c r="AO597" s="64" t="s">
        <v>649</v>
      </c>
      <c r="AP597" s="64" t="s">
        <v>649</v>
      </c>
      <c r="AQ597" s="533" t="s">
        <v>649</v>
      </c>
      <c r="AR597" s="554">
        <v>44562</v>
      </c>
      <c r="AS597" s="554">
        <v>44926</v>
      </c>
      <c r="AT597" s="64" t="s">
        <v>1814</v>
      </c>
      <c r="AU597" s="646"/>
      <c r="AV597" s="259"/>
      <c r="AW597" s="335"/>
    </row>
    <row r="598" spans="1:49" ht="41.45" hidden="1" customHeight="1" outlineLevel="4" x14ac:dyDescent="0.25">
      <c r="A598" s="63" t="str">
        <f t="shared" si="77"/>
        <v>1.3.1.11.6.58-64</v>
      </c>
      <c r="B598" s="64">
        <v>1</v>
      </c>
      <c r="C598" s="64">
        <v>3</v>
      </c>
      <c r="D598" s="64">
        <v>1</v>
      </c>
      <c r="E598" s="64">
        <v>11</v>
      </c>
      <c r="F598" s="64">
        <v>6</v>
      </c>
      <c r="G598" s="64" t="s">
        <v>64</v>
      </c>
      <c r="H598" s="65"/>
      <c r="I598" s="65"/>
      <c r="J598" s="65"/>
      <c r="K598" s="67" t="s">
        <v>1584</v>
      </c>
      <c r="L598" s="64"/>
      <c r="M598" s="64"/>
      <c r="N598" s="68"/>
      <c r="O598" s="64"/>
      <c r="P598" s="69"/>
      <c r="Q598" s="69"/>
      <c r="R598" s="63"/>
      <c r="S598" s="63"/>
      <c r="T598" s="1191"/>
      <c r="U598" s="75">
        <v>0</v>
      </c>
      <c r="V598" s="75"/>
      <c r="W598" s="75">
        <v>0</v>
      </c>
      <c r="X598" s="1122">
        <v>0</v>
      </c>
      <c r="Y598" s="75">
        <v>0</v>
      </c>
      <c r="Z598" s="75">
        <v>0</v>
      </c>
      <c r="AA598" s="1122">
        <v>0</v>
      </c>
      <c r="AB598" s="75">
        <v>0</v>
      </c>
      <c r="AC598" s="75">
        <v>0</v>
      </c>
      <c r="AD598" s="1122">
        <v>0</v>
      </c>
      <c r="AE598" s="75">
        <v>0</v>
      </c>
      <c r="AF598" s="75">
        <v>0</v>
      </c>
      <c r="AG598" s="1122">
        <v>0</v>
      </c>
      <c r="AH598" s="505">
        <f t="shared" si="83"/>
        <v>0</v>
      </c>
      <c r="AI598" s="132"/>
      <c r="AJ598" s="75">
        <f t="shared" si="82"/>
        <v>0</v>
      </c>
      <c r="AK598" s="75"/>
      <c r="AL598" s="75"/>
      <c r="AM598" s="75"/>
      <c r="AN598" s="64"/>
      <c r="AO598" s="64"/>
      <c r="AP598" s="64"/>
      <c r="AQ598" s="972"/>
      <c r="AR598" s="554"/>
      <c r="AS598" s="973"/>
      <c r="AT598" s="64"/>
      <c r="AU598" s="646"/>
      <c r="AV598" s="65"/>
      <c r="AW598" s="67"/>
    </row>
    <row r="599" spans="1:49" ht="41.45" hidden="1" customHeight="1" outlineLevel="4" x14ac:dyDescent="0.25">
      <c r="A599" s="63" t="str">
        <f t="shared" si="77"/>
        <v>1.3.1.11.7.58-64</v>
      </c>
      <c r="B599" s="64">
        <v>1</v>
      </c>
      <c r="C599" s="64">
        <v>3</v>
      </c>
      <c r="D599" s="64">
        <v>1</v>
      </c>
      <c r="E599" s="64">
        <v>11</v>
      </c>
      <c r="F599" s="64">
        <v>7</v>
      </c>
      <c r="G599" s="64" t="s">
        <v>64</v>
      </c>
      <c r="H599" s="65"/>
      <c r="I599" s="65"/>
      <c r="J599" s="65"/>
      <c r="K599" s="67" t="s">
        <v>1457</v>
      </c>
      <c r="L599" s="64"/>
      <c r="M599" s="64"/>
      <c r="N599" s="68"/>
      <c r="O599" s="64"/>
      <c r="P599" s="69"/>
      <c r="Q599" s="69"/>
      <c r="R599" s="63"/>
      <c r="S599" s="63"/>
      <c r="T599" s="1191"/>
      <c r="U599" s="75">
        <v>0</v>
      </c>
      <c r="V599" s="75"/>
      <c r="W599" s="75">
        <v>0</v>
      </c>
      <c r="X599" s="1122">
        <v>0</v>
      </c>
      <c r="Y599" s="75">
        <v>0</v>
      </c>
      <c r="Z599" s="75">
        <v>0</v>
      </c>
      <c r="AA599" s="1122">
        <v>0</v>
      </c>
      <c r="AB599" s="75">
        <v>0</v>
      </c>
      <c r="AC599" s="75">
        <v>0</v>
      </c>
      <c r="AD599" s="1122">
        <v>0</v>
      </c>
      <c r="AE599" s="75">
        <v>0</v>
      </c>
      <c r="AF599" s="75">
        <v>0</v>
      </c>
      <c r="AG599" s="1122">
        <v>0</v>
      </c>
      <c r="AH599" s="505">
        <f t="shared" si="83"/>
        <v>0</v>
      </c>
      <c r="AI599" s="132"/>
      <c r="AJ599" s="75">
        <f t="shared" si="82"/>
        <v>0</v>
      </c>
      <c r="AK599" s="75"/>
      <c r="AL599" s="75"/>
      <c r="AM599" s="75"/>
      <c r="AN599" s="64"/>
      <c r="AO599" s="64"/>
      <c r="AP599" s="64"/>
      <c r="AQ599" s="972"/>
      <c r="AR599" s="554"/>
      <c r="AS599" s="973"/>
      <c r="AT599" s="64"/>
      <c r="AU599" s="646"/>
      <c r="AV599" s="65"/>
      <c r="AW599" s="67"/>
    </row>
    <row r="600" spans="1:49" ht="41.45" hidden="1" customHeight="1" outlineLevel="4" x14ac:dyDescent="0.25">
      <c r="A600" s="63" t="str">
        <f t="shared" si="77"/>
        <v>1.3.1.11.8.58-64</v>
      </c>
      <c r="B600" s="64">
        <v>1</v>
      </c>
      <c r="C600" s="64">
        <v>3</v>
      </c>
      <c r="D600" s="64">
        <v>1</v>
      </c>
      <c r="E600" s="64">
        <v>11</v>
      </c>
      <c r="F600" s="64">
        <v>8</v>
      </c>
      <c r="G600" s="64" t="s">
        <v>64</v>
      </c>
      <c r="H600" s="65"/>
      <c r="I600" s="65"/>
      <c r="J600" s="65"/>
      <c r="K600" s="67" t="s">
        <v>2576</v>
      </c>
      <c r="L600" s="64"/>
      <c r="M600" s="64"/>
      <c r="N600" s="68"/>
      <c r="O600" s="64"/>
      <c r="P600" s="69"/>
      <c r="Q600" s="69"/>
      <c r="R600" s="63"/>
      <c r="S600" s="63"/>
      <c r="T600" s="1191"/>
      <c r="U600" s="75">
        <v>0</v>
      </c>
      <c r="V600" s="75"/>
      <c r="W600" s="75">
        <v>0</v>
      </c>
      <c r="X600" s="1122">
        <v>0</v>
      </c>
      <c r="Y600" s="75">
        <v>0</v>
      </c>
      <c r="Z600" s="75">
        <v>0</v>
      </c>
      <c r="AA600" s="1122">
        <v>0</v>
      </c>
      <c r="AB600" s="75">
        <v>0</v>
      </c>
      <c r="AC600" s="75">
        <v>0</v>
      </c>
      <c r="AD600" s="1122">
        <v>0</v>
      </c>
      <c r="AE600" s="75">
        <v>0</v>
      </c>
      <c r="AF600" s="75">
        <v>0</v>
      </c>
      <c r="AG600" s="1122">
        <v>0</v>
      </c>
      <c r="AH600" s="505">
        <f t="shared" si="83"/>
        <v>0</v>
      </c>
      <c r="AI600" s="132"/>
      <c r="AJ600" s="75">
        <f t="shared" si="82"/>
        <v>0</v>
      </c>
      <c r="AK600" s="75"/>
      <c r="AL600" s="75"/>
      <c r="AM600" s="75"/>
      <c r="AN600" s="64"/>
      <c r="AO600" s="64"/>
      <c r="AP600" s="64"/>
      <c r="AQ600" s="972"/>
      <c r="AR600" s="554"/>
      <c r="AS600" s="973"/>
      <c r="AT600" s="64"/>
      <c r="AU600" s="646"/>
      <c r="AV600" s="974"/>
      <c r="AW600" s="335" t="s">
        <v>2579</v>
      </c>
    </row>
    <row r="601" spans="1:49" s="153" customFormat="1" ht="25.5" customHeight="1" outlineLevel="1" collapsed="1" x14ac:dyDescent="0.25">
      <c r="A601" s="173" t="str">
        <f t="shared" si="77"/>
        <v>1.3.0.12.0.0</v>
      </c>
      <c r="B601" s="174">
        <v>1</v>
      </c>
      <c r="C601" s="174">
        <v>3</v>
      </c>
      <c r="D601" s="174">
        <v>0</v>
      </c>
      <c r="E601" s="174">
        <v>12</v>
      </c>
      <c r="F601" s="174">
        <v>0</v>
      </c>
      <c r="G601" s="174">
        <v>0</v>
      </c>
      <c r="H601" s="175"/>
      <c r="I601" s="175"/>
      <c r="J601" s="175" t="s">
        <v>642</v>
      </c>
      <c r="K601" s="176"/>
      <c r="L601" s="81" t="s">
        <v>643</v>
      </c>
      <c r="M601" s="81" t="s">
        <v>644</v>
      </c>
      <c r="N601" s="81" t="s">
        <v>265</v>
      </c>
      <c r="O601" s="81" t="s">
        <v>645</v>
      </c>
      <c r="P601" s="115">
        <v>44571</v>
      </c>
      <c r="Q601" s="115">
        <v>44925</v>
      </c>
      <c r="R601" s="81">
        <f>+SUM(R602:R608)</f>
        <v>2891.5</v>
      </c>
      <c r="S601" s="114" t="s">
        <v>646</v>
      </c>
      <c r="T601" s="1193">
        <f>+SUM(T602:T608)</f>
        <v>43372500</v>
      </c>
      <c r="U601" s="369">
        <f>+SUM(U602:U608)</f>
        <v>95000000</v>
      </c>
      <c r="V601" s="369"/>
      <c r="W601" s="369">
        <f t="shared" ref="W601:AG601" si="84">+SUM(W602:W608)</f>
        <v>0</v>
      </c>
      <c r="X601" s="1124">
        <f t="shared" si="84"/>
        <v>0</v>
      </c>
      <c r="Y601" s="369">
        <f t="shared" si="84"/>
        <v>95000000</v>
      </c>
      <c r="Z601" s="369">
        <f t="shared" si="84"/>
        <v>0</v>
      </c>
      <c r="AA601" s="1124">
        <f t="shared" si="84"/>
        <v>0</v>
      </c>
      <c r="AB601" s="369">
        <f t="shared" si="84"/>
        <v>95000000</v>
      </c>
      <c r="AC601" s="369">
        <f t="shared" si="84"/>
        <v>0</v>
      </c>
      <c r="AD601" s="1124">
        <f t="shared" si="84"/>
        <v>0</v>
      </c>
      <c r="AE601" s="369">
        <f t="shared" si="84"/>
        <v>95000000</v>
      </c>
      <c r="AF601" s="369">
        <f t="shared" si="84"/>
        <v>0</v>
      </c>
      <c r="AG601" s="1124">
        <f t="shared" si="84"/>
        <v>0</v>
      </c>
      <c r="AH601" s="369">
        <f>+SUM(AH602:AH608)</f>
        <v>380000000</v>
      </c>
      <c r="AI601" s="511">
        <f>+SUM(AI602:AI608)</f>
        <v>0</v>
      </c>
      <c r="AJ601" s="511">
        <f>+SUM(AJ602:AJ608)</f>
        <v>0</v>
      </c>
      <c r="AK601" s="61"/>
      <c r="AL601" s="61"/>
      <c r="AM601" s="61"/>
      <c r="AN601" s="81" t="s">
        <v>181</v>
      </c>
      <c r="AO601" s="81"/>
      <c r="AP601" s="81"/>
      <c r="AQ601" s="412"/>
      <c r="AR601" s="81"/>
      <c r="AS601" s="474"/>
      <c r="AT601" s="81"/>
      <c r="AU601" s="663"/>
      <c r="AV601" s="369">
        <f t="shared" ref="AV601" si="85">+SUM(AV602:AV608)</f>
        <v>0</v>
      </c>
      <c r="AW601" s="430" t="s">
        <v>647</v>
      </c>
    </row>
    <row r="602" spans="1:49" ht="27.6" hidden="1" customHeight="1" outlineLevel="3" x14ac:dyDescent="0.25">
      <c r="A602" s="63" t="str">
        <f t="shared" si="77"/>
        <v>1.3.0.12.1.58</v>
      </c>
      <c r="B602" s="64">
        <v>1</v>
      </c>
      <c r="C602" s="64">
        <v>3</v>
      </c>
      <c r="D602" s="64">
        <v>0</v>
      </c>
      <c r="E602" s="64">
        <v>12</v>
      </c>
      <c r="F602" s="64">
        <v>1</v>
      </c>
      <c r="G602" s="100">
        <v>58</v>
      </c>
      <c r="H602" s="65"/>
      <c r="I602" s="65"/>
      <c r="J602" s="65"/>
      <c r="K602" s="65" t="s">
        <v>648</v>
      </c>
      <c r="L602" s="460" t="s">
        <v>72</v>
      </c>
      <c r="M602" s="64" t="s">
        <v>644</v>
      </c>
      <c r="N602" s="64" t="s">
        <v>265</v>
      </c>
      <c r="O602" s="64" t="s">
        <v>645</v>
      </c>
      <c r="P602" s="69">
        <v>44591</v>
      </c>
      <c r="Q602" s="69">
        <v>44925</v>
      </c>
      <c r="R602" s="136">
        <f>791/2</f>
        <v>395.5</v>
      </c>
      <c r="S602" s="65" t="s">
        <v>646</v>
      </c>
      <c r="T602" s="1194">
        <f>+R602*5000*3</f>
        <v>5932500</v>
      </c>
      <c r="U602" s="75">
        <v>11450000</v>
      </c>
      <c r="V602" s="75"/>
      <c r="W602" s="75">
        <v>0</v>
      </c>
      <c r="X602" s="1122">
        <v>0</v>
      </c>
      <c r="Y602" s="75">
        <v>11450000</v>
      </c>
      <c r="Z602" s="75">
        <v>0</v>
      </c>
      <c r="AA602" s="1122">
        <v>0</v>
      </c>
      <c r="AB602" s="75">
        <v>11450000</v>
      </c>
      <c r="AC602" s="75">
        <v>0</v>
      </c>
      <c r="AD602" s="1122">
        <v>0</v>
      </c>
      <c r="AE602" s="75">
        <v>11450000</v>
      </c>
      <c r="AF602" s="75">
        <v>0</v>
      </c>
      <c r="AG602" s="1122">
        <v>0</v>
      </c>
      <c r="AH602" s="505">
        <f>+U602+Y602+AB602+AE602</f>
        <v>45800000</v>
      </c>
      <c r="AI602" s="377"/>
      <c r="AJ602" s="75">
        <f t="shared" ref="AJ602:AJ608" si="86">+W603+Z603+AC603+AF603</f>
        <v>0</v>
      </c>
      <c r="AK602" s="370"/>
      <c r="AL602" s="75"/>
      <c r="AM602" s="75"/>
      <c r="AN602" s="64" t="s">
        <v>181</v>
      </c>
      <c r="AO602" s="64"/>
      <c r="AP602" s="64"/>
      <c r="AQ602" s="64"/>
      <c r="AR602" s="64"/>
      <c r="AS602" s="64"/>
      <c r="AT602" s="64"/>
      <c r="AU602" s="646"/>
      <c r="AV602" s="65" t="s">
        <v>649</v>
      </c>
      <c r="AW602" s="1274" t="s">
        <v>2722</v>
      </c>
    </row>
    <row r="603" spans="1:49" ht="27.6" hidden="1" customHeight="1" outlineLevel="3" x14ac:dyDescent="0.25">
      <c r="A603" s="63" t="str">
        <f t="shared" si="77"/>
        <v>1.3.0.12.2.59</v>
      </c>
      <c r="B603" s="64">
        <v>1</v>
      </c>
      <c r="C603" s="64">
        <v>3</v>
      </c>
      <c r="D603" s="64">
        <v>0</v>
      </c>
      <c r="E603" s="64">
        <v>12</v>
      </c>
      <c r="F603" s="64">
        <v>2</v>
      </c>
      <c r="G603" s="100">
        <v>59</v>
      </c>
      <c r="H603" s="65"/>
      <c r="I603" s="65"/>
      <c r="J603" s="65"/>
      <c r="K603" s="65" t="s">
        <v>651</v>
      </c>
      <c r="L603" s="460" t="s">
        <v>72</v>
      </c>
      <c r="M603" s="64" t="s">
        <v>644</v>
      </c>
      <c r="N603" s="64" t="s">
        <v>265</v>
      </c>
      <c r="O603" s="64" t="s">
        <v>645</v>
      </c>
      <c r="P603" s="69">
        <v>44591</v>
      </c>
      <c r="Q603" s="69">
        <v>44925</v>
      </c>
      <c r="R603" s="136">
        <f>511/2</f>
        <v>255.5</v>
      </c>
      <c r="S603" s="65" t="s">
        <v>646</v>
      </c>
      <c r="T603" s="1194">
        <f t="shared" ref="T603:T608" si="87">+R603*5000*3</f>
        <v>3832500</v>
      </c>
      <c r="U603" s="75">
        <v>7890000</v>
      </c>
      <c r="V603" s="75"/>
      <c r="W603" s="75">
        <v>0</v>
      </c>
      <c r="X603" s="1122">
        <v>0</v>
      </c>
      <c r="Y603" s="75">
        <v>7890000</v>
      </c>
      <c r="Z603" s="75">
        <v>0</v>
      </c>
      <c r="AA603" s="1122">
        <v>0</v>
      </c>
      <c r="AB603" s="75">
        <v>7890000</v>
      </c>
      <c r="AC603" s="75">
        <v>0</v>
      </c>
      <c r="AD603" s="1122">
        <v>0</v>
      </c>
      <c r="AE603" s="75">
        <v>7890000</v>
      </c>
      <c r="AF603" s="75">
        <v>0</v>
      </c>
      <c r="AG603" s="1122">
        <v>0</v>
      </c>
      <c r="AH603" s="505">
        <f t="shared" ref="AH603:AH608" si="88">+U603+Y603+AB603+AE603</f>
        <v>31560000</v>
      </c>
      <c r="AI603" s="377"/>
      <c r="AJ603" s="75">
        <f t="shared" si="86"/>
        <v>0</v>
      </c>
      <c r="AK603" s="370"/>
      <c r="AL603" s="75"/>
      <c r="AM603" s="75"/>
      <c r="AN603" s="64" t="s">
        <v>181</v>
      </c>
      <c r="AO603" s="64"/>
      <c r="AP603" s="64"/>
      <c r="AQ603" s="64"/>
      <c r="AR603" s="64"/>
      <c r="AS603" s="64"/>
      <c r="AT603" s="64"/>
      <c r="AU603" s="646"/>
      <c r="AV603" s="65" t="s">
        <v>649</v>
      </c>
      <c r="AW603" s="1274"/>
    </row>
    <row r="604" spans="1:49" ht="27.6" hidden="1" customHeight="1" outlineLevel="3" x14ac:dyDescent="0.25">
      <c r="A604" s="63" t="str">
        <f t="shared" si="77"/>
        <v>1.3.0.12.3.63</v>
      </c>
      <c r="B604" s="64">
        <v>1</v>
      </c>
      <c r="C604" s="64">
        <v>3</v>
      </c>
      <c r="D604" s="64">
        <v>0</v>
      </c>
      <c r="E604" s="64">
        <v>12</v>
      </c>
      <c r="F604" s="64">
        <v>3</v>
      </c>
      <c r="G604" s="100">
        <v>63</v>
      </c>
      <c r="H604" s="65"/>
      <c r="I604" s="65"/>
      <c r="J604" s="65"/>
      <c r="K604" s="65" t="s">
        <v>652</v>
      </c>
      <c r="L604" s="460" t="s">
        <v>72</v>
      </c>
      <c r="M604" s="64" t="s">
        <v>644</v>
      </c>
      <c r="N604" s="64" t="s">
        <v>265</v>
      </c>
      <c r="O604" s="64" t="s">
        <v>645</v>
      </c>
      <c r="P604" s="69">
        <v>44591</v>
      </c>
      <c r="Q604" s="69">
        <v>44925</v>
      </c>
      <c r="R604" s="136">
        <f>549/2</f>
        <v>274.5</v>
      </c>
      <c r="S604" s="65" t="s">
        <v>646</v>
      </c>
      <c r="T604" s="1194">
        <f t="shared" si="87"/>
        <v>4117500</v>
      </c>
      <c r="U604" s="75">
        <v>8490000</v>
      </c>
      <c r="V604" s="75"/>
      <c r="W604" s="75">
        <v>0</v>
      </c>
      <c r="X604" s="1122">
        <v>0</v>
      </c>
      <c r="Y604" s="75">
        <v>8490000</v>
      </c>
      <c r="Z604" s="75">
        <v>0</v>
      </c>
      <c r="AA604" s="1122">
        <v>0</v>
      </c>
      <c r="AB604" s="75">
        <v>8490000</v>
      </c>
      <c r="AC604" s="75">
        <v>0</v>
      </c>
      <c r="AD604" s="1122">
        <v>0</v>
      </c>
      <c r="AE604" s="75">
        <v>8490000</v>
      </c>
      <c r="AF604" s="75">
        <v>0</v>
      </c>
      <c r="AG604" s="1122">
        <v>0</v>
      </c>
      <c r="AH604" s="505">
        <f t="shared" si="88"/>
        <v>33960000</v>
      </c>
      <c r="AI604" s="377"/>
      <c r="AJ604" s="75">
        <f t="shared" si="86"/>
        <v>0</v>
      </c>
      <c r="AK604" s="370"/>
      <c r="AL604" s="75"/>
      <c r="AM604" s="75"/>
      <c r="AN604" s="64" t="s">
        <v>181</v>
      </c>
      <c r="AO604" s="64"/>
      <c r="AP604" s="64"/>
      <c r="AQ604" s="64"/>
      <c r="AR604" s="64"/>
      <c r="AS604" s="64"/>
      <c r="AT604" s="64"/>
      <c r="AU604" s="646"/>
      <c r="AV604" s="65" t="s">
        <v>649</v>
      </c>
      <c r="AW604" s="1274"/>
    </row>
    <row r="605" spans="1:49" ht="27.6" hidden="1" customHeight="1" outlineLevel="3" x14ac:dyDescent="0.25">
      <c r="A605" s="63" t="str">
        <f t="shared" si="77"/>
        <v>1.3.0.12.4.64</v>
      </c>
      <c r="B605" s="64">
        <v>1</v>
      </c>
      <c r="C605" s="64">
        <v>3</v>
      </c>
      <c r="D605" s="64">
        <v>0</v>
      </c>
      <c r="E605" s="64">
        <v>12</v>
      </c>
      <c r="F605" s="64">
        <v>4</v>
      </c>
      <c r="G605" s="100">
        <v>64</v>
      </c>
      <c r="H605" s="65"/>
      <c r="I605" s="65"/>
      <c r="J605" s="65"/>
      <c r="K605" s="65" t="s">
        <v>653</v>
      </c>
      <c r="L605" s="460" t="s">
        <v>72</v>
      </c>
      <c r="M605" s="64" t="s">
        <v>644</v>
      </c>
      <c r="N605" s="64" t="s">
        <v>265</v>
      </c>
      <c r="O605" s="64" t="s">
        <v>645</v>
      </c>
      <c r="P605" s="69">
        <v>44591</v>
      </c>
      <c r="Q605" s="69">
        <v>44925</v>
      </c>
      <c r="R605" s="136">
        <f>565/2</f>
        <v>282.5</v>
      </c>
      <c r="S605" s="65" t="s">
        <v>646</v>
      </c>
      <c r="T605" s="1194">
        <f t="shared" si="87"/>
        <v>4237500</v>
      </c>
      <c r="U605" s="75">
        <v>8685000</v>
      </c>
      <c r="V605" s="75"/>
      <c r="W605" s="75">
        <v>0</v>
      </c>
      <c r="X605" s="1122">
        <v>0</v>
      </c>
      <c r="Y605" s="75">
        <v>8685000</v>
      </c>
      <c r="Z605" s="75">
        <v>0</v>
      </c>
      <c r="AA605" s="1122">
        <v>0</v>
      </c>
      <c r="AB605" s="75">
        <v>8685000</v>
      </c>
      <c r="AC605" s="75">
        <v>0</v>
      </c>
      <c r="AD605" s="1122">
        <v>0</v>
      </c>
      <c r="AE605" s="75">
        <v>8685000</v>
      </c>
      <c r="AF605" s="75">
        <v>0</v>
      </c>
      <c r="AG605" s="1122">
        <v>0</v>
      </c>
      <c r="AH605" s="505">
        <f t="shared" si="88"/>
        <v>34740000</v>
      </c>
      <c r="AI605" s="377"/>
      <c r="AJ605" s="75">
        <f t="shared" si="86"/>
        <v>0</v>
      </c>
      <c r="AK605" s="370"/>
      <c r="AL605" s="75"/>
      <c r="AM605" s="75"/>
      <c r="AN605" s="64" t="s">
        <v>181</v>
      </c>
      <c r="AO605" s="64"/>
      <c r="AP605" s="64"/>
      <c r="AQ605" s="64"/>
      <c r="AR605" s="64"/>
      <c r="AS605" s="64"/>
      <c r="AT605" s="64"/>
      <c r="AU605" s="646"/>
      <c r="AV605" s="65" t="s">
        <v>649</v>
      </c>
      <c r="AW605" s="1274"/>
    </row>
    <row r="606" spans="1:49" ht="27.6" hidden="1" customHeight="1" outlineLevel="3" x14ac:dyDescent="0.25">
      <c r="A606" s="63" t="str">
        <f t="shared" si="77"/>
        <v>1.3.0.12.5.61</v>
      </c>
      <c r="B606" s="64">
        <v>1</v>
      </c>
      <c r="C606" s="64">
        <v>3</v>
      </c>
      <c r="D606" s="64">
        <v>0</v>
      </c>
      <c r="E606" s="64">
        <v>12</v>
      </c>
      <c r="F606" s="64">
        <v>5</v>
      </c>
      <c r="G606" s="100">
        <v>61</v>
      </c>
      <c r="H606" s="65"/>
      <c r="I606" s="65"/>
      <c r="J606" s="65"/>
      <c r="K606" s="65" t="s">
        <v>654</v>
      </c>
      <c r="L606" s="460" t="s">
        <v>72</v>
      </c>
      <c r="M606" s="64" t="s">
        <v>644</v>
      </c>
      <c r="N606" s="64" t="s">
        <v>265</v>
      </c>
      <c r="O606" s="64" t="s">
        <v>645</v>
      </c>
      <c r="P606" s="69">
        <v>44591</v>
      </c>
      <c r="Q606" s="69">
        <v>44925</v>
      </c>
      <c r="R606" s="136">
        <f>1087/2</f>
        <v>543.5</v>
      </c>
      <c r="S606" s="65" t="s">
        <v>646</v>
      </c>
      <c r="T606" s="1194">
        <f t="shared" si="87"/>
        <v>8152500</v>
      </c>
      <c r="U606" s="75">
        <v>23250000</v>
      </c>
      <c r="V606" s="75"/>
      <c r="W606" s="75">
        <v>0</v>
      </c>
      <c r="X606" s="1122">
        <v>0</v>
      </c>
      <c r="Y606" s="75">
        <v>23250000</v>
      </c>
      <c r="Z606" s="75">
        <v>0</v>
      </c>
      <c r="AA606" s="1122">
        <v>0</v>
      </c>
      <c r="AB606" s="75">
        <v>23250000</v>
      </c>
      <c r="AC606" s="75">
        <v>0</v>
      </c>
      <c r="AD606" s="1122">
        <v>0</v>
      </c>
      <c r="AE606" s="75">
        <v>23250000</v>
      </c>
      <c r="AF606" s="75">
        <v>0</v>
      </c>
      <c r="AG606" s="1122">
        <v>0</v>
      </c>
      <c r="AH606" s="505">
        <f t="shared" si="88"/>
        <v>93000000</v>
      </c>
      <c r="AI606" s="377"/>
      <c r="AJ606" s="75">
        <f t="shared" si="86"/>
        <v>0</v>
      </c>
      <c r="AK606" s="370"/>
      <c r="AL606" s="75"/>
      <c r="AM606" s="75"/>
      <c r="AN606" s="64" t="s">
        <v>181</v>
      </c>
      <c r="AO606" s="64"/>
      <c r="AP606" s="64"/>
      <c r="AQ606" s="64"/>
      <c r="AR606" s="64"/>
      <c r="AS606" s="64"/>
      <c r="AT606" s="64"/>
      <c r="AU606" s="646"/>
      <c r="AV606" s="65" t="s">
        <v>649</v>
      </c>
      <c r="AW606" s="1274"/>
    </row>
    <row r="607" spans="1:49" ht="27.6" hidden="1" customHeight="1" outlineLevel="3" x14ac:dyDescent="0.25">
      <c r="A607" s="63" t="str">
        <f t="shared" si="77"/>
        <v>1.3.0.12.6.62</v>
      </c>
      <c r="B607" s="64">
        <v>1</v>
      </c>
      <c r="C607" s="64">
        <v>3</v>
      </c>
      <c r="D607" s="64">
        <v>0</v>
      </c>
      <c r="E607" s="64">
        <v>12</v>
      </c>
      <c r="F607" s="64">
        <v>6</v>
      </c>
      <c r="G607" s="100">
        <v>62</v>
      </c>
      <c r="H607" s="65"/>
      <c r="I607" s="65"/>
      <c r="J607" s="65"/>
      <c r="K607" s="65" t="s">
        <v>655</v>
      </c>
      <c r="L607" s="460" t="s">
        <v>72</v>
      </c>
      <c r="M607" s="64" t="s">
        <v>644</v>
      </c>
      <c r="N607" s="64" t="s">
        <v>265</v>
      </c>
      <c r="O607" s="64" t="s">
        <v>645</v>
      </c>
      <c r="P607" s="69">
        <v>44591</v>
      </c>
      <c r="Q607" s="69">
        <v>44925</v>
      </c>
      <c r="R607" s="136">
        <f>799/2</f>
        <v>399.5</v>
      </c>
      <c r="S607" s="65" t="s">
        <v>646</v>
      </c>
      <c r="T607" s="1194">
        <f t="shared" si="87"/>
        <v>5992500</v>
      </c>
      <c r="U607" s="75">
        <v>12195000</v>
      </c>
      <c r="V607" s="75"/>
      <c r="W607" s="75">
        <v>0</v>
      </c>
      <c r="X607" s="1122">
        <v>0</v>
      </c>
      <c r="Y607" s="75">
        <v>12195000</v>
      </c>
      <c r="Z607" s="75">
        <v>0</v>
      </c>
      <c r="AA607" s="1122">
        <v>0</v>
      </c>
      <c r="AB607" s="75">
        <v>12195000</v>
      </c>
      <c r="AC607" s="75">
        <v>0</v>
      </c>
      <c r="AD607" s="1122">
        <v>0</v>
      </c>
      <c r="AE607" s="75">
        <v>12195000</v>
      </c>
      <c r="AF607" s="75">
        <v>0</v>
      </c>
      <c r="AG607" s="1122">
        <v>0</v>
      </c>
      <c r="AH607" s="505">
        <f t="shared" si="88"/>
        <v>48780000</v>
      </c>
      <c r="AI607" s="377"/>
      <c r="AJ607" s="75">
        <f t="shared" si="86"/>
        <v>0</v>
      </c>
      <c r="AK607" s="370"/>
      <c r="AL607" s="75"/>
      <c r="AM607" s="75"/>
      <c r="AN607" s="64" t="s">
        <v>181</v>
      </c>
      <c r="AO607" s="64"/>
      <c r="AP607" s="64"/>
      <c r="AQ607" s="64"/>
      <c r="AR607" s="64"/>
      <c r="AS607" s="64"/>
      <c r="AT607" s="64"/>
      <c r="AU607" s="646"/>
      <c r="AV607" s="65" t="s">
        <v>649</v>
      </c>
      <c r="AW607" s="1274"/>
    </row>
    <row r="608" spans="1:49" ht="27.6" hidden="1" customHeight="1" outlineLevel="3" x14ac:dyDescent="0.25">
      <c r="A608" s="63" t="str">
        <f t="shared" si="77"/>
        <v>1.3.0.12.7.60</v>
      </c>
      <c r="B608" s="64">
        <v>1</v>
      </c>
      <c r="C608" s="64">
        <v>3</v>
      </c>
      <c r="D608" s="64">
        <v>0</v>
      </c>
      <c r="E608" s="64">
        <v>12</v>
      </c>
      <c r="F608" s="64">
        <v>7</v>
      </c>
      <c r="G608" s="100">
        <v>60</v>
      </c>
      <c r="H608" s="65"/>
      <c r="I608" s="65"/>
      <c r="J608" s="65"/>
      <c r="K608" s="65" t="s">
        <v>656</v>
      </c>
      <c r="L608" s="460" t="s">
        <v>72</v>
      </c>
      <c r="M608" s="64" t="s">
        <v>644</v>
      </c>
      <c r="N608" s="64" t="s">
        <v>265</v>
      </c>
      <c r="O608" s="64" t="s">
        <v>645</v>
      </c>
      <c r="P608" s="69">
        <v>44591</v>
      </c>
      <c r="Q608" s="69">
        <v>44925</v>
      </c>
      <c r="R608" s="136">
        <f>1481/2</f>
        <v>740.5</v>
      </c>
      <c r="S608" s="65" t="s">
        <v>646</v>
      </c>
      <c r="T608" s="1194">
        <f t="shared" si="87"/>
        <v>11107500</v>
      </c>
      <c r="U608" s="75">
        <v>23040000</v>
      </c>
      <c r="V608" s="75"/>
      <c r="W608" s="75">
        <v>0</v>
      </c>
      <c r="X608" s="1122">
        <v>0</v>
      </c>
      <c r="Y608" s="75">
        <v>23040000</v>
      </c>
      <c r="Z608" s="75">
        <v>0</v>
      </c>
      <c r="AA608" s="1122">
        <v>0</v>
      </c>
      <c r="AB608" s="75">
        <v>23040000</v>
      </c>
      <c r="AC608" s="75">
        <v>0</v>
      </c>
      <c r="AD608" s="1122">
        <v>0</v>
      </c>
      <c r="AE608" s="75">
        <v>23040000</v>
      </c>
      <c r="AF608" s="75">
        <v>0</v>
      </c>
      <c r="AG608" s="1122">
        <v>0</v>
      </c>
      <c r="AH608" s="505">
        <f t="shared" si="88"/>
        <v>92160000</v>
      </c>
      <c r="AI608" s="377"/>
      <c r="AJ608" s="75">
        <f t="shared" si="86"/>
        <v>0</v>
      </c>
      <c r="AK608" s="370"/>
      <c r="AL608" s="75"/>
      <c r="AM608" s="75"/>
      <c r="AN608" s="64" t="s">
        <v>181</v>
      </c>
      <c r="AO608" s="64"/>
      <c r="AP608" s="64"/>
      <c r="AQ608" s="64"/>
      <c r="AR608" s="64"/>
      <c r="AS608" s="64"/>
      <c r="AT608" s="64"/>
      <c r="AU608" s="646"/>
      <c r="AV608" s="65" t="s">
        <v>649</v>
      </c>
      <c r="AW608" s="1274"/>
    </row>
    <row r="609" spans="1:49" s="153" customFormat="1" ht="27" customHeight="1" outlineLevel="1" collapsed="1" x14ac:dyDescent="0.25">
      <c r="A609" s="173" t="str">
        <f t="shared" si="77"/>
        <v>1.3.0.13.0.51</v>
      </c>
      <c r="B609" s="174">
        <v>1</v>
      </c>
      <c r="C609" s="174">
        <v>3</v>
      </c>
      <c r="D609" s="174">
        <v>0</v>
      </c>
      <c r="E609" s="174">
        <v>13</v>
      </c>
      <c r="F609" s="174">
        <v>0</v>
      </c>
      <c r="G609" s="174">
        <v>51</v>
      </c>
      <c r="H609" s="175"/>
      <c r="I609" s="175"/>
      <c r="J609" s="175" t="s">
        <v>657</v>
      </c>
      <c r="K609" s="176"/>
      <c r="L609" s="81" t="s">
        <v>236</v>
      </c>
      <c r="M609" s="81">
        <v>0</v>
      </c>
      <c r="N609" s="81">
        <v>0</v>
      </c>
      <c r="O609" s="81">
        <v>0</v>
      </c>
      <c r="P609" s="81"/>
      <c r="Q609" s="81"/>
      <c r="R609" s="119">
        <f>R613+R612+R611+R610</f>
        <v>0</v>
      </c>
      <c r="S609" s="120" t="s">
        <v>242</v>
      </c>
      <c r="T609" s="1184">
        <f>T613+T612+T611+T610</f>
        <v>0</v>
      </c>
      <c r="U609" s="369">
        <f>+SUM(U610:U614)</f>
        <v>0</v>
      </c>
      <c r="V609" s="369"/>
      <c r="W609" s="369">
        <f t="shared" ref="W609:AH609" si="89">+SUM(W610:W614)</f>
        <v>0</v>
      </c>
      <c r="X609" s="1124">
        <f t="shared" si="89"/>
        <v>0</v>
      </c>
      <c r="Y609" s="369">
        <f t="shared" si="89"/>
        <v>0</v>
      </c>
      <c r="Z609" s="369">
        <f t="shared" si="89"/>
        <v>0</v>
      </c>
      <c r="AA609" s="1124">
        <f t="shared" si="89"/>
        <v>0</v>
      </c>
      <c r="AB609" s="369">
        <f t="shared" si="89"/>
        <v>0</v>
      </c>
      <c r="AC609" s="369">
        <f t="shared" si="89"/>
        <v>0</v>
      </c>
      <c r="AD609" s="1124">
        <f t="shared" si="89"/>
        <v>0</v>
      </c>
      <c r="AE609" s="369">
        <f t="shared" si="89"/>
        <v>0</v>
      </c>
      <c r="AF609" s="369">
        <f t="shared" si="89"/>
        <v>0</v>
      </c>
      <c r="AG609" s="1124">
        <f t="shared" si="89"/>
        <v>0</v>
      </c>
      <c r="AH609" s="369">
        <f t="shared" si="89"/>
        <v>0</v>
      </c>
      <c r="AI609" s="511">
        <f>+SUM(AI610:AI614)</f>
        <v>0</v>
      </c>
      <c r="AJ609" s="511">
        <f>+SUM(AJ610:AJ614)</f>
        <v>0</v>
      </c>
      <c r="AK609" s="61"/>
      <c r="AL609" s="61"/>
      <c r="AM609" s="61"/>
      <c r="AN609" s="81" t="s">
        <v>181</v>
      </c>
      <c r="AO609" s="81"/>
      <c r="AP609" s="81"/>
      <c r="AQ609" s="412"/>
      <c r="AR609" s="81"/>
      <c r="AS609" s="474"/>
      <c r="AT609" s="81"/>
      <c r="AU609" s="663"/>
      <c r="AV609" s="346">
        <f>AV611</f>
        <v>0</v>
      </c>
      <c r="AW609" s="444" t="s">
        <v>658</v>
      </c>
    </row>
    <row r="610" spans="1:49" ht="36" hidden="1" customHeight="1" outlineLevel="3" x14ac:dyDescent="0.25">
      <c r="A610" s="63" t="str">
        <f t="shared" si="77"/>
        <v>1.3.0.13.1.51</v>
      </c>
      <c r="B610" s="64">
        <v>1</v>
      </c>
      <c r="C610" s="64">
        <v>3</v>
      </c>
      <c r="D610" s="64">
        <v>0</v>
      </c>
      <c r="E610" s="64">
        <v>13</v>
      </c>
      <c r="F610" s="64">
        <v>1</v>
      </c>
      <c r="G610" s="189">
        <v>51</v>
      </c>
      <c r="H610" s="65"/>
      <c r="I610" s="65"/>
      <c r="J610" s="66"/>
      <c r="K610" s="185" t="s">
        <v>245</v>
      </c>
      <c r="L610" s="64" t="s">
        <v>246</v>
      </c>
      <c r="M610" s="64" t="s">
        <v>240</v>
      </c>
      <c r="N610" s="64" t="s">
        <v>247</v>
      </c>
      <c r="O610" s="64" t="s">
        <v>241</v>
      </c>
      <c r="P610" s="186"/>
      <c r="Q610" s="186"/>
      <c r="R610" s="186"/>
      <c r="S610" s="187" t="s">
        <v>248</v>
      </c>
      <c r="T610" s="194"/>
      <c r="U610" s="370">
        <v>0</v>
      </c>
      <c r="V610" s="370"/>
      <c r="W610" s="370">
        <v>0</v>
      </c>
      <c r="X610" s="1129">
        <v>0</v>
      </c>
      <c r="Y610" s="370">
        <v>0</v>
      </c>
      <c r="Z610" s="370">
        <v>0</v>
      </c>
      <c r="AA610" s="1129">
        <v>0</v>
      </c>
      <c r="AB610" s="370">
        <v>0</v>
      </c>
      <c r="AC610" s="370">
        <v>0</v>
      </c>
      <c r="AD610" s="1129">
        <v>0</v>
      </c>
      <c r="AE610" s="370">
        <v>0</v>
      </c>
      <c r="AF610" s="370">
        <v>0</v>
      </c>
      <c r="AG610" s="1129">
        <v>0</v>
      </c>
      <c r="AH610" s="505">
        <f>+U610+Y610+AB610+AE610</f>
        <v>0</v>
      </c>
      <c r="AI610" s="132"/>
      <c r="AJ610" s="75">
        <f t="shared" ref="AJ610:AJ614" si="90">+W611+Z611+AC611+AF611</f>
        <v>0</v>
      </c>
      <c r="AK610" s="75"/>
      <c r="AL610" s="75"/>
      <c r="AM610" s="75"/>
      <c r="AN610" s="64" t="s">
        <v>181</v>
      </c>
      <c r="AO610" s="64"/>
      <c r="AP610" s="64"/>
      <c r="AQ610" s="189"/>
      <c r="AR610" s="64"/>
      <c r="AS610" s="476"/>
      <c r="AT610" s="64"/>
      <c r="AU610" s="646"/>
      <c r="AV610" s="355"/>
      <c r="AW610" s="185"/>
    </row>
    <row r="611" spans="1:49" ht="36" hidden="1" customHeight="1" outlineLevel="3" x14ac:dyDescent="0.25">
      <c r="A611" s="63" t="str">
        <f t="shared" si="77"/>
        <v>1.3.0.13.2.51</v>
      </c>
      <c r="B611" s="64">
        <v>1</v>
      </c>
      <c r="C611" s="64">
        <v>3</v>
      </c>
      <c r="D611" s="64">
        <v>0</v>
      </c>
      <c r="E611" s="64">
        <v>13</v>
      </c>
      <c r="F611" s="64">
        <v>2</v>
      </c>
      <c r="G611" s="189">
        <v>51</v>
      </c>
      <c r="H611" s="65"/>
      <c r="I611" s="65"/>
      <c r="J611" s="65"/>
      <c r="K611" s="185" t="s">
        <v>251</v>
      </c>
      <c r="L611" s="64" t="s">
        <v>246</v>
      </c>
      <c r="M611" s="64" t="s">
        <v>240</v>
      </c>
      <c r="N611" s="64" t="s">
        <v>247</v>
      </c>
      <c r="O611" s="64" t="s">
        <v>241</v>
      </c>
      <c r="P611" s="69"/>
      <c r="Q611" s="69"/>
      <c r="R611" s="188"/>
      <c r="S611" s="187" t="s">
        <v>248</v>
      </c>
      <c r="T611" s="194"/>
      <c r="U611" s="370">
        <v>0</v>
      </c>
      <c r="V611" s="370"/>
      <c r="W611" s="370">
        <v>0</v>
      </c>
      <c r="X611" s="1129">
        <v>0</v>
      </c>
      <c r="Y611" s="370">
        <v>0</v>
      </c>
      <c r="Z611" s="370">
        <v>0</v>
      </c>
      <c r="AA611" s="1129">
        <v>0</v>
      </c>
      <c r="AB611" s="370">
        <v>0</v>
      </c>
      <c r="AC611" s="370">
        <v>0</v>
      </c>
      <c r="AD611" s="1129">
        <v>0</v>
      </c>
      <c r="AE611" s="370">
        <v>0</v>
      </c>
      <c r="AF611" s="370">
        <v>0</v>
      </c>
      <c r="AG611" s="1129">
        <v>0</v>
      </c>
      <c r="AH611" s="505">
        <f t="shared" ref="AH611:AH614" si="91">+U611+Y611+AB611+AE611</f>
        <v>0</v>
      </c>
      <c r="AI611" s="132"/>
      <c r="AJ611" s="75">
        <f t="shared" si="90"/>
        <v>0</v>
      </c>
      <c r="AK611" s="75"/>
      <c r="AL611" s="75"/>
      <c r="AM611" s="75"/>
      <c r="AN611" s="64" t="s">
        <v>181</v>
      </c>
      <c r="AO611" s="64"/>
      <c r="AP611" s="64"/>
      <c r="AQ611" s="189"/>
      <c r="AR611" s="64"/>
      <c r="AS611" s="476"/>
      <c r="AT611" s="64"/>
      <c r="AU611" s="646"/>
      <c r="AV611" s="355"/>
      <c r="AW611" s="185"/>
    </row>
    <row r="612" spans="1:49" ht="36" hidden="1" customHeight="1" outlineLevel="3" x14ac:dyDescent="0.25">
      <c r="A612" s="63" t="str">
        <f t="shared" si="77"/>
        <v>1.3.0.13.3.51</v>
      </c>
      <c r="B612" s="64">
        <v>1</v>
      </c>
      <c r="C612" s="64">
        <v>3</v>
      </c>
      <c r="D612" s="64">
        <v>0</v>
      </c>
      <c r="E612" s="64">
        <v>13</v>
      </c>
      <c r="F612" s="64">
        <v>3</v>
      </c>
      <c r="G612" s="189">
        <v>51</v>
      </c>
      <c r="H612" s="65"/>
      <c r="I612" s="65"/>
      <c r="J612" s="66"/>
      <c r="K612" s="185" t="s">
        <v>255</v>
      </c>
      <c r="L612" s="64" t="s">
        <v>246</v>
      </c>
      <c r="M612" s="64" t="s">
        <v>256</v>
      </c>
      <c r="N612" s="64" t="s">
        <v>257</v>
      </c>
      <c r="O612" s="64" t="s">
        <v>241</v>
      </c>
      <c r="P612" s="69"/>
      <c r="Q612" s="190"/>
      <c r="R612" s="186"/>
      <c r="S612" s="187" t="s">
        <v>258</v>
      </c>
      <c r="T612" s="194"/>
      <c r="U612" s="370">
        <v>0</v>
      </c>
      <c r="V612" s="370"/>
      <c r="W612" s="370">
        <v>0</v>
      </c>
      <c r="X612" s="1129">
        <v>0</v>
      </c>
      <c r="Y612" s="370">
        <v>0</v>
      </c>
      <c r="Z612" s="370">
        <v>0</v>
      </c>
      <c r="AA612" s="1129">
        <v>0</v>
      </c>
      <c r="AB612" s="370">
        <v>0</v>
      </c>
      <c r="AC612" s="370">
        <v>0</v>
      </c>
      <c r="AD612" s="1129">
        <v>0</v>
      </c>
      <c r="AE612" s="370">
        <v>0</v>
      </c>
      <c r="AF612" s="370">
        <v>0</v>
      </c>
      <c r="AG612" s="1129">
        <v>0</v>
      </c>
      <c r="AH612" s="505">
        <f t="shared" si="91"/>
        <v>0</v>
      </c>
      <c r="AI612" s="132"/>
      <c r="AJ612" s="75">
        <f t="shared" si="90"/>
        <v>0</v>
      </c>
      <c r="AK612" s="75"/>
      <c r="AL612" s="75"/>
      <c r="AM612" s="75"/>
      <c r="AN612" s="64" t="s">
        <v>181</v>
      </c>
      <c r="AO612" s="64" t="s">
        <v>1839</v>
      </c>
      <c r="AP612" s="64" t="s">
        <v>649</v>
      </c>
      <c r="AQ612" s="533" t="s">
        <v>649</v>
      </c>
      <c r="AR612" s="554">
        <v>44562</v>
      </c>
      <c r="AS612" s="554">
        <v>45291</v>
      </c>
      <c r="AT612" s="64" t="s">
        <v>1814</v>
      </c>
      <c r="AU612" s="646"/>
      <c r="AV612" s="356"/>
      <c r="AW612" s="335"/>
    </row>
    <row r="613" spans="1:49" ht="36" hidden="1" customHeight="1" outlineLevel="3" x14ac:dyDescent="0.25">
      <c r="A613" s="63" t="str">
        <f t="shared" si="77"/>
        <v>1.3.0.13.4.51</v>
      </c>
      <c r="B613" s="64">
        <v>1</v>
      </c>
      <c r="C613" s="64">
        <v>3</v>
      </c>
      <c r="D613" s="64">
        <v>0</v>
      </c>
      <c r="E613" s="64">
        <v>13</v>
      </c>
      <c r="F613" s="64">
        <v>4</v>
      </c>
      <c r="G613" s="189">
        <v>51</v>
      </c>
      <c r="H613" s="65"/>
      <c r="I613" s="65"/>
      <c r="J613" s="66"/>
      <c r="K613" s="185" t="s">
        <v>263</v>
      </c>
      <c r="L613" s="64" t="s">
        <v>264</v>
      </c>
      <c r="M613" s="64" t="s">
        <v>144</v>
      </c>
      <c r="N613" s="64" t="s">
        <v>265</v>
      </c>
      <c r="O613" s="64" t="s">
        <v>266</v>
      </c>
      <c r="P613" s="69"/>
      <c r="Q613" s="69"/>
      <c r="R613" s="186"/>
      <c r="S613" s="187" t="s">
        <v>258</v>
      </c>
      <c r="T613" s="194"/>
      <c r="U613" s="370">
        <v>0</v>
      </c>
      <c r="V613" s="370"/>
      <c r="W613" s="370">
        <v>0</v>
      </c>
      <c r="X613" s="1129">
        <v>0</v>
      </c>
      <c r="Y613" s="370">
        <v>0</v>
      </c>
      <c r="Z613" s="370">
        <v>0</v>
      </c>
      <c r="AA613" s="1129">
        <v>0</v>
      </c>
      <c r="AB613" s="370">
        <v>0</v>
      </c>
      <c r="AC613" s="370">
        <v>0</v>
      </c>
      <c r="AD613" s="1129">
        <v>0</v>
      </c>
      <c r="AE613" s="370">
        <v>0</v>
      </c>
      <c r="AF613" s="370">
        <v>0</v>
      </c>
      <c r="AG613" s="1129">
        <v>0</v>
      </c>
      <c r="AH613" s="505">
        <f t="shared" si="91"/>
        <v>0</v>
      </c>
      <c r="AI613" s="132"/>
      <c r="AJ613" s="75">
        <f t="shared" si="90"/>
        <v>0</v>
      </c>
      <c r="AK613" s="75"/>
      <c r="AL613" s="75"/>
      <c r="AM613" s="75"/>
      <c r="AN613" s="64" t="s">
        <v>181</v>
      </c>
      <c r="AO613" s="64"/>
      <c r="AP613" s="64"/>
      <c r="AQ613" s="189"/>
      <c r="AR613" s="64"/>
      <c r="AS613" s="476"/>
      <c r="AT613" s="64"/>
      <c r="AU613" s="646"/>
      <c r="AV613" s="355"/>
      <c r="AW613" s="185"/>
    </row>
    <row r="614" spans="1:49" ht="36" hidden="1" customHeight="1" outlineLevel="3" x14ac:dyDescent="0.25">
      <c r="A614" s="63" t="str">
        <f t="shared" si="77"/>
        <v>1.3.0.13.5.51</v>
      </c>
      <c r="B614" s="191">
        <v>1</v>
      </c>
      <c r="C614" s="191">
        <v>3</v>
      </c>
      <c r="D614" s="191">
        <v>0</v>
      </c>
      <c r="E614" s="191">
        <v>13</v>
      </c>
      <c r="F614" s="191">
        <v>5</v>
      </c>
      <c r="G614" s="192">
        <v>51</v>
      </c>
      <c r="H614" s="65"/>
      <c r="I614" s="65"/>
      <c r="J614" s="66"/>
      <c r="K614" s="137" t="s">
        <v>659</v>
      </c>
      <c r="L614" s="64"/>
      <c r="M614" s="64"/>
      <c r="N614" s="64"/>
      <c r="O614" s="64"/>
      <c r="P614" s="186"/>
      <c r="Q614" s="186"/>
      <c r="R614" s="186"/>
      <c r="S614" s="187"/>
      <c r="T614" s="194"/>
      <c r="U614" s="370">
        <v>0</v>
      </c>
      <c r="V614" s="370"/>
      <c r="W614" s="370">
        <v>0</v>
      </c>
      <c r="X614" s="1129">
        <v>0</v>
      </c>
      <c r="Y614" s="370">
        <v>0</v>
      </c>
      <c r="Z614" s="370">
        <v>0</v>
      </c>
      <c r="AA614" s="1129">
        <v>0</v>
      </c>
      <c r="AB614" s="370">
        <v>0</v>
      </c>
      <c r="AC614" s="370">
        <v>0</v>
      </c>
      <c r="AD614" s="1129">
        <v>0</v>
      </c>
      <c r="AE614" s="370">
        <v>0</v>
      </c>
      <c r="AF614" s="370">
        <v>0</v>
      </c>
      <c r="AG614" s="1129">
        <v>0</v>
      </c>
      <c r="AH614" s="505">
        <f t="shared" si="91"/>
        <v>0</v>
      </c>
      <c r="AI614" s="132"/>
      <c r="AJ614" s="75">
        <f t="shared" si="90"/>
        <v>0</v>
      </c>
      <c r="AK614" s="75"/>
      <c r="AL614" s="75"/>
      <c r="AM614" s="75"/>
      <c r="AN614" s="64" t="s">
        <v>181</v>
      </c>
      <c r="AO614" s="64"/>
      <c r="AP614" s="64"/>
      <c r="AQ614" s="189"/>
      <c r="AR614" s="64"/>
      <c r="AS614" s="476"/>
      <c r="AT614" s="64"/>
      <c r="AU614" s="646"/>
      <c r="AV614" s="355"/>
      <c r="AW614" s="185"/>
    </row>
    <row r="615" spans="1:49" s="153" customFormat="1" ht="27" customHeight="1" outlineLevel="1" collapsed="1" x14ac:dyDescent="0.25">
      <c r="A615" s="148" t="str">
        <f t="shared" si="77"/>
        <v>1.3.0.14.0.1</v>
      </c>
      <c r="B615" s="82">
        <v>1</v>
      </c>
      <c r="C615" s="82">
        <v>3</v>
      </c>
      <c r="D615" s="82">
        <v>0</v>
      </c>
      <c r="E615" s="82">
        <v>14</v>
      </c>
      <c r="F615" s="82">
        <v>0</v>
      </c>
      <c r="G615" s="193">
        <v>1</v>
      </c>
      <c r="H615" s="149"/>
      <c r="I615" s="149"/>
      <c r="J615" s="1260" t="s">
        <v>660</v>
      </c>
      <c r="K615" s="1260"/>
      <c r="L615" s="82" t="s">
        <v>236</v>
      </c>
      <c r="M615" s="82">
        <v>0</v>
      </c>
      <c r="N615" s="82">
        <v>0</v>
      </c>
      <c r="O615" s="82">
        <v>0</v>
      </c>
      <c r="P615" s="82"/>
      <c r="Q615" s="82"/>
      <c r="R615" s="150"/>
      <c r="S615" s="151" t="s">
        <v>242</v>
      </c>
      <c r="T615" s="193"/>
      <c r="U615" s="379">
        <f>SUM(U616:U620)</f>
        <v>0</v>
      </c>
      <c r="V615" s="379"/>
      <c r="W615" s="379">
        <f t="shared" ref="W615:AH615" si="92">SUM(W616:W620)</f>
        <v>0</v>
      </c>
      <c r="X615" s="1130">
        <f t="shared" si="92"/>
        <v>0</v>
      </c>
      <c r="Y615" s="379">
        <f t="shared" si="92"/>
        <v>0</v>
      </c>
      <c r="Z615" s="379">
        <f t="shared" si="92"/>
        <v>0</v>
      </c>
      <c r="AA615" s="1130">
        <f t="shared" si="92"/>
        <v>0</v>
      </c>
      <c r="AB615" s="379">
        <f t="shared" si="92"/>
        <v>0</v>
      </c>
      <c r="AC615" s="379">
        <f t="shared" si="92"/>
        <v>0</v>
      </c>
      <c r="AD615" s="1130">
        <f t="shared" si="92"/>
        <v>0</v>
      </c>
      <c r="AE615" s="379">
        <f t="shared" si="92"/>
        <v>0</v>
      </c>
      <c r="AF615" s="379">
        <f t="shared" si="92"/>
        <v>0</v>
      </c>
      <c r="AG615" s="1130">
        <f t="shared" si="92"/>
        <v>0</v>
      </c>
      <c r="AH615" s="379">
        <f t="shared" si="92"/>
        <v>0</v>
      </c>
      <c r="AI615" s="512">
        <f>SUM(AI616:AI620)</f>
        <v>0</v>
      </c>
      <c r="AJ615" s="512">
        <f>SUM(AJ616:AJ620)</f>
        <v>0</v>
      </c>
      <c r="AK615" s="152"/>
      <c r="AL615" s="152"/>
      <c r="AM615" s="152"/>
      <c r="AN615" s="82" t="s">
        <v>181</v>
      </c>
      <c r="AO615" s="82"/>
      <c r="AP615" s="82"/>
      <c r="AQ615" s="365"/>
      <c r="AR615" s="82"/>
      <c r="AS615" s="483"/>
      <c r="AT615" s="82"/>
      <c r="AU615" s="666"/>
      <c r="AV615" s="351"/>
      <c r="AW615" s="444" t="s">
        <v>658</v>
      </c>
    </row>
    <row r="616" spans="1:49" ht="32.1" hidden="1" customHeight="1" outlineLevel="2" x14ac:dyDescent="0.25">
      <c r="A616" s="63" t="str">
        <f t="shared" si="77"/>
        <v>1.3.0.14.1.1</v>
      </c>
      <c r="B616" s="64">
        <v>1</v>
      </c>
      <c r="C616" s="64">
        <v>3</v>
      </c>
      <c r="D616" s="64">
        <v>0</v>
      </c>
      <c r="E616" s="64">
        <v>14</v>
      </c>
      <c r="F616" s="64">
        <v>1</v>
      </c>
      <c r="G616" s="194">
        <v>1</v>
      </c>
      <c r="H616" s="65"/>
      <c r="I616" s="65"/>
      <c r="J616" s="66"/>
      <c r="K616" s="65" t="s">
        <v>245</v>
      </c>
      <c r="L616" s="64" t="s">
        <v>246</v>
      </c>
      <c r="M616" s="64" t="s">
        <v>240</v>
      </c>
      <c r="N616" s="64" t="s">
        <v>247</v>
      </c>
      <c r="O616" s="64" t="s">
        <v>241</v>
      </c>
      <c r="P616" s="64"/>
      <c r="Q616" s="64"/>
      <c r="R616" s="124"/>
      <c r="S616" s="123" t="s">
        <v>248</v>
      </c>
      <c r="T616" s="194">
        <v>0</v>
      </c>
      <c r="U616" s="370">
        <v>0</v>
      </c>
      <c r="V616" s="370"/>
      <c r="W616" s="370">
        <v>0</v>
      </c>
      <c r="X616" s="1129">
        <v>0</v>
      </c>
      <c r="Y616" s="370">
        <v>0</v>
      </c>
      <c r="Z616" s="370">
        <v>0</v>
      </c>
      <c r="AA616" s="1129">
        <v>0</v>
      </c>
      <c r="AB616" s="370">
        <v>0</v>
      </c>
      <c r="AC616" s="370">
        <v>0</v>
      </c>
      <c r="AD616" s="1129">
        <v>0</v>
      </c>
      <c r="AE616" s="370">
        <v>0</v>
      </c>
      <c r="AF616" s="370">
        <v>0</v>
      </c>
      <c r="AG616" s="1129">
        <v>0</v>
      </c>
      <c r="AH616" s="505">
        <f>+U616+Y616+AB616+AE616</f>
        <v>0</v>
      </c>
      <c r="AI616" s="132"/>
      <c r="AJ616" s="75">
        <f t="shared" ref="AJ616:AJ620" si="93">+W617+Z617+AC617+AF617</f>
        <v>0</v>
      </c>
      <c r="AK616" s="75"/>
      <c r="AL616" s="75"/>
      <c r="AM616" s="75"/>
      <c r="AN616" s="171" t="s">
        <v>181</v>
      </c>
      <c r="AO616" s="171"/>
      <c r="AP616" s="171"/>
      <c r="AQ616" s="418"/>
      <c r="AS616" s="484"/>
      <c r="AV616" s="347"/>
      <c r="AW616" s="185"/>
    </row>
    <row r="617" spans="1:49" ht="32.1" hidden="1" customHeight="1" outlineLevel="2" x14ac:dyDescent="0.25">
      <c r="A617" s="63" t="str">
        <f t="shared" si="77"/>
        <v>1.3.0.14.2.1</v>
      </c>
      <c r="B617" s="64">
        <v>1</v>
      </c>
      <c r="C617" s="64">
        <v>3</v>
      </c>
      <c r="D617" s="64">
        <v>0</v>
      </c>
      <c r="E617" s="64">
        <v>14</v>
      </c>
      <c r="F617" s="64">
        <v>2</v>
      </c>
      <c r="G617" s="194">
        <v>1</v>
      </c>
      <c r="H617" s="65"/>
      <c r="I617" s="65"/>
      <c r="J617" s="65"/>
      <c r="K617" s="65" t="s">
        <v>251</v>
      </c>
      <c r="L617" s="64" t="s">
        <v>246</v>
      </c>
      <c r="M617" s="64" t="s">
        <v>240</v>
      </c>
      <c r="N617" s="64" t="s">
        <v>252</v>
      </c>
      <c r="O617" s="64" t="s">
        <v>241</v>
      </c>
      <c r="P617" s="69"/>
      <c r="Q617" s="69"/>
      <c r="R617" s="158"/>
      <c r="S617" s="123" t="s">
        <v>248</v>
      </c>
      <c r="T617" s="194"/>
      <c r="U617" s="370">
        <v>0</v>
      </c>
      <c r="V617" s="370"/>
      <c r="W617" s="370">
        <v>0</v>
      </c>
      <c r="X617" s="1129">
        <v>0</v>
      </c>
      <c r="Y617" s="370">
        <v>0</v>
      </c>
      <c r="Z617" s="370">
        <v>0</v>
      </c>
      <c r="AA617" s="1129">
        <v>0</v>
      </c>
      <c r="AB617" s="370">
        <v>0</v>
      </c>
      <c r="AC617" s="370">
        <v>0</v>
      </c>
      <c r="AD617" s="1129">
        <v>0</v>
      </c>
      <c r="AE617" s="370">
        <v>0</v>
      </c>
      <c r="AF617" s="370">
        <v>0</v>
      </c>
      <c r="AG617" s="1129">
        <v>0</v>
      </c>
      <c r="AH617" s="505">
        <f t="shared" ref="AH617:AH620" si="94">+W617+Y617+AB617+AE617</f>
        <v>0</v>
      </c>
      <c r="AI617" s="132"/>
      <c r="AJ617" s="75">
        <f t="shared" si="93"/>
        <v>0</v>
      </c>
      <c r="AK617" s="75"/>
      <c r="AL617" s="75"/>
      <c r="AM617" s="75"/>
      <c r="AN617" s="171" t="s">
        <v>181</v>
      </c>
      <c r="AO617" s="171"/>
      <c r="AP617" s="171"/>
      <c r="AQ617" s="418"/>
      <c r="AS617" s="484"/>
      <c r="AV617" s="347"/>
      <c r="AW617" s="185"/>
    </row>
    <row r="618" spans="1:49" ht="32.1" hidden="1" customHeight="1" outlineLevel="2" x14ac:dyDescent="0.25">
      <c r="A618" s="63" t="str">
        <f t="shared" si="77"/>
        <v>1.3.0.14.3.1</v>
      </c>
      <c r="B618" s="64">
        <v>1</v>
      </c>
      <c r="C618" s="64">
        <v>3</v>
      </c>
      <c r="D618" s="64">
        <v>0</v>
      </c>
      <c r="E618" s="64">
        <v>14</v>
      </c>
      <c r="F618" s="64">
        <v>3</v>
      </c>
      <c r="G618" s="194">
        <v>1</v>
      </c>
      <c r="H618" s="65"/>
      <c r="I618" s="65"/>
      <c r="J618" s="66"/>
      <c r="K618" s="65" t="s">
        <v>255</v>
      </c>
      <c r="L618" s="64" t="s">
        <v>246</v>
      </c>
      <c r="M618" s="64" t="s">
        <v>256</v>
      </c>
      <c r="N618" s="64" t="s">
        <v>257</v>
      </c>
      <c r="O618" s="64" t="s">
        <v>241</v>
      </c>
      <c r="P618" s="69"/>
      <c r="Q618" s="170"/>
      <c r="R618" s="124"/>
      <c r="S618" s="123" t="s">
        <v>258</v>
      </c>
      <c r="T618" s="194"/>
      <c r="U618" s="370">
        <v>0</v>
      </c>
      <c r="V618" s="370"/>
      <c r="W618" s="370">
        <v>0</v>
      </c>
      <c r="X618" s="1129">
        <v>0</v>
      </c>
      <c r="Y618" s="370">
        <v>0</v>
      </c>
      <c r="Z618" s="370">
        <v>0</v>
      </c>
      <c r="AA618" s="1129">
        <v>0</v>
      </c>
      <c r="AB618" s="370">
        <v>0</v>
      </c>
      <c r="AC618" s="370">
        <v>0</v>
      </c>
      <c r="AD618" s="1129">
        <v>0</v>
      </c>
      <c r="AE618" s="370">
        <v>0</v>
      </c>
      <c r="AF618" s="370">
        <v>0</v>
      </c>
      <c r="AG618" s="1129">
        <v>0</v>
      </c>
      <c r="AH618" s="505">
        <f t="shared" si="94"/>
        <v>0</v>
      </c>
      <c r="AI618" s="132"/>
      <c r="AJ618" s="75">
        <f t="shared" si="93"/>
        <v>0</v>
      </c>
      <c r="AK618" s="75"/>
      <c r="AL618" s="75"/>
      <c r="AM618" s="75"/>
      <c r="AN618" s="171" t="s">
        <v>181</v>
      </c>
      <c r="AO618" s="533" t="s">
        <v>1839</v>
      </c>
      <c r="AP618" s="533" t="s">
        <v>649</v>
      </c>
      <c r="AQ618" s="533" t="s">
        <v>649</v>
      </c>
      <c r="AR618" s="554">
        <v>44562</v>
      </c>
      <c r="AS618" s="554">
        <v>45291</v>
      </c>
      <c r="AT618" s="533" t="s">
        <v>1814</v>
      </c>
      <c r="AV618" s="347"/>
      <c r="AW618" s="335"/>
    </row>
    <row r="619" spans="1:49" ht="32.1" hidden="1" customHeight="1" outlineLevel="2" x14ac:dyDescent="0.25">
      <c r="A619" s="63" t="str">
        <f t="shared" si="77"/>
        <v>1.3.0.14.4.1</v>
      </c>
      <c r="B619" s="64">
        <v>1</v>
      </c>
      <c r="C619" s="64">
        <v>3</v>
      </c>
      <c r="D619" s="64">
        <v>0</v>
      </c>
      <c r="E619" s="64">
        <v>14</v>
      </c>
      <c r="F619" s="64">
        <v>4</v>
      </c>
      <c r="G619" s="194">
        <v>1</v>
      </c>
      <c r="H619" s="65"/>
      <c r="I619" s="65"/>
      <c r="J619" s="66"/>
      <c r="K619" s="65" t="s">
        <v>263</v>
      </c>
      <c r="L619" s="64" t="s">
        <v>264</v>
      </c>
      <c r="M619" s="64" t="s">
        <v>76</v>
      </c>
      <c r="N619" s="64" t="s">
        <v>265</v>
      </c>
      <c r="O619" s="64" t="s">
        <v>266</v>
      </c>
      <c r="P619" s="69"/>
      <c r="Q619" s="170"/>
      <c r="R619" s="124"/>
      <c r="S619" s="123" t="s">
        <v>258</v>
      </c>
      <c r="T619" s="194"/>
      <c r="U619" s="370">
        <v>0</v>
      </c>
      <c r="V619" s="370"/>
      <c r="W619" s="370">
        <v>0</v>
      </c>
      <c r="X619" s="1129">
        <v>0</v>
      </c>
      <c r="Y619" s="370">
        <v>0</v>
      </c>
      <c r="Z619" s="370">
        <v>0</v>
      </c>
      <c r="AA619" s="1129">
        <v>0</v>
      </c>
      <c r="AB619" s="370">
        <v>0</v>
      </c>
      <c r="AC619" s="370">
        <v>0</v>
      </c>
      <c r="AD619" s="1129">
        <v>0</v>
      </c>
      <c r="AE619" s="370">
        <v>0</v>
      </c>
      <c r="AF619" s="370">
        <v>0</v>
      </c>
      <c r="AG619" s="1129">
        <v>0</v>
      </c>
      <c r="AH619" s="505">
        <f t="shared" si="94"/>
        <v>0</v>
      </c>
      <c r="AI619" s="132"/>
      <c r="AJ619" s="75">
        <f t="shared" si="93"/>
        <v>0</v>
      </c>
      <c r="AK619" s="75"/>
      <c r="AL619" s="75"/>
      <c r="AM619" s="75"/>
      <c r="AN619" s="64" t="s">
        <v>181</v>
      </c>
      <c r="AO619" s="64"/>
      <c r="AP619" s="64"/>
      <c r="AQ619" s="189"/>
      <c r="AR619" s="64"/>
      <c r="AS619" s="476"/>
      <c r="AT619" s="64"/>
      <c r="AU619" s="646"/>
      <c r="AV619" s="347"/>
      <c r="AW619" s="185"/>
    </row>
    <row r="620" spans="1:49" ht="32.1" hidden="1" customHeight="1" outlineLevel="2" x14ac:dyDescent="0.25">
      <c r="A620" s="63" t="str">
        <f t="shared" si="77"/>
        <v>1.3.0.14.5.1</v>
      </c>
      <c r="B620" s="191">
        <v>1</v>
      </c>
      <c r="C620" s="191">
        <v>3</v>
      </c>
      <c r="D620" s="191">
        <v>0</v>
      </c>
      <c r="E620" s="191">
        <v>14</v>
      </c>
      <c r="F620" s="191">
        <v>5</v>
      </c>
      <c r="G620" s="194">
        <v>1</v>
      </c>
      <c r="H620" s="195"/>
      <c r="I620" s="65"/>
      <c r="J620" s="66"/>
      <c r="K620" s="137" t="s">
        <v>659</v>
      </c>
      <c r="L620" s="64"/>
      <c r="M620" s="64"/>
      <c r="N620" s="64"/>
      <c r="O620" s="64"/>
      <c r="P620" s="69"/>
      <c r="Q620" s="170"/>
      <c r="R620" s="124"/>
      <c r="S620" s="123"/>
      <c r="T620" s="194"/>
      <c r="U620" s="370">
        <v>0</v>
      </c>
      <c r="V620" s="370"/>
      <c r="W620" s="370">
        <v>0</v>
      </c>
      <c r="X620" s="1129">
        <v>0</v>
      </c>
      <c r="Y620" s="370">
        <v>0</v>
      </c>
      <c r="Z620" s="370">
        <v>0</v>
      </c>
      <c r="AA620" s="1129">
        <v>0</v>
      </c>
      <c r="AB620" s="370">
        <v>0</v>
      </c>
      <c r="AC620" s="370">
        <v>0</v>
      </c>
      <c r="AD620" s="1129">
        <v>0</v>
      </c>
      <c r="AE620" s="370">
        <v>0</v>
      </c>
      <c r="AF620" s="370">
        <v>0</v>
      </c>
      <c r="AG620" s="1129">
        <v>0</v>
      </c>
      <c r="AH620" s="505">
        <f t="shared" si="94"/>
        <v>0</v>
      </c>
      <c r="AI620" s="132"/>
      <c r="AJ620" s="75">
        <f t="shared" si="93"/>
        <v>0</v>
      </c>
      <c r="AK620" s="75"/>
      <c r="AL620" s="75"/>
      <c r="AM620" s="75"/>
      <c r="AN620" s="64" t="s">
        <v>181</v>
      </c>
      <c r="AO620" s="64"/>
      <c r="AP620" s="64"/>
      <c r="AQ620" s="189"/>
      <c r="AR620" s="64"/>
      <c r="AS620" s="476"/>
      <c r="AT620" s="64"/>
      <c r="AU620" s="646"/>
      <c r="AV620" s="347"/>
      <c r="AW620" s="185"/>
    </row>
    <row r="621" spans="1:49" s="153" customFormat="1" ht="30.75" customHeight="1" outlineLevel="1" collapsed="1" x14ac:dyDescent="0.25">
      <c r="A621" s="148" t="str">
        <f t="shared" si="77"/>
        <v>1.3.0.15.0.6</v>
      </c>
      <c r="B621" s="82">
        <v>1</v>
      </c>
      <c r="C621" s="82">
        <v>3</v>
      </c>
      <c r="D621" s="82">
        <v>0</v>
      </c>
      <c r="E621" s="82">
        <v>15</v>
      </c>
      <c r="F621" s="82">
        <v>0</v>
      </c>
      <c r="G621" s="82">
        <v>6</v>
      </c>
      <c r="H621" s="149"/>
      <c r="I621" s="149"/>
      <c r="J621" s="1260" t="s">
        <v>661</v>
      </c>
      <c r="K621" s="1260"/>
      <c r="L621" s="82" t="s">
        <v>236</v>
      </c>
      <c r="M621" s="82" t="s">
        <v>240</v>
      </c>
      <c r="N621" s="82" t="s">
        <v>226</v>
      </c>
      <c r="O621" s="82" t="s">
        <v>542</v>
      </c>
      <c r="P621" s="82"/>
      <c r="Q621" s="82"/>
      <c r="R621" s="150">
        <f>R625+R624+R623+R622</f>
        <v>0</v>
      </c>
      <c r="S621" s="151" t="s">
        <v>242</v>
      </c>
      <c r="T621" s="193">
        <f>T625+T624+T623+T622</f>
        <v>0</v>
      </c>
      <c r="U621" s="379">
        <f>+SUM(U622:U626)</f>
        <v>0</v>
      </c>
      <c r="V621" s="379"/>
      <c r="W621" s="379">
        <f t="shared" ref="W621:AG621" si="95">+SUM(W622:W626)</f>
        <v>0</v>
      </c>
      <c r="X621" s="1130">
        <f t="shared" si="95"/>
        <v>0</v>
      </c>
      <c r="Y621" s="379">
        <f t="shared" si="95"/>
        <v>0</v>
      </c>
      <c r="Z621" s="379">
        <f t="shared" si="95"/>
        <v>0</v>
      </c>
      <c r="AA621" s="1130">
        <f t="shared" si="95"/>
        <v>0</v>
      </c>
      <c r="AB621" s="379">
        <f t="shared" si="95"/>
        <v>0</v>
      </c>
      <c r="AC621" s="379">
        <f t="shared" si="95"/>
        <v>0</v>
      </c>
      <c r="AD621" s="1130">
        <f t="shared" si="95"/>
        <v>0</v>
      </c>
      <c r="AE621" s="379">
        <f t="shared" si="95"/>
        <v>0</v>
      </c>
      <c r="AF621" s="379">
        <f t="shared" si="95"/>
        <v>0</v>
      </c>
      <c r="AG621" s="1130">
        <f t="shared" si="95"/>
        <v>0</v>
      </c>
      <c r="AH621" s="512">
        <f>+SUM(AH622:AH626)</f>
        <v>0</v>
      </c>
      <c r="AI621" s="512">
        <f>+SUM(AI622:AI626)</f>
        <v>0</v>
      </c>
      <c r="AJ621" s="512">
        <f>+SUM(AJ622:AJ626)</f>
        <v>0</v>
      </c>
      <c r="AK621" s="152"/>
      <c r="AL621" s="152"/>
      <c r="AM621" s="152"/>
      <c r="AN621" s="82" t="s">
        <v>181</v>
      </c>
      <c r="AO621" s="82"/>
      <c r="AP621" s="82"/>
      <c r="AQ621" s="365"/>
      <c r="AR621" s="82"/>
      <c r="AS621" s="483"/>
      <c r="AT621" s="82"/>
      <c r="AU621" s="666"/>
      <c r="AV621" s="351">
        <f>AV623</f>
        <v>0</v>
      </c>
      <c r="AW621" s="444"/>
    </row>
    <row r="622" spans="1:49" ht="37.35" hidden="1" customHeight="1" outlineLevel="4" x14ac:dyDescent="0.25">
      <c r="A622" s="63" t="str">
        <f t="shared" si="77"/>
        <v>1.3.0.15.1.6</v>
      </c>
      <c r="B622" s="64">
        <v>1</v>
      </c>
      <c r="C622" s="64">
        <v>3</v>
      </c>
      <c r="D622" s="64">
        <v>0</v>
      </c>
      <c r="E622" s="64">
        <v>15</v>
      </c>
      <c r="F622" s="64">
        <v>1</v>
      </c>
      <c r="G622" s="64">
        <v>6</v>
      </c>
      <c r="H622" s="65"/>
      <c r="I622" s="65"/>
      <c r="J622" s="66"/>
      <c r="K622" s="65" t="s">
        <v>245</v>
      </c>
      <c r="L622" s="64" t="s">
        <v>246</v>
      </c>
      <c r="M622" s="64" t="s">
        <v>240</v>
      </c>
      <c r="N622" s="64" t="s">
        <v>247</v>
      </c>
      <c r="O622" s="64" t="s">
        <v>241</v>
      </c>
      <c r="P622" s="64"/>
      <c r="Q622" s="64"/>
      <c r="R622" s="124"/>
      <c r="S622" s="123" t="s">
        <v>248</v>
      </c>
      <c r="T622" s="194">
        <v>0</v>
      </c>
      <c r="U622" s="370">
        <v>0</v>
      </c>
      <c r="V622" s="370"/>
      <c r="W622" s="370">
        <v>0</v>
      </c>
      <c r="X622" s="1129">
        <v>0</v>
      </c>
      <c r="Y622" s="370">
        <v>0</v>
      </c>
      <c r="Z622" s="370">
        <v>0</v>
      </c>
      <c r="AA622" s="1129">
        <v>0</v>
      </c>
      <c r="AB622" s="370">
        <v>0</v>
      </c>
      <c r="AC622" s="370">
        <v>0</v>
      </c>
      <c r="AD622" s="1129">
        <v>0</v>
      </c>
      <c r="AE622" s="370">
        <v>0</v>
      </c>
      <c r="AF622" s="370">
        <v>0</v>
      </c>
      <c r="AG622" s="1129">
        <v>0</v>
      </c>
      <c r="AH622" s="505">
        <f>+U622+Y622+AB622+AF622</f>
        <v>0</v>
      </c>
      <c r="AI622" s="132"/>
      <c r="AJ622" s="75">
        <f t="shared" ref="AJ622:AJ626" si="96">+W623+Z623+AC623+AF623</f>
        <v>0</v>
      </c>
      <c r="AK622" s="75"/>
      <c r="AL622" s="75"/>
      <c r="AM622" s="75"/>
      <c r="AN622" s="171" t="s">
        <v>181</v>
      </c>
      <c r="AO622" s="171"/>
      <c r="AP622" s="171"/>
      <c r="AQ622" s="418"/>
      <c r="AS622" s="484"/>
      <c r="AV622" s="347"/>
      <c r="AW622" s="185"/>
    </row>
    <row r="623" spans="1:49" ht="37.35" hidden="1" customHeight="1" outlineLevel="4" x14ac:dyDescent="0.25">
      <c r="A623" s="63" t="str">
        <f t="shared" si="77"/>
        <v>1.3.0.15.2.6</v>
      </c>
      <c r="B623" s="64">
        <v>1</v>
      </c>
      <c r="C623" s="64">
        <v>3</v>
      </c>
      <c r="D623" s="64">
        <v>0</v>
      </c>
      <c r="E623" s="64">
        <v>15</v>
      </c>
      <c r="F623" s="64">
        <v>2</v>
      </c>
      <c r="G623" s="64">
        <v>6</v>
      </c>
      <c r="H623" s="65"/>
      <c r="I623" s="65"/>
      <c r="J623" s="65"/>
      <c r="K623" s="65" t="s">
        <v>251</v>
      </c>
      <c r="L623" s="64" t="s">
        <v>246</v>
      </c>
      <c r="M623" s="64" t="s">
        <v>240</v>
      </c>
      <c r="N623" s="64" t="s">
        <v>252</v>
      </c>
      <c r="O623" s="64" t="s">
        <v>241</v>
      </c>
      <c r="P623" s="69"/>
      <c r="Q623" s="196"/>
      <c r="R623" s="158"/>
      <c r="S623" s="123" t="s">
        <v>248</v>
      </c>
      <c r="T623" s="194"/>
      <c r="U623" s="370">
        <v>0</v>
      </c>
      <c r="V623" s="370"/>
      <c r="W623" s="370">
        <v>0</v>
      </c>
      <c r="X623" s="1129">
        <v>0</v>
      </c>
      <c r="Y623" s="370">
        <v>0</v>
      </c>
      <c r="Z623" s="370">
        <v>0</v>
      </c>
      <c r="AA623" s="1129">
        <v>0</v>
      </c>
      <c r="AB623" s="370">
        <v>0</v>
      </c>
      <c r="AC623" s="370">
        <v>0</v>
      </c>
      <c r="AD623" s="1129">
        <v>0</v>
      </c>
      <c r="AE623" s="370">
        <v>0</v>
      </c>
      <c r="AF623" s="370">
        <v>0</v>
      </c>
      <c r="AG623" s="1129">
        <v>0</v>
      </c>
      <c r="AH623" s="505">
        <f t="shared" ref="AH623:AH626" si="97">+U623+Y623+AB623+AF623</f>
        <v>0</v>
      </c>
      <c r="AI623" s="132"/>
      <c r="AJ623" s="75">
        <f t="shared" si="96"/>
        <v>0</v>
      </c>
      <c r="AK623" s="75"/>
      <c r="AL623" s="75"/>
      <c r="AM623" s="75"/>
      <c r="AN623" s="171" t="s">
        <v>181</v>
      </c>
      <c r="AO623" s="171"/>
      <c r="AP623" s="171"/>
      <c r="AQ623" s="418"/>
      <c r="AS623" s="484"/>
      <c r="AV623" s="347"/>
      <c r="AW623" s="185"/>
    </row>
    <row r="624" spans="1:49" ht="37.35" hidden="1" customHeight="1" outlineLevel="4" x14ac:dyDescent="0.25">
      <c r="A624" s="63" t="str">
        <f t="shared" si="77"/>
        <v>1.3.0.15.3.6</v>
      </c>
      <c r="B624" s="64">
        <v>1</v>
      </c>
      <c r="C624" s="64">
        <v>3</v>
      </c>
      <c r="D624" s="64">
        <v>0</v>
      </c>
      <c r="E624" s="64">
        <v>15</v>
      </c>
      <c r="F624" s="64">
        <v>3</v>
      </c>
      <c r="G624" s="64">
        <v>6</v>
      </c>
      <c r="H624" s="65"/>
      <c r="I624" s="65"/>
      <c r="J624" s="66"/>
      <c r="K624" s="65" t="s">
        <v>255</v>
      </c>
      <c r="L624" s="64" t="s">
        <v>246</v>
      </c>
      <c r="M624" s="64" t="s">
        <v>256</v>
      </c>
      <c r="N624" s="64" t="s">
        <v>257</v>
      </c>
      <c r="O624" s="64" t="s">
        <v>241</v>
      </c>
      <c r="P624" s="69"/>
      <c r="Q624" s="170"/>
      <c r="R624" s="124"/>
      <c r="S624" s="123" t="s">
        <v>258</v>
      </c>
      <c r="T624" s="194"/>
      <c r="U624" s="370">
        <v>0</v>
      </c>
      <c r="V624" s="370"/>
      <c r="W624" s="370">
        <v>0</v>
      </c>
      <c r="X624" s="1129">
        <v>0</v>
      </c>
      <c r="Y624" s="370">
        <v>0</v>
      </c>
      <c r="Z624" s="370">
        <v>0</v>
      </c>
      <c r="AA624" s="1129">
        <v>0</v>
      </c>
      <c r="AB624" s="370">
        <v>0</v>
      </c>
      <c r="AC624" s="370">
        <v>0</v>
      </c>
      <c r="AD624" s="1129">
        <v>0</v>
      </c>
      <c r="AE624" s="370">
        <v>0</v>
      </c>
      <c r="AF624" s="370">
        <v>0</v>
      </c>
      <c r="AG624" s="1129">
        <v>0</v>
      </c>
      <c r="AH624" s="505">
        <f t="shared" si="97"/>
        <v>0</v>
      </c>
      <c r="AI624" s="132"/>
      <c r="AJ624" s="75">
        <f t="shared" si="96"/>
        <v>0</v>
      </c>
      <c r="AK624" s="75"/>
      <c r="AL624" s="75"/>
      <c r="AM624" s="75"/>
      <c r="AN624" s="64" t="s">
        <v>181</v>
      </c>
      <c r="AO624" s="64" t="s">
        <v>1839</v>
      </c>
      <c r="AP624" s="64" t="s">
        <v>649</v>
      </c>
      <c r="AQ624" s="533" t="s">
        <v>649</v>
      </c>
      <c r="AR624" s="554">
        <v>44562</v>
      </c>
      <c r="AS624" s="554">
        <v>45291</v>
      </c>
      <c r="AT624" s="64" t="s">
        <v>1814</v>
      </c>
      <c r="AU624" s="646"/>
      <c r="AV624" s="347"/>
      <c r="AW624" s="185"/>
    </row>
    <row r="625" spans="1:49" ht="37.35" hidden="1" customHeight="1" outlineLevel="4" x14ac:dyDescent="0.25">
      <c r="A625" s="63" t="str">
        <f t="shared" si="77"/>
        <v>1.3.0.15.4.6</v>
      </c>
      <c r="B625" s="64">
        <v>1</v>
      </c>
      <c r="C625" s="64">
        <v>3</v>
      </c>
      <c r="D625" s="64">
        <v>0</v>
      </c>
      <c r="E625" s="64">
        <v>15</v>
      </c>
      <c r="F625" s="64">
        <v>4</v>
      </c>
      <c r="G625" s="64">
        <v>6</v>
      </c>
      <c r="H625" s="65"/>
      <c r="I625" s="65"/>
      <c r="J625" s="66"/>
      <c r="K625" s="65" t="s">
        <v>263</v>
      </c>
      <c r="L625" s="64" t="s">
        <v>264</v>
      </c>
      <c r="M625" s="64" t="s">
        <v>144</v>
      </c>
      <c r="N625" s="64" t="s">
        <v>265</v>
      </c>
      <c r="O625" s="64" t="s">
        <v>662</v>
      </c>
      <c r="P625" s="69"/>
      <c r="Q625" s="170"/>
      <c r="R625" s="124"/>
      <c r="S625" s="123" t="s">
        <v>258</v>
      </c>
      <c r="T625" s="194"/>
      <c r="U625" s="370">
        <v>0</v>
      </c>
      <c r="V625" s="370"/>
      <c r="W625" s="370">
        <v>0</v>
      </c>
      <c r="X625" s="1129">
        <v>0</v>
      </c>
      <c r="Y625" s="370">
        <v>0</v>
      </c>
      <c r="Z625" s="370">
        <v>0</v>
      </c>
      <c r="AA625" s="1129">
        <v>0</v>
      </c>
      <c r="AB625" s="370">
        <v>0</v>
      </c>
      <c r="AC625" s="370">
        <v>0</v>
      </c>
      <c r="AD625" s="1129">
        <v>0</v>
      </c>
      <c r="AE625" s="370">
        <v>0</v>
      </c>
      <c r="AF625" s="370">
        <v>0</v>
      </c>
      <c r="AG625" s="1129">
        <v>0</v>
      </c>
      <c r="AH625" s="505">
        <f t="shared" si="97"/>
        <v>0</v>
      </c>
      <c r="AI625" s="132"/>
      <c r="AJ625" s="75">
        <f t="shared" si="96"/>
        <v>0</v>
      </c>
      <c r="AK625" s="75"/>
      <c r="AL625" s="75"/>
      <c r="AM625" s="75"/>
      <c r="AN625" s="64" t="s">
        <v>181</v>
      </c>
      <c r="AO625" s="64"/>
      <c r="AP625" s="64"/>
      <c r="AQ625" s="189"/>
      <c r="AR625" s="64"/>
      <c r="AS625" s="476"/>
      <c r="AT625" s="64"/>
      <c r="AU625" s="646"/>
      <c r="AV625" s="347"/>
      <c r="AW625" s="185"/>
    </row>
    <row r="626" spans="1:49" ht="37.35" hidden="1" customHeight="1" outlineLevel="4" x14ac:dyDescent="0.25">
      <c r="A626" s="63" t="str">
        <f t="shared" si="77"/>
        <v>1.3.0.15.5.6</v>
      </c>
      <c r="B626" s="64">
        <v>1</v>
      </c>
      <c r="C626" s="64">
        <v>3</v>
      </c>
      <c r="D626" s="64">
        <v>0</v>
      </c>
      <c r="E626" s="64">
        <v>15</v>
      </c>
      <c r="F626" s="64">
        <v>5</v>
      </c>
      <c r="G626" s="64">
        <v>6</v>
      </c>
      <c r="H626" s="65"/>
      <c r="I626" s="65"/>
      <c r="J626" s="66"/>
      <c r="K626" s="137" t="s">
        <v>659</v>
      </c>
      <c r="L626" s="64"/>
      <c r="M626" s="64"/>
      <c r="N626" s="64"/>
      <c r="O626" s="64"/>
      <c r="P626" s="69"/>
      <c r="Q626" s="170"/>
      <c r="R626" s="124"/>
      <c r="S626" s="123"/>
      <c r="T626" s="194"/>
      <c r="U626" s="370">
        <v>0</v>
      </c>
      <c r="V626" s="370"/>
      <c r="W626" s="370">
        <v>0</v>
      </c>
      <c r="X626" s="1129">
        <v>0</v>
      </c>
      <c r="Y626" s="370">
        <v>0</v>
      </c>
      <c r="Z626" s="370">
        <v>0</v>
      </c>
      <c r="AA626" s="1129">
        <v>0</v>
      </c>
      <c r="AB626" s="370">
        <v>0</v>
      </c>
      <c r="AC626" s="370">
        <v>0</v>
      </c>
      <c r="AD626" s="1129">
        <v>0</v>
      </c>
      <c r="AE626" s="370">
        <v>0</v>
      </c>
      <c r="AF626" s="370">
        <v>0</v>
      </c>
      <c r="AG626" s="1129">
        <v>0</v>
      </c>
      <c r="AH626" s="505">
        <f t="shared" si="97"/>
        <v>0</v>
      </c>
      <c r="AI626" s="132"/>
      <c r="AJ626" s="75">
        <f t="shared" si="96"/>
        <v>0</v>
      </c>
      <c r="AK626" s="75"/>
      <c r="AL626" s="75"/>
      <c r="AM626" s="75"/>
      <c r="AN626" s="64" t="s">
        <v>181</v>
      </c>
      <c r="AO626" s="64"/>
      <c r="AP626" s="64"/>
      <c r="AQ626" s="189"/>
      <c r="AR626" s="64"/>
      <c r="AS626" s="476"/>
      <c r="AT626" s="64"/>
      <c r="AU626" s="646"/>
      <c r="AV626" s="347"/>
      <c r="AW626" s="185"/>
    </row>
    <row r="627" spans="1:49" s="153" customFormat="1" ht="27.75" customHeight="1" outlineLevel="1" collapsed="1" x14ac:dyDescent="0.25">
      <c r="A627" s="148" t="str">
        <f t="shared" si="77"/>
        <v>1.3.0.16.0.0</v>
      </c>
      <c r="B627" s="82">
        <v>1</v>
      </c>
      <c r="C627" s="82">
        <v>3</v>
      </c>
      <c r="D627" s="82">
        <v>0</v>
      </c>
      <c r="E627" s="82">
        <v>16</v>
      </c>
      <c r="F627" s="82">
        <v>0</v>
      </c>
      <c r="G627" s="82">
        <v>0</v>
      </c>
      <c r="H627" s="149"/>
      <c r="I627" s="149"/>
      <c r="J627" s="1260" t="s">
        <v>663</v>
      </c>
      <c r="K627" s="1260"/>
      <c r="L627" s="82" t="s">
        <v>236</v>
      </c>
      <c r="M627" s="82" t="s">
        <v>240</v>
      </c>
      <c r="N627" s="82" t="s">
        <v>226</v>
      </c>
      <c r="O627" s="82" t="s">
        <v>444</v>
      </c>
      <c r="P627" s="82"/>
      <c r="Q627" s="82"/>
      <c r="R627" s="150">
        <f>R631+R630+R629+R628</f>
        <v>0</v>
      </c>
      <c r="S627" s="151" t="s">
        <v>242</v>
      </c>
      <c r="T627" s="193">
        <f>T631+T630+T629+T628</f>
        <v>0</v>
      </c>
      <c r="U627" s="379">
        <f>SUM(U628:U632)</f>
        <v>0</v>
      </c>
      <c r="V627" s="379"/>
      <c r="W627" s="379">
        <f t="shared" ref="W627:AH627" si="98">SUM(W628:W632)</f>
        <v>0</v>
      </c>
      <c r="X627" s="1130">
        <f t="shared" si="98"/>
        <v>0</v>
      </c>
      <c r="Y627" s="379">
        <f t="shared" si="98"/>
        <v>0</v>
      </c>
      <c r="Z627" s="379">
        <f t="shared" si="98"/>
        <v>0</v>
      </c>
      <c r="AA627" s="1130">
        <f t="shared" si="98"/>
        <v>0</v>
      </c>
      <c r="AB627" s="379">
        <f t="shared" si="98"/>
        <v>0</v>
      </c>
      <c r="AC627" s="379">
        <f t="shared" si="98"/>
        <v>0</v>
      </c>
      <c r="AD627" s="1130">
        <f t="shared" si="98"/>
        <v>0</v>
      </c>
      <c r="AE627" s="379">
        <f t="shared" si="98"/>
        <v>0</v>
      </c>
      <c r="AF627" s="379">
        <f t="shared" si="98"/>
        <v>0</v>
      </c>
      <c r="AG627" s="1130">
        <f t="shared" si="98"/>
        <v>0</v>
      </c>
      <c r="AH627" s="379">
        <f t="shared" si="98"/>
        <v>0</v>
      </c>
      <c r="AI627" s="152"/>
      <c r="AJ627" s="152"/>
      <c r="AK627" s="152"/>
      <c r="AL627" s="152"/>
      <c r="AM627" s="152"/>
      <c r="AN627" s="82" t="s">
        <v>181</v>
      </c>
      <c r="AO627" s="82"/>
      <c r="AP627" s="82"/>
      <c r="AQ627" s="365"/>
      <c r="AR627" s="82"/>
      <c r="AS627" s="483"/>
      <c r="AT627" s="82"/>
      <c r="AU627" s="666"/>
      <c r="AV627" s="351">
        <f>AV629</f>
        <v>0</v>
      </c>
      <c r="AW627" s="444" t="s">
        <v>658</v>
      </c>
    </row>
    <row r="628" spans="1:49" ht="30" hidden="1" customHeight="1" outlineLevel="2" x14ac:dyDescent="0.25">
      <c r="A628" s="63" t="str">
        <f t="shared" si="77"/>
        <v>1.3.0.16.1.3</v>
      </c>
      <c r="B628" s="64">
        <v>1</v>
      </c>
      <c r="C628" s="64">
        <v>3</v>
      </c>
      <c r="D628" s="64">
        <v>0</v>
      </c>
      <c r="E628" s="64">
        <v>16</v>
      </c>
      <c r="F628" s="64">
        <v>1</v>
      </c>
      <c r="G628" s="64">
        <v>3</v>
      </c>
      <c r="H628" s="65"/>
      <c r="I628" s="65"/>
      <c r="J628" s="66"/>
      <c r="K628" s="65" t="s">
        <v>245</v>
      </c>
      <c r="L628" s="64" t="s">
        <v>246</v>
      </c>
      <c r="M628" s="64" t="s">
        <v>240</v>
      </c>
      <c r="N628" s="64" t="s">
        <v>247</v>
      </c>
      <c r="O628" s="64" t="s">
        <v>241</v>
      </c>
      <c r="P628" s="64"/>
      <c r="Q628" s="64"/>
      <c r="R628" s="124"/>
      <c r="S628" s="123" t="s">
        <v>248</v>
      </c>
      <c r="T628" s="194">
        <v>0</v>
      </c>
      <c r="U628" s="370">
        <v>0</v>
      </c>
      <c r="V628" s="370"/>
      <c r="W628" s="370">
        <v>0</v>
      </c>
      <c r="X628" s="1129">
        <v>0</v>
      </c>
      <c r="Y628" s="370">
        <v>0</v>
      </c>
      <c r="Z628" s="370">
        <v>0</v>
      </c>
      <c r="AA628" s="1129">
        <v>0</v>
      </c>
      <c r="AB628" s="370">
        <v>0</v>
      </c>
      <c r="AC628" s="370">
        <v>0</v>
      </c>
      <c r="AD628" s="1129">
        <v>0</v>
      </c>
      <c r="AE628" s="370">
        <v>0</v>
      </c>
      <c r="AF628" s="370">
        <v>0</v>
      </c>
      <c r="AG628" s="1129">
        <v>0</v>
      </c>
      <c r="AH628" s="505">
        <f>+U628+Y628+AB628+AE628</f>
        <v>0</v>
      </c>
      <c r="AI628" s="132"/>
      <c r="AJ628" s="75">
        <f t="shared" ref="AJ628:AJ632" si="99">+W629+Z629+AC629+AF629</f>
        <v>0</v>
      </c>
      <c r="AK628" s="75"/>
      <c r="AL628" s="75"/>
      <c r="AM628" s="75"/>
      <c r="AN628" s="171" t="s">
        <v>181</v>
      </c>
      <c r="AO628" s="171"/>
      <c r="AP628" s="171"/>
      <c r="AQ628" s="418"/>
      <c r="AS628" s="484"/>
      <c r="AV628" s="347"/>
      <c r="AW628" s="185"/>
    </row>
    <row r="629" spans="1:49" ht="30" hidden="1" customHeight="1" outlineLevel="2" x14ac:dyDescent="0.25">
      <c r="A629" s="63" t="str">
        <f t="shared" ref="A629:A885" si="100">CONCATENATE(B629,".",C629,".",D629,".",E629,".",F629,".",G629)</f>
        <v>1.3.0.16.2.3</v>
      </c>
      <c r="B629" s="64">
        <v>1</v>
      </c>
      <c r="C629" s="64">
        <v>3</v>
      </c>
      <c r="D629" s="64">
        <v>0</v>
      </c>
      <c r="E629" s="64">
        <v>16</v>
      </c>
      <c r="F629" s="64">
        <v>2</v>
      </c>
      <c r="G629" s="64">
        <v>3</v>
      </c>
      <c r="H629" s="65"/>
      <c r="I629" s="65"/>
      <c r="J629" s="65"/>
      <c r="K629" s="65" t="s">
        <v>251</v>
      </c>
      <c r="L629" s="64" t="s">
        <v>246</v>
      </c>
      <c r="M629" s="64" t="s">
        <v>240</v>
      </c>
      <c r="N629" s="64" t="s">
        <v>252</v>
      </c>
      <c r="O629" s="64" t="s">
        <v>241</v>
      </c>
      <c r="P629" s="69"/>
      <c r="Q629" s="69"/>
      <c r="R629" s="158"/>
      <c r="S629" s="123" t="s">
        <v>248</v>
      </c>
      <c r="T629" s="194"/>
      <c r="U629" s="370">
        <v>0</v>
      </c>
      <c r="V629" s="370"/>
      <c r="W629" s="370">
        <v>0</v>
      </c>
      <c r="X629" s="1129">
        <v>0</v>
      </c>
      <c r="Y629" s="370">
        <v>0</v>
      </c>
      <c r="Z629" s="370">
        <v>0</v>
      </c>
      <c r="AA629" s="1129">
        <v>0</v>
      </c>
      <c r="AB629" s="370">
        <v>0</v>
      </c>
      <c r="AC629" s="370">
        <v>0</v>
      </c>
      <c r="AD629" s="1129">
        <v>0</v>
      </c>
      <c r="AE629" s="370">
        <v>0</v>
      </c>
      <c r="AF629" s="370">
        <v>0</v>
      </c>
      <c r="AG629" s="1129">
        <v>0</v>
      </c>
      <c r="AH629" s="505">
        <f t="shared" ref="AH629:AH632" si="101">+U629+Y629+AB629+AE629</f>
        <v>0</v>
      </c>
      <c r="AI629" s="132"/>
      <c r="AJ629" s="75">
        <f t="shared" si="99"/>
        <v>0</v>
      </c>
      <c r="AK629" s="75"/>
      <c r="AL629" s="75"/>
      <c r="AM629" s="75"/>
      <c r="AN629" s="64" t="s">
        <v>181</v>
      </c>
      <c r="AO629" s="64"/>
      <c r="AP629" s="64"/>
      <c r="AQ629" s="189"/>
      <c r="AR629" s="64"/>
      <c r="AS629" s="476"/>
      <c r="AT629" s="64"/>
      <c r="AU629" s="646"/>
      <c r="AV629" s="347"/>
      <c r="AW629" s="335"/>
    </row>
    <row r="630" spans="1:49" ht="30" hidden="1" customHeight="1" outlineLevel="2" x14ac:dyDescent="0.25">
      <c r="A630" s="63" t="str">
        <f t="shared" si="100"/>
        <v>1.3.0.16.3.3</v>
      </c>
      <c r="B630" s="64">
        <v>1</v>
      </c>
      <c r="C630" s="64">
        <v>3</v>
      </c>
      <c r="D630" s="64">
        <v>0</v>
      </c>
      <c r="E630" s="64">
        <v>16</v>
      </c>
      <c r="F630" s="64">
        <v>3</v>
      </c>
      <c r="G630" s="64">
        <v>3</v>
      </c>
      <c r="H630" s="65"/>
      <c r="I630" s="65"/>
      <c r="J630" s="66"/>
      <c r="K630" s="65" t="s">
        <v>255</v>
      </c>
      <c r="L630" s="64" t="s">
        <v>246</v>
      </c>
      <c r="M630" s="64" t="s">
        <v>256</v>
      </c>
      <c r="N630" s="64" t="s">
        <v>257</v>
      </c>
      <c r="O630" s="64" t="s">
        <v>241</v>
      </c>
      <c r="P630" s="69"/>
      <c r="Q630" s="170"/>
      <c r="R630" s="124"/>
      <c r="S630" s="123" t="s">
        <v>258</v>
      </c>
      <c r="T630" s="194"/>
      <c r="U630" s="370">
        <v>0</v>
      </c>
      <c r="V630" s="370"/>
      <c r="W630" s="370">
        <v>0</v>
      </c>
      <c r="X630" s="1129">
        <v>0</v>
      </c>
      <c r="Y630" s="370">
        <v>0</v>
      </c>
      <c r="Z630" s="370">
        <v>0</v>
      </c>
      <c r="AA630" s="1129">
        <v>0</v>
      </c>
      <c r="AB630" s="370">
        <v>0</v>
      </c>
      <c r="AC630" s="370">
        <v>0</v>
      </c>
      <c r="AD630" s="1129">
        <v>0</v>
      </c>
      <c r="AE630" s="370">
        <v>0</v>
      </c>
      <c r="AF630" s="370">
        <v>0</v>
      </c>
      <c r="AG630" s="1129">
        <v>0</v>
      </c>
      <c r="AH630" s="505">
        <f t="shared" si="101"/>
        <v>0</v>
      </c>
      <c r="AI630" s="132"/>
      <c r="AJ630" s="75">
        <f t="shared" si="99"/>
        <v>0</v>
      </c>
      <c r="AK630" s="75"/>
      <c r="AL630" s="75"/>
      <c r="AM630" s="75"/>
      <c r="AN630" s="171" t="s">
        <v>181</v>
      </c>
      <c r="AO630" s="533" t="s">
        <v>1839</v>
      </c>
      <c r="AP630" s="533" t="s">
        <v>649</v>
      </c>
      <c r="AQ630" s="533" t="s">
        <v>649</v>
      </c>
      <c r="AR630" s="554">
        <v>44562</v>
      </c>
      <c r="AS630" s="554">
        <v>45291</v>
      </c>
      <c r="AT630" s="533" t="s">
        <v>1814</v>
      </c>
      <c r="AV630" s="347"/>
      <c r="AW630" s="335" t="s">
        <v>664</v>
      </c>
    </row>
    <row r="631" spans="1:49" ht="30" hidden="1" customHeight="1" outlineLevel="2" x14ac:dyDescent="0.25">
      <c r="A631" s="63" t="str">
        <f t="shared" si="100"/>
        <v>1.3.0.16.4.3</v>
      </c>
      <c r="B631" s="64">
        <v>1</v>
      </c>
      <c r="C631" s="64">
        <v>3</v>
      </c>
      <c r="D631" s="64">
        <v>0</v>
      </c>
      <c r="E631" s="64">
        <v>16</v>
      </c>
      <c r="F631" s="64">
        <v>4</v>
      </c>
      <c r="G631" s="64">
        <v>3</v>
      </c>
      <c r="H631" s="65"/>
      <c r="I631" s="65"/>
      <c r="J631" s="66"/>
      <c r="K631" s="65" t="s">
        <v>263</v>
      </c>
      <c r="L631" s="64" t="s">
        <v>264</v>
      </c>
      <c r="M631" s="64" t="s">
        <v>144</v>
      </c>
      <c r="N631" s="64" t="s">
        <v>665</v>
      </c>
      <c r="O631" s="64" t="s">
        <v>444</v>
      </c>
      <c r="P631" s="69"/>
      <c r="Q631" s="170"/>
      <c r="R631" s="124"/>
      <c r="S631" s="123" t="s">
        <v>258</v>
      </c>
      <c r="T631" s="194"/>
      <c r="U631" s="370">
        <v>0</v>
      </c>
      <c r="V631" s="370"/>
      <c r="W631" s="370">
        <v>0</v>
      </c>
      <c r="X631" s="1129">
        <v>0</v>
      </c>
      <c r="Y631" s="370">
        <v>0</v>
      </c>
      <c r="Z631" s="370">
        <v>0</v>
      </c>
      <c r="AA631" s="1129">
        <v>0</v>
      </c>
      <c r="AB631" s="370">
        <v>0</v>
      </c>
      <c r="AC631" s="370">
        <v>0</v>
      </c>
      <c r="AD631" s="1129">
        <v>0</v>
      </c>
      <c r="AE631" s="370">
        <v>0</v>
      </c>
      <c r="AF631" s="370">
        <v>0</v>
      </c>
      <c r="AG631" s="1129">
        <v>0</v>
      </c>
      <c r="AH631" s="505">
        <f t="shared" si="101"/>
        <v>0</v>
      </c>
      <c r="AI631" s="132"/>
      <c r="AJ631" s="75">
        <f t="shared" si="99"/>
        <v>0</v>
      </c>
      <c r="AK631" s="75"/>
      <c r="AL631" s="75"/>
      <c r="AM631" s="75"/>
      <c r="AN631" s="64" t="s">
        <v>181</v>
      </c>
      <c r="AO631" s="64"/>
      <c r="AP631" s="64"/>
      <c r="AQ631" s="189"/>
      <c r="AR631" s="64"/>
      <c r="AS631" s="476"/>
      <c r="AT631" s="64"/>
      <c r="AU631" s="646"/>
      <c r="AV631" s="347"/>
      <c r="AW631" s="185"/>
    </row>
    <row r="632" spans="1:49" ht="30" hidden="1" customHeight="1" outlineLevel="2" x14ac:dyDescent="0.25">
      <c r="A632" s="63" t="str">
        <f t="shared" si="100"/>
        <v>1.3.0.16.5.3</v>
      </c>
      <c r="B632" s="64">
        <v>1</v>
      </c>
      <c r="C632" s="64">
        <v>3</v>
      </c>
      <c r="D632" s="64">
        <v>0</v>
      </c>
      <c r="E632" s="64">
        <v>16</v>
      </c>
      <c r="F632" s="64">
        <v>5</v>
      </c>
      <c r="G632" s="64">
        <v>3</v>
      </c>
      <c r="H632" s="65"/>
      <c r="I632" s="65"/>
      <c r="J632" s="66"/>
      <c r="K632" s="137" t="s">
        <v>659</v>
      </c>
      <c r="L632" s="64"/>
      <c r="M632" s="64"/>
      <c r="N632" s="64"/>
      <c r="O632" s="64"/>
      <c r="P632" s="69"/>
      <c r="Q632" s="170"/>
      <c r="R632" s="124"/>
      <c r="S632" s="123"/>
      <c r="T632" s="194"/>
      <c r="U632" s="370">
        <v>0</v>
      </c>
      <c r="V632" s="370"/>
      <c r="W632" s="370">
        <v>0</v>
      </c>
      <c r="X632" s="1129">
        <v>0</v>
      </c>
      <c r="Y632" s="370">
        <v>0</v>
      </c>
      <c r="Z632" s="370">
        <v>0</v>
      </c>
      <c r="AA632" s="1129">
        <v>0</v>
      </c>
      <c r="AB632" s="370">
        <v>0</v>
      </c>
      <c r="AC632" s="370">
        <v>0</v>
      </c>
      <c r="AD632" s="1129">
        <v>0</v>
      </c>
      <c r="AE632" s="370">
        <v>0</v>
      </c>
      <c r="AF632" s="370">
        <v>0</v>
      </c>
      <c r="AG632" s="1129">
        <v>0</v>
      </c>
      <c r="AH632" s="505">
        <f t="shared" si="101"/>
        <v>0</v>
      </c>
      <c r="AI632" s="132"/>
      <c r="AJ632" s="75">
        <f t="shared" si="99"/>
        <v>0</v>
      </c>
      <c r="AK632" s="75"/>
      <c r="AL632" s="75"/>
      <c r="AM632" s="75"/>
      <c r="AN632" s="64" t="s">
        <v>181</v>
      </c>
      <c r="AO632" s="64"/>
      <c r="AP632" s="64"/>
      <c r="AQ632" s="189"/>
      <c r="AR632" s="64"/>
      <c r="AS632" s="476"/>
      <c r="AT632" s="64"/>
      <c r="AU632" s="646"/>
      <c r="AV632" s="347"/>
      <c r="AW632" s="185"/>
    </row>
    <row r="633" spans="1:49" s="153" customFormat="1" ht="23.1" customHeight="1" outlineLevel="1" collapsed="1" x14ac:dyDescent="0.25">
      <c r="A633" s="148" t="str">
        <f t="shared" si="100"/>
        <v>1.3.0.17.0.0</v>
      </c>
      <c r="B633" s="82">
        <v>1</v>
      </c>
      <c r="C633" s="82">
        <v>3</v>
      </c>
      <c r="D633" s="82">
        <v>0</v>
      </c>
      <c r="E633" s="82">
        <v>17</v>
      </c>
      <c r="F633" s="82">
        <v>0</v>
      </c>
      <c r="G633" s="82">
        <v>0</v>
      </c>
      <c r="H633" s="149"/>
      <c r="I633" s="149"/>
      <c r="J633" s="1260" t="s">
        <v>666</v>
      </c>
      <c r="K633" s="1260"/>
      <c r="L633" s="82" t="s">
        <v>236</v>
      </c>
      <c r="M633" s="82" t="s">
        <v>667</v>
      </c>
      <c r="N633" s="82" t="s">
        <v>226</v>
      </c>
      <c r="O633" s="82" t="s">
        <v>668</v>
      </c>
      <c r="P633" s="82"/>
      <c r="Q633" s="82"/>
      <c r="R633" s="150">
        <v>0</v>
      </c>
      <c r="S633" s="151" t="s">
        <v>242</v>
      </c>
      <c r="T633" s="193">
        <f>T637+T636+T635+T634</f>
        <v>0</v>
      </c>
      <c r="U633" s="379">
        <f>SUM(U634:U637)</f>
        <v>0</v>
      </c>
      <c r="V633" s="379"/>
      <c r="W633" s="379">
        <f t="shared" ref="W633:AH633" si="102">SUM(W634:W637)</f>
        <v>0</v>
      </c>
      <c r="X633" s="1130">
        <f t="shared" si="102"/>
        <v>0</v>
      </c>
      <c r="Y633" s="379">
        <f t="shared" si="102"/>
        <v>0</v>
      </c>
      <c r="Z633" s="379">
        <f t="shared" si="102"/>
        <v>0</v>
      </c>
      <c r="AA633" s="1130">
        <f t="shared" si="102"/>
        <v>0</v>
      </c>
      <c r="AB633" s="379">
        <f t="shared" si="102"/>
        <v>0</v>
      </c>
      <c r="AC633" s="379">
        <f t="shared" si="102"/>
        <v>0</v>
      </c>
      <c r="AD633" s="1130">
        <f t="shared" si="102"/>
        <v>0</v>
      </c>
      <c r="AE633" s="379">
        <f t="shared" si="102"/>
        <v>0</v>
      </c>
      <c r="AF633" s="379">
        <f t="shared" si="102"/>
        <v>0</v>
      </c>
      <c r="AG633" s="1130">
        <f t="shared" si="102"/>
        <v>0</v>
      </c>
      <c r="AH633" s="379">
        <f t="shared" si="102"/>
        <v>0</v>
      </c>
      <c r="AI633" s="152"/>
      <c r="AJ633" s="152"/>
      <c r="AK633" s="152"/>
      <c r="AL633" s="152"/>
      <c r="AM633" s="152"/>
      <c r="AN633" s="82" t="s">
        <v>181</v>
      </c>
      <c r="AO633" s="82"/>
      <c r="AP633" s="82"/>
      <c r="AQ633" s="365"/>
      <c r="AR633" s="82"/>
      <c r="AS633" s="483"/>
      <c r="AT633" s="82"/>
      <c r="AU633" s="666"/>
      <c r="AV633" s="357">
        <v>0</v>
      </c>
      <c r="AW633" s="444"/>
    </row>
    <row r="634" spans="1:49" ht="32.450000000000003" hidden="1" customHeight="1" outlineLevel="2" x14ac:dyDescent="0.25">
      <c r="A634" s="63" t="str">
        <f t="shared" si="100"/>
        <v>1.3.0.17.1.3</v>
      </c>
      <c r="B634" s="64">
        <v>1</v>
      </c>
      <c r="C634" s="64">
        <v>3</v>
      </c>
      <c r="D634" s="64">
        <v>0</v>
      </c>
      <c r="E634" s="64">
        <v>17</v>
      </c>
      <c r="F634" s="64">
        <v>1</v>
      </c>
      <c r="G634" s="64">
        <v>3</v>
      </c>
      <c r="H634" s="65"/>
      <c r="I634" s="65"/>
      <c r="J634" s="66"/>
      <c r="K634" s="65" t="s">
        <v>245</v>
      </c>
      <c r="L634" s="64" t="s">
        <v>246</v>
      </c>
      <c r="M634" s="64" t="s">
        <v>240</v>
      </c>
      <c r="N634" s="64" t="s">
        <v>247</v>
      </c>
      <c r="O634" s="64" t="s">
        <v>241</v>
      </c>
      <c r="P634" s="64"/>
      <c r="Q634" s="64"/>
      <c r="R634" s="124"/>
      <c r="S634" s="123" t="s">
        <v>248</v>
      </c>
      <c r="T634" s="194">
        <v>0</v>
      </c>
      <c r="U634" s="370">
        <v>0</v>
      </c>
      <c r="V634" s="370"/>
      <c r="W634" s="370">
        <v>0</v>
      </c>
      <c r="X634" s="1129">
        <v>0</v>
      </c>
      <c r="Y634" s="370">
        <v>0</v>
      </c>
      <c r="Z634" s="370">
        <v>0</v>
      </c>
      <c r="AA634" s="1129">
        <v>0</v>
      </c>
      <c r="AB634" s="370">
        <v>0</v>
      </c>
      <c r="AC634" s="370">
        <v>0</v>
      </c>
      <c r="AD634" s="1129">
        <v>0</v>
      </c>
      <c r="AE634" s="370">
        <v>0</v>
      </c>
      <c r="AF634" s="370">
        <v>0</v>
      </c>
      <c r="AG634" s="1129">
        <v>0</v>
      </c>
      <c r="AH634" s="505">
        <f>+U634+Y634+AB634+AE634</f>
        <v>0</v>
      </c>
      <c r="AI634" s="132"/>
      <c r="AJ634" s="75">
        <f t="shared" ref="AJ634:AJ637" si="103">+W635+Z635+AC635+AF635</f>
        <v>0</v>
      </c>
      <c r="AK634" s="75"/>
      <c r="AL634" s="75"/>
      <c r="AM634" s="75"/>
      <c r="AN634" s="171" t="s">
        <v>181</v>
      </c>
      <c r="AO634" s="171"/>
      <c r="AP634" s="171"/>
      <c r="AQ634" s="418"/>
      <c r="AS634" s="484"/>
      <c r="AV634" s="347"/>
      <c r="AW634" s="185"/>
    </row>
    <row r="635" spans="1:49" ht="32.450000000000003" hidden="1" customHeight="1" outlineLevel="2" x14ac:dyDescent="0.25">
      <c r="A635" s="63" t="str">
        <f t="shared" si="100"/>
        <v>1.3.0.17.2.3</v>
      </c>
      <c r="B635" s="64">
        <v>1</v>
      </c>
      <c r="C635" s="64">
        <v>3</v>
      </c>
      <c r="D635" s="64">
        <v>0</v>
      </c>
      <c r="E635" s="64">
        <v>17</v>
      </c>
      <c r="F635" s="64">
        <v>2</v>
      </c>
      <c r="G635" s="64">
        <v>3</v>
      </c>
      <c r="H635" s="65"/>
      <c r="I635" s="65"/>
      <c r="J635" s="65"/>
      <c r="K635" s="65" t="s">
        <v>251</v>
      </c>
      <c r="L635" s="64" t="s">
        <v>246</v>
      </c>
      <c r="M635" s="64" t="s">
        <v>240</v>
      </c>
      <c r="N635" s="64" t="s">
        <v>252</v>
      </c>
      <c r="O635" s="64" t="s">
        <v>241</v>
      </c>
      <c r="P635" s="69"/>
      <c r="Q635" s="69"/>
      <c r="R635" s="158">
        <v>0</v>
      </c>
      <c r="S635" s="123" t="s">
        <v>248</v>
      </c>
      <c r="T635" s="194"/>
      <c r="U635" s="370">
        <v>0</v>
      </c>
      <c r="V635" s="370"/>
      <c r="W635" s="370">
        <v>0</v>
      </c>
      <c r="X635" s="1129">
        <v>0</v>
      </c>
      <c r="Y635" s="370">
        <v>0</v>
      </c>
      <c r="Z635" s="370">
        <v>0</v>
      </c>
      <c r="AA635" s="1129">
        <v>0</v>
      </c>
      <c r="AB635" s="370">
        <v>0</v>
      </c>
      <c r="AC635" s="370">
        <v>0</v>
      </c>
      <c r="AD635" s="1129">
        <v>0</v>
      </c>
      <c r="AE635" s="370">
        <v>0</v>
      </c>
      <c r="AF635" s="370">
        <v>0</v>
      </c>
      <c r="AG635" s="1129">
        <v>0</v>
      </c>
      <c r="AH635" s="505">
        <f t="shared" ref="AH635:AH637" si="104">+U635+Y635+AB635+AE635</f>
        <v>0</v>
      </c>
      <c r="AI635" s="132"/>
      <c r="AJ635" s="75">
        <f t="shared" si="103"/>
        <v>0</v>
      </c>
      <c r="AK635" s="75"/>
      <c r="AL635" s="75"/>
      <c r="AM635" s="75"/>
      <c r="AN635" s="171" t="s">
        <v>181</v>
      </c>
      <c r="AO635" s="171"/>
      <c r="AP635" s="171"/>
      <c r="AQ635" s="418"/>
      <c r="AS635" s="484"/>
      <c r="AV635" s="347">
        <v>0</v>
      </c>
      <c r="AW635" s="185"/>
    </row>
    <row r="636" spans="1:49" ht="32.450000000000003" hidden="1" customHeight="1" outlineLevel="2" x14ac:dyDescent="0.25">
      <c r="A636" s="63" t="str">
        <f t="shared" si="100"/>
        <v>1.3.0.17.3.3</v>
      </c>
      <c r="B636" s="64">
        <v>1</v>
      </c>
      <c r="C636" s="64">
        <v>3</v>
      </c>
      <c r="D636" s="64">
        <v>0</v>
      </c>
      <c r="E636" s="64">
        <v>17</v>
      </c>
      <c r="F636" s="64">
        <v>3</v>
      </c>
      <c r="G636" s="64">
        <v>3</v>
      </c>
      <c r="H636" s="65"/>
      <c r="I636" s="65"/>
      <c r="J636" s="66"/>
      <c r="K636" s="65" t="s">
        <v>255</v>
      </c>
      <c r="L636" s="64" t="s">
        <v>246</v>
      </c>
      <c r="M636" s="64" t="s">
        <v>256</v>
      </c>
      <c r="N636" s="64" t="s">
        <v>257</v>
      </c>
      <c r="O636" s="64" t="s">
        <v>241</v>
      </c>
      <c r="P636" s="69"/>
      <c r="Q636" s="170"/>
      <c r="R636" s="124"/>
      <c r="S636" s="123" t="s">
        <v>258</v>
      </c>
      <c r="T636" s="194"/>
      <c r="U636" s="370">
        <v>0</v>
      </c>
      <c r="V636" s="370"/>
      <c r="W636" s="370">
        <v>0</v>
      </c>
      <c r="X636" s="1129">
        <v>0</v>
      </c>
      <c r="Y636" s="370">
        <v>0</v>
      </c>
      <c r="Z636" s="370">
        <v>0</v>
      </c>
      <c r="AA636" s="1129">
        <v>0</v>
      </c>
      <c r="AB636" s="370">
        <v>0</v>
      </c>
      <c r="AC636" s="370">
        <v>0</v>
      </c>
      <c r="AD636" s="1129">
        <v>0</v>
      </c>
      <c r="AE636" s="370">
        <v>0</v>
      </c>
      <c r="AF636" s="370">
        <v>0</v>
      </c>
      <c r="AG636" s="1129">
        <v>0</v>
      </c>
      <c r="AH636" s="505">
        <f t="shared" si="104"/>
        <v>0</v>
      </c>
      <c r="AI636" s="132"/>
      <c r="AJ636" s="75">
        <f t="shared" si="103"/>
        <v>0</v>
      </c>
      <c r="AK636" s="75"/>
      <c r="AL636" s="75"/>
      <c r="AM636" s="75"/>
      <c r="AN636" s="171" t="s">
        <v>181</v>
      </c>
      <c r="AO636" s="533" t="s">
        <v>1839</v>
      </c>
      <c r="AP636" s="533" t="s">
        <v>649</v>
      </c>
      <c r="AQ636" s="533" t="s">
        <v>649</v>
      </c>
      <c r="AR636" s="554">
        <v>44562</v>
      </c>
      <c r="AS636" s="554">
        <v>45291</v>
      </c>
      <c r="AT636" s="533" t="s">
        <v>1814</v>
      </c>
      <c r="AV636" s="347"/>
      <c r="AW636" s="185"/>
    </row>
    <row r="637" spans="1:49" ht="32.450000000000003" hidden="1" customHeight="1" outlineLevel="2" x14ac:dyDescent="0.25">
      <c r="A637" s="63" t="str">
        <f t="shared" si="100"/>
        <v>1.3.0.17.4.3</v>
      </c>
      <c r="B637" s="64">
        <v>1</v>
      </c>
      <c r="C637" s="64">
        <v>3</v>
      </c>
      <c r="D637" s="64">
        <v>0</v>
      </c>
      <c r="E637" s="64">
        <v>17</v>
      </c>
      <c r="F637" s="64">
        <v>4</v>
      </c>
      <c r="G637" s="64">
        <v>3</v>
      </c>
      <c r="H637" s="65"/>
      <c r="I637" s="65"/>
      <c r="J637" s="66"/>
      <c r="K637" s="65" t="s">
        <v>263</v>
      </c>
      <c r="L637" s="64" t="s">
        <v>264</v>
      </c>
      <c r="M637" s="64" t="s">
        <v>144</v>
      </c>
      <c r="N637" s="64" t="s">
        <v>265</v>
      </c>
      <c r="O637" s="64" t="s">
        <v>266</v>
      </c>
      <c r="P637" s="69"/>
      <c r="Q637" s="197"/>
      <c r="R637" s="124"/>
      <c r="S637" s="123" t="s">
        <v>258</v>
      </c>
      <c r="T637" s="194"/>
      <c r="U637" s="370">
        <v>0</v>
      </c>
      <c r="V637" s="370"/>
      <c r="W637" s="370">
        <v>0</v>
      </c>
      <c r="X637" s="1129">
        <v>0</v>
      </c>
      <c r="Y637" s="370">
        <v>0</v>
      </c>
      <c r="Z637" s="370">
        <v>0</v>
      </c>
      <c r="AA637" s="1129">
        <v>0</v>
      </c>
      <c r="AB637" s="370">
        <v>0</v>
      </c>
      <c r="AC637" s="370">
        <v>0</v>
      </c>
      <c r="AD637" s="1129">
        <v>0</v>
      </c>
      <c r="AE637" s="370">
        <v>0</v>
      </c>
      <c r="AF637" s="370">
        <v>0</v>
      </c>
      <c r="AG637" s="1129">
        <v>0</v>
      </c>
      <c r="AH637" s="505">
        <f t="shared" si="104"/>
        <v>0</v>
      </c>
      <c r="AI637" s="132"/>
      <c r="AJ637" s="75">
        <f t="shared" si="103"/>
        <v>0</v>
      </c>
      <c r="AK637" s="75"/>
      <c r="AL637" s="75"/>
      <c r="AM637" s="75"/>
      <c r="AN637" s="64" t="s">
        <v>181</v>
      </c>
      <c r="AO637" s="64"/>
      <c r="AP637" s="64"/>
      <c r="AQ637" s="189"/>
      <c r="AR637" s="64"/>
      <c r="AS637" s="476"/>
      <c r="AT637" s="64"/>
      <c r="AU637" s="646"/>
      <c r="AV637" s="347"/>
      <c r="AW637" s="185"/>
    </row>
    <row r="638" spans="1:49" s="153" customFormat="1" ht="32.1" customHeight="1" outlineLevel="1" collapsed="1" x14ac:dyDescent="0.25">
      <c r="A638" s="148" t="str">
        <f t="shared" si="100"/>
        <v>1.3.0.18.0.0</v>
      </c>
      <c r="B638" s="82">
        <v>1</v>
      </c>
      <c r="C638" s="82">
        <v>3</v>
      </c>
      <c r="D638" s="82">
        <v>0</v>
      </c>
      <c r="E638" s="82">
        <v>18</v>
      </c>
      <c r="F638" s="82">
        <v>0</v>
      </c>
      <c r="G638" s="82">
        <v>0</v>
      </c>
      <c r="H638" s="149"/>
      <c r="I638" s="149"/>
      <c r="J638" s="1260" t="s">
        <v>669</v>
      </c>
      <c r="K638" s="1260"/>
      <c r="L638" s="82" t="s">
        <v>236</v>
      </c>
      <c r="M638" s="82" t="s">
        <v>667</v>
      </c>
      <c r="N638" s="82" t="s">
        <v>226</v>
      </c>
      <c r="O638" s="82" t="s">
        <v>668</v>
      </c>
      <c r="P638" s="82"/>
      <c r="Q638" s="82"/>
      <c r="R638" s="150">
        <f>R642+R641+R640+R639</f>
        <v>0</v>
      </c>
      <c r="S638" s="151" t="s">
        <v>242</v>
      </c>
      <c r="T638" s="193">
        <f>T642+T641+T640+T639</f>
        <v>0</v>
      </c>
      <c r="U638" s="379">
        <f>SUM(U639:U642)</f>
        <v>0</v>
      </c>
      <c r="V638" s="379"/>
      <c r="W638" s="379">
        <f t="shared" ref="W638:AH638" si="105">SUM(W639:W642)</f>
        <v>0</v>
      </c>
      <c r="X638" s="1130">
        <f t="shared" si="105"/>
        <v>0</v>
      </c>
      <c r="Y638" s="379">
        <f t="shared" si="105"/>
        <v>0</v>
      </c>
      <c r="Z638" s="379">
        <f t="shared" si="105"/>
        <v>0</v>
      </c>
      <c r="AA638" s="1130">
        <f t="shared" si="105"/>
        <v>0</v>
      </c>
      <c r="AB638" s="379">
        <f t="shared" si="105"/>
        <v>0</v>
      </c>
      <c r="AC638" s="379">
        <f t="shared" si="105"/>
        <v>0</v>
      </c>
      <c r="AD638" s="1130">
        <f t="shared" si="105"/>
        <v>0</v>
      </c>
      <c r="AE638" s="379">
        <f t="shared" si="105"/>
        <v>0</v>
      </c>
      <c r="AF638" s="379">
        <f t="shared" si="105"/>
        <v>0</v>
      </c>
      <c r="AG638" s="1130">
        <f t="shared" si="105"/>
        <v>0</v>
      </c>
      <c r="AH638" s="379">
        <f t="shared" si="105"/>
        <v>0</v>
      </c>
      <c r="AI638" s="152"/>
      <c r="AJ638" s="152"/>
      <c r="AK638" s="152"/>
      <c r="AL638" s="152"/>
      <c r="AM638" s="152"/>
      <c r="AN638" s="82" t="s">
        <v>181</v>
      </c>
      <c r="AO638" s="82"/>
      <c r="AP638" s="82"/>
      <c r="AQ638" s="365"/>
      <c r="AR638" s="82"/>
      <c r="AS638" s="483"/>
      <c r="AT638" s="82"/>
      <c r="AU638" s="666"/>
      <c r="AV638" s="357">
        <f>AV640</f>
        <v>0</v>
      </c>
      <c r="AW638" s="444"/>
    </row>
    <row r="639" spans="1:49" ht="21" hidden="1" customHeight="1" outlineLevel="4" x14ac:dyDescent="0.25">
      <c r="A639" s="63" t="str">
        <f t="shared" si="100"/>
        <v>1.3.0.18.1.9</v>
      </c>
      <c r="B639" s="64">
        <v>1</v>
      </c>
      <c r="C639" s="64">
        <v>3</v>
      </c>
      <c r="D639" s="64">
        <v>0</v>
      </c>
      <c r="E639" s="64">
        <v>18</v>
      </c>
      <c r="F639" s="64">
        <v>1</v>
      </c>
      <c r="G639" s="64">
        <v>9</v>
      </c>
      <c r="H639" s="65"/>
      <c r="I639" s="65"/>
      <c r="J639" s="66"/>
      <c r="K639" s="65" t="s">
        <v>245</v>
      </c>
      <c r="L639" s="64" t="s">
        <v>246</v>
      </c>
      <c r="M639" s="64" t="s">
        <v>240</v>
      </c>
      <c r="N639" s="64" t="s">
        <v>247</v>
      </c>
      <c r="O639" s="64" t="s">
        <v>241</v>
      </c>
      <c r="P639" s="64"/>
      <c r="Q639" s="64"/>
      <c r="R639" s="124"/>
      <c r="S639" s="123" t="s">
        <v>248</v>
      </c>
      <c r="T639" s="194">
        <v>0</v>
      </c>
      <c r="U639" s="370">
        <v>0</v>
      </c>
      <c r="V639" s="370"/>
      <c r="W639" s="370">
        <v>0</v>
      </c>
      <c r="X639" s="1129">
        <v>0</v>
      </c>
      <c r="Y639" s="370">
        <v>0</v>
      </c>
      <c r="Z639" s="370">
        <v>0</v>
      </c>
      <c r="AA639" s="1129">
        <v>0</v>
      </c>
      <c r="AB639" s="370">
        <v>0</v>
      </c>
      <c r="AC639" s="370">
        <v>0</v>
      </c>
      <c r="AD639" s="1129">
        <v>0</v>
      </c>
      <c r="AE639" s="370">
        <v>0</v>
      </c>
      <c r="AF639" s="370">
        <v>0</v>
      </c>
      <c r="AG639" s="1129">
        <v>0</v>
      </c>
      <c r="AH639" s="505">
        <f>+U639+Y639+AB639+AE639</f>
        <v>0</v>
      </c>
      <c r="AI639" s="132"/>
      <c r="AJ639" s="75">
        <f t="shared" ref="AJ639:AJ642" si="106">+W640+Z640+AC640+AF640</f>
        <v>0</v>
      </c>
      <c r="AK639" s="75"/>
      <c r="AL639" s="75"/>
      <c r="AM639" s="75"/>
      <c r="AN639" s="64" t="s">
        <v>181</v>
      </c>
      <c r="AO639" s="64"/>
      <c r="AP639" s="64"/>
      <c r="AQ639" s="189"/>
      <c r="AR639" s="64"/>
      <c r="AS639" s="476"/>
      <c r="AT639" s="64"/>
      <c r="AU639" s="646"/>
      <c r="AV639" s="347"/>
      <c r="AW639" s="185"/>
    </row>
    <row r="640" spans="1:49" ht="21" hidden="1" customHeight="1" outlineLevel="4" x14ac:dyDescent="0.25">
      <c r="A640" s="63" t="str">
        <f t="shared" si="100"/>
        <v>1.3.0.18.2.9</v>
      </c>
      <c r="B640" s="64">
        <v>1</v>
      </c>
      <c r="C640" s="64">
        <v>3</v>
      </c>
      <c r="D640" s="64">
        <v>0</v>
      </c>
      <c r="E640" s="64">
        <v>18</v>
      </c>
      <c r="F640" s="64">
        <v>2</v>
      </c>
      <c r="G640" s="64">
        <v>9</v>
      </c>
      <c r="H640" s="65"/>
      <c r="I640" s="65"/>
      <c r="J640" s="65"/>
      <c r="K640" s="65" t="s">
        <v>251</v>
      </c>
      <c r="L640" s="64" t="s">
        <v>246</v>
      </c>
      <c r="M640" s="64" t="s">
        <v>240</v>
      </c>
      <c r="N640" s="64" t="s">
        <v>252</v>
      </c>
      <c r="O640" s="64" t="s">
        <v>241</v>
      </c>
      <c r="P640" s="69"/>
      <c r="Q640" s="69"/>
      <c r="R640" s="158">
        <f>+SUM(T640+X640+AA640+AD640)</f>
        <v>0</v>
      </c>
      <c r="S640" s="123" t="s">
        <v>248</v>
      </c>
      <c r="T640" s="194">
        <v>0</v>
      </c>
      <c r="U640" s="370">
        <v>0</v>
      </c>
      <c r="V640" s="370"/>
      <c r="W640" s="370">
        <v>0</v>
      </c>
      <c r="X640" s="1129">
        <v>0</v>
      </c>
      <c r="Y640" s="370">
        <v>0</v>
      </c>
      <c r="Z640" s="370">
        <v>0</v>
      </c>
      <c r="AA640" s="1129">
        <v>0</v>
      </c>
      <c r="AB640" s="370">
        <v>0</v>
      </c>
      <c r="AC640" s="370">
        <v>0</v>
      </c>
      <c r="AD640" s="1129">
        <v>0</v>
      </c>
      <c r="AE640" s="370">
        <v>0</v>
      </c>
      <c r="AF640" s="370">
        <v>0</v>
      </c>
      <c r="AG640" s="1129">
        <v>0</v>
      </c>
      <c r="AH640" s="505">
        <f t="shared" ref="AH640:AH642" si="107">+U640+Y640+AB640+AE640</f>
        <v>0</v>
      </c>
      <c r="AI640" s="132"/>
      <c r="AJ640" s="75">
        <f t="shared" si="106"/>
        <v>0</v>
      </c>
      <c r="AK640" s="75"/>
      <c r="AL640" s="75"/>
      <c r="AM640" s="75"/>
      <c r="AN640" s="64" t="s">
        <v>181</v>
      </c>
      <c r="AO640" s="64"/>
      <c r="AP640" s="64"/>
      <c r="AQ640" s="189"/>
      <c r="AR640" s="64"/>
      <c r="AS640" s="476"/>
      <c r="AT640" s="64"/>
      <c r="AU640" s="646"/>
      <c r="AV640" s="347"/>
      <c r="AW640" s="185"/>
    </row>
    <row r="641" spans="1:49" ht="21" hidden="1" customHeight="1" outlineLevel="4" x14ac:dyDescent="0.25">
      <c r="A641" s="63" t="str">
        <f t="shared" si="100"/>
        <v>1.3.0.18.3.9</v>
      </c>
      <c r="B641" s="64">
        <v>1</v>
      </c>
      <c r="C641" s="64">
        <v>3</v>
      </c>
      <c r="D641" s="64">
        <v>0</v>
      </c>
      <c r="E641" s="64">
        <v>18</v>
      </c>
      <c r="F641" s="64">
        <v>3</v>
      </c>
      <c r="G641" s="64">
        <v>9</v>
      </c>
      <c r="H641" s="65"/>
      <c r="I641" s="65"/>
      <c r="J641" s="66"/>
      <c r="K641" s="65" t="s">
        <v>255</v>
      </c>
      <c r="L641" s="64" t="s">
        <v>246</v>
      </c>
      <c r="M641" s="64" t="s">
        <v>256</v>
      </c>
      <c r="N641" s="64" t="s">
        <v>257</v>
      </c>
      <c r="O641" s="64" t="s">
        <v>241</v>
      </c>
      <c r="P641" s="69"/>
      <c r="Q641" s="170"/>
      <c r="R641" s="124"/>
      <c r="S641" s="123" t="s">
        <v>258</v>
      </c>
      <c r="T641" s="194"/>
      <c r="U641" s="370">
        <v>0</v>
      </c>
      <c r="V641" s="370"/>
      <c r="W641" s="370">
        <v>0</v>
      </c>
      <c r="X641" s="1129">
        <v>0</v>
      </c>
      <c r="Y641" s="370">
        <v>0</v>
      </c>
      <c r="Z641" s="370">
        <v>0</v>
      </c>
      <c r="AA641" s="1129">
        <v>0</v>
      </c>
      <c r="AB641" s="370">
        <v>0</v>
      </c>
      <c r="AC641" s="370">
        <v>0</v>
      </c>
      <c r="AD641" s="1129">
        <v>0</v>
      </c>
      <c r="AE641" s="370">
        <v>0</v>
      </c>
      <c r="AF641" s="370">
        <v>0</v>
      </c>
      <c r="AG641" s="1129">
        <v>0</v>
      </c>
      <c r="AH641" s="505">
        <f t="shared" si="107"/>
        <v>0</v>
      </c>
      <c r="AI641" s="132"/>
      <c r="AJ641" s="75">
        <f t="shared" si="106"/>
        <v>0</v>
      </c>
      <c r="AK641" s="75"/>
      <c r="AL641" s="75"/>
      <c r="AM641" s="75"/>
      <c r="AN641" s="64" t="s">
        <v>181</v>
      </c>
      <c r="AO641" s="64" t="s">
        <v>1839</v>
      </c>
      <c r="AP641" s="64" t="s">
        <v>649</v>
      </c>
      <c r="AQ641" s="533" t="s">
        <v>649</v>
      </c>
      <c r="AR641" s="554">
        <v>44562</v>
      </c>
      <c r="AS641" s="554">
        <v>45291</v>
      </c>
      <c r="AT641" s="64" t="s">
        <v>1814</v>
      </c>
      <c r="AU641" s="646"/>
      <c r="AV641" s="347"/>
      <c r="AW641" s="185"/>
    </row>
    <row r="642" spans="1:49" ht="21" hidden="1" customHeight="1" outlineLevel="4" x14ac:dyDescent="0.25">
      <c r="A642" s="63" t="str">
        <f t="shared" si="100"/>
        <v>1.3.0.18.4.9</v>
      </c>
      <c r="B642" s="64">
        <v>1</v>
      </c>
      <c r="C642" s="64">
        <v>3</v>
      </c>
      <c r="D642" s="64">
        <v>0</v>
      </c>
      <c r="E642" s="64">
        <v>18</v>
      </c>
      <c r="F642" s="64">
        <v>4</v>
      </c>
      <c r="G642" s="64">
        <v>9</v>
      </c>
      <c r="H642" s="65"/>
      <c r="I642" s="65"/>
      <c r="J642" s="66"/>
      <c r="K642" s="65" t="s">
        <v>263</v>
      </c>
      <c r="L642" s="64" t="s">
        <v>264</v>
      </c>
      <c r="M642" s="64" t="s">
        <v>144</v>
      </c>
      <c r="N642" s="64" t="s">
        <v>265</v>
      </c>
      <c r="O642" s="64" t="s">
        <v>266</v>
      </c>
      <c r="P642" s="69"/>
      <c r="Q642" s="69"/>
      <c r="R642" s="124">
        <v>0</v>
      </c>
      <c r="S642" s="123" t="s">
        <v>258</v>
      </c>
      <c r="T642" s="194"/>
      <c r="U642" s="370">
        <v>0</v>
      </c>
      <c r="V642" s="370"/>
      <c r="W642" s="370">
        <v>0</v>
      </c>
      <c r="X642" s="1129">
        <v>0</v>
      </c>
      <c r="Y642" s="370">
        <v>0</v>
      </c>
      <c r="Z642" s="370">
        <v>0</v>
      </c>
      <c r="AA642" s="1129">
        <v>0</v>
      </c>
      <c r="AB642" s="370">
        <v>0</v>
      </c>
      <c r="AC642" s="370">
        <v>0</v>
      </c>
      <c r="AD642" s="1129">
        <v>0</v>
      </c>
      <c r="AE642" s="370">
        <v>0</v>
      </c>
      <c r="AF642" s="370">
        <v>0</v>
      </c>
      <c r="AG642" s="1129">
        <v>0</v>
      </c>
      <c r="AH642" s="505">
        <f t="shared" si="107"/>
        <v>0</v>
      </c>
      <c r="AI642" s="132"/>
      <c r="AJ642" s="75">
        <f t="shared" si="106"/>
        <v>0</v>
      </c>
      <c r="AK642" s="75"/>
      <c r="AL642" s="75"/>
      <c r="AM642" s="75"/>
      <c r="AN642" s="64" t="s">
        <v>181</v>
      </c>
      <c r="AO642" s="64"/>
      <c r="AP642" s="64"/>
      <c r="AQ642" s="189"/>
      <c r="AR642" s="64"/>
      <c r="AS642" s="476"/>
      <c r="AT642" s="64"/>
      <c r="AU642" s="646"/>
      <c r="AV642" s="347"/>
      <c r="AW642" s="185"/>
    </row>
    <row r="643" spans="1:49" s="153" customFormat="1" ht="15" customHeight="1" outlineLevel="1" collapsed="1" x14ac:dyDescent="0.25">
      <c r="A643" s="148" t="str">
        <f t="shared" si="100"/>
        <v>1.3.0.19.0.0</v>
      </c>
      <c r="B643" s="82">
        <v>1</v>
      </c>
      <c r="C643" s="82">
        <v>3</v>
      </c>
      <c r="D643" s="82">
        <v>0</v>
      </c>
      <c r="E643" s="82">
        <v>19</v>
      </c>
      <c r="F643" s="82">
        <v>0</v>
      </c>
      <c r="G643" s="82">
        <v>0</v>
      </c>
      <c r="H643" s="149"/>
      <c r="I643" s="149"/>
      <c r="J643" s="1260" t="s">
        <v>670</v>
      </c>
      <c r="K643" s="1260"/>
      <c r="L643" s="82" t="s">
        <v>236</v>
      </c>
      <c r="M643" s="82" t="s">
        <v>240</v>
      </c>
      <c r="N643" s="82" t="s">
        <v>226</v>
      </c>
      <c r="O643" s="82" t="s">
        <v>668</v>
      </c>
      <c r="P643" s="82"/>
      <c r="Q643" s="82"/>
      <c r="R643" s="150"/>
      <c r="S643" s="151"/>
      <c r="T643" s="193"/>
      <c r="U643" s="379">
        <f>+SUM(U644:U647)</f>
        <v>0</v>
      </c>
      <c r="V643" s="379"/>
      <c r="W643" s="379">
        <f t="shared" ref="W643:AH643" si="108">+SUM(W644:W647)</f>
        <v>0</v>
      </c>
      <c r="X643" s="1130">
        <f t="shared" si="108"/>
        <v>0</v>
      </c>
      <c r="Y643" s="379">
        <f t="shared" si="108"/>
        <v>0</v>
      </c>
      <c r="Z643" s="379">
        <f t="shared" si="108"/>
        <v>0</v>
      </c>
      <c r="AA643" s="1130">
        <f t="shared" si="108"/>
        <v>0</v>
      </c>
      <c r="AB643" s="379">
        <f t="shared" si="108"/>
        <v>0</v>
      </c>
      <c r="AC643" s="379">
        <f t="shared" si="108"/>
        <v>0</v>
      </c>
      <c r="AD643" s="1130">
        <f t="shared" si="108"/>
        <v>0</v>
      </c>
      <c r="AE643" s="379">
        <f t="shared" si="108"/>
        <v>0</v>
      </c>
      <c r="AF643" s="379">
        <f t="shared" si="108"/>
        <v>0</v>
      </c>
      <c r="AG643" s="1130">
        <f t="shared" si="108"/>
        <v>0</v>
      </c>
      <c r="AH643" s="379">
        <f t="shared" si="108"/>
        <v>0</v>
      </c>
      <c r="AI643" s="152"/>
      <c r="AJ643" s="152"/>
      <c r="AK643" s="152"/>
      <c r="AL643" s="152"/>
      <c r="AM643" s="152"/>
      <c r="AN643" s="82" t="s">
        <v>181</v>
      </c>
      <c r="AO643" s="82"/>
      <c r="AP643" s="82"/>
      <c r="AQ643" s="365"/>
      <c r="AR643" s="82"/>
      <c r="AS643" s="483"/>
      <c r="AT643" s="82"/>
      <c r="AU643" s="666"/>
      <c r="AV643" s="351"/>
      <c r="AW643" s="444"/>
    </row>
    <row r="644" spans="1:49" ht="20.25" hidden="1" customHeight="1" outlineLevel="2" x14ac:dyDescent="0.25">
      <c r="A644" s="63" t="str">
        <f t="shared" si="100"/>
        <v>1.3.0.19.1.5</v>
      </c>
      <c r="B644" s="64">
        <v>1</v>
      </c>
      <c r="C644" s="64">
        <v>3</v>
      </c>
      <c r="D644" s="64">
        <v>0</v>
      </c>
      <c r="E644" s="64">
        <v>19</v>
      </c>
      <c r="F644" s="64">
        <v>1</v>
      </c>
      <c r="G644" s="64">
        <v>5</v>
      </c>
      <c r="H644" s="65"/>
      <c r="I644" s="65"/>
      <c r="J644" s="66"/>
      <c r="K644" s="65" t="s">
        <v>245</v>
      </c>
      <c r="L644" s="64" t="s">
        <v>246</v>
      </c>
      <c r="M644" s="64" t="s">
        <v>240</v>
      </c>
      <c r="N644" s="64" t="s">
        <v>247</v>
      </c>
      <c r="O644" s="64" t="s">
        <v>241</v>
      </c>
      <c r="P644" s="64"/>
      <c r="Q644" s="64"/>
      <c r="R644" s="124"/>
      <c r="S644" s="123" t="s">
        <v>248</v>
      </c>
      <c r="T644" s="194">
        <v>0</v>
      </c>
      <c r="U644" s="370">
        <v>0</v>
      </c>
      <c r="V644" s="370"/>
      <c r="W644" s="370">
        <v>0</v>
      </c>
      <c r="X644" s="1129">
        <v>0</v>
      </c>
      <c r="Y644" s="370">
        <v>0</v>
      </c>
      <c r="Z644" s="370">
        <v>0</v>
      </c>
      <c r="AA644" s="1129">
        <v>0</v>
      </c>
      <c r="AB644" s="370">
        <v>0</v>
      </c>
      <c r="AC644" s="370">
        <v>0</v>
      </c>
      <c r="AD644" s="1129">
        <v>0</v>
      </c>
      <c r="AE644" s="370">
        <v>0</v>
      </c>
      <c r="AF644" s="370">
        <v>0</v>
      </c>
      <c r="AG644" s="1129">
        <v>0</v>
      </c>
      <c r="AH644" s="505">
        <f t="shared" ref="AH644:AH647" si="109">+W644+Y644+AB644+AE644</f>
        <v>0</v>
      </c>
      <c r="AI644" s="132"/>
      <c r="AJ644" s="75">
        <f t="shared" ref="AJ644:AJ647" si="110">+W645+Z645+AC645+AF645</f>
        <v>0</v>
      </c>
      <c r="AK644" s="75"/>
      <c r="AL644" s="75"/>
      <c r="AM644" s="75"/>
      <c r="AN644" s="64" t="s">
        <v>181</v>
      </c>
      <c r="AO644" s="64"/>
      <c r="AP644" s="64"/>
      <c r="AQ644" s="189"/>
      <c r="AR644" s="64"/>
      <c r="AS644" s="476"/>
      <c r="AT644" s="64"/>
      <c r="AU644" s="646"/>
      <c r="AV644" s="347"/>
      <c r="AW644" s="185"/>
    </row>
    <row r="645" spans="1:49" ht="20.25" hidden="1" customHeight="1" outlineLevel="2" x14ac:dyDescent="0.25">
      <c r="A645" s="63" t="str">
        <f t="shared" si="100"/>
        <v>1.3.0.19.2.5</v>
      </c>
      <c r="B645" s="64">
        <v>1</v>
      </c>
      <c r="C645" s="64">
        <v>3</v>
      </c>
      <c r="D645" s="64">
        <v>0</v>
      </c>
      <c r="E645" s="64">
        <v>19</v>
      </c>
      <c r="F645" s="64">
        <v>2</v>
      </c>
      <c r="G645" s="64">
        <v>5</v>
      </c>
      <c r="H645" s="65"/>
      <c r="I645" s="65"/>
      <c r="J645" s="65"/>
      <c r="K645" s="65" t="s">
        <v>251</v>
      </c>
      <c r="L645" s="64" t="s">
        <v>246</v>
      </c>
      <c r="M645" s="64" t="s">
        <v>240</v>
      </c>
      <c r="N645" s="64" t="s">
        <v>252</v>
      </c>
      <c r="O645" s="64" t="s">
        <v>241</v>
      </c>
      <c r="P645" s="69"/>
      <c r="Q645" s="69"/>
      <c r="R645" s="124"/>
      <c r="S645" s="123" t="s">
        <v>248</v>
      </c>
      <c r="T645" s="194">
        <v>1000</v>
      </c>
      <c r="U645" s="370">
        <v>0</v>
      </c>
      <c r="V645" s="370"/>
      <c r="W645" s="370">
        <v>0</v>
      </c>
      <c r="X645" s="1129">
        <v>0</v>
      </c>
      <c r="Y645" s="370">
        <v>0</v>
      </c>
      <c r="Z645" s="370">
        <v>0</v>
      </c>
      <c r="AA645" s="1129">
        <v>0</v>
      </c>
      <c r="AB645" s="370">
        <v>0</v>
      </c>
      <c r="AC645" s="370">
        <v>0</v>
      </c>
      <c r="AD645" s="1129">
        <v>0</v>
      </c>
      <c r="AE645" s="370">
        <v>0</v>
      </c>
      <c r="AF645" s="370">
        <v>0</v>
      </c>
      <c r="AG645" s="1129">
        <v>0</v>
      </c>
      <c r="AH645" s="505">
        <f t="shared" si="109"/>
        <v>0</v>
      </c>
      <c r="AI645" s="132"/>
      <c r="AJ645" s="75">
        <f t="shared" si="110"/>
        <v>0</v>
      </c>
      <c r="AK645" s="75"/>
      <c r="AL645" s="75"/>
      <c r="AM645" s="75"/>
      <c r="AN645" s="64" t="s">
        <v>181</v>
      </c>
      <c r="AO645" s="64"/>
      <c r="AP645" s="64"/>
      <c r="AQ645" s="189"/>
      <c r="AR645" s="64"/>
      <c r="AS645" s="476"/>
      <c r="AT645" s="64"/>
      <c r="AU645" s="646"/>
      <c r="AV645" s="347" t="e">
        <f>+(#REF!*252)*1.1</f>
        <v>#REF!</v>
      </c>
      <c r="AW645" s="185"/>
    </row>
    <row r="646" spans="1:49" ht="20.25" hidden="1" customHeight="1" outlineLevel="2" x14ac:dyDescent="0.25">
      <c r="A646" s="63" t="str">
        <f t="shared" si="100"/>
        <v>1.3.0.19.3.5</v>
      </c>
      <c r="B646" s="64">
        <v>1</v>
      </c>
      <c r="C646" s="64">
        <v>3</v>
      </c>
      <c r="D646" s="64">
        <v>0</v>
      </c>
      <c r="E646" s="64">
        <v>19</v>
      </c>
      <c r="F646" s="64">
        <v>3</v>
      </c>
      <c r="G646" s="64">
        <v>5</v>
      </c>
      <c r="H646" s="65"/>
      <c r="I646" s="65"/>
      <c r="J646" s="66"/>
      <c r="K646" s="65" t="s">
        <v>255</v>
      </c>
      <c r="L646" s="64" t="s">
        <v>246</v>
      </c>
      <c r="M646" s="64" t="s">
        <v>256</v>
      </c>
      <c r="N646" s="64" t="s">
        <v>671</v>
      </c>
      <c r="O646" s="64" t="s">
        <v>241</v>
      </c>
      <c r="P646" s="170"/>
      <c r="Q646" s="170"/>
      <c r="R646" s="124"/>
      <c r="S646" s="123" t="s">
        <v>672</v>
      </c>
      <c r="T646" s="194"/>
      <c r="U646" s="370">
        <v>0</v>
      </c>
      <c r="V646" s="370"/>
      <c r="W646" s="370">
        <v>0</v>
      </c>
      <c r="X646" s="1129">
        <v>0</v>
      </c>
      <c r="Y646" s="370">
        <v>0</v>
      </c>
      <c r="Z646" s="370">
        <v>0</v>
      </c>
      <c r="AA646" s="1129">
        <v>0</v>
      </c>
      <c r="AB646" s="370">
        <v>0</v>
      </c>
      <c r="AC646" s="370">
        <v>0</v>
      </c>
      <c r="AD646" s="1129">
        <v>0</v>
      </c>
      <c r="AE646" s="370">
        <v>0</v>
      </c>
      <c r="AF646" s="370">
        <v>0</v>
      </c>
      <c r="AG646" s="1129">
        <v>0</v>
      </c>
      <c r="AH646" s="505">
        <f t="shared" si="109"/>
        <v>0</v>
      </c>
      <c r="AI646" s="132"/>
      <c r="AJ646" s="75">
        <f t="shared" si="110"/>
        <v>0</v>
      </c>
      <c r="AK646" s="75"/>
      <c r="AL646" s="75"/>
      <c r="AM646" s="75"/>
      <c r="AN646" s="64" t="s">
        <v>181</v>
      </c>
      <c r="AO646" s="64" t="s">
        <v>1839</v>
      </c>
      <c r="AP646" s="64" t="s">
        <v>649</v>
      </c>
      <c r="AQ646" s="533" t="s">
        <v>649</v>
      </c>
      <c r="AR646" s="554">
        <v>44562</v>
      </c>
      <c r="AS646" s="554">
        <v>45291</v>
      </c>
      <c r="AT646" s="64" t="s">
        <v>1814</v>
      </c>
      <c r="AU646" s="646"/>
      <c r="AV646" s="347"/>
      <c r="AW646" s="185"/>
    </row>
    <row r="647" spans="1:49" ht="20.25" hidden="1" customHeight="1" outlineLevel="2" x14ac:dyDescent="0.25">
      <c r="A647" s="63" t="str">
        <f t="shared" si="100"/>
        <v>1.3.0.19.4.5</v>
      </c>
      <c r="B647" s="64">
        <v>1</v>
      </c>
      <c r="C647" s="64">
        <v>3</v>
      </c>
      <c r="D647" s="64">
        <v>0</v>
      </c>
      <c r="E647" s="64">
        <v>19</v>
      </c>
      <c r="F647" s="64">
        <v>4</v>
      </c>
      <c r="G647" s="64">
        <v>5</v>
      </c>
      <c r="H647" s="65"/>
      <c r="I647" s="65"/>
      <c r="J647" s="66"/>
      <c r="K647" s="65" t="s">
        <v>263</v>
      </c>
      <c r="L647" s="64" t="s">
        <v>264</v>
      </c>
      <c r="M647" s="64" t="s">
        <v>76</v>
      </c>
      <c r="N647" s="64" t="s">
        <v>265</v>
      </c>
      <c r="O647" s="64" t="s">
        <v>266</v>
      </c>
      <c r="P647" s="170"/>
      <c r="Q647" s="170"/>
      <c r="R647" s="124"/>
      <c r="S647" s="123" t="s">
        <v>672</v>
      </c>
      <c r="T647" s="194"/>
      <c r="U647" s="370">
        <v>0</v>
      </c>
      <c r="V647" s="370"/>
      <c r="W647" s="370">
        <v>0</v>
      </c>
      <c r="X647" s="1129">
        <v>0</v>
      </c>
      <c r="Y647" s="370">
        <v>0</v>
      </c>
      <c r="Z647" s="370">
        <v>0</v>
      </c>
      <c r="AA647" s="1129">
        <v>0</v>
      </c>
      <c r="AB647" s="370">
        <v>0</v>
      </c>
      <c r="AC647" s="370">
        <v>0</v>
      </c>
      <c r="AD647" s="1129">
        <v>0</v>
      </c>
      <c r="AE647" s="370">
        <v>0</v>
      </c>
      <c r="AF647" s="370">
        <v>0</v>
      </c>
      <c r="AG647" s="1129">
        <v>0</v>
      </c>
      <c r="AH647" s="505">
        <f t="shared" si="109"/>
        <v>0</v>
      </c>
      <c r="AI647" s="132"/>
      <c r="AJ647" s="75">
        <f t="shared" si="110"/>
        <v>0</v>
      </c>
      <c r="AK647" s="75"/>
      <c r="AL647" s="75"/>
      <c r="AM647" s="75"/>
      <c r="AN647" s="64" t="s">
        <v>181</v>
      </c>
      <c r="AO647" s="64"/>
      <c r="AP647" s="64"/>
      <c r="AQ647" s="189"/>
      <c r="AR647" s="64"/>
      <c r="AS647" s="476"/>
      <c r="AT647" s="64"/>
      <c r="AU647" s="646"/>
      <c r="AV647" s="347"/>
      <c r="AW647" s="185"/>
    </row>
    <row r="648" spans="1:49" s="153" customFormat="1" ht="15" customHeight="1" outlineLevel="1" collapsed="1" x14ac:dyDescent="0.25">
      <c r="A648" s="148" t="str">
        <f t="shared" si="100"/>
        <v>1.3.0.20.0.0</v>
      </c>
      <c r="B648" s="82">
        <v>1</v>
      </c>
      <c r="C648" s="82">
        <v>3</v>
      </c>
      <c r="D648" s="82">
        <v>0</v>
      </c>
      <c r="E648" s="82">
        <v>20</v>
      </c>
      <c r="F648" s="82">
        <v>0</v>
      </c>
      <c r="G648" s="82">
        <v>0</v>
      </c>
      <c r="H648" s="149"/>
      <c r="I648" s="149"/>
      <c r="J648" s="1291" t="s">
        <v>673</v>
      </c>
      <c r="K648" s="1291"/>
      <c r="L648" s="82" t="s">
        <v>236</v>
      </c>
      <c r="M648" s="82" t="s">
        <v>674</v>
      </c>
      <c r="N648" s="82" t="s">
        <v>226</v>
      </c>
      <c r="O648" s="82" t="s">
        <v>668</v>
      </c>
      <c r="P648" s="82"/>
      <c r="Q648" s="82"/>
      <c r="R648" s="150">
        <f>R649</f>
        <v>0</v>
      </c>
      <c r="S648" s="151" t="s">
        <v>248</v>
      </c>
      <c r="T648" s="193">
        <f>T649</f>
        <v>0</v>
      </c>
      <c r="U648" s="379">
        <f>+SUM(U649:U652)</f>
        <v>0</v>
      </c>
      <c r="V648" s="379"/>
      <c r="W648" s="379">
        <f t="shared" ref="W648:AH648" si="111">+SUM(W649:W652)</f>
        <v>0</v>
      </c>
      <c r="X648" s="1130">
        <f t="shared" si="111"/>
        <v>0</v>
      </c>
      <c r="Y648" s="379">
        <f t="shared" si="111"/>
        <v>0</v>
      </c>
      <c r="Z648" s="379">
        <f t="shared" si="111"/>
        <v>0</v>
      </c>
      <c r="AA648" s="1130">
        <f t="shared" si="111"/>
        <v>0</v>
      </c>
      <c r="AB648" s="379">
        <f t="shared" si="111"/>
        <v>0</v>
      </c>
      <c r="AC648" s="379">
        <f t="shared" si="111"/>
        <v>0</v>
      </c>
      <c r="AD648" s="1130">
        <f t="shared" si="111"/>
        <v>0</v>
      </c>
      <c r="AE648" s="379">
        <f t="shared" si="111"/>
        <v>0</v>
      </c>
      <c r="AF648" s="379">
        <f t="shared" si="111"/>
        <v>0</v>
      </c>
      <c r="AG648" s="1130">
        <f t="shared" si="111"/>
        <v>0</v>
      </c>
      <c r="AH648" s="379">
        <f t="shared" si="111"/>
        <v>0</v>
      </c>
      <c r="AI648" s="152"/>
      <c r="AJ648" s="152"/>
      <c r="AK648" s="152"/>
      <c r="AL648" s="152"/>
      <c r="AM648" s="152"/>
      <c r="AN648" s="82" t="s">
        <v>181</v>
      </c>
      <c r="AO648" s="82"/>
      <c r="AP648" s="82"/>
      <c r="AQ648" s="365"/>
      <c r="AR648" s="82"/>
      <c r="AS648" s="483"/>
      <c r="AT648" s="82"/>
      <c r="AU648" s="666"/>
      <c r="AV648" s="357">
        <f>AV649</f>
        <v>0</v>
      </c>
      <c r="AW648" s="444"/>
    </row>
    <row r="649" spans="1:49" ht="23.45" hidden="1" customHeight="1" outlineLevel="2" x14ac:dyDescent="0.25">
      <c r="A649" s="63" t="str">
        <f t="shared" si="100"/>
        <v>1.3.0.20.1.4</v>
      </c>
      <c r="B649" s="64">
        <v>1</v>
      </c>
      <c r="C649" s="64">
        <v>3</v>
      </c>
      <c r="D649" s="64">
        <v>0</v>
      </c>
      <c r="E649" s="64">
        <v>20</v>
      </c>
      <c r="F649" s="64">
        <v>1</v>
      </c>
      <c r="G649" s="64">
        <v>4</v>
      </c>
      <c r="H649" s="65"/>
      <c r="I649" s="65"/>
      <c r="J649" s="65"/>
      <c r="K649" s="65" t="s">
        <v>245</v>
      </c>
      <c r="L649" s="64" t="s">
        <v>246</v>
      </c>
      <c r="M649" s="64" t="s">
        <v>240</v>
      </c>
      <c r="N649" s="64" t="s">
        <v>247</v>
      </c>
      <c r="O649" s="64" t="s">
        <v>241</v>
      </c>
      <c r="P649" s="69"/>
      <c r="Q649" s="69"/>
      <c r="R649" s="158"/>
      <c r="S649" s="123" t="s">
        <v>248</v>
      </c>
      <c r="T649" s="194"/>
      <c r="U649" s="370">
        <v>0</v>
      </c>
      <c r="V649" s="370"/>
      <c r="W649" s="370">
        <v>0</v>
      </c>
      <c r="X649" s="1129">
        <v>0</v>
      </c>
      <c r="Y649" s="370">
        <v>0</v>
      </c>
      <c r="Z649" s="370">
        <v>0</v>
      </c>
      <c r="AA649" s="1129">
        <v>0</v>
      </c>
      <c r="AB649" s="370">
        <v>0</v>
      </c>
      <c r="AC649" s="370">
        <v>0</v>
      </c>
      <c r="AD649" s="1129">
        <v>0</v>
      </c>
      <c r="AE649" s="370">
        <v>0</v>
      </c>
      <c r="AF649" s="370">
        <v>0</v>
      </c>
      <c r="AG649" s="1129">
        <v>0</v>
      </c>
      <c r="AH649" s="505">
        <f>+U649+Y649+AB649+AE649</f>
        <v>0</v>
      </c>
      <c r="AI649" s="132"/>
      <c r="AJ649" s="75">
        <f t="shared" ref="AJ649:AJ652" si="112">+W650+Z650+AC650+AF650</f>
        <v>0</v>
      </c>
      <c r="AK649" s="75"/>
      <c r="AL649" s="75"/>
      <c r="AM649" s="75"/>
      <c r="AN649" s="64" t="s">
        <v>181</v>
      </c>
      <c r="AO649" s="64"/>
      <c r="AP649" s="64"/>
      <c r="AQ649" s="189"/>
      <c r="AR649" s="64"/>
      <c r="AS649" s="476"/>
      <c r="AT649" s="64"/>
      <c r="AU649" s="646"/>
      <c r="AV649" s="347"/>
      <c r="AW649" s="185"/>
    </row>
    <row r="650" spans="1:49" ht="23.45" hidden="1" customHeight="1" outlineLevel="2" x14ac:dyDescent="0.25">
      <c r="A650" s="63" t="str">
        <f t="shared" si="100"/>
        <v>1.3.0.20.2.4</v>
      </c>
      <c r="B650" s="64">
        <v>1</v>
      </c>
      <c r="C650" s="64">
        <v>3</v>
      </c>
      <c r="D650" s="64">
        <v>0</v>
      </c>
      <c r="E650" s="64">
        <v>20</v>
      </c>
      <c r="F650" s="64">
        <v>2</v>
      </c>
      <c r="G650" s="64">
        <v>4</v>
      </c>
      <c r="H650" s="65"/>
      <c r="I650" s="65"/>
      <c r="J650" s="65"/>
      <c r="K650" s="65" t="s">
        <v>251</v>
      </c>
      <c r="L650" s="64" t="s">
        <v>246</v>
      </c>
      <c r="M650" s="64" t="s">
        <v>240</v>
      </c>
      <c r="N650" s="64" t="s">
        <v>675</v>
      </c>
      <c r="O650" s="64" t="s">
        <v>241</v>
      </c>
      <c r="P650" s="171"/>
      <c r="Q650" s="171"/>
      <c r="R650" s="170"/>
      <c r="S650" s="123"/>
      <c r="T650" s="194"/>
      <c r="U650" s="370">
        <v>0</v>
      </c>
      <c r="V650" s="370"/>
      <c r="W650" s="370">
        <v>0</v>
      </c>
      <c r="X650" s="1129">
        <v>0</v>
      </c>
      <c r="Y650" s="370">
        <v>0</v>
      </c>
      <c r="Z650" s="370">
        <v>0</v>
      </c>
      <c r="AA650" s="1129">
        <v>0</v>
      </c>
      <c r="AB650" s="370">
        <v>0</v>
      </c>
      <c r="AC650" s="370">
        <v>0</v>
      </c>
      <c r="AD650" s="1129">
        <v>0</v>
      </c>
      <c r="AE650" s="370">
        <v>0</v>
      </c>
      <c r="AF650" s="370">
        <v>0</v>
      </c>
      <c r="AG650" s="1129">
        <v>0</v>
      </c>
      <c r="AH650" s="505">
        <f t="shared" ref="AH650:AH652" si="113">+U650+Y650+AB650+AE650</f>
        <v>0</v>
      </c>
      <c r="AI650" s="132"/>
      <c r="AJ650" s="75">
        <f t="shared" si="112"/>
        <v>0</v>
      </c>
      <c r="AK650" s="75"/>
      <c r="AL650" s="75"/>
      <c r="AM650" s="75"/>
      <c r="AN650" s="64" t="s">
        <v>181</v>
      </c>
      <c r="AO650" s="64"/>
      <c r="AP650" s="64"/>
      <c r="AQ650" s="189"/>
      <c r="AR650" s="64"/>
      <c r="AS650" s="476"/>
      <c r="AT650" s="64"/>
      <c r="AU650" s="646"/>
      <c r="AV650" s="347"/>
      <c r="AW650" s="185"/>
    </row>
    <row r="651" spans="1:49" ht="23.45" hidden="1" customHeight="1" outlineLevel="2" x14ac:dyDescent="0.25">
      <c r="A651" s="63" t="str">
        <f t="shared" si="100"/>
        <v>1.3.0.20.3.4</v>
      </c>
      <c r="B651" s="64">
        <v>1</v>
      </c>
      <c r="C651" s="64">
        <v>3</v>
      </c>
      <c r="D651" s="64">
        <v>0</v>
      </c>
      <c r="E651" s="64">
        <v>20</v>
      </c>
      <c r="F651" s="64">
        <v>3</v>
      </c>
      <c r="G651" s="64">
        <v>4</v>
      </c>
      <c r="H651" s="65"/>
      <c r="I651" s="65"/>
      <c r="J651" s="65"/>
      <c r="K651" s="65" t="s">
        <v>255</v>
      </c>
      <c r="L651" s="64" t="s">
        <v>246</v>
      </c>
      <c r="M651" s="64" t="s">
        <v>256</v>
      </c>
      <c r="N651" s="64" t="s">
        <v>671</v>
      </c>
      <c r="O651" s="64" t="s">
        <v>241</v>
      </c>
      <c r="P651" s="171"/>
      <c r="Q651" s="171"/>
      <c r="R651" s="124"/>
      <c r="S651" s="123"/>
      <c r="T651" s="194"/>
      <c r="U651" s="370">
        <v>0</v>
      </c>
      <c r="V651" s="370"/>
      <c r="W651" s="370">
        <v>0</v>
      </c>
      <c r="X651" s="1129">
        <v>0</v>
      </c>
      <c r="Y651" s="370">
        <v>0</v>
      </c>
      <c r="Z651" s="370">
        <v>0</v>
      </c>
      <c r="AA651" s="1129">
        <v>0</v>
      </c>
      <c r="AB651" s="370">
        <v>0</v>
      </c>
      <c r="AC651" s="370">
        <v>0</v>
      </c>
      <c r="AD651" s="1129">
        <v>0</v>
      </c>
      <c r="AE651" s="370">
        <v>0</v>
      </c>
      <c r="AF651" s="370">
        <v>0</v>
      </c>
      <c r="AG651" s="1129">
        <v>0</v>
      </c>
      <c r="AH651" s="505">
        <f t="shared" si="113"/>
        <v>0</v>
      </c>
      <c r="AI651" s="132"/>
      <c r="AJ651" s="75">
        <f t="shared" si="112"/>
        <v>0</v>
      </c>
      <c r="AK651" s="75"/>
      <c r="AL651" s="75"/>
      <c r="AM651" s="75"/>
      <c r="AN651" s="64" t="s">
        <v>181</v>
      </c>
      <c r="AO651" s="64" t="s">
        <v>1839</v>
      </c>
      <c r="AP651" s="64" t="s">
        <v>649</v>
      </c>
      <c r="AQ651" s="533" t="s">
        <v>649</v>
      </c>
      <c r="AR651" s="69">
        <v>44562</v>
      </c>
      <c r="AS651" s="554">
        <v>45291</v>
      </c>
      <c r="AT651" s="64" t="s">
        <v>1814</v>
      </c>
      <c r="AU651" s="646"/>
      <c r="AV651" s="347"/>
      <c r="AW651" s="561"/>
    </row>
    <row r="652" spans="1:49" ht="23.45" hidden="1" customHeight="1" outlineLevel="2" x14ac:dyDescent="0.25">
      <c r="A652" s="63" t="str">
        <f t="shared" si="100"/>
        <v>1.3.0.20.4.4</v>
      </c>
      <c r="B652" s="64">
        <v>1</v>
      </c>
      <c r="C652" s="64">
        <v>3</v>
      </c>
      <c r="D652" s="64">
        <v>0</v>
      </c>
      <c r="E652" s="64">
        <v>20</v>
      </c>
      <c r="F652" s="64">
        <v>4</v>
      </c>
      <c r="G652" s="64">
        <v>4</v>
      </c>
      <c r="H652" s="65"/>
      <c r="I652" s="65"/>
      <c r="J652" s="65"/>
      <c r="K652" s="65" t="s">
        <v>263</v>
      </c>
      <c r="L652" s="64" t="s">
        <v>264</v>
      </c>
      <c r="M652" s="64" t="s">
        <v>76</v>
      </c>
      <c r="N652" s="64" t="s">
        <v>265</v>
      </c>
      <c r="O652" s="64" t="s">
        <v>266</v>
      </c>
      <c r="P652" s="64"/>
      <c r="Q652" s="64"/>
      <c r="R652" s="124"/>
      <c r="S652" s="123"/>
      <c r="T652" s="194"/>
      <c r="U652" s="370">
        <v>0</v>
      </c>
      <c r="V652" s="370"/>
      <c r="W652" s="370">
        <v>0</v>
      </c>
      <c r="X652" s="1129">
        <v>0</v>
      </c>
      <c r="Y652" s="370">
        <v>0</v>
      </c>
      <c r="Z652" s="370">
        <v>0</v>
      </c>
      <c r="AA652" s="1129">
        <v>0</v>
      </c>
      <c r="AB652" s="370">
        <v>0</v>
      </c>
      <c r="AC652" s="370">
        <v>0</v>
      </c>
      <c r="AD652" s="1129">
        <v>0</v>
      </c>
      <c r="AE652" s="370">
        <v>0</v>
      </c>
      <c r="AF652" s="370">
        <v>0</v>
      </c>
      <c r="AG652" s="1129">
        <v>0</v>
      </c>
      <c r="AH652" s="505">
        <f t="shared" si="113"/>
        <v>0</v>
      </c>
      <c r="AI652" s="132"/>
      <c r="AJ652" s="75">
        <f t="shared" si="112"/>
        <v>0</v>
      </c>
      <c r="AK652" s="75"/>
      <c r="AL652" s="75"/>
      <c r="AM652" s="75"/>
      <c r="AN652" s="64" t="s">
        <v>181</v>
      </c>
      <c r="AO652" s="64"/>
      <c r="AP652" s="64"/>
      <c r="AQ652" s="189"/>
      <c r="AR652" s="64"/>
      <c r="AS652" s="476"/>
      <c r="AT652" s="64"/>
      <c r="AU652" s="646"/>
      <c r="AV652" s="347"/>
      <c r="AW652" s="185"/>
    </row>
    <row r="653" spans="1:49" s="153" customFormat="1" ht="37.5" customHeight="1" outlineLevel="1" x14ac:dyDescent="0.25">
      <c r="A653" s="108" t="str">
        <f t="shared" si="100"/>
        <v>1.4.1.0.0.0</v>
      </c>
      <c r="B653" s="109">
        <v>1</v>
      </c>
      <c r="C653" s="109">
        <v>4</v>
      </c>
      <c r="D653" s="109">
        <v>1</v>
      </c>
      <c r="E653" s="109">
        <v>0</v>
      </c>
      <c r="F653" s="109">
        <v>0</v>
      </c>
      <c r="G653" s="109">
        <v>0</v>
      </c>
      <c r="H653" s="110"/>
      <c r="I653" s="1265" t="s">
        <v>676</v>
      </c>
      <c r="J653" s="1265"/>
      <c r="K653" s="1265"/>
      <c r="L653" s="109" t="s">
        <v>236</v>
      </c>
      <c r="M653" s="109" t="s">
        <v>299</v>
      </c>
      <c r="N653" s="109" t="s">
        <v>226</v>
      </c>
      <c r="O653" s="109" t="s">
        <v>677</v>
      </c>
      <c r="P653" s="109"/>
      <c r="Q653" s="109"/>
      <c r="R653" s="109"/>
      <c r="S653" s="110"/>
      <c r="T653" s="1183"/>
      <c r="U653" s="112">
        <f>+U654+U664+U693+U696+U699+U702+U705+U708+U711+U714+U717++U720+U723+U726+U729+U732+U735+U738</f>
        <v>12500000</v>
      </c>
      <c r="V653" s="112"/>
      <c r="W653" s="112">
        <f t="shared" ref="W653:AH653" si="114">+W654+W664+W693+W696+W699+W702+W705+W708+W711+W714+W717++W720+W723+W726+W729+W732+W735+W738</f>
        <v>0</v>
      </c>
      <c r="X653" s="1116">
        <f t="shared" si="114"/>
        <v>0</v>
      </c>
      <c r="Y653" s="112">
        <f t="shared" si="114"/>
        <v>12500000</v>
      </c>
      <c r="Z653" s="112">
        <f t="shared" si="114"/>
        <v>0</v>
      </c>
      <c r="AA653" s="1116">
        <f t="shared" si="114"/>
        <v>0</v>
      </c>
      <c r="AB653" s="112">
        <f t="shared" si="114"/>
        <v>12500000</v>
      </c>
      <c r="AC653" s="112">
        <f t="shared" si="114"/>
        <v>0</v>
      </c>
      <c r="AD653" s="1116">
        <f t="shared" si="114"/>
        <v>0</v>
      </c>
      <c r="AE653" s="112">
        <f t="shared" si="114"/>
        <v>12500000</v>
      </c>
      <c r="AF653" s="112">
        <f t="shared" si="114"/>
        <v>0</v>
      </c>
      <c r="AG653" s="1116">
        <f t="shared" si="114"/>
        <v>0</v>
      </c>
      <c r="AH653" s="112">
        <f>+AH654+AH664+AH693+AH696+AH699+AH702+AH705+AH708+AH711+AH714+AH717++AH720+AH723+AH726+AH729+AH732+AH735+AH738</f>
        <v>50000000</v>
      </c>
      <c r="AI653" s="514">
        <f>+AI654+AI664+AI693+AI696+AI699+AI702+AI705+AI708+AI711+AI714+AI717+AI720+AI723+AI726+AI729+AI732+AI735+AI738</f>
        <v>0</v>
      </c>
      <c r="AJ653" s="514">
        <f>+AJ654+AJ664+AJ693+AJ696+AJ699+AJ702+AJ705+AJ708+AJ711+AJ714+AJ717+AJ720+AJ723+AJ726+AJ729+AJ732+AJ735+AJ738</f>
        <v>0</v>
      </c>
      <c r="AK653" s="112"/>
      <c r="AL653" s="112"/>
      <c r="AM653" s="112"/>
      <c r="AN653" s="109" t="s">
        <v>243</v>
      </c>
      <c r="AO653" s="109"/>
      <c r="AP653" s="109"/>
      <c r="AQ653" s="411"/>
      <c r="AR653" s="109"/>
      <c r="AS653" s="473"/>
      <c r="AT653" s="109"/>
      <c r="AU653" s="659"/>
      <c r="AV653" s="333"/>
      <c r="AW653" s="445"/>
    </row>
    <row r="654" spans="1:49" s="153" customFormat="1" ht="27" customHeight="1" outlineLevel="1" collapsed="1" x14ac:dyDescent="0.25">
      <c r="A654" s="148" t="str">
        <f t="shared" si="100"/>
        <v>1.4.1.1.0.0</v>
      </c>
      <c r="B654" s="82">
        <v>1</v>
      </c>
      <c r="C654" s="82">
        <v>4</v>
      </c>
      <c r="D654" s="82">
        <v>1</v>
      </c>
      <c r="E654" s="82">
        <v>1</v>
      </c>
      <c r="F654" s="82">
        <v>0</v>
      </c>
      <c r="G654" s="82">
        <v>0</v>
      </c>
      <c r="H654" s="149"/>
      <c r="I654" s="149"/>
      <c r="J654" s="1260" t="s">
        <v>679</v>
      </c>
      <c r="K654" s="1260"/>
      <c r="L654" s="82" t="s">
        <v>224</v>
      </c>
      <c r="M654" s="82" t="s">
        <v>299</v>
      </c>
      <c r="N654" s="82" t="s">
        <v>671</v>
      </c>
      <c r="O654" s="82" t="s">
        <v>359</v>
      </c>
      <c r="P654" s="82"/>
      <c r="Q654" s="82"/>
      <c r="R654" s="82"/>
      <c r="S654" s="149"/>
      <c r="T654" s="193"/>
      <c r="U654" s="152">
        <f>SUM(U655:U663)</f>
        <v>12500000</v>
      </c>
      <c r="V654" s="152"/>
      <c r="W654" s="152">
        <f t="shared" ref="W654:AG654" si="115">SUM(W655:W663)</f>
        <v>0</v>
      </c>
      <c r="X654" s="1131">
        <f t="shared" si="115"/>
        <v>0</v>
      </c>
      <c r="Y654" s="152">
        <f t="shared" si="115"/>
        <v>12500000</v>
      </c>
      <c r="Z654" s="152">
        <f t="shared" si="115"/>
        <v>0</v>
      </c>
      <c r="AA654" s="1131">
        <f t="shared" si="115"/>
        <v>0</v>
      </c>
      <c r="AB654" s="152">
        <f t="shared" si="115"/>
        <v>12500000</v>
      </c>
      <c r="AC654" s="152">
        <f t="shared" si="115"/>
        <v>0</v>
      </c>
      <c r="AD654" s="1131">
        <f t="shared" si="115"/>
        <v>0</v>
      </c>
      <c r="AE654" s="152">
        <f t="shared" si="115"/>
        <v>12500000</v>
      </c>
      <c r="AF654" s="152">
        <f t="shared" si="115"/>
        <v>0</v>
      </c>
      <c r="AG654" s="1131">
        <f t="shared" si="115"/>
        <v>0</v>
      </c>
      <c r="AH654" s="152">
        <f>SUM(AH655:AH663)</f>
        <v>50000000</v>
      </c>
      <c r="AI654" s="513">
        <f>+SUM(AI655:AI663)</f>
        <v>0</v>
      </c>
      <c r="AJ654" s="513">
        <f>+SUM(AJ655:AJ663)</f>
        <v>0</v>
      </c>
      <c r="AK654" s="198"/>
      <c r="AL654" s="198"/>
      <c r="AM654" s="198"/>
      <c r="AN654" s="82" t="s">
        <v>243</v>
      </c>
      <c r="AO654" s="82"/>
      <c r="AP654" s="82"/>
      <c r="AQ654" s="365"/>
      <c r="AR654" s="82"/>
      <c r="AS654" s="483"/>
      <c r="AT654" s="82"/>
      <c r="AU654" s="666"/>
      <c r="AV654" s="358"/>
      <c r="AW654" s="444" t="s">
        <v>1794</v>
      </c>
    </row>
    <row r="655" spans="1:49" ht="32.1" hidden="1" customHeight="1" outlineLevel="2" x14ac:dyDescent="0.25">
      <c r="A655" s="63" t="str">
        <f t="shared" si="100"/>
        <v>1.4.1.1.15.58</v>
      </c>
      <c r="B655" s="64">
        <v>1</v>
      </c>
      <c r="C655" s="64">
        <v>4</v>
      </c>
      <c r="D655" s="64">
        <v>1</v>
      </c>
      <c r="E655" s="64">
        <v>1</v>
      </c>
      <c r="F655" s="64">
        <v>15</v>
      </c>
      <c r="G655" s="64">
        <v>58</v>
      </c>
      <c r="H655" s="65"/>
      <c r="I655" s="65"/>
      <c r="J655" s="66"/>
      <c r="K655" s="65" t="s">
        <v>1715</v>
      </c>
      <c r="L655" s="64" t="s">
        <v>246</v>
      </c>
      <c r="M655" s="64" t="s">
        <v>680</v>
      </c>
      <c r="N655" s="64" t="s">
        <v>671</v>
      </c>
      <c r="O655" s="64" t="s">
        <v>359</v>
      </c>
      <c r="P655" s="69">
        <v>44586</v>
      </c>
      <c r="Q655" s="69">
        <v>44920</v>
      </c>
      <c r="R655" s="64">
        <v>12</v>
      </c>
      <c r="S655" s="65" t="s">
        <v>267</v>
      </c>
      <c r="T655" s="194">
        <v>3</v>
      </c>
      <c r="U655" s="155">
        <v>1775000</v>
      </c>
      <c r="V655" s="155"/>
      <c r="W655" s="155">
        <v>0</v>
      </c>
      <c r="X655" s="1132">
        <v>0</v>
      </c>
      <c r="Y655" s="155">
        <v>1775000</v>
      </c>
      <c r="Z655" s="155">
        <v>0</v>
      </c>
      <c r="AA655" s="1132">
        <v>0</v>
      </c>
      <c r="AB655" s="155">
        <v>1775000</v>
      </c>
      <c r="AC655" s="155">
        <v>0</v>
      </c>
      <c r="AD655" s="1132">
        <v>0</v>
      </c>
      <c r="AE655" s="155">
        <v>1775000</v>
      </c>
      <c r="AF655" s="155">
        <v>0</v>
      </c>
      <c r="AG655" s="1132">
        <v>0</v>
      </c>
      <c r="AH655" s="505">
        <f>+U655+Y655+AB655+AE655</f>
        <v>7100000</v>
      </c>
      <c r="AI655" s="132"/>
      <c r="AJ655" s="75">
        <f t="shared" ref="AJ655:AJ663" si="116">+W656+Z656+AC656+AF656</f>
        <v>0</v>
      </c>
      <c r="AK655" s="75"/>
      <c r="AL655" s="75"/>
      <c r="AM655" s="75"/>
      <c r="AN655" s="64" t="s">
        <v>39</v>
      </c>
      <c r="AO655" s="533" t="s">
        <v>649</v>
      </c>
      <c r="AP655" s="533" t="s">
        <v>649</v>
      </c>
      <c r="AQ655" s="533" t="s">
        <v>649</v>
      </c>
      <c r="AR655" s="554">
        <v>44562</v>
      </c>
      <c r="AS655" s="554">
        <v>44926</v>
      </c>
      <c r="AT655" s="64" t="s">
        <v>1814</v>
      </c>
      <c r="AU655" s="1043"/>
      <c r="AV655" s="259"/>
      <c r="AW655" s="1274" t="s">
        <v>2157</v>
      </c>
    </row>
    <row r="656" spans="1:49" ht="32.1" hidden="1" customHeight="1" outlineLevel="2" x14ac:dyDescent="0.25">
      <c r="A656" s="63" t="str">
        <f t="shared" si="100"/>
        <v>1.4.1.1.15.59</v>
      </c>
      <c r="B656" s="64">
        <v>1</v>
      </c>
      <c r="C656" s="64">
        <v>4</v>
      </c>
      <c r="D656" s="64">
        <v>1</v>
      </c>
      <c r="E656" s="64">
        <v>1</v>
      </c>
      <c r="F656" s="64">
        <v>15</v>
      </c>
      <c r="G656" s="64">
        <v>59</v>
      </c>
      <c r="H656" s="65"/>
      <c r="I656" s="65"/>
      <c r="J656" s="66"/>
      <c r="K656" s="65" t="s">
        <v>1715</v>
      </c>
      <c r="L656" s="64" t="s">
        <v>246</v>
      </c>
      <c r="M656" s="64" t="s">
        <v>680</v>
      </c>
      <c r="N656" s="64" t="s">
        <v>671</v>
      </c>
      <c r="O656" s="64" t="s">
        <v>359</v>
      </c>
      <c r="P656" s="69">
        <v>44586</v>
      </c>
      <c r="Q656" s="69">
        <v>44920</v>
      </c>
      <c r="R656" s="64">
        <v>12</v>
      </c>
      <c r="S656" s="65" t="s">
        <v>267</v>
      </c>
      <c r="T656" s="194">
        <v>3</v>
      </c>
      <c r="U656" s="155">
        <v>1775000</v>
      </c>
      <c r="V656" s="155"/>
      <c r="W656" s="155">
        <v>0</v>
      </c>
      <c r="X656" s="1132">
        <v>0</v>
      </c>
      <c r="Y656" s="155">
        <v>1775000</v>
      </c>
      <c r="Z656" s="155">
        <v>0</v>
      </c>
      <c r="AA656" s="1132">
        <v>0</v>
      </c>
      <c r="AB656" s="155">
        <v>1775000</v>
      </c>
      <c r="AC656" s="155">
        <v>0</v>
      </c>
      <c r="AD656" s="1132">
        <v>0</v>
      </c>
      <c r="AE656" s="155">
        <v>1775000</v>
      </c>
      <c r="AF656" s="155">
        <v>0</v>
      </c>
      <c r="AG656" s="1132">
        <v>0</v>
      </c>
      <c r="AH656" s="505">
        <f t="shared" ref="AH656:AH663" si="117">+U656+Y656+AB656+AE656</f>
        <v>7100000</v>
      </c>
      <c r="AI656" s="132"/>
      <c r="AJ656" s="75">
        <f t="shared" si="116"/>
        <v>0</v>
      </c>
      <c r="AK656" s="75"/>
      <c r="AL656" s="75"/>
      <c r="AM656" s="75"/>
      <c r="AN656" s="64" t="s">
        <v>39</v>
      </c>
      <c r="AO656" s="533" t="s">
        <v>649</v>
      </c>
      <c r="AP656" s="533" t="s">
        <v>649</v>
      </c>
      <c r="AQ656" s="533" t="s">
        <v>649</v>
      </c>
      <c r="AR656" s="554">
        <v>44562</v>
      </c>
      <c r="AS656" s="554">
        <v>44926</v>
      </c>
      <c r="AT656" s="64" t="s">
        <v>1814</v>
      </c>
      <c r="AU656" s="1043"/>
      <c r="AV656" s="259"/>
      <c r="AW656" s="1274"/>
    </row>
    <row r="657" spans="1:51" ht="32.1" hidden="1" customHeight="1" outlineLevel="2" x14ac:dyDescent="0.25">
      <c r="A657" s="63" t="str">
        <f t="shared" si="100"/>
        <v>1.4.1.1.15.60</v>
      </c>
      <c r="B657" s="64">
        <v>1</v>
      </c>
      <c r="C657" s="64">
        <v>4</v>
      </c>
      <c r="D657" s="64">
        <v>1</v>
      </c>
      <c r="E657" s="64">
        <v>1</v>
      </c>
      <c r="F657" s="64">
        <v>15</v>
      </c>
      <c r="G657" s="64">
        <v>60</v>
      </c>
      <c r="H657" s="65"/>
      <c r="I657" s="65"/>
      <c r="J657" s="66"/>
      <c r="K657" s="65" t="s">
        <v>1715</v>
      </c>
      <c r="L657" s="64" t="s">
        <v>246</v>
      </c>
      <c r="M657" s="64" t="s">
        <v>680</v>
      </c>
      <c r="N657" s="64" t="s">
        <v>671</v>
      </c>
      <c r="O657" s="64" t="s">
        <v>359</v>
      </c>
      <c r="P657" s="69">
        <v>44586</v>
      </c>
      <c r="Q657" s="69">
        <v>44920</v>
      </c>
      <c r="R657" s="64">
        <v>12</v>
      </c>
      <c r="S657" s="65" t="s">
        <v>267</v>
      </c>
      <c r="T657" s="194">
        <v>3</v>
      </c>
      <c r="U657" s="155">
        <v>1775000</v>
      </c>
      <c r="V657" s="155"/>
      <c r="W657" s="155">
        <v>0</v>
      </c>
      <c r="X657" s="1132">
        <v>0</v>
      </c>
      <c r="Y657" s="155">
        <v>1775000</v>
      </c>
      <c r="Z657" s="155">
        <v>0</v>
      </c>
      <c r="AA657" s="1132">
        <v>0</v>
      </c>
      <c r="AB657" s="155">
        <v>1775000</v>
      </c>
      <c r="AC657" s="155">
        <v>0</v>
      </c>
      <c r="AD657" s="1132">
        <v>0</v>
      </c>
      <c r="AE657" s="155">
        <v>1775000</v>
      </c>
      <c r="AF657" s="155">
        <v>0</v>
      </c>
      <c r="AG657" s="1132">
        <v>0</v>
      </c>
      <c r="AH657" s="505">
        <f t="shared" si="117"/>
        <v>7100000</v>
      </c>
      <c r="AI657" s="132"/>
      <c r="AJ657" s="75">
        <f t="shared" si="116"/>
        <v>0</v>
      </c>
      <c r="AK657" s="75"/>
      <c r="AL657" s="75"/>
      <c r="AM657" s="75"/>
      <c r="AN657" s="64" t="s">
        <v>39</v>
      </c>
      <c r="AO657" s="533" t="s">
        <v>649</v>
      </c>
      <c r="AP657" s="533" t="s">
        <v>649</v>
      </c>
      <c r="AQ657" s="533" t="s">
        <v>649</v>
      </c>
      <c r="AR657" s="554">
        <v>44562</v>
      </c>
      <c r="AS657" s="554">
        <v>44926</v>
      </c>
      <c r="AT657" s="64" t="s">
        <v>1814</v>
      </c>
      <c r="AU657" s="1043"/>
      <c r="AV657" s="259"/>
      <c r="AW657" s="1274"/>
    </row>
    <row r="658" spans="1:51" ht="32.1" hidden="1" customHeight="1" outlineLevel="2" x14ac:dyDescent="0.25">
      <c r="A658" s="63" t="str">
        <f t="shared" si="100"/>
        <v>1.4.1.1.15.61</v>
      </c>
      <c r="B658" s="64">
        <v>1</v>
      </c>
      <c r="C658" s="64">
        <v>4</v>
      </c>
      <c r="D658" s="64">
        <v>1</v>
      </c>
      <c r="E658" s="64">
        <v>1</v>
      </c>
      <c r="F658" s="64">
        <v>15</v>
      </c>
      <c r="G658" s="64">
        <v>61</v>
      </c>
      <c r="H658" s="65"/>
      <c r="I658" s="65"/>
      <c r="J658" s="66"/>
      <c r="K658" s="65" t="s">
        <v>1715</v>
      </c>
      <c r="L658" s="64" t="s">
        <v>246</v>
      </c>
      <c r="M658" s="64" t="s">
        <v>680</v>
      </c>
      <c r="N658" s="64" t="s">
        <v>671</v>
      </c>
      <c r="O658" s="64" t="s">
        <v>359</v>
      </c>
      <c r="P658" s="69">
        <v>44586</v>
      </c>
      <c r="Q658" s="69">
        <v>44920</v>
      </c>
      <c r="R658" s="64">
        <v>12</v>
      </c>
      <c r="S658" s="65" t="s">
        <v>267</v>
      </c>
      <c r="T658" s="194">
        <v>3</v>
      </c>
      <c r="U658" s="155">
        <v>1850000</v>
      </c>
      <c r="V658" s="155"/>
      <c r="W658" s="155">
        <v>0</v>
      </c>
      <c r="X658" s="1132">
        <v>0</v>
      </c>
      <c r="Y658" s="155">
        <v>1850000</v>
      </c>
      <c r="Z658" s="155">
        <v>0</v>
      </c>
      <c r="AA658" s="1132">
        <v>0</v>
      </c>
      <c r="AB658" s="155">
        <v>1850000</v>
      </c>
      <c r="AC658" s="155">
        <v>0</v>
      </c>
      <c r="AD658" s="1132">
        <v>0</v>
      </c>
      <c r="AE658" s="155">
        <v>1850000</v>
      </c>
      <c r="AF658" s="155">
        <v>0</v>
      </c>
      <c r="AG658" s="1132">
        <v>0</v>
      </c>
      <c r="AH658" s="505">
        <f t="shared" si="117"/>
        <v>7400000</v>
      </c>
      <c r="AI658" s="132"/>
      <c r="AJ658" s="75">
        <f t="shared" si="116"/>
        <v>0</v>
      </c>
      <c r="AK658" s="75"/>
      <c r="AL658" s="75"/>
      <c r="AM658" s="75"/>
      <c r="AN658" s="64" t="s">
        <v>39</v>
      </c>
      <c r="AO658" s="533" t="s">
        <v>649</v>
      </c>
      <c r="AP658" s="533" t="s">
        <v>649</v>
      </c>
      <c r="AQ658" s="533" t="s">
        <v>649</v>
      </c>
      <c r="AR658" s="554">
        <v>44562</v>
      </c>
      <c r="AS658" s="554">
        <v>44926</v>
      </c>
      <c r="AT658" s="64" t="s">
        <v>1814</v>
      </c>
      <c r="AU658" s="1043"/>
      <c r="AV658" s="259"/>
      <c r="AW658" s="1274"/>
      <c r="AY658" s="199" t="e">
        <f>+#REF!+#REF!+#REF!+#REF!+#REF!+#REF!</f>
        <v>#REF!</v>
      </c>
    </row>
    <row r="659" spans="1:51" ht="32.1" hidden="1" customHeight="1" outlineLevel="2" x14ac:dyDescent="0.25">
      <c r="A659" s="63" t="str">
        <f t="shared" si="100"/>
        <v>1.4.1.1.15.62</v>
      </c>
      <c r="B659" s="64">
        <v>1</v>
      </c>
      <c r="C659" s="64">
        <v>4</v>
      </c>
      <c r="D659" s="64">
        <v>1</v>
      </c>
      <c r="E659" s="64">
        <v>1</v>
      </c>
      <c r="F659" s="64">
        <v>15</v>
      </c>
      <c r="G659" s="64">
        <v>62</v>
      </c>
      <c r="H659" s="65"/>
      <c r="I659" s="65"/>
      <c r="J659" s="66"/>
      <c r="K659" s="65" t="s">
        <v>1715</v>
      </c>
      <c r="L659" s="64" t="s">
        <v>246</v>
      </c>
      <c r="M659" s="64" t="s">
        <v>680</v>
      </c>
      <c r="N659" s="64" t="s">
        <v>671</v>
      </c>
      <c r="O659" s="64" t="s">
        <v>359</v>
      </c>
      <c r="P659" s="69">
        <v>44586</v>
      </c>
      <c r="Q659" s="69">
        <v>44920</v>
      </c>
      <c r="R659" s="64">
        <v>12</v>
      </c>
      <c r="S659" s="65" t="s">
        <v>267</v>
      </c>
      <c r="T659" s="194">
        <v>3</v>
      </c>
      <c r="U659" s="155">
        <v>1775000</v>
      </c>
      <c r="V659" s="155"/>
      <c r="W659" s="155">
        <v>0</v>
      </c>
      <c r="X659" s="1132">
        <v>0</v>
      </c>
      <c r="Y659" s="155">
        <v>1775000</v>
      </c>
      <c r="Z659" s="155">
        <v>0</v>
      </c>
      <c r="AA659" s="1132">
        <v>0</v>
      </c>
      <c r="AB659" s="155">
        <v>1775000</v>
      </c>
      <c r="AC659" s="155">
        <v>0</v>
      </c>
      <c r="AD659" s="1132">
        <v>0</v>
      </c>
      <c r="AE659" s="155">
        <v>1775000</v>
      </c>
      <c r="AF659" s="155">
        <v>0</v>
      </c>
      <c r="AG659" s="1132">
        <v>0</v>
      </c>
      <c r="AH659" s="505">
        <f t="shared" si="117"/>
        <v>7100000</v>
      </c>
      <c r="AI659" s="132"/>
      <c r="AJ659" s="75">
        <f t="shared" si="116"/>
        <v>0</v>
      </c>
      <c r="AK659" s="75"/>
      <c r="AL659" s="75"/>
      <c r="AM659" s="75"/>
      <c r="AN659" s="64" t="s">
        <v>39</v>
      </c>
      <c r="AO659" s="533" t="s">
        <v>649</v>
      </c>
      <c r="AP659" s="533" t="s">
        <v>649</v>
      </c>
      <c r="AQ659" s="533" t="s">
        <v>649</v>
      </c>
      <c r="AR659" s="554">
        <v>44562</v>
      </c>
      <c r="AS659" s="554">
        <v>44926</v>
      </c>
      <c r="AT659" s="64" t="s">
        <v>1814</v>
      </c>
      <c r="AU659" s="1043"/>
      <c r="AV659" s="259"/>
      <c r="AW659" s="1274"/>
      <c r="AY659" s="200"/>
    </row>
    <row r="660" spans="1:51" ht="32.1" hidden="1" customHeight="1" outlineLevel="2" x14ac:dyDescent="0.25">
      <c r="A660" s="63" t="str">
        <f t="shared" si="100"/>
        <v>1.4.1.1.15.63</v>
      </c>
      <c r="B660" s="64">
        <v>1</v>
      </c>
      <c r="C660" s="64">
        <v>4</v>
      </c>
      <c r="D660" s="64">
        <v>1</v>
      </c>
      <c r="E660" s="64">
        <v>1</v>
      </c>
      <c r="F660" s="64">
        <v>15</v>
      </c>
      <c r="G660" s="64">
        <v>63</v>
      </c>
      <c r="H660" s="65"/>
      <c r="I660" s="65"/>
      <c r="J660" s="66"/>
      <c r="K660" s="65" t="s">
        <v>1715</v>
      </c>
      <c r="L660" s="64" t="s">
        <v>246</v>
      </c>
      <c r="M660" s="64" t="s">
        <v>680</v>
      </c>
      <c r="N660" s="64" t="s">
        <v>671</v>
      </c>
      <c r="O660" s="64" t="s">
        <v>359</v>
      </c>
      <c r="P660" s="69">
        <v>44586</v>
      </c>
      <c r="Q660" s="69">
        <v>44920</v>
      </c>
      <c r="R660" s="64">
        <v>12</v>
      </c>
      <c r="S660" s="65" t="s">
        <v>267</v>
      </c>
      <c r="T660" s="194">
        <v>3</v>
      </c>
      <c r="U660" s="155">
        <v>1775000</v>
      </c>
      <c r="V660" s="155"/>
      <c r="W660" s="155">
        <v>0</v>
      </c>
      <c r="X660" s="1132">
        <v>0</v>
      </c>
      <c r="Y660" s="155">
        <v>1775000</v>
      </c>
      <c r="Z660" s="155">
        <v>0</v>
      </c>
      <c r="AA660" s="1132">
        <v>0</v>
      </c>
      <c r="AB660" s="155">
        <v>1775000</v>
      </c>
      <c r="AC660" s="155">
        <v>0</v>
      </c>
      <c r="AD660" s="1132">
        <v>0</v>
      </c>
      <c r="AE660" s="155">
        <v>1775000</v>
      </c>
      <c r="AF660" s="155">
        <v>0</v>
      </c>
      <c r="AG660" s="1132">
        <v>0</v>
      </c>
      <c r="AH660" s="505">
        <f t="shared" si="117"/>
        <v>7100000</v>
      </c>
      <c r="AI660" s="132"/>
      <c r="AJ660" s="75">
        <f t="shared" si="116"/>
        <v>0</v>
      </c>
      <c r="AK660" s="75"/>
      <c r="AL660" s="75"/>
      <c r="AM660" s="75"/>
      <c r="AN660" s="64" t="s">
        <v>39</v>
      </c>
      <c r="AO660" s="533" t="s">
        <v>649</v>
      </c>
      <c r="AP660" s="533" t="s">
        <v>649</v>
      </c>
      <c r="AQ660" s="533" t="s">
        <v>649</v>
      </c>
      <c r="AR660" s="554">
        <v>44562</v>
      </c>
      <c r="AS660" s="554">
        <v>44926</v>
      </c>
      <c r="AT660" s="64" t="s">
        <v>1814</v>
      </c>
      <c r="AU660" s="1043"/>
      <c r="AV660" s="259"/>
      <c r="AW660" s="1274"/>
      <c r="AY660" s="200"/>
    </row>
    <row r="661" spans="1:51" ht="32.1" hidden="1" customHeight="1" outlineLevel="2" x14ac:dyDescent="0.25">
      <c r="A661" s="63" t="str">
        <f t="shared" si="100"/>
        <v>1.4.1.1.15.64</v>
      </c>
      <c r="B661" s="64">
        <v>1</v>
      </c>
      <c r="C661" s="64">
        <v>4</v>
      </c>
      <c r="D661" s="64">
        <v>1</v>
      </c>
      <c r="E661" s="64">
        <v>1</v>
      </c>
      <c r="F661" s="64">
        <v>15</v>
      </c>
      <c r="G661" s="64">
        <v>64</v>
      </c>
      <c r="H661" s="65"/>
      <c r="I661" s="65"/>
      <c r="J661" s="66"/>
      <c r="K661" s="65" t="s">
        <v>1715</v>
      </c>
      <c r="L661" s="64" t="s">
        <v>246</v>
      </c>
      <c r="M661" s="64" t="s">
        <v>680</v>
      </c>
      <c r="N661" s="64" t="s">
        <v>671</v>
      </c>
      <c r="O661" s="64" t="s">
        <v>359</v>
      </c>
      <c r="P661" s="69">
        <v>44586</v>
      </c>
      <c r="Q661" s="69">
        <v>44920</v>
      </c>
      <c r="R661" s="64">
        <v>12</v>
      </c>
      <c r="S661" s="65" t="s">
        <v>267</v>
      </c>
      <c r="T661" s="194">
        <v>3</v>
      </c>
      <c r="U661" s="155">
        <v>1775000</v>
      </c>
      <c r="V661" s="155"/>
      <c r="W661" s="155">
        <v>0</v>
      </c>
      <c r="X661" s="1132">
        <v>0</v>
      </c>
      <c r="Y661" s="155">
        <v>1775000</v>
      </c>
      <c r="Z661" s="155">
        <v>0</v>
      </c>
      <c r="AA661" s="1132">
        <v>0</v>
      </c>
      <c r="AB661" s="155">
        <v>1775000</v>
      </c>
      <c r="AC661" s="155">
        <v>0</v>
      </c>
      <c r="AD661" s="1132">
        <v>0</v>
      </c>
      <c r="AE661" s="155">
        <v>1775000</v>
      </c>
      <c r="AF661" s="155">
        <v>0</v>
      </c>
      <c r="AG661" s="1132">
        <v>0</v>
      </c>
      <c r="AH661" s="505">
        <f t="shared" si="117"/>
        <v>7100000</v>
      </c>
      <c r="AI661" s="132"/>
      <c r="AJ661" s="75">
        <f t="shared" si="116"/>
        <v>0</v>
      </c>
      <c r="AK661" s="75"/>
      <c r="AL661" s="75"/>
      <c r="AM661" s="75"/>
      <c r="AN661" s="64" t="s">
        <v>39</v>
      </c>
      <c r="AO661" s="533" t="s">
        <v>649</v>
      </c>
      <c r="AP661" s="533" t="s">
        <v>649</v>
      </c>
      <c r="AQ661" s="533" t="s">
        <v>649</v>
      </c>
      <c r="AR661" s="554">
        <v>44562</v>
      </c>
      <c r="AS661" s="554">
        <v>44926</v>
      </c>
      <c r="AT661" s="64" t="s">
        <v>1814</v>
      </c>
      <c r="AU661" s="1043"/>
      <c r="AV661" s="259"/>
      <c r="AW661" s="1274"/>
    </row>
    <row r="662" spans="1:51" ht="32.1" hidden="1" customHeight="1" outlineLevel="2" x14ac:dyDescent="0.25">
      <c r="A662" s="63" t="str">
        <f t="shared" si="100"/>
        <v>1.4.1.1.16.58-64</v>
      </c>
      <c r="B662" s="64">
        <v>1</v>
      </c>
      <c r="C662" s="64">
        <v>4</v>
      </c>
      <c r="D662" s="64">
        <v>1</v>
      </c>
      <c r="E662" s="64">
        <v>1</v>
      </c>
      <c r="F662" s="64">
        <v>16</v>
      </c>
      <c r="G662" s="64" t="s">
        <v>64</v>
      </c>
      <c r="H662" s="65"/>
      <c r="I662" s="65"/>
      <c r="J662" s="66"/>
      <c r="K662" s="65" t="s">
        <v>681</v>
      </c>
      <c r="L662" s="64" t="s">
        <v>682</v>
      </c>
      <c r="M662" s="64" t="s">
        <v>297</v>
      </c>
      <c r="N662" s="64" t="s">
        <v>2625</v>
      </c>
      <c r="O662" s="64" t="s">
        <v>683</v>
      </c>
      <c r="P662" s="69"/>
      <c r="Q662" s="69"/>
      <c r="R662" s="64"/>
      <c r="S662" s="65"/>
      <c r="T662" s="194"/>
      <c r="U662" s="155">
        <v>0</v>
      </c>
      <c r="V662" s="155"/>
      <c r="W662" s="155">
        <v>0</v>
      </c>
      <c r="X662" s="1132">
        <v>0</v>
      </c>
      <c r="Y662" s="155">
        <v>0</v>
      </c>
      <c r="Z662" s="155">
        <v>0</v>
      </c>
      <c r="AA662" s="1132">
        <v>0</v>
      </c>
      <c r="AB662" s="155">
        <v>0</v>
      </c>
      <c r="AC662" s="155">
        <v>0</v>
      </c>
      <c r="AD662" s="1132">
        <v>0</v>
      </c>
      <c r="AE662" s="155">
        <v>0</v>
      </c>
      <c r="AF662" s="155">
        <v>0</v>
      </c>
      <c r="AG662" s="1132">
        <v>0</v>
      </c>
      <c r="AH662" s="505">
        <f t="shared" si="117"/>
        <v>0</v>
      </c>
      <c r="AI662" s="132"/>
      <c r="AJ662" s="75">
        <f t="shared" si="116"/>
        <v>0</v>
      </c>
      <c r="AK662" s="75"/>
      <c r="AL662" s="75"/>
      <c r="AM662" s="75"/>
      <c r="AN662" s="64" t="s">
        <v>39</v>
      </c>
      <c r="AO662" s="64"/>
      <c r="AP662" s="64"/>
      <c r="AQ662" s="189"/>
      <c r="AR662" s="64"/>
      <c r="AS662" s="476"/>
      <c r="AT662" s="64"/>
      <c r="AU662" s="646"/>
      <c r="AV662" s="259" t="s">
        <v>684</v>
      </c>
      <c r="AW662" s="185" t="s">
        <v>127</v>
      </c>
    </row>
    <row r="663" spans="1:51" ht="60" hidden="1" outlineLevel="2" x14ac:dyDescent="0.25">
      <c r="A663" s="958" t="str">
        <f t="shared" si="100"/>
        <v>1.4.1.1.17.58-64</v>
      </c>
      <c r="B663" s="229">
        <v>1</v>
      </c>
      <c r="C663" s="229">
        <v>4</v>
      </c>
      <c r="D663" s="229">
        <v>1</v>
      </c>
      <c r="E663" s="229">
        <v>1</v>
      </c>
      <c r="F663" s="229">
        <v>17</v>
      </c>
      <c r="G663" s="229" t="s">
        <v>64</v>
      </c>
      <c r="H663" s="951"/>
      <c r="I663" s="951"/>
      <c r="J663" s="959"/>
      <c r="K663" s="951" t="s">
        <v>685</v>
      </c>
      <c r="L663" s="229" t="s">
        <v>246</v>
      </c>
      <c r="M663" s="229" t="s">
        <v>144</v>
      </c>
      <c r="N663" s="64" t="s">
        <v>265</v>
      </c>
      <c r="O663" s="64" t="s">
        <v>686</v>
      </c>
      <c r="P663" s="69">
        <v>44586</v>
      </c>
      <c r="Q663" s="69">
        <v>44920</v>
      </c>
      <c r="R663" s="64">
        <v>12</v>
      </c>
      <c r="S663" s="65" t="s">
        <v>267</v>
      </c>
      <c r="T663" s="194">
        <v>3</v>
      </c>
      <c r="U663" s="155">
        <v>0</v>
      </c>
      <c r="V663" s="155"/>
      <c r="W663" s="155">
        <v>0</v>
      </c>
      <c r="X663" s="1132">
        <v>0</v>
      </c>
      <c r="Y663" s="155">
        <v>0</v>
      </c>
      <c r="Z663" s="155">
        <v>0</v>
      </c>
      <c r="AA663" s="1132">
        <v>0</v>
      </c>
      <c r="AB663" s="155">
        <v>0</v>
      </c>
      <c r="AC663" s="155">
        <v>0</v>
      </c>
      <c r="AD663" s="1132">
        <v>0</v>
      </c>
      <c r="AE663" s="155">
        <v>0</v>
      </c>
      <c r="AF663" s="155">
        <v>0</v>
      </c>
      <c r="AG663" s="1132">
        <v>0</v>
      </c>
      <c r="AH663" s="505">
        <f t="shared" si="117"/>
        <v>0</v>
      </c>
      <c r="AI663" s="132"/>
      <c r="AJ663" s="75">
        <f t="shared" si="116"/>
        <v>0</v>
      </c>
      <c r="AK663" s="233"/>
      <c r="AL663" s="233"/>
      <c r="AM663" s="233"/>
      <c r="AN663" s="64" t="s">
        <v>181</v>
      </c>
      <c r="AO663" s="64" t="s">
        <v>649</v>
      </c>
      <c r="AP663" s="64" t="s">
        <v>649</v>
      </c>
      <c r="AQ663" s="533" t="s">
        <v>649</v>
      </c>
      <c r="AR663" s="554">
        <v>44562</v>
      </c>
      <c r="AS663" s="554">
        <v>44926</v>
      </c>
      <c r="AT663" s="64" t="s">
        <v>1814</v>
      </c>
      <c r="AU663" s="1043"/>
      <c r="AV663" s="951"/>
      <c r="AW663" s="446" t="s">
        <v>2158</v>
      </c>
    </row>
    <row r="664" spans="1:51" s="153" customFormat="1" ht="26.25" customHeight="1" outlineLevel="1" collapsed="1" x14ac:dyDescent="0.25">
      <c r="A664" s="148" t="str">
        <f t="shared" si="100"/>
        <v>1.4.1.2.0.0</v>
      </c>
      <c r="B664" s="82">
        <v>1</v>
      </c>
      <c r="C664" s="82">
        <v>4</v>
      </c>
      <c r="D664" s="82">
        <v>1</v>
      </c>
      <c r="E664" s="82">
        <v>2</v>
      </c>
      <c r="F664" s="82">
        <v>0</v>
      </c>
      <c r="G664" s="82">
        <v>0</v>
      </c>
      <c r="H664" s="149"/>
      <c r="I664" s="149"/>
      <c r="J664" s="1260" t="s">
        <v>687</v>
      </c>
      <c r="K664" s="1259"/>
      <c r="L664" s="82" t="s">
        <v>72</v>
      </c>
      <c r="M664" s="82" t="s">
        <v>688</v>
      </c>
      <c r="N664" s="82" t="s">
        <v>689</v>
      </c>
      <c r="O664" s="82" t="s">
        <v>359</v>
      </c>
      <c r="P664" s="82"/>
      <c r="Q664" s="82"/>
      <c r="R664" s="82"/>
      <c r="S664" s="149"/>
      <c r="T664" s="193"/>
      <c r="U664" s="379">
        <f>+SUM(U665:U692)</f>
        <v>0</v>
      </c>
      <c r="V664" s="379"/>
      <c r="W664" s="379">
        <f t="shared" ref="W664:AH664" si="118">+SUM(W665:W692)</f>
        <v>0</v>
      </c>
      <c r="X664" s="1130">
        <f t="shared" si="118"/>
        <v>0</v>
      </c>
      <c r="Y664" s="379">
        <f t="shared" si="118"/>
        <v>0</v>
      </c>
      <c r="Z664" s="379">
        <f t="shared" si="118"/>
        <v>0</v>
      </c>
      <c r="AA664" s="1130">
        <f t="shared" si="118"/>
        <v>0</v>
      </c>
      <c r="AB664" s="379">
        <f t="shared" si="118"/>
        <v>0</v>
      </c>
      <c r="AC664" s="379">
        <f t="shared" si="118"/>
        <v>0</v>
      </c>
      <c r="AD664" s="1130">
        <f t="shared" si="118"/>
        <v>0</v>
      </c>
      <c r="AE664" s="379">
        <f t="shared" si="118"/>
        <v>0</v>
      </c>
      <c r="AF664" s="379">
        <f t="shared" si="118"/>
        <v>0</v>
      </c>
      <c r="AG664" s="1130">
        <f t="shared" si="118"/>
        <v>0</v>
      </c>
      <c r="AH664" s="379">
        <f t="shared" si="118"/>
        <v>0</v>
      </c>
      <c r="AI664" s="512">
        <f>+SUM(AI665:AI692)</f>
        <v>0</v>
      </c>
      <c r="AJ664" s="512">
        <f>+SUM(AJ665:AJ692)</f>
        <v>0</v>
      </c>
      <c r="AK664" s="152"/>
      <c r="AL664" s="152"/>
      <c r="AM664" s="152"/>
      <c r="AN664" s="82" t="s">
        <v>39</v>
      </c>
      <c r="AO664" s="82"/>
      <c r="AP664" s="82"/>
      <c r="AQ664" s="365"/>
      <c r="AR664" s="82"/>
      <c r="AS664" s="483"/>
      <c r="AT664" s="82"/>
      <c r="AU664" s="666"/>
      <c r="AV664" s="379">
        <f t="shared" ref="AV664" si="119">+SUM(AV665:AV692)</f>
        <v>0</v>
      </c>
      <c r="AW664" s="444"/>
    </row>
    <row r="665" spans="1:51" ht="32.450000000000003" hidden="1" customHeight="1" outlineLevel="2" x14ac:dyDescent="0.25">
      <c r="A665" s="63" t="str">
        <f t="shared" si="100"/>
        <v>1.4.1.2.1.58</v>
      </c>
      <c r="B665" s="64">
        <v>1</v>
      </c>
      <c r="C665" s="64">
        <v>4</v>
      </c>
      <c r="D665" s="64">
        <v>1</v>
      </c>
      <c r="E665" s="64">
        <v>2</v>
      </c>
      <c r="F665" s="64">
        <v>1</v>
      </c>
      <c r="G665" s="64">
        <v>58</v>
      </c>
      <c r="H665" s="65"/>
      <c r="I665" s="65"/>
      <c r="J665" s="65"/>
      <c r="K665" s="125" t="s">
        <v>690</v>
      </c>
      <c r="L665" s="64" t="s">
        <v>72</v>
      </c>
      <c r="M665" s="64" t="s">
        <v>73</v>
      </c>
      <c r="N665" s="64" t="s">
        <v>74</v>
      </c>
      <c r="O665" s="64" t="s">
        <v>359</v>
      </c>
      <c r="P665" s="69"/>
      <c r="Q665" s="69"/>
      <c r="R665" s="1331">
        <v>40</v>
      </c>
      <c r="S665" s="65" t="s">
        <v>73</v>
      </c>
      <c r="T665" s="194">
        <v>0</v>
      </c>
      <c r="U665" s="75">
        <v>0</v>
      </c>
      <c r="V665" s="75"/>
      <c r="W665" s="75">
        <v>0</v>
      </c>
      <c r="X665" s="1122">
        <v>0</v>
      </c>
      <c r="Y665" s="75">
        <v>0</v>
      </c>
      <c r="Z665" s="75">
        <v>0</v>
      </c>
      <c r="AA665" s="1122">
        <v>0</v>
      </c>
      <c r="AB665" s="75">
        <v>0</v>
      </c>
      <c r="AC665" s="75">
        <v>0</v>
      </c>
      <c r="AD665" s="1122">
        <v>0</v>
      </c>
      <c r="AE665" s="75">
        <v>0</v>
      </c>
      <c r="AF665" s="75">
        <v>0</v>
      </c>
      <c r="AG665" s="1122">
        <v>0</v>
      </c>
      <c r="AH665" s="505">
        <f>+U665+Y665+AB665+AE665</f>
        <v>0</v>
      </c>
      <c r="AI665" s="132"/>
      <c r="AJ665" s="75">
        <f t="shared" ref="AJ665:AJ692" si="120">+W666+Z666+AC666+AF666</f>
        <v>0</v>
      </c>
      <c r="AK665" s="75"/>
      <c r="AL665" s="75"/>
      <c r="AM665" s="75"/>
      <c r="AN665" s="64" t="s">
        <v>39</v>
      </c>
      <c r="AO665" s="64"/>
      <c r="AP665" s="64"/>
      <c r="AQ665" s="189"/>
      <c r="AR665" s="64"/>
      <c r="AS665" s="476"/>
      <c r="AT665" s="64"/>
      <c r="AU665" s="646"/>
      <c r="AV665" s="343" t="s">
        <v>691</v>
      </c>
      <c r="AW665" s="185"/>
    </row>
    <row r="666" spans="1:51" ht="32.450000000000003" hidden="1" customHeight="1" outlineLevel="2" x14ac:dyDescent="0.25">
      <c r="A666" s="63" t="str">
        <f t="shared" si="100"/>
        <v>1.4.1.2.1.59</v>
      </c>
      <c r="B666" s="64">
        <v>1</v>
      </c>
      <c r="C666" s="64">
        <v>4</v>
      </c>
      <c r="D666" s="64">
        <v>1</v>
      </c>
      <c r="E666" s="64">
        <v>2</v>
      </c>
      <c r="F666" s="64">
        <v>1</v>
      </c>
      <c r="G666" s="64">
        <v>59</v>
      </c>
      <c r="H666" s="65"/>
      <c r="I666" s="65"/>
      <c r="J666" s="65"/>
      <c r="K666" s="125" t="s">
        <v>692</v>
      </c>
      <c r="L666" s="64" t="s">
        <v>72</v>
      </c>
      <c r="M666" s="64" t="s">
        <v>73</v>
      </c>
      <c r="N666" s="64" t="s">
        <v>74</v>
      </c>
      <c r="O666" s="64" t="s">
        <v>359</v>
      </c>
      <c r="P666" s="69"/>
      <c r="Q666" s="69"/>
      <c r="R666" s="1332"/>
      <c r="S666" s="65"/>
      <c r="T666" s="194"/>
      <c r="U666" s="75">
        <v>0</v>
      </c>
      <c r="V666" s="75"/>
      <c r="W666" s="75">
        <v>0</v>
      </c>
      <c r="X666" s="1122">
        <v>0</v>
      </c>
      <c r="Y666" s="75">
        <v>0</v>
      </c>
      <c r="Z666" s="75">
        <v>0</v>
      </c>
      <c r="AA666" s="1122">
        <v>0</v>
      </c>
      <c r="AB666" s="75">
        <v>0</v>
      </c>
      <c r="AC666" s="75">
        <v>0</v>
      </c>
      <c r="AD666" s="1122">
        <v>0</v>
      </c>
      <c r="AE666" s="75">
        <v>0</v>
      </c>
      <c r="AF666" s="75">
        <v>0</v>
      </c>
      <c r="AG666" s="1122">
        <v>0</v>
      </c>
      <c r="AH666" s="505">
        <f t="shared" ref="AH666:AH692" si="121">+U666+Y666+AB666+AE666</f>
        <v>0</v>
      </c>
      <c r="AI666" s="132"/>
      <c r="AJ666" s="75">
        <f t="shared" si="120"/>
        <v>0</v>
      </c>
      <c r="AK666" s="75"/>
      <c r="AL666" s="75"/>
      <c r="AM666" s="75"/>
      <c r="AN666" s="64" t="s">
        <v>39</v>
      </c>
      <c r="AO666" s="64"/>
      <c r="AP666" s="64"/>
      <c r="AQ666" s="189"/>
      <c r="AR666" s="64"/>
      <c r="AS666" s="476"/>
      <c r="AT666" s="64"/>
      <c r="AU666" s="646"/>
      <c r="AV666" s="343"/>
      <c r="AW666" s="185"/>
    </row>
    <row r="667" spans="1:51" ht="32.450000000000003" hidden="1" customHeight="1" outlineLevel="2" x14ac:dyDescent="0.25">
      <c r="A667" s="63" t="str">
        <f t="shared" si="100"/>
        <v>1.4.1.2.1.60</v>
      </c>
      <c r="B667" s="64">
        <v>1</v>
      </c>
      <c r="C667" s="64">
        <v>4</v>
      </c>
      <c r="D667" s="64">
        <v>1</v>
      </c>
      <c r="E667" s="64">
        <v>2</v>
      </c>
      <c r="F667" s="64">
        <v>1</v>
      </c>
      <c r="G667" s="64">
        <v>60</v>
      </c>
      <c r="H667" s="65"/>
      <c r="I667" s="65"/>
      <c r="J667" s="65"/>
      <c r="K667" s="125" t="s">
        <v>693</v>
      </c>
      <c r="L667" s="64" t="s">
        <v>72</v>
      </c>
      <c r="M667" s="64" t="s">
        <v>73</v>
      </c>
      <c r="N667" s="64" t="s">
        <v>74</v>
      </c>
      <c r="O667" s="64" t="s">
        <v>359</v>
      </c>
      <c r="P667" s="69"/>
      <c r="Q667" s="69"/>
      <c r="R667" s="1332"/>
      <c r="S667" s="65"/>
      <c r="T667" s="194"/>
      <c r="U667" s="75">
        <v>0</v>
      </c>
      <c r="V667" s="75"/>
      <c r="W667" s="75">
        <v>0</v>
      </c>
      <c r="X667" s="1122">
        <v>0</v>
      </c>
      <c r="Y667" s="75">
        <v>0</v>
      </c>
      <c r="Z667" s="75">
        <v>0</v>
      </c>
      <c r="AA667" s="1122">
        <v>0</v>
      </c>
      <c r="AB667" s="75">
        <v>0</v>
      </c>
      <c r="AC667" s="75">
        <v>0</v>
      </c>
      <c r="AD667" s="1122">
        <v>0</v>
      </c>
      <c r="AE667" s="75">
        <v>0</v>
      </c>
      <c r="AF667" s="75">
        <v>0</v>
      </c>
      <c r="AG667" s="1122">
        <v>0</v>
      </c>
      <c r="AH667" s="505">
        <f t="shared" si="121"/>
        <v>0</v>
      </c>
      <c r="AI667" s="132"/>
      <c r="AJ667" s="75">
        <f t="shared" si="120"/>
        <v>0</v>
      </c>
      <c r="AK667" s="75"/>
      <c r="AL667" s="75"/>
      <c r="AM667" s="75"/>
      <c r="AN667" s="64" t="s">
        <v>39</v>
      </c>
      <c r="AO667" s="64"/>
      <c r="AP667" s="64"/>
      <c r="AQ667" s="189"/>
      <c r="AR667" s="64"/>
      <c r="AS667" s="476"/>
      <c r="AT667" s="64"/>
      <c r="AU667" s="646"/>
      <c r="AV667" s="343"/>
      <c r="AW667" s="185"/>
    </row>
    <row r="668" spans="1:51" ht="32.450000000000003" hidden="1" customHeight="1" outlineLevel="2" x14ac:dyDescent="0.25">
      <c r="A668" s="63" t="str">
        <f t="shared" si="100"/>
        <v>1.4.1.2.1.61</v>
      </c>
      <c r="B668" s="64">
        <v>1</v>
      </c>
      <c r="C668" s="64">
        <v>4</v>
      </c>
      <c r="D668" s="64">
        <v>1</v>
      </c>
      <c r="E668" s="64">
        <v>2</v>
      </c>
      <c r="F668" s="64">
        <v>1</v>
      </c>
      <c r="G668" s="64">
        <v>61</v>
      </c>
      <c r="H668" s="65"/>
      <c r="I668" s="65"/>
      <c r="J668" s="65"/>
      <c r="K668" s="125" t="s">
        <v>694</v>
      </c>
      <c r="L668" s="64" t="s">
        <v>72</v>
      </c>
      <c r="M668" s="64" t="s">
        <v>73</v>
      </c>
      <c r="N668" s="64" t="s">
        <v>74</v>
      </c>
      <c r="O668" s="64" t="s">
        <v>359</v>
      </c>
      <c r="P668" s="69"/>
      <c r="Q668" s="69"/>
      <c r="R668" s="1332"/>
      <c r="S668" s="65"/>
      <c r="T668" s="194"/>
      <c r="U668" s="75">
        <v>0</v>
      </c>
      <c r="V668" s="75"/>
      <c r="W668" s="75">
        <v>0</v>
      </c>
      <c r="X668" s="1122">
        <v>0</v>
      </c>
      <c r="Y668" s="75">
        <v>0</v>
      </c>
      <c r="Z668" s="75">
        <v>0</v>
      </c>
      <c r="AA668" s="1122">
        <v>0</v>
      </c>
      <c r="AB668" s="75">
        <v>0</v>
      </c>
      <c r="AC668" s="75">
        <v>0</v>
      </c>
      <c r="AD668" s="1122">
        <v>0</v>
      </c>
      <c r="AE668" s="75">
        <v>0</v>
      </c>
      <c r="AF668" s="75">
        <v>0</v>
      </c>
      <c r="AG668" s="1122">
        <v>0</v>
      </c>
      <c r="AH668" s="505">
        <f t="shared" si="121"/>
        <v>0</v>
      </c>
      <c r="AI668" s="132"/>
      <c r="AJ668" s="75">
        <f t="shared" si="120"/>
        <v>0</v>
      </c>
      <c r="AK668" s="75"/>
      <c r="AL668" s="75"/>
      <c r="AM668" s="75"/>
      <c r="AN668" s="64" t="s">
        <v>39</v>
      </c>
      <c r="AO668" s="64"/>
      <c r="AP668" s="64"/>
      <c r="AQ668" s="189"/>
      <c r="AR668" s="64"/>
      <c r="AS668" s="476"/>
      <c r="AT668" s="64"/>
      <c r="AU668" s="646"/>
      <c r="AV668" s="343"/>
      <c r="AW668" s="185"/>
    </row>
    <row r="669" spans="1:51" ht="32.450000000000003" hidden="1" customHeight="1" outlineLevel="2" x14ac:dyDescent="0.25">
      <c r="A669" s="63" t="str">
        <f t="shared" si="100"/>
        <v>1.4.1.2.1.62</v>
      </c>
      <c r="B669" s="64">
        <v>1</v>
      </c>
      <c r="C669" s="64">
        <v>4</v>
      </c>
      <c r="D669" s="64">
        <v>1</v>
      </c>
      <c r="E669" s="64">
        <v>2</v>
      </c>
      <c r="F669" s="64">
        <v>1</v>
      </c>
      <c r="G669" s="64">
        <v>62</v>
      </c>
      <c r="H669" s="65"/>
      <c r="I669" s="65"/>
      <c r="J669" s="65"/>
      <c r="K669" s="125" t="s">
        <v>1754</v>
      </c>
      <c r="L669" s="64" t="s">
        <v>72</v>
      </c>
      <c r="M669" s="64" t="s">
        <v>73</v>
      </c>
      <c r="N669" s="64" t="s">
        <v>74</v>
      </c>
      <c r="O669" s="64" t="s">
        <v>359</v>
      </c>
      <c r="P669" s="69"/>
      <c r="Q669" s="69"/>
      <c r="R669" s="1332"/>
      <c r="S669" s="65"/>
      <c r="T669" s="194"/>
      <c r="U669" s="75">
        <v>0</v>
      </c>
      <c r="V669" s="75"/>
      <c r="W669" s="75">
        <v>0</v>
      </c>
      <c r="X669" s="1122">
        <v>0</v>
      </c>
      <c r="Y669" s="75">
        <v>0</v>
      </c>
      <c r="Z669" s="75">
        <v>0</v>
      </c>
      <c r="AA669" s="1122">
        <v>0</v>
      </c>
      <c r="AB669" s="75">
        <v>0</v>
      </c>
      <c r="AC669" s="75">
        <v>0</v>
      </c>
      <c r="AD669" s="1122">
        <v>0</v>
      </c>
      <c r="AE669" s="75">
        <v>0</v>
      </c>
      <c r="AF669" s="75">
        <v>0</v>
      </c>
      <c r="AG669" s="1122">
        <v>0</v>
      </c>
      <c r="AH669" s="505">
        <f t="shared" si="121"/>
        <v>0</v>
      </c>
      <c r="AI669" s="132"/>
      <c r="AJ669" s="75">
        <f t="shared" si="120"/>
        <v>0</v>
      </c>
      <c r="AK669" s="75"/>
      <c r="AL669" s="75"/>
      <c r="AM669" s="75"/>
      <c r="AN669" s="64" t="s">
        <v>39</v>
      </c>
      <c r="AO669" s="64"/>
      <c r="AP669" s="64"/>
      <c r="AQ669" s="189"/>
      <c r="AR669" s="64"/>
      <c r="AS669" s="476"/>
      <c r="AT669" s="64"/>
      <c r="AU669" s="646"/>
      <c r="AV669" s="343"/>
      <c r="AW669" s="185"/>
    </row>
    <row r="670" spans="1:51" ht="32.450000000000003" hidden="1" customHeight="1" outlineLevel="2" x14ac:dyDescent="0.25">
      <c r="A670" s="63" t="str">
        <f t="shared" si="100"/>
        <v>1.4.1.2.1.63</v>
      </c>
      <c r="B670" s="64">
        <v>1</v>
      </c>
      <c r="C670" s="64">
        <v>4</v>
      </c>
      <c r="D670" s="64">
        <v>1</v>
      </c>
      <c r="E670" s="64">
        <v>2</v>
      </c>
      <c r="F670" s="64">
        <v>1</v>
      </c>
      <c r="G670" s="64">
        <v>63</v>
      </c>
      <c r="H670" s="65"/>
      <c r="I670" s="65"/>
      <c r="J670" s="65"/>
      <c r="K670" s="125" t="s">
        <v>695</v>
      </c>
      <c r="L670" s="64" t="s">
        <v>72</v>
      </c>
      <c r="M670" s="64" t="s">
        <v>73</v>
      </c>
      <c r="N670" s="64" t="s">
        <v>74</v>
      </c>
      <c r="O670" s="64" t="s">
        <v>359</v>
      </c>
      <c r="P670" s="69"/>
      <c r="Q670" s="69"/>
      <c r="R670" s="1332"/>
      <c r="S670" s="65"/>
      <c r="T670" s="194"/>
      <c r="U670" s="75">
        <v>0</v>
      </c>
      <c r="V670" s="75"/>
      <c r="W670" s="75">
        <v>0</v>
      </c>
      <c r="X670" s="1122">
        <v>0</v>
      </c>
      <c r="Y670" s="75">
        <v>0</v>
      </c>
      <c r="Z670" s="75">
        <v>0</v>
      </c>
      <c r="AA670" s="1122">
        <v>0</v>
      </c>
      <c r="AB670" s="75">
        <v>0</v>
      </c>
      <c r="AC670" s="75">
        <v>0</v>
      </c>
      <c r="AD670" s="1122">
        <v>0</v>
      </c>
      <c r="AE670" s="75">
        <v>0</v>
      </c>
      <c r="AF670" s="75">
        <v>0</v>
      </c>
      <c r="AG670" s="1122">
        <v>0</v>
      </c>
      <c r="AH670" s="505">
        <f t="shared" si="121"/>
        <v>0</v>
      </c>
      <c r="AI670" s="132"/>
      <c r="AJ670" s="75">
        <f t="shared" si="120"/>
        <v>0</v>
      </c>
      <c r="AK670" s="75"/>
      <c r="AL670" s="75"/>
      <c r="AM670" s="75"/>
      <c r="AN670" s="64" t="s">
        <v>39</v>
      </c>
      <c r="AO670" s="64"/>
      <c r="AP670" s="64"/>
      <c r="AQ670" s="189"/>
      <c r="AR670" s="64"/>
      <c r="AS670" s="476"/>
      <c r="AT670" s="64"/>
      <c r="AU670" s="646"/>
      <c r="AV670" s="343"/>
      <c r="AW670" s="185"/>
    </row>
    <row r="671" spans="1:51" ht="32.450000000000003" hidden="1" customHeight="1" outlineLevel="2" x14ac:dyDescent="0.25">
      <c r="A671" s="63" t="str">
        <f t="shared" si="100"/>
        <v>1.4.1.2.1.64</v>
      </c>
      <c r="B671" s="64">
        <v>1</v>
      </c>
      <c r="C671" s="64">
        <v>4</v>
      </c>
      <c r="D671" s="64">
        <v>1</v>
      </c>
      <c r="E671" s="64">
        <v>2</v>
      </c>
      <c r="F671" s="64">
        <v>1</v>
      </c>
      <c r="G671" s="64">
        <v>64</v>
      </c>
      <c r="H671" s="65"/>
      <c r="I671" s="65"/>
      <c r="J671" s="65"/>
      <c r="K671" s="125" t="s">
        <v>696</v>
      </c>
      <c r="L671" s="64" t="s">
        <v>72</v>
      </c>
      <c r="M671" s="64" t="s">
        <v>73</v>
      </c>
      <c r="N671" s="64" t="s">
        <v>74</v>
      </c>
      <c r="O671" s="64" t="s">
        <v>359</v>
      </c>
      <c r="P671" s="69"/>
      <c r="Q671" s="69"/>
      <c r="R671" s="1333"/>
      <c r="S671" s="65"/>
      <c r="T671" s="194"/>
      <c r="U671" s="75">
        <v>0</v>
      </c>
      <c r="V671" s="75"/>
      <c r="W671" s="75">
        <v>0</v>
      </c>
      <c r="X671" s="1122">
        <v>0</v>
      </c>
      <c r="Y671" s="75">
        <v>0</v>
      </c>
      <c r="Z671" s="75">
        <v>0</v>
      </c>
      <c r="AA671" s="1122">
        <v>0</v>
      </c>
      <c r="AB671" s="75">
        <v>0</v>
      </c>
      <c r="AC671" s="75">
        <v>0</v>
      </c>
      <c r="AD671" s="1122">
        <v>0</v>
      </c>
      <c r="AE671" s="75">
        <v>0</v>
      </c>
      <c r="AF671" s="75">
        <v>0</v>
      </c>
      <c r="AG671" s="1122">
        <v>0</v>
      </c>
      <c r="AH671" s="505">
        <f t="shared" si="121"/>
        <v>0</v>
      </c>
      <c r="AI671" s="132"/>
      <c r="AJ671" s="75">
        <f t="shared" si="120"/>
        <v>0</v>
      </c>
      <c r="AK671" s="75"/>
      <c r="AL671" s="75"/>
      <c r="AM671" s="75"/>
      <c r="AN671" s="64" t="s">
        <v>39</v>
      </c>
      <c r="AO671" s="64"/>
      <c r="AP671" s="64"/>
      <c r="AQ671" s="189"/>
      <c r="AR671" s="64"/>
      <c r="AS671" s="476"/>
      <c r="AT671" s="64"/>
      <c r="AU671" s="646"/>
      <c r="AV671" s="343"/>
      <c r="AW671" s="185"/>
    </row>
    <row r="672" spans="1:51" ht="32.450000000000003" hidden="1" customHeight="1" outlineLevel="2" x14ac:dyDescent="0.25">
      <c r="A672" s="63" t="str">
        <f t="shared" si="100"/>
        <v>1.4.1.2.2.58</v>
      </c>
      <c r="B672" s="64">
        <v>1</v>
      </c>
      <c r="C672" s="64">
        <v>4</v>
      </c>
      <c r="D672" s="64">
        <v>1</v>
      </c>
      <c r="E672" s="64">
        <v>2</v>
      </c>
      <c r="F672" s="64">
        <v>2</v>
      </c>
      <c r="G672" s="64">
        <v>58</v>
      </c>
      <c r="H672" s="65"/>
      <c r="I672" s="65"/>
      <c r="J672" s="66"/>
      <c r="K672" s="125" t="s">
        <v>697</v>
      </c>
      <c r="L672" s="64" t="s">
        <v>72</v>
      </c>
      <c r="M672" s="64" t="s">
        <v>73</v>
      </c>
      <c r="N672" s="64" t="s">
        <v>74</v>
      </c>
      <c r="O672" s="64" t="s">
        <v>359</v>
      </c>
      <c r="P672" s="69"/>
      <c r="Q672" s="69"/>
      <c r="R672" s="64"/>
      <c r="S672" s="65"/>
      <c r="T672" s="194"/>
      <c r="U672" s="75">
        <v>0</v>
      </c>
      <c r="V672" s="75"/>
      <c r="W672" s="75">
        <v>0</v>
      </c>
      <c r="X672" s="1122">
        <v>0</v>
      </c>
      <c r="Y672" s="75">
        <v>0</v>
      </c>
      <c r="Z672" s="75">
        <v>0</v>
      </c>
      <c r="AA672" s="1122">
        <v>0</v>
      </c>
      <c r="AB672" s="75">
        <v>0</v>
      </c>
      <c r="AC672" s="75">
        <v>0</v>
      </c>
      <c r="AD672" s="1122">
        <v>0</v>
      </c>
      <c r="AE672" s="75">
        <v>0</v>
      </c>
      <c r="AF672" s="75">
        <v>0</v>
      </c>
      <c r="AG672" s="1122">
        <v>0</v>
      </c>
      <c r="AH672" s="505">
        <f t="shared" si="121"/>
        <v>0</v>
      </c>
      <c r="AI672" s="132"/>
      <c r="AJ672" s="75">
        <f t="shared" si="120"/>
        <v>0</v>
      </c>
      <c r="AK672" s="75"/>
      <c r="AL672" s="75"/>
      <c r="AM672" s="75"/>
      <c r="AN672" s="64" t="s">
        <v>39</v>
      </c>
      <c r="AO672" s="64"/>
      <c r="AP672" s="64"/>
      <c r="AQ672" s="189"/>
      <c r="AR672" s="64"/>
      <c r="AS672" s="476"/>
      <c r="AT672" s="64"/>
      <c r="AU672" s="646"/>
      <c r="AV672" s="259"/>
      <c r="AW672" s="185"/>
    </row>
    <row r="673" spans="1:49" ht="32.450000000000003" hidden="1" customHeight="1" outlineLevel="2" x14ac:dyDescent="0.25">
      <c r="A673" s="63" t="str">
        <f t="shared" si="100"/>
        <v>1.4.1.2.2.59</v>
      </c>
      <c r="B673" s="64">
        <v>1</v>
      </c>
      <c r="C673" s="64">
        <v>4</v>
      </c>
      <c r="D673" s="64">
        <v>1</v>
      </c>
      <c r="E673" s="64">
        <v>2</v>
      </c>
      <c r="F673" s="64">
        <v>2</v>
      </c>
      <c r="G673" s="64">
        <v>59</v>
      </c>
      <c r="H673" s="65"/>
      <c r="I673" s="65"/>
      <c r="J673" s="66"/>
      <c r="K673" s="125" t="s">
        <v>697</v>
      </c>
      <c r="L673" s="64" t="s">
        <v>72</v>
      </c>
      <c r="M673" s="64" t="s">
        <v>73</v>
      </c>
      <c r="N673" s="64" t="s">
        <v>74</v>
      </c>
      <c r="O673" s="64" t="s">
        <v>359</v>
      </c>
      <c r="P673" s="69"/>
      <c r="Q673" s="69"/>
      <c r="R673" s="64"/>
      <c r="S673" s="65"/>
      <c r="T673" s="194"/>
      <c r="U673" s="75">
        <v>0</v>
      </c>
      <c r="V673" s="75"/>
      <c r="W673" s="75">
        <v>0</v>
      </c>
      <c r="X673" s="1122">
        <v>0</v>
      </c>
      <c r="Y673" s="75">
        <v>0</v>
      </c>
      <c r="Z673" s="75">
        <v>0</v>
      </c>
      <c r="AA673" s="1122">
        <v>0</v>
      </c>
      <c r="AB673" s="75">
        <v>0</v>
      </c>
      <c r="AC673" s="75">
        <v>0</v>
      </c>
      <c r="AD673" s="1122">
        <v>0</v>
      </c>
      <c r="AE673" s="75">
        <v>0</v>
      </c>
      <c r="AF673" s="75">
        <v>0</v>
      </c>
      <c r="AG673" s="1122">
        <v>0</v>
      </c>
      <c r="AH673" s="505">
        <f t="shared" si="121"/>
        <v>0</v>
      </c>
      <c r="AI673" s="132"/>
      <c r="AJ673" s="75">
        <f t="shared" si="120"/>
        <v>0</v>
      </c>
      <c r="AK673" s="75"/>
      <c r="AL673" s="75"/>
      <c r="AM673" s="75"/>
      <c r="AN673" s="64" t="s">
        <v>39</v>
      </c>
      <c r="AO673" s="64"/>
      <c r="AP673" s="64"/>
      <c r="AQ673" s="189"/>
      <c r="AR673" s="64"/>
      <c r="AS673" s="476"/>
      <c r="AT673" s="64"/>
      <c r="AU673" s="646"/>
      <c r="AV673" s="259"/>
      <c r="AW673" s="185"/>
    </row>
    <row r="674" spans="1:49" ht="32.450000000000003" hidden="1" customHeight="1" outlineLevel="2" x14ac:dyDescent="0.25">
      <c r="A674" s="63" t="str">
        <f t="shared" si="100"/>
        <v>1.4.1.2.2.60</v>
      </c>
      <c r="B674" s="64">
        <v>1</v>
      </c>
      <c r="C674" s="64">
        <v>4</v>
      </c>
      <c r="D674" s="64">
        <v>1</v>
      </c>
      <c r="E674" s="64">
        <v>2</v>
      </c>
      <c r="F674" s="64">
        <v>2</v>
      </c>
      <c r="G674" s="64">
        <v>60</v>
      </c>
      <c r="H674" s="65"/>
      <c r="I674" s="65"/>
      <c r="J674" s="66"/>
      <c r="K674" s="125" t="s">
        <v>697</v>
      </c>
      <c r="L674" s="64" t="s">
        <v>72</v>
      </c>
      <c r="M674" s="64" t="s">
        <v>73</v>
      </c>
      <c r="N674" s="64" t="s">
        <v>74</v>
      </c>
      <c r="O674" s="64" t="s">
        <v>359</v>
      </c>
      <c r="P674" s="69"/>
      <c r="Q674" s="69"/>
      <c r="R674" s="64"/>
      <c r="S674" s="65"/>
      <c r="T674" s="194"/>
      <c r="U674" s="75">
        <v>0</v>
      </c>
      <c r="V674" s="75"/>
      <c r="W674" s="75">
        <v>0</v>
      </c>
      <c r="X674" s="1122">
        <v>0</v>
      </c>
      <c r="Y674" s="75">
        <v>0</v>
      </c>
      <c r="Z674" s="75">
        <v>0</v>
      </c>
      <c r="AA674" s="1122">
        <v>0</v>
      </c>
      <c r="AB674" s="75">
        <v>0</v>
      </c>
      <c r="AC674" s="75">
        <v>0</v>
      </c>
      <c r="AD674" s="1122">
        <v>0</v>
      </c>
      <c r="AE674" s="75">
        <v>0</v>
      </c>
      <c r="AF674" s="75">
        <v>0</v>
      </c>
      <c r="AG674" s="1122">
        <v>0</v>
      </c>
      <c r="AH674" s="505">
        <f t="shared" si="121"/>
        <v>0</v>
      </c>
      <c r="AI674" s="132"/>
      <c r="AJ674" s="75">
        <f t="shared" si="120"/>
        <v>0</v>
      </c>
      <c r="AK674" s="75"/>
      <c r="AL674" s="75"/>
      <c r="AM674" s="75"/>
      <c r="AN674" s="64" t="s">
        <v>39</v>
      </c>
      <c r="AO674" s="64"/>
      <c r="AP674" s="64"/>
      <c r="AQ674" s="189"/>
      <c r="AR674" s="64"/>
      <c r="AS674" s="476"/>
      <c r="AT674" s="64"/>
      <c r="AU674" s="646"/>
      <c r="AV674" s="259"/>
      <c r="AW674" s="185"/>
    </row>
    <row r="675" spans="1:49" ht="32.450000000000003" hidden="1" customHeight="1" outlineLevel="2" x14ac:dyDescent="0.25">
      <c r="A675" s="63" t="str">
        <f t="shared" si="100"/>
        <v>1.4.1.2.2.61</v>
      </c>
      <c r="B675" s="64">
        <v>1</v>
      </c>
      <c r="C675" s="64">
        <v>4</v>
      </c>
      <c r="D675" s="64">
        <v>1</v>
      </c>
      <c r="E675" s="64">
        <v>2</v>
      </c>
      <c r="F675" s="64">
        <v>2</v>
      </c>
      <c r="G675" s="64">
        <v>61</v>
      </c>
      <c r="H675" s="65"/>
      <c r="I675" s="65"/>
      <c r="J675" s="66"/>
      <c r="K675" s="125" t="s">
        <v>697</v>
      </c>
      <c r="L675" s="64" t="s">
        <v>72</v>
      </c>
      <c r="M675" s="64" t="s">
        <v>73</v>
      </c>
      <c r="N675" s="64" t="s">
        <v>74</v>
      </c>
      <c r="O675" s="64" t="s">
        <v>359</v>
      </c>
      <c r="P675" s="69"/>
      <c r="Q675" s="69"/>
      <c r="R675" s="64"/>
      <c r="S675" s="65"/>
      <c r="T675" s="194"/>
      <c r="U675" s="75">
        <v>0</v>
      </c>
      <c r="V675" s="75"/>
      <c r="W675" s="75">
        <v>0</v>
      </c>
      <c r="X675" s="1122">
        <v>0</v>
      </c>
      <c r="Y675" s="75">
        <v>0</v>
      </c>
      <c r="Z675" s="75">
        <v>0</v>
      </c>
      <c r="AA675" s="1122">
        <v>0</v>
      </c>
      <c r="AB675" s="75">
        <v>0</v>
      </c>
      <c r="AC675" s="75">
        <v>0</v>
      </c>
      <c r="AD675" s="1122">
        <v>0</v>
      </c>
      <c r="AE675" s="75">
        <v>0</v>
      </c>
      <c r="AF675" s="75">
        <v>0</v>
      </c>
      <c r="AG675" s="1122">
        <v>0</v>
      </c>
      <c r="AH675" s="505">
        <f t="shared" si="121"/>
        <v>0</v>
      </c>
      <c r="AI675" s="132"/>
      <c r="AJ675" s="75">
        <f t="shared" si="120"/>
        <v>0</v>
      </c>
      <c r="AK675" s="75"/>
      <c r="AL675" s="75"/>
      <c r="AM675" s="75"/>
      <c r="AN675" s="64" t="s">
        <v>39</v>
      </c>
      <c r="AO675" s="64"/>
      <c r="AP675" s="64"/>
      <c r="AQ675" s="189"/>
      <c r="AR675" s="64"/>
      <c r="AS675" s="476"/>
      <c r="AT675" s="64"/>
      <c r="AU675" s="646"/>
      <c r="AV675" s="259"/>
      <c r="AW675" s="185"/>
    </row>
    <row r="676" spans="1:49" ht="32.450000000000003" hidden="1" customHeight="1" outlineLevel="2" x14ac:dyDescent="0.25">
      <c r="A676" s="63" t="str">
        <f t="shared" si="100"/>
        <v>1.4.1.2.2.62</v>
      </c>
      <c r="B676" s="64">
        <v>1</v>
      </c>
      <c r="C676" s="64">
        <v>4</v>
      </c>
      <c r="D676" s="64">
        <v>1</v>
      </c>
      <c r="E676" s="64">
        <v>2</v>
      </c>
      <c r="F676" s="64">
        <v>2</v>
      </c>
      <c r="G676" s="64">
        <v>62</v>
      </c>
      <c r="H676" s="65"/>
      <c r="I676" s="65"/>
      <c r="J676" s="66"/>
      <c r="K676" s="125" t="s">
        <v>697</v>
      </c>
      <c r="L676" s="64" t="s">
        <v>72</v>
      </c>
      <c r="M676" s="64" t="s">
        <v>73</v>
      </c>
      <c r="N676" s="64" t="s">
        <v>74</v>
      </c>
      <c r="O676" s="64" t="s">
        <v>359</v>
      </c>
      <c r="P676" s="69"/>
      <c r="Q676" s="69"/>
      <c r="R676" s="64"/>
      <c r="S676" s="65"/>
      <c r="T676" s="194"/>
      <c r="U676" s="75">
        <v>0</v>
      </c>
      <c r="V676" s="75"/>
      <c r="W676" s="75">
        <v>0</v>
      </c>
      <c r="X676" s="1122">
        <v>0</v>
      </c>
      <c r="Y676" s="75">
        <v>0</v>
      </c>
      <c r="Z676" s="75">
        <v>0</v>
      </c>
      <c r="AA676" s="1122">
        <v>0</v>
      </c>
      <c r="AB676" s="75">
        <v>0</v>
      </c>
      <c r="AC676" s="75">
        <v>0</v>
      </c>
      <c r="AD676" s="1122">
        <v>0</v>
      </c>
      <c r="AE676" s="75">
        <v>0</v>
      </c>
      <c r="AF676" s="75">
        <v>0</v>
      </c>
      <c r="AG676" s="1122">
        <v>0</v>
      </c>
      <c r="AH676" s="505">
        <f t="shared" si="121"/>
        <v>0</v>
      </c>
      <c r="AI676" s="132"/>
      <c r="AJ676" s="75">
        <f t="shared" si="120"/>
        <v>0</v>
      </c>
      <c r="AK676" s="75"/>
      <c r="AL676" s="75"/>
      <c r="AM676" s="75"/>
      <c r="AN676" s="64" t="s">
        <v>39</v>
      </c>
      <c r="AO676" s="64"/>
      <c r="AP676" s="64"/>
      <c r="AQ676" s="189"/>
      <c r="AR676" s="64"/>
      <c r="AS676" s="476"/>
      <c r="AT676" s="64"/>
      <c r="AU676" s="646"/>
      <c r="AV676" s="259"/>
      <c r="AW676" s="185"/>
    </row>
    <row r="677" spans="1:49" ht="32.450000000000003" hidden="1" customHeight="1" outlineLevel="2" x14ac:dyDescent="0.25">
      <c r="A677" s="63" t="str">
        <f t="shared" si="100"/>
        <v>1.4.1.2.2.63</v>
      </c>
      <c r="B677" s="64">
        <v>1</v>
      </c>
      <c r="C677" s="64">
        <v>4</v>
      </c>
      <c r="D677" s="64">
        <v>1</v>
      </c>
      <c r="E677" s="64">
        <v>2</v>
      </c>
      <c r="F677" s="64">
        <v>2</v>
      </c>
      <c r="G677" s="64">
        <v>63</v>
      </c>
      <c r="H677" s="65"/>
      <c r="I677" s="65"/>
      <c r="J677" s="66"/>
      <c r="K677" s="125" t="s">
        <v>697</v>
      </c>
      <c r="L677" s="64" t="s">
        <v>72</v>
      </c>
      <c r="M677" s="64" t="s">
        <v>73</v>
      </c>
      <c r="N677" s="64" t="s">
        <v>74</v>
      </c>
      <c r="O677" s="64" t="s">
        <v>359</v>
      </c>
      <c r="P677" s="69"/>
      <c r="Q677" s="69"/>
      <c r="R677" s="64"/>
      <c r="S677" s="65"/>
      <c r="T677" s="194"/>
      <c r="U677" s="75">
        <v>0</v>
      </c>
      <c r="V677" s="75"/>
      <c r="W677" s="75">
        <v>0</v>
      </c>
      <c r="X677" s="1122">
        <v>0</v>
      </c>
      <c r="Y677" s="75">
        <v>0</v>
      </c>
      <c r="Z677" s="75">
        <v>0</v>
      </c>
      <c r="AA677" s="1122">
        <v>0</v>
      </c>
      <c r="AB677" s="75">
        <v>0</v>
      </c>
      <c r="AC677" s="75">
        <v>0</v>
      </c>
      <c r="AD677" s="1122">
        <v>0</v>
      </c>
      <c r="AE677" s="75">
        <v>0</v>
      </c>
      <c r="AF677" s="75">
        <v>0</v>
      </c>
      <c r="AG677" s="1122">
        <v>0</v>
      </c>
      <c r="AH677" s="505">
        <f t="shared" si="121"/>
        <v>0</v>
      </c>
      <c r="AI677" s="132"/>
      <c r="AJ677" s="75">
        <f t="shared" si="120"/>
        <v>0</v>
      </c>
      <c r="AK677" s="75"/>
      <c r="AL677" s="75"/>
      <c r="AM677" s="75"/>
      <c r="AN677" s="64" t="s">
        <v>39</v>
      </c>
      <c r="AO677" s="64"/>
      <c r="AP677" s="64"/>
      <c r="AQ677" s="189"/>
      <c r="AR677" s="64"/>
      <c r="AS677" s="476"/>
      <c r="AT677" s="64"/>
      <c r="AU677" s="646"/>
      <c r="AV677" s="259"/>
      <c r="AW677" s="185"/>
    </row>
    <row r="678" spans="1:49" ht="32.450000000000003" hidden="1" customHeight="1" outlineLevel="2" x14ac:dyDescent="0.25">
      <c r="A678" s="63" t="str">
        <f t="shared" si="100"/>
        <v>1.4.1.2.2.64</v>
      </c>
      <c r="B678" s="64">
        <v>1</v>
      </c>
      <c r="C678" s="64">
        <v>4</v>
      </c>
      <c r="D678" s="64">
        <v>1</v>
      </c>
      <c r="E678" s="64">
        <v>2</v>
      </c>
      <c r="F678" s="64">
        <v>2</v>
      </c>
      <c r="G678" s="64">
        <v>64</v>
      </c>
      <c r="H678" s="65"/>
      <c r="I678" s="65"/>
      <c r="J678" s="66"/>
      <c r="K678" s="125" t="s">
        <v>697</v>
      </c>
      <c r="L678" s="64" t="s">
        <v>72</v>
      </c>
      <c r="M678" s="64" t="s">
        <v>73</v>
      </c>
      <c r="N678" s="64" t="s">
        <v>74</v>
      </c>
      <c r="O678" s="64" t="s">
        <v>359</v>
      </c>
      <c r="P678" s="69"/>
      <c r="Q678" s="69"/>
      <c r="R678" s="64"/>
      <c r="S678" s="65"/>
      <c r="T678" s="194"/>
      <c r="U678" s="75">
        <v>0</v>
      </c>
      <c r="V678" s="75"/>
      <c r="W678" s="75">
        <v>0</v>
      </c>
      <c r="X678" s="1122">
        <v>0</v>
      </c>
      <c r="Y678" s="75">
        <v>0</v>
      </c>
      <c r="Z678" s="75">
        <v>0</v>
      </c>
      <c r="AA678" s="1122">
        <v>0</v>
      </c>
      <c r="AB678" s="75">
        <v>0</v>
      </c>
      <c r="AC678" s="75">
        <v>0</v>
      </c>
      <c r="AD678" s="1122">
        <v>0</v>
      </c>
      <c r="AE678" s="75">
        <v>0</v>
      </c>
      <c r="AF678" s="75">
        <v>0</v>
      </c>
      <c r="AG678" s="1122">
        <v>0</v>
      </c>
      <c r="AH678" s="505">
        <f t="shared" si="121"/>
        <v>0</v>
      </c>
      <c r="AI678" s="132"/>
      <c r="AJ678" s="75">
        <f t="shared" si="120"/>
        <v>0</v>
      </c>
      <c r="AK678" s="75"/>
      <c r="AL678" s="75"/>
      <c r="AM678" s="75"/>
      <c r="AN678" s="64" t="s">
        <v>39</v>
      </c>
      <c r="AO678" s="64"/>
      <c r="AP678" s="64"/>
      <c r="AQ678" s="189"/>
      <c r="AR678" s="64"/>
      <c r="AS678" s="476"/>
      <c r="AT678" s="64"/>
      <c r="AU678" s="646"/>
      <c r="AV678" s="259"/>
      <c r="AW678" s="185"/>
    </row>
    <row r="679" spans="1:49" ht="32.450000000000003" hidden="1" customHeight="1" outlineLevel="2" x14ac:dyDescent="0.25">
      <c r="A679" s="63" t="str">
        <f t="shared" si="100"/>
        <v>1.4.1.2.3.58</v>
      </c>
      <c r="B679" s="64">
        <v>1</v>
      </c>
      <c r="C679" s="64">
        <v>4</v>
      </c>
      <c r="D679" s="64">
        <v>1</v>
      </c>
      <c r="E679" s="64">
        <v>2</v>
      </c>
      <c r="F679" s="64">
        <v>3</v>
      </c>
      <c r="G679" s="64">
        <v>58</v>
      </c>
      <c r="H679" s="65"/>
      <c r="I679" s="65"/>
      <c r="J679" s="65"/>
      <c r="K679" s="125" t="s">
        <v>698</v>
      </c>
      <c r="L679" s="64" t="s">
        <v>236</v>
      </c>
      <c r="M679" s="64" t="s">
        <v>422</v>
      </c>
      <c r="N679" s="64" t="s">
        <v>699</v>
      </c>
      <c r="O679" s="64" t="s">
        <v>700</v>
      </c>
      <c r="P679" s="69"/>
      <c r="Q679" s="69"/>
      <c r="R679" s="64">
        <v>1</v>
      </c>
      <c r="S679" s="65"/>
      <c r="T679" s="194"/>
      <c r="U679" s="75">
        <v>0</v>
      </c>
      <c r="V679" s="75"/>
      <c r="W679" s="75">
        <v>0</v>
      </c>
      <c r="X679" s="1122">
        <v>0</v>
      </c>
      <c r="Y679" s="75">
        <v>0</v>
      </c>
      <c r="Z679" s="75">
        <v>0</v>
      </c>
      <c r="AA679" s="1122">
        <v>0</v>
      </c>
      <c r="AB679" s="75">
        <v>0</v>
      </c>
      <c r="AC679" s="75">
        <v>0</v>
      </c>
      <c r="AD679" s="1122">
        <v>0</v>
      </c>
      <c r="AE679" s="75">
        <v>0</v>
      </c>
      <c r="AF679" s="75">
        <v>0</v>
      </c>
      <c r="AG679" s="1122">
        <v>0</v>
      </c>
      <c r="AH679" s="505">
        <f t="shared" si="121"/>
        <v>0</v>
      </c>
      <c r="AI679" s="132"/>
      <c r="AJ679" s="75">
        <f t="shared" si="120"/>
        <v>0</v>
      </c>
      <c r="AK679" s="75"/>
      <c r="AL679" s="75"/>
      <c r="AM679" s="75"/>
      <c r="AN679" s="64" t="s">
        <v>39</v>
      </c>
      <c r="AO679" s="64"/>
      <c r="AP679" s="64"/>
      <c r="AQ679" s="189"/>
      <c r="AR679" s="64"/>
      <c r="AS679" s="476"/>
      <c r="AT679" s="64"/>
      <c r="AU679" s="646"/>
      <c r="AV679" s="259"/>
      <c r="AW679" s="185"/>
    </row>
    <row r="680" spans="1:49" ht="32.450000000000003" hidden="1" customHeight="1" outlineLevel="2" x14ac:dyDescent="0.25">
      <c r="A680" s="63" t="str">
        <f t="shared" si="100"/>
        <v>1.4.1.2.3.59</v>
      </c>
      <c r="B680" s="64">
        <v>1</v>
      </c>
      <c r="C680" s="64">
        <v>4</v>
      </c>
      <c r="D680" s="64">
        <v>1</v>
      </c>
      <c r="E680" s="64">
        <v>2</v>
      </c>
      <c r="F680" s="64">
        <v>3</v>
      </c>
      <c r="G680" s="64">
        <v>59</v>
      </c>
      <c r="H680" s="65"/>
      <c r="I680" s="65"/>
      <c r="J680" s="65"/>
      <c r="K680" s="125" t="s">
        <v>698</v>
      </c>
      <c r="L680" s="64" t="s">
        <v>236</v>
      </c>
      <c r="M680" s="64" t="s">
        <v>422</v>
      </c>
      <c r="N680" s="64" t="s">
        <v>699</v>
      </c>
      <c r="O680" s="64" t="s">
        <v>700</v>
      </c>
      <c r="P680" s="69"/>
      <c r="Q680" s="69"/>
      <c r="R680" s="64"/>
      <c r="S680" s="65"/>
      <c r="T680" s="194"/>
      <c r="U680" s="75">
        <v>0</v>
      </c>
      <c r="V680" s="75"/>
      <c r="W680" s="75">
        <v>0</v>
      </c>
      <c r="X680" s="1122">
        <v>0</v>
      </c>
      <c r="Y680" s="75">
        <v>0</v>
      </c>
      <c r="Z680" s="75">
        <v>0</v>
      </c>
      <c r="AA680" s="1122">
        <v>0</v>
      </c>
      <c r="AB680" s="75">
        <v>0</v>
      </c>
      <c r="AC680" s="75">
        <v>0</v>
      </c>
      <c r="AD680" s="1122">
        <v>0</v>
      </c>
      <c r="AE680" s="75">
        <v>0</v>
      </c>
      <c r="AF680" s="75">
        <v>0</v>
      </c>
      <c r="AG680" s="1122">
        <v>0</v>
      </c>
      <c r="AH680" s="505">
        <f t="shared" si="121"/>
        <v>0</v>
      </c>
      <c r="AI680" s="132"/>
      <c r="AJ680" s="75">
        <f t="shared" si="120"/>
        <v>0</v>
      </c>
      <c r="AK680" s="75"/>
      <c r="AL680" s="75"/>
      <c r="AM680" s="75"/>
      <c r="AN680" s="64" t="s">
        <v>39</v>
      </c>
      <c r="AO680" s="64"/>
      <c r="AP680" s="64"/>
      <c r="AQ680" s="189"/>
      <c r="AR680" s="64"/>
      <c r="AS680" s="476"/>
      <c r="AT680" s="64"/>
      <c r="AU680" s="646"/>
      <c r="AV680" s="259"/>
      <c r="AW680" s="185"/>
    </row>
    <row r="681" spans="1:49" ht="32.450000000000003" hidden="1" customHeight="1" outlineLevel="2" x14ac:dyDescent="0.25">
      <c r="A681" s="63" t="str">
        <f t="shared" si="100"/>
        <v>1.4.1.2.3.60</v>
      </c>
      <c r="B681" s="64">
        <v>1</v>
      </c>
      <c r="C681" s="64">
        <v>4</v>
      </c>
      <c r="D681" s="64">
        <v>1</v>
      </c>
      <c r="E681" s="64">
        <v>2</v>
      </c>
      <c r="F681" s="64">
        <v>3</v>
      </c>
      <c r="G681" s="64">
        <v>60</v>
      </c>
      <c r="H681" s="65"/>
      <c r="I681" s="65"/>
      <c r="J681" s="65"/>
      <c r="K681" s="125" t="s">
        <v>698</v>
      </c>
      <c r="L681" s="64" t="s">
        <v>236</v>
      </c>
      <c r="M681" s="64" t="s">
        <v>422</v>
      </c>
      <c r="N681" s="64" t="s">
        <v>699</v>
      </c>
      <c r="O681" s="64" t="s">
        <v>700</v>
      </c>
      <c r="P681" s="69"/>
      <c r="Q681" s="69"/>
      <c r="R681" s="64"/>
      <c r="S681" s="65"/>
      <c r="T681" s="194"/>
      <c r="U681" s="75">
        <v>0</v>
      </c>
      <c r="V681" s="75"/>
      <c r="W681" s="75">
        <v>0</v>
      </c>
      <c r="X681" s="1122">
        <v>0</v>
      </c>
      <c r="Y681" s="75">
        <v>0</v>
      </c>
      <c r="Z681" s="75">
        <v>0</v>
      </c>
      <c r="AA681" s="1122">
        <v>0</v>
      </c>
      <c r="AB681" s="75">
        <v>0</v>
      </c>
      <c r="AC681" s="75">
        <v>0</v>
      </c>
      <c r="AD681" s="1122">
        <v>0</v>
      </c>
      <c r="AE681" s="75">
        <v>0</v>
      </c>
      <c r="AF681" s="75">
        <v>0</v>
      </c>
      <c r="AG681" s="1122">
        <v>0</v>
      </c>
      <c r="AH681" s="505">
        <f t="shared" si="121"/>
        <v>0</v>
      </c>
      <c r="AI681" s="132"/>
      <c r="AJ681" s="75">
        <f t="shared" si="120"/>
        <v>0</v>
      </c>
      <c r="AK681" s="75"/>
      <c r="AL681" s="75"/>
      <c r="AM681" s="75"/>
      <c r="AN681" s="64" t="s">
        <v>39</v>
      </c>
      <c r="AO681" s="64"/>
      <c r="AP681" s="64"/>
      <c r="AQ681" s="189"/>
      <c r="AR681" s="64"/>
      <c r="AS681" s="476"/>
      <c r="AT681" s="64"/>
      <c r="AU681" s="646"/>
      <c r="AV681" s="259"/>
      <c r="AW681" s="185"/>
    </row>
    <row r="682" spans="1:49" ht="32.450000000000003" hidden="1" customHeight="1" outlineLevel="2" x14ac:dyDescent="0.25">
      <c r="A682" s="63" t="str">
        <f t="shared" si="100"/>
        <v>1.4.1.2.3.61</v>
      </c>
      <c r="B682" s="64">
        <v>1</v>
      </c>
      <c r="C682" s="64">
        <v>4</v>
      </c>
      <c r="D682" s="64">
        <v>1</v>
      </c>
      <c r="E682" s="64">
        <v>2</v>
      </c>
      <c r="F682" s="64">
        <v>3</v>
      </c>
      <c r="G682" s="64">
        <v>61</v>
      </c>
      <c r="H682" s="65"/>
      <c r="I682" s="65"/>
      <c r="J682" s="65"/>
      <c r="K682" s="125" t="s">
        <v>698</v>
      </c>
      <c r="L682" s="64" t="s">
        <v>236</v>
      </c>
      <c r="M682" s="64" t="s">
        <v>422</v>
      </c>
      <c r="N682" s="64" t="s">
        <v>699</v>
      </c>
      <c r="O682" s="64" t="s">
        <v>700</v>
      </c>
      <c r="P682" s="69"/>
      <c r="Q682" s="69"/>
      <c r="R682" s="64"/>
      <c r="S682" s="65"/>
      <c r="T682" s="194"/>
      <c r="U682" s="75">
        <v>0</v>
      </c>
      <c r="V682" s="75"/>
      <c r="W682" s="75">
        <v>0</v>
      </c>
      <c r="X682" s="1122">
        <v>0</v>
      </c>
      <c r="Y682" s="75">
        <v>0</v>
      </c>
      <c r="Z682" s="75">
        <v>0</v>
      </c>
      <c r="AA682" s="1122">
        <v>0</v>
      </c>
      <c r="AB682" s="75">
        <v>0</v>
      </c>
      <c r="AC682" s="75">
        <v>0</v>
      </c>
      <c r="AD682" s="1122">
        <v>0</v>
      </c>
      <c r="AE682" s="75">
        <v>0</v>
      </c>
      <c r="AF682" s="75">
        <v>0</v>
      </c>
      <c r="AG682" s="1122">
        <v>0</v>
      </c>
      <c r="AH682" s="505">
        <f t="shared" si="121"/>
        <v>0</v>
      </c>
      <c r="AI682" s="132"/>
      <c r="AJ682" s="75">
        <f t="shared" si="120"/>
        <v>0</v>
      </c>
      <c r="AK682" s="75"/>
      <c r="AL682" s="75"/>
      <c r="AM682" s="75"/>
      <c r="AN682" s="64" t="s">
        <v>39</v>
      </c>
      <c r="AO682" s="64"/>
      <c r="AP682" s="64"/>
      <c r="AQ682" s="189"/>
      <c r="AR682" s="64"/>
      <c r="AS682" s="476"/>
      <c r="AT682" s="64"/>
      <c r="AU682" s="646"/>
      <c r="AV682" s="259"/>
      <c r="AW682" s="185"/>
    </row>
    <row r="683" spans="1:49" ht="32.450000000000003" hidden="1" customHeight="1" outlineLevel="2" x14ac:dyDescent="0.25">
      <c r="A683" s="63" t="str">
        <f t="shared" si="100"/>
        <v>1.4.1.2.3.62</v>
      </c>
      <c r="B683" s="64">
        <v>1</v>
      </c>
      <c r="C683" s="64">
        <v>4</v>
      </c>
      <c r="D683" s="64">
        <v>1</v>
      </c>
      <c r="E683" s="64">
        <v>2</v>
      </c>
      <c r="F683" s="64">
        <v>3</v>
      </c>
      <c r="G683" s="64">
        <v>62</v>
      </c>
      <c r="H683" s="65"/>
      <c r="I683" s="65"/>
      <c r="J683" s="65"/>
      <c r="K683" s="125" t="s">
        <v>698</v>
      </c>
      <c r="L683" s="64" t="s">
        <v>236</v>
      </c>
      <c r="M683" s="64" t="s">
        <v>422</v>
      </c>
      <c r="N683" s="64" t="s">
        <v>699</v>
      </c>
      <c r="O683" s="64" t="s">
        <v>700</v>
      </c>
      <c r="P683" s="69"/>
      <c r="Q683" s="69"/>
      <c r="R683" s="64"/>
      <c r="S683" s="65"/>
      <c r="T683" s="194"/>
      <c r="U683" s="75">
        <v>0</v>
      </c>
      <c r="V683" s="75"/>
      <c r="W683" s="75">
        <v>0</v>
      </c>
      <c r="X683" s="1122">
        <v>0</v>
      </c>
      <c r="Y683" s="75">
        <v>0</v>
      </c>
      <c r="Z683" s="75">
        <v>0</v>
      </c>
      <c r="AA683" s="1122">
        <v>0</v>
      </c>
      <c r="AB683" s="75">
        <v>0</v>
      </c>
      <c r="AC683" s="75">
        <v>0</v>
      </c>
      <c r="AD683" s="1122">
        <v>0</v>
      </c>
      <c r="AE683" s="75">
        <v>0</v>
      </c>
      <c r="AF683" s="75">
        <v>0</v>
      </c>
      <c r="AG683" s="1122">
        <v>0</v>
      </c>
      <c r="AH683" s="505">
        <f t="shared" si="121"/>
        <v>0</v>
      </c>
      <c r="AI683" s="132"/>
      <c r="AJ683" s="75">
        <f t="shared" si="120"/>
        <v>0</v>
      </c>
      <c r="AK683" s="75"/>
      <c r="AL683" s="75"/>
      <c r="AM683" s="75"/>
      <c r="AN683" s="64" t="s">
        <v>39</v>
      </c>
      <c r="AO683" s="64"/>
      <c r="AP683" s="64"/>
      <c r="AQ683" s="189"/>
      <c r="AR683" s="64"/>
      <c r="AS683" s="476"/>
      <c r="AT683" s="64"/>
      <c r="AU683" s="646"/>
      <c r="AV683" s="259"/>
      <c r="AW683" s="185"/>
    </row>
    <row r="684" spans="1:49" ht="32.450000000000003" hidden="1" customHeight="1" outlineLevel="2" x14ac:dyDescent="0.25">
      <c r="A684" s="63" t="str">
        <f t="shared" si="100"/>
        <v>1.4.1.2.3.63</v>
      </c>
      <c r="B684" s="64">
        <v>1</v>
      </c>
      <c r="C684" s="64">
        <v>4</v>
      </c>
      <c r="D684" s="64">
        <v>1</v>
      </c>
      <c r="E684" s="64">
        <v>2</v>
      </c>
      <c r="F684" s="64">
        <v>3</v>
      </c>
      <c r="G684" s="64">
        <v>63</v>
      </c>
      <c r="H684" s="65"/>
      <c r="I684" s="65"/>
      <c r="J684" s="65"/>
      <c r="K684" s="125" t="s">
        <v>698</v>
      </c>
      <c r="L684" s="64" t="s">
        <v>236</v>
      </c>
      <c r="M684" s="64" t="s">
        <v>422</v>
      </c>
      <c r="N684" s="64" t="s">
        <v>699</v>
      </c>
      <c r="O684" s="64" t="s">
        <v>700</v>
      </c>
      <c r="P684" s="69"/>
      <c r="Q684" s="69"/>
      <c r="R684" s="64"/>
      <c r="S684" s="65"/>
      <c r="T684" s="194"/>
      <c r="U684" s="75">
        <v>0</v>
      </c>
      <c r="V684" s="75"/>
      <c r="W684" s="75">
        <v>0</v>
      </c>
      <c r="X684" s="1122">
        <v>0</v>
      </c>
      <c r="Y684" s="75">
        <v>0</v>
      </c>
      <c r="Z684" s="75">
        <v>0</v>
      </c>
      <c r="AA684" s="1122">
        <v>0</v>
      </c>
      <c r="AB684" s="75">
        <v>0</v>
      </c>
      <c r="AC684" s="75">
        <v>0</v>
      </c>
      <c r="AD684" s="1122">
        <v>0</v>
      </c>
      <c r="AE684" s="75">
        <v>0</v>
      </c>
      <c r="AF684" s="75">
        <v>0</v>
      </c>
      <c r="AG684" s="1122">
        <v>0</v>
      </c>
      <c r="AH684" s="505">
        <f t="shared" si="121"/>
        <v>0</v>
      </c>
      <c r="AI684" s="132"/>
      <c r="AJ684" s="75">
        <f t="shared" si="120"/>
        <v>0</v>
      </c>
      <c r="AK684" s="75"/>
      <c r="AL684" s="75"/>
      <c r="AM684" s="75"/>
      <c r="AN684" s="64" t="s">
        <v>39</v>
      </c>
      <c r="AO684" s="64"/>
      <c r="AP684" s="64"/>
      <c r="AQ684" s="189"/>
      <c r="AR684" s="64"/>
      <c r="AS684" s="476"/>
      <c r="AT684" s="64"/>
      <c r="AU684" s="646"/>
      <c r="AV684" s="259"/>
      <c r="AW684" s="185"/>
    </row>
    <row r="685" spans="1:49" ht="32.450000000000003" hidden="1" customHeight="1" outlineLevel="2" x14ac:dyDescent="0.25">
      <c r="A685" s="63" t="str">
        <f t="shared" si="100"/>
        <v>1.4.1.2.3.64</v>
      </c>
      <c r="B685" s="64">
        <v>1</v>
      </c>
      <c r="C685" s="64">
        <v>4</v>
      </c>
      <c r="D685" s="64">
        <v>1</v>
      </c>
      <c r="E685" s="64">
        <v>2</v>
      </c>
      <c r="F685" s="64">
        <v>3</v>
      </c>
      <c r="G685" s="64">
        <v>64</v>
      </c>
      <c r="H685" s="65"/>
      <c r="I685" s="65"/>
      <c r="J685" s="65"/>
      <c r="K685" s="125" t="s">
        <v>698</v>
      </c>
      <c r="L685" s="64" t="s">
        <v>236</v>
      </c>
      <c r="M685" s="64" t="s">
        <v>422</v>
      </c>
      <c r="N685" s="64" t="s">
        <v>699</v>
      </c>
      <c r="O685" s="64" t="s">
        <v>700</v>
      </c>
      <c r="P685" s="69"/>
      <c r="Q685" s="69"/>
      <c r="R685" s="64"/>
      <c r="S685" s="65"/>
      <c r="T685" s="194"/>
      <c r="U685" s="75">
        <v>0</v>
      </c>
      <c r="V685" s="75"/>
      <c r="W685" s="75">
        <v>0</v>
      </c>
      <c r="X685" s="1122">
        <v>0</v>
      </c>
      <c r="Y685" s="75">
        <v>0</v>
      </c>
      <c r="Z685" s="75">
        <v>0</v>
      </c>
      <c r="AA685" s="1122">
        <v>0</v>
      </c>
      <c r="AB685" s="75">
        <v>0</v>
      </c>
      <c r="AC685" s="75">
        <v>0</v>
      </c>
      <c r="AD685" s="1122">
        <v>0</v>
      </c>
      <c r="AE685" s="75">
        <v>0</v>
      </c>
      <c r="AF685" s="75">
        <v>0</v>
      </c>
      <c r="AG685" s="1122">
        <v>0</v>
      </c>
      <c r="AH685" s="505">
        <f t="shared" si="121"/>
        <v>0</v>
      </c>
      <c r="AI685" s="132"/>
      <c r="AJ685" s="75">
        <f t="shared" si="120"/>
        <v>0</v>
      </c>
      <c r="AK685" s="75"/>
      <c r="AL685" s="75"/>
      <c r="AM685" s="75"/>
      <c r="AN685" s="64" t="s">
        <v>39</v>
      </c>
      <c r="AO685" s="64"/>
      <c r="AP685" s="64"/>
      <c r="AQ685" s="189"/>
      <c r="AR685" s="64"/>
      <c r="AS685" s="476"/>
      <c r="AT685" s="64"/>
      <c r="AU685" s="646"/>
      <c r="AV685" s="259"/>
      <c r="AW685" s="185"/>
    </row>
    <row r="686" spans="1:49" ht="32.450000000000003" hidden="1" customHeight="1" outlineLevel="2" x14ac:dyDescent="0.25">
      <c r="A686" s="63" t="str">
        <f t="shared" si="100"/>
        <v>1.4.1.2.4.58</v>
      </c>
      <c r="B686" s="64">
        <v>1</v>
      </c>
      <c r="C686" s="64">
        <v>4</v>
      </c>
      <c r="D686" s="64">
        <v>1</v>
      </c>
      <c r="E686" s="64">
        <v>2</v>
      </c>
      <c r="F686" s="64">
        <v>4</v>
      </c>
      <c r="G686" s="64">
        <v>58</v>
      </c>
      <c r="H686" s="65"/>
      <c r="I686" s="65"/>
      <c r="J686" s="66"/>
      <c r="K686" s="125" t="s">
        <v>701</v>
      </c>
      <c r="L686" s="64" t="s">
        <v>72</v>
      </c>
      <c r="M686" s="64" t="s">
        <v>73</v>
      </c>
      <c r="N686" s="64" t="s">
        <v>74</v>
      </c>
      <c r="O686" s="64" t="s">
        <v>359</v>
      </c>
      <c r="P686" s="69"/>
      <c r="Q686" s="69"/>
      <c r="R686" s="64">
        <v>3</v>
      </c>
      <c r="S686" s="65"/>
      <c r="T686" s="194"/>
      <c r="U686" s="75">
        <v>0</v>
      </c>
      <c r="V686" s="75"/>
      <c r="W686" s="75">
        <v>0</v>
      </c>
      <c r="X686" s="1122">
        <v>0</v>
      </c>
      <c r="Y686" s="75">
        <v>0</v>
      </c>
      <c r="Z686" s="75">
        <v>0</v>
      </c>
      <c r="AA686" s="1122">
        <v>0</v>
      </c>
      <c r="AB686" s="75">
        <v>0</v>
      </c>
      <c r="AC686" s="75">
        <v>0</v>
      </c>
      <c r="AD686" s="1122">
        <v>0</v>
      </c>
      <c r="AE686" s="75">
        <v>0</v>
      </c>
      <c r="AF686" s="75">
        <v>0</v>
      </c>
      <c r="AG686" s="1122">
        <v>0</v>
      </c>
      <c r="AH686" s="505">
        <f t="shared" si="121"/>
        <v>0</v>
      </c>
      <c r="AI686" s="132"/>
      <c r="AJ686" s="75">
        <f t="shared" si="120"/>
        <v>0</v>
      </c>
      <c r="AK686" s="75"/>
      <c r="AL686" s="75"/>
      <c r="AM686" s="75"/>
      <c r="AN686" s="64" t="s">
        <v>39</v>
      </c>
      <c r="AO686" s="64"/>
      <c r="AP686" s="64"/>
      <c r="AQ686" s="189"/>
      <c r="AR686" s="64"/>
      <c r="AS686" s="476"/>
      <c r="AT686" s="64"/>
      <c r="AU686" s="646"/>
      <c r="AV686" s="259"/>
      <c r="AW686" s="185"/>
    </row>
    <row r="687" spans="1:49" ht="32.450000000000003" hidden="1" customHeight="1" outlineLevel="2" x14ac:dyDescent="0.25">
      <c r="A687" s="63" t="str">
        <f t="shared" si="100"/>
        <v>1.4.1.2.4.59</v>
      </c>
      <c r="B687" s="64">
        <v>1</v>
      </c>
      <c r="C687" s="64">
        <v>4</v>
      </c>
      <c r="D687" s="64">
        <v>1</v>
      </c>
      <c r="E687" s="64">
        <v>2</v>
      </c>
      <c r="F687" s="64">
        <v>4</v>
      </c>
      <c r="G687" s="64">
        <v>59</v>
      </c>
      <c r="H687" s="65"/>
      <c r="I687" s="65"/>
      <c r="J687" s="66"/>
      <c r="K687" s="125" t="s">
        <v>701</v>
      </c>
      <c r="L687" s="64" t="s">
        <v>72</v>
      </c>
      <c r="M687" s="64" t="s">
        <v>73</v>
      </c>
      <c r="N687" s="64" t="s">
        <v>74</v>
      </c>
      <c r="O687" s="64" t="s">
        <v>359</v>
      </c>
      <c r="P687" s="69"/>
      <c r="Q687" s="64"/>
      <c r="R687" s="64"/>
      <c r="S687" s="65"/>
      <c r="T687" s="194"/>
      <c r="U687" s="75">
        <v>0</v>
      </c>
      <c r="V687" s="75"/>
      <c r="W687" s="75">
        <v>0</v>
      </c>
      <c r="X687" s="1122">
        <v>0</v>
      </c>
      <c r="Y687" s="75">
        <v>0</v>
      </c>
      <c r="Z687" s="75">
        <v>0</v>
      </c>
      <c r="AA687" s="1122">
        <v>0</v>
      </c>
      <c r="AB687" s="75">
        <v>0</v>
      </c>
      <c r="AC687" s="75">
        <v>0</v>
      </c>
      <c r="AD687" s="1122">
        <v>0</v>
      </c>
      <c r="AE687" s="75">
        <v>0</v>
      </c>
      <c r="AF687" s="75">
        <v>0</v>
      </c>
      <c r="AG687" s="1122">
        <v>0</v>
      </c>
      <c r="AH687" s="505">
        <f t="shared" si="121"/>
        <v>0</v>
      </c>
      <c r="AI687" s="132"/>
      <c r="AJ687" s="75">
        <f t="shared" si="120"/>
        <v>0</v>
      </c>
      <c r="AK687" s="75"/>
      <c r="AL687" s="75"/>
      <c r="AM687" s="75"/>
      <c r="AN687" s="64" t="s">
        <v>39</v>
      </c>
      <c r="AO687" s="64"/>
      <c r="AP687" s="64"/>
      <c r="AQ687" s="189"/>
      <c r="AR687" s="64"/>
      <c r="AS687" s="476"/>
      <c r="AT687" s="64"/>
      <c r="AU687" s="646"/>
      <c r="AV687" s="259"/>
      <c r="AW687" s="185"/>
    </row>
    <row r="688" spans="1:49" ht="32.450000000000003" hidden="1" customHeight="1" outlineLevel="2" x14ac:dyDescent="0.25">
      <c r="A688" s="63" t="str">
        <f t="shared" si="100"/>
        <v>1.4.1.2.4.60</v>
      </c>
      <c r="B688" s="64">
        <v>1</v>
      </c>
      <c r="C688" s="64">
        <v>4</v>
      </c>
      <c r="D688" s="64">
        <v>1</v>
      </c>
      <c r="E688" s="64">
        <v>2</v>
      </c>
      <c r="F688" s="64">
        <v>4</v>
      </c>
      <c r="G688" s="64">
        <v>60</v>
      </c>
      <c r="H688" s="65"/>
      <c r="I688" s="65"/>
      <c r="J688" s="66"/>
      <c r="K688" s="125" t="s">
        <v>701</v>
      </c>
      <c r="L688" s="64" t="s">
        <v>72</v>
      </c>
      <c r="M688" s="64" t="s">
        <v>73</v>
      </c>
      <c r="N688" s="64" t="s">
        <v>74</v>
      </c>
      <c r="O688" s="64" t="s">
        <v>359</v>
      </c>
      <c r="P688" s="69"/>
      <c r="Q688" s="64"/>
      <c r="R688" s="64"/>
      <c r="S688" s="65"/>
      <c r="T688" s="194"/>
      <c r="U688" s="75">
        <v>0</v>
      </c>
      <c r="V688" s="75"/>
      <c r="W688" s="75">
        <v>0</v>
      </c>
      <c r="X688" s="1122">
        <v>0</v>
      </c>
      <c r="Y688" s="75">
        <v>0</v>
      </c>
      <c r="Z688" s="75">
        <v>0</v>
      </c>
      <c r="AA688" s="1122">
        <v>0</v>
      </c>
      <c r="AB688" s="75">
        <v>0</v>
      </c>
      <c r="AC688" s="75">
        <v>0</v>
      </c>
      <c r="AD688" s="1122">
        <v>0</v>
      </c>
      <c r="AE688" s="75">
        <v>0</v>
      </c>
      <c r="AF688" s="75">
        <v>0</v>
      </c>
      <c r="AG688" s="1122">
        <v>0</v>
      </c>
      <c r="AH688" s="505">
        <f t="shared" si="121"/>
        <v>0</v>
      </c>
      <c r="AI688" s="132"/>
      <c r="AJ688" s="75">
        <f t="shared" si="120"/>
        <v>0</v>
      </c>
      <c r="AK688" s="75"/>
      <c r="AL688" s="75"/>
      <c r="AM688" s="75"/>
      <c r="AN688" s="64" t="s">
        <v>39</v>
      </c>
      <c r="AO688" s="64"/>
      <c r="AP688" s="64"/>
      <c r="AQ688" s="189"/>
      <c r="AR688" s="64"/>
      <c r="AS688" s="476"/>
      <c r="AT688" s="64"/>
      <c r="AU688" s="646"/>
      <c r="AV688" s="259"/>
      <c r="AW688" s="185"/>
    </row>
    <row r="689" spans="1:49" ht="32.450000000000003" hidden="1" customHeight="1" outlineLevel="2" x14ac:dyDescent="0.25">
      <c r="A689" s="63" t="str">
        <f t="shared" si="100"/>
        <v>1.4.1.2.4.61</v>
      </c>
      <c r="B689" s="64">
        <v>1</v>
      </c>
      <c r="C689" s="64">
        <v>4</v>
      </c>
      <c r="D689" s="64">
        <v>1</v>
      </c>
      <c r="E689" s="64">
        <v>2</v>
      </c>
      <c r="F689" s="64">
        <v>4</v>
      </c>
      <c r="G689" s="64">
        <v>61</v>
      </c>
      <c r="H689" s="65"/>
      <c r="I689" s="65"/>
      <c r="J689" s="66"/>
      <c r="K689" s="125" t="s">
        <v>701</v>
      </c>
      <c r="L689" s="64" t="s">
        <v>72</v>
      </c>
      <c r="M689" s="64" t="s">
        <v>73</v>
      </c>
      <c r="N689" s="64" t="s">
        <v>74</v>
      </c>
      <c r="O689" s="64" t="s">
        <v>359</v>
      </c>
      <c r="P689" s="69"/>
      <c r="Q689" s="64"/>
      <c r="R689" s="64"/>
      <c r="S689" s="65"/>
      <c r="T689" s="194"/>
      <c r="U689" s="75">
        <v>0</v>
      </c>
      <c r="V689" s="75"/>
      <c r="W689" s="75">
        <v>0</v>
      </c>
      <c r="X689" s="1122">
        <v>0</v>
      </c>
      <c r="Y689" s="75">
        <v>0</v>
      </c>
      <c r="Z689" s="75">
        <v>0</v>
      </c>
      <c r="AA689" s="1122">
        <v>0</v>
      </c>
      <c r="AB689" s="75">
        <v>0</v>
      </c>
      <c r="AC689" s="75">
        <v>0</v>
      </c>
      <c r="AD689" s="1122">
        <v>0</v>
      </c>
      <c r="AE689" s="75">
        <v>0</v>
      </c>
      <c r="AF689" s="75">
        <v>0</v>
      </c>
      <c r="AG689" s="1122">
        <v>0</v>
      </c>
      <c r="AH689" s="505">
        <f t="shared" si="121"/>
        <v>0</v>
      </c>
      <c r="AI689" s="132"/>
      <c r="AJ689" s="75">
        <f t="shared" si="120"/>
        <v>0</v>
      </c>
      <c r="AK689" s="75"/>
      <c r="AL689" s="75"/>
      <c r="AM689" s="75"/>
      <c r="AN689" s="64" t="s">
        <v>39</v>
      </c>
      <c r="AO689" s="64"/>
      <c r="AP689" s="64"/>
      <c r="AQ689" s="189"/>
      <c r="AR689" s="64"/>
      <c r="AS689" s="476"/>
      <c r="AT689" s="64"/>
      <c r="AU689" s="646"/>
      <c r="AV689" s="259"/>
      <c r="AW689" s="185"/>
    </row>
    <row r="690" spans="1:49" ht="32.450000000000003" hidden="1" customHeight="1" outlineLevel="2" x14ac:dyDescent="0.25">
      <c r="A690" s="63" t="str">
        <f t="shared" si="100"/>
        <v>1.4.1.2.4.62</v>
      </c>
      <c r="B690" s="64">
        <v>1</v>
      </c>
      <c r="C690" s="64">
        <v>4</v>
      </c>
      <c r="D690" s="64">
        <v>1</v>
      </c>
      <c r="E690" s="64">
        <v>2</v>
      </c>
      <c r="F690" s="64">
        <v>4</v>
      </c>
      <c r="G690" s="64">
        <v>62</v>
      </c>
      <c r="H690" s="65"/>
      <c r="I690" s="65"/>
      <c r="J690" s="66"/>
      <c r="K690" s="125" t="s">
        <v>701</v>
      </c>
      <c r="L690" s="64" t="s">
        <v>72</v>
      </c>
      <c r="M690" s="64" t="s">
        <v>73</v>
      </c>
      <c r="N690" s="64" t="s">
        <v>74</v>
      </c>
      <c r="O690" s="64" t="s">
        <v>359</v>
      </c>
      <c r="P690" s="69"/>
      <c r="Q690" s="64"/>
      <c r="R690" s="64"/>
      <c r="S690" s="65"/>
      <c r="T690" s="194"/>
      <c r="U690" s="75">
        <v>0</v>
      </c>
      <c r="V690" s="75"/>
      <c r="W690" s="75">
        <v>0</v>
      </c>
      <c r="X690" s="1122">
        <v>0</v>
      </c>
      <c r="Y690" s="75">
        <v>0</v>
      </c>
      <c r="Z690" s="75">
        <v>0</v>
      </c>
      <c r="AA690" s="1122">
        <v>0</v>
      </c>
      <c r="AB690" s="75">
        <v>0</v>
      </c>
      <c r="AC690" s="75">
        <v>0</v>
      </c>
      <c r="AD690" s="1122">
        <v>0</v>
      </c>
      <c r="AE690" s="75">
        <v>0</v>
      </c>
      <c r="AF690" s="75">
        <v>0</v>
      </c>
      <c r="AG690" s="1122">
        <v>0</v>
      </c>
      <c r="AH690" s="505">
        <f t="shared" si="121"/>
        <v>0</v>
      </c>
      <c r="AI690" s="132"/>
      <c r="AJ690" s="75">
        <f t="shared" si="120"/>
        <v>0</v>
      </c>
      <c r="AK690" s="75"/>
      <c r="AL690" s="75"/>
      <c r="AM690" s="75"/>
      <c r="AN690" s="64" t="s">
        <v>39</v>
      </c>
      <c r="AO690" s="64"/>
      <c r="AP690" s="64"/>
      <c r="AQ690" s="189"/>
      <c r="AR690" s="64"/>
      <c r="AS690" s="476"/>
      <c r="AT690" s="64"/>
      <c r="AU690" s="646"/>
      <c r="AV690" s="259"/>
      <c r="AW690" s="185"/>
    </row>
    <row r="691" spans="1:49" ht="32.450000000000003" hidden="1" customHeight="1" outlineLevel="2" x14ac:dyDescent="0.25">
      <c r="A691" s="63" t="str">
        <f t="shared" si="100"/>
        <v>1.4.1.2.4.63</v>
      </c>
      <c r="B691" s="64">
        <v>1</v>
      </c>
      <c r="C691" s="64">
        <v>4</v>
      </c>
      <c r="D691" s="64">
        <v>1</v>
      </c>
      <c r="E691" s="64">
        <v>2</v>
      </c>
      <c r="F691" s="64">
        <v>4</v>
      </c>
      <c r="G691" s="64">
        <v>63</v>
      </c>
      <c r="H691" s="65"/>
      <c r="I691" s="65"/>
      <c r="J691" s="66"/>
      <c r="K691" s="125" t="s">
        <v>701</v>
      </c>
      <c r="L691" s="64" t="s">
        <v>72</v>
      </c>
      <c r="M691" s="64" t="s">
        <v>73</v>
      </c>
      <c r="N691" s="64" t="s">
        <v>74</v>
      </c>
      <c r="O691" s="64" t="s">
        <v>359</v>
      </c>
      <c r="P691" s="69"/>
      <c r="Q691" s="64"/>
      <c r="R691" s="64"/>
      <c r="S691" s="65"/>
      <c r="T691" s="194"/>
      <c r="U691" s="75">
        <v>0</v>
      </c>
      <c r="V691" s="75"/>
      <c r="W691" s="75">
        <v>0</v>
      </c>
      <c r="X691" s="1122">
        <v>0</v>
      </c>
      <c r="Y691" s="75">
        <v>0</v>
      </c>
      <c r="Z691" s="75">
        <v>0</v>
      </c>
      <c r="AA691" s="1122">
        <v>0</v>
      </c>
      <c r="AB691" s="75">
        <v>0</v>
      </c>
      <c r="AC691" s="75">
        <v>0</v>
      </c>
      <c r="AD691" s="1122">
        <v>0</v>
      </c>
      <c r="AE691" s="75">
        <v>0</v>
      </c>
      <c r="AF691" s="75">
        <v>0</v>
      </c>
      <c r="AG691" s="1122">
        <v>0</v>
      </c>
      <c r="AH691" s="505">
        <f t="shared" si="121"/>
        <v>0</v>
      </c>
      <c r="AI691" s="132"/>
      <c r="AJ691" s="75">
        <f t="shared" si="120"/>
        <v>0</v>
      </c>
      <c r="AK691" s="75"/>
      <c r="AL691" s="75"/>
      <c r="AM691" s="75"/>
      <c r="AN691" s="64" t="s">
        <v>39</v>
      </c>
      <c r="AO691" s="64"/>
      <c r="AP691" s="64"/>
      <c r="AQ691" s="189"/>
      <c r="AR691" s="64"/>
      <c r="AS691" s="476"/>
      <c r="AT691" s="64"/>
      <c r="AU691" s="646"/>
      <c r="AV691" s="259"/>
      <c r="AW691" s="185"/>
    </row>
    <row r="692" spans="1:49" ht="32.450000000000003" hidden="1" customHeight="1" outlineLevel="2" x14ac:dyDescent="0.25">
      <c r="A692" s="63" t="str">
        <f t="shared" si="100"/>
        <v>1.4.1.2.4.64</v>
      </c>
      <c r="B692" s="64">
        <v>1</v>
      </c>
      <c r="C692" s="64">
        <v>4</v>
      </c>
      <c r="D692" s="64">
        <v>1</v>
      </c>
      <c r="E692" s="64">
        <v>2</v>
      </c>
      <c r="F692" s="64">
        <v>4</v>
      </c>
      <c r="G692" s="64">
        <v>64</v>
      </c>
      <c r="H692" s="65"/>
      <c r="I692" s="65"/>
      <c r="J692" s="66"/>
      <c r="K692" s="125" t="s">
        <v>701</v>
      </c>
      <c r="L692" s="64" t="s">
        <v>72</v>
      </c>
      <c r="M692" s="64" t="s">
        <v>73</v>
      </c>
      <c r="N692" s="64" t="s">
        <v>74</v>
      </c>
      <c r="O692" s="64" t="s">
        <v>359</v>
      </c>
      <c r="P692" s="69"/>
      <c r="Q692" s="64"/>
      <c r="R692" s="64"/>
      <c r="S692" s="65"/>
      <c r="T692" s="194"/>
      <c r="U692" s="75">
        <v>0</v>
      </c>
      <c r="V692" s="75"/>
      <c r="W692" s="75">
        <v>0</v>
      </c>
      <c r="X692" s="1122">
        <v>0</v>
      </c>
      <c r="Y692" s="75">
        <v>0</v>
      </c>
      <c r="Z692" s="75">
        <v>0</v>
      </c>
      <c r="AA692" s="1122">
        <v>0</v>
      </c>
      <c r="AB692" s="75">
        <v>0</v>
      </c>
      <c r="AC692" s="75">
        <v>0</v>
      </c>
      <c r="AD692" s="1122">
        <v>0</v>
      </c>
      <c r="AE692" s="75">
        <v>0</v>
      </c>
      <c r="AF692" s="75">
        <v>0</v>
      </c>
      <c r="AG692" s="1122">
        <v>0</v>
      </c>
      <c r="AH692" s="505">
        <f t="shared" si="121"/>
        <v>0</v>
      </c>
      <c r="AI692" s="132"/>
      <c r="AJ692" s="75">
        <f t="shared" si="120"/>
        <v>0</v>
      </c>
      <c r="AK692" s="75"/>
      <c r="AL692" s="75"/>
      <c r="AM692" s="75"/>
      <c r="AN692" s="64" t="s">
        <v>39</v>
      </c>
      <c r="AO692" s="64"/>
      <c r="AP692" s="64"/>
      <c r="AQ692" s="189"/>
      <c r="AR692" s="64"/>
      <c r="AS692" s="476"/>
      <c r="AT692" s="64"/>
      <c r="AU692" s="646"/>
      <c r="AV692" s="259"/>
      <c r="AW692" s="185"/>
    </row>
    <row r="693" spans="1:49" s="153" customFormat="1" ht="15" customHeight="1" outlineLevel="1" collapsed="1" x14ac:dyDescent="0.25">
      <c r="A693" s="148" t="str">
        <f t="shared" si="100"/>
        <v>1.4.1.3.0.0</v>
      </c>
      <c r="B693" s="82">
        <v>1</v>
      </c>
      <c r="C693" s="82">
        <v>4</v>
      </c>
      <c r="D693" s="82">
        <v>1</v>
      </c>
      <c r="E693" s="82">
        <v>3</v>
      </c>
      <c r="F693" s="82">
        <v>0</v>
      </c>
      <c r="G693" s="82">
        <v>0</v>
      </c>
      <c r="H693" s="149"/>
      <c r="I693" s="149"/>
      <c r="J693" s="1260" t="s">
        <v>1801</v>
      </c>
      <c r="K693" s="1259"/>
      <c r="L693" s="82" t="s">
        <v>224</v>
      </c>
      <c r="M693" s="82" t="s">
        <v>299</v>
      </c>
      <c r="N693" s="82" t="s">
        <v>671</v>
      </c>
      <c r="O693" s="82" t="s">
        <v>359</v>
      </c>
      <c r="P693" s="82"/>
      <c r="Q693" s="82"/>
      <c r="R693" s="82"/>
      <c r="S693" s="149"/>
      <c r="T693" s="193"/>
      <c r="U693" s="152">
        <f>SUM(U694:U695)</f>
        <v>0</v>
      </c>
      <c r="V693" s="152"/>
      <c r="W693" s="152">
        <f t="shared" ref="W693:AH693" si="122">SUM(W694:W695)</f>
        <v>0</v>
      </c>
      <c r="X693" s="1131">
        <f t="shared" si="122"/>
        <v>0</v>
      </c>
      <c r="Y693" s="152">
        <f t="shared" si="122"/>
        <v>0</v>
      </c>
      <c r="Z693" s="152">
        <f t="shared" si="122"/>
        <v>0</v>
      </c>
      <c r="AA693" s="1131">
        <f t="shared" si="122"/>
        <v>0</v>
      </c>
      <c r="AB693" s="152">
        <f t="shared" si="122"/>
        <v>0</v>
      </c>
      <c r="AC693" s="152">
        <f t="shared" si="122"/>
        <v>0</v>
      </c>
      <c r="AD693" s="1131">
        <f t="shared" si="122"/>
        <v>0</v>
      </c>
      <c r="AE693" s="152">
        <f t="shared" si="122"/>
        <v>0</v>
      </c>
      <c r="AF693" s="152">
        <f t="shared" si="122"/>
        <v>0</v>
      </c>
      <c r="AG693" s="1131">
        <f t="shared" si="122"/>
        <v>0</v>
      </c>
      <c r="AH693" s="152">
        <f t="shared" si="122"/>
        <v>0</v>
      </c>
      <c r="AI693" s="152"/>
      <c r="AJ693" s="152"/>
      <c r="AK693" s="152"/>
      <c r="AL693" s="152"/>
      <c r="AM693" s="152"/>
      <c r="AN693" s="82" t="s">
        <v>39</v>
      </c>
      <c r="AO693" s="82"/>
      <c r="AP693" s="82"/>
      <c r="AQ693" s="365"/>
      <c r="AR693" s="82"/>
      <c r="AS693" s="483"/>
      <c r="AT693" s="82"/>
      <c r="AU693" s="666"/>
      <c r="AV693" s="358"/>
      <c r="AW693" s="444"/>
    </row>
    <row r="694" spans="1:49" ht="22.35" hidden="1" customHeight="1" outlineLevel="2" x14ac:dyDescent="0.25">
      <c r="A694" s="63" t="str">
        <f t="shared" si="100"/>
        <v>1.4.1.3.1.58</v>
      </c>
      <c r="B694" s="64">
        <v>1</v>
      </c>
      <c r="C694" s="64">
        <v>4</v>
      </c>
      <c r="D694" s="64">
        <v>1</v>
      </c>
      <c r="E694" s="64">
        <v>3</v>
      </c>
      <c r="F694" s="64">
        <v>1</v>
      </c>
      <c r="G694" s="64">
        <v>58</v>
      </c>
      <c r="H694" s="65"/>
      <c r="I694" s="65"/>
      <c r="J694" s="66"/>
      <c r="K694" s="65" t="s">
        <v>703</v>
      </c>
      <c r="L694" s="64" t="s">
        <v>246</v>
      </c>
      <c r="M694" s="64" t="s">
        <v>680</v>
      </c>
      <c r="N694" s="64" t="s">
        <v>671</v>
      </c>
      <c r="O694" s="64" t="s">
        <v>359</v>
      </c>
      <c r="P694" s="64"/>
      <c r="Q694" s="64"/>
      <c r="R694" s="64"/>
      <c r="S694" s="65"/>
      <c r="T694" s="194"/>
      <c r="U694" s="155">
        <v>0</v>
      </c>
      <c r="V694" s="155"/>
      <c r="W694" s="155">
        <v>0</v>
      </c>
      <c r="X694" s="1132">
        <v>0</v>
      </c>
      <c r="Y694" s="155">
        <v>0</v>
      </c>
      <c r="Z694" s="155">
        <v>0</v>
      </c>
      <c r="AA694" s="1132">
        <v>0</v>
      </c>
      <c r="AB694" s="155">
        <v>0</v>
      </c>
      <c r="AC694" s="155">
        <v>0</v>
      </c>
      <c r="AD694" s="1132">
        <v>0</v>
      </c>
      <c r="AE694" s="155">
        <v>0</v>
      </c>
      <c r="AF694" s="155">
        <v>0</v>
      </c>
      <c r="AG694" s="1132">
        <v>0</v>
      </c>
      <c r="AH694" s="505">
        <f>+U694+Y694+AB694+AE694</f>
        <v>0</v>
      </c>
      <c r="AI694" s="132"/>
      <c r="AJ694" s="75">
        <f t="shared" ref="AJ694:AJ695" si="123">+W695+Z695+AC695+AF695</f>
        <v>0</v>
      </c>
      <c r="AK694" s="75"/>
      <c r="AL694" s="75"/>
      <c r="AM694" s="75"/>
      <c r="AN694" s="64"/>
      <c r="AO694" s="64"/>
      <c r="AP694" s="64"/>
      <c r="AQ694" s="189"/>
      <c r="AR694" s="64"/>
      <c r="AS694" s="476"/>
      <c r="AT694" s="64"/>
      <c r="AU694" s="646"/>
      <c r="AV694" s="259"/>
      <c r="AW694" s="185" t="s">
        <v>589</v>
      </c>
    </row>
    <row r="695" spans="1:49" ht="22.35" hidden="1" customHeight="1" outlineLevel="2" x14ac:dyDescent="0.25">
      <c r="A695" s="63" t="str">
        <f t="shared" si="100"/>
        <v>1.4.1.3.2.58</v>
      </c>
      <c r="B695" s="64">
        <v>1</v>
      </c>
      <c r="C695" s="64">
        <v>4</v>
      </c>
      <c r="D695" s="64">
        <v>1</v>
      </c>
      <c r="E695" s="64">
        <v>3</v>
      </c>
      <c r="F695" s="64">
        <v>2</v>
      </c>
      <c r="G695" s="64">
        <v>58</v>
      </c>
      <c r="H695" s="65"/>
      <c r="I695" s="65"/>
      <c r="J695" s="66"/>
      <c r="K695" s="125" t="s">
        <v>704</v>
      </c>
      <c r="L695" s="64" t="s">
        <v>246</v>
      </c>
      <c r="M695" s="64" t="s">
        <v>680</v>
      </c>
      <c r="N695" s="64" t="s">
        <v>671</v>
      </c>
      <c r="O695" s="64" t="s">
        <v>359</v>
      </c>
      <c r="P695" s="64"/>
      <c r="Q695" s="64"/>
      <c r="R695" s="64"/>
      <c r="S695" s="65"/>
      <c r="T695" s="194"/>
      <c r="U695" s="155">
        <v>0</v>
      </c>
      <c r="V695" s="155"/>
      <c r="W695" s="155">
        <v>0</v>
      </c>
      <c r="X695" s="1132">
        <v>0</v>
      </c>
      <c r="Y695" s="155">
        <v>0</v>
      </c>
      <c r="Z695" s="155">
        <v>0</v>
      </c>
      <c r="AA695" s="1132">
        <v>0</v>
      </c>
      <c r="AB695" s="155">
        <v>0</v>
      </c>
      <c r="AC695" s="155">
        <v>0</v>
      </c>
      <c r="AD695" s="1132">
        <v>0</v>
      </c>
      <c r="AE695" s="155">
        <v>0</v>
      </c>
      <c r="AF695" s="155">
        <v>0</v>
      </c>
      <c r="AG695" s="1132">
        <v>0</v>
      </c>
      <c r="AH695" s="505">
        <f>+U695+Y695+AB695+AE695</f>
        <v>0</v>
      </c>
      <c r="AI695" s="132"/>
      <c r="AJ695" s="75">
        <f t="shared" si="123"/>
        <v>0</v>
      </c>
      <c r="AK695" s="75"/>
      <c r="AL695" s="75"/>
      <c r="AM695" s="75"/>
      <c r="AN695" s="64"/>
      <c r="AO695" s="64"/>
      <c r="AP695" s="64"/>
      <c r="AQ695" s="189"/>
      <c r="AR695" s="64"/>
      <c r="AS695" s="476"/>
      <c r="AT695" s="64"/>
      <c r="AU695" s="646"/>
      <c r="AV695" s="259"/>
      <c r="AW695" s="441"/>
    </row>
    <row r="696" spans="1:49" s="153" customFormat="1" ht="15" customHeight="1" outlineLevel="1" collapsed="1" x14ac:dyDescent="0.25">
      <c r="A696" s="148" t="str">
        <f t="shared" si="100"/>
        <v>1.4.1.4.0.0</v>
      </c>
      <c r="B696" s="82">
        <v>1</v>
      </c>
      <c r="C696" s="82">
        <v>4</v>
      </c>
      <c r="D696" s="82">
        <v>1</v>
      </c>
      <c r="E696" s="82">
        <v>4</v>
      </c>
      <c r="F696" s="82">
        <v>0</v>
      </c>
      <c r="G696" s="82">
        <v>0</v>
      </c>
      <c r="H696" s="149"/>
      <c r="I696" s="149"/>
      <c r="J696" s="1260" t="s">
        <v>1802</v>
      </c>
      <c r="K696" s="1259"/>
      <c r="L696" s="82" t="s">
        <v>224</v>
      </c>
      <c r="M696" s="82" t="s">
        <v>299</v>
      </c>
      <c r="N696" s="82" t="s">
        <v>671</v>
      </c>
      <c r="O696" s="82" t="s">
        <v>359</v>
      </c>
      <c r="P696" s="82"/>
      <c r="Q696" s="82"/>
      <c r="R696" s="82"/>
      <c r="S696" s="149"/>
      <c r="T696" s="193"/>
      <c r="U696" s="152">
        <f>SUM(U697:U698)</f>
        <v>0</v>
      </c>
      <c r="V696" s="152"/>
      <c r="W696" s="681">
        <f>SUM(W697:W698)</f>
        <v>0</v>
      </c>
      <c r="X696" s="1131">
        <f t="shared" ref="X696:AE696" si="124">SUM(X697:X698)</f>
        <v>0</v>
      </c>
      <c r="Y696" s="152">
        <f t="shared" si="124"/>
        <v>0</v>
      </c>
      <c r="Z696" s="844">
        <f t="shared" si="124"/>
        <v>0</v>
      </c>
      <c r="AA696" s="1131">
        <f t="shared" si="124"/>
        <v>0</v>
      </c>
      <c r="AB696" s="152">
        <f t="shared" si="124"/>
        <v>0</v>
      </c>
      <c r="AC696" s="970">
        <f t="shared" si="124"/>
        <v>0</v>
      </c>
      <c r="AD696" s="1131">
        <f t="shared" si="124"/>
        <v>0</v>
      </c>
      <c r="AE696" s="152">
        <f t="shared" si="124"/>
        <v>0</v>
      </c>
      <c r="AF696" s="597"/>
      <c r="AG696" s="1131">
        <f t="shared" ref="AG696" si="125">SUM(AG697:AG698)</f>
        <v>0</v>
      </c>
      <c r="AH696" s="512">
        <f>+SUM(AH697:AH698)</f>
        <v>0</v>
      </c>
      <c r="AI696" s="152"/>
      <c r="AJ696" s="152"/>
      <c r="AK696" s="152"/>
      <c r="AL696" s="152"/>
      <c r="AM696" s="152"/>
      <c r="AN696" s="82" t="s">
        <v>39</v>
      </c>
      <c r="AO696" s="82"/>
      <c r="AP696" s="82"/>
      <c r="AQ696" s="365"/>
      <c r="AR696" s="82"/>
      <c r="AS696" s="483"/>
      <c r="AT696" s="82"/>
      <c r="AU696" s="666"/>
      <c r="AV696" s="358"/>
      <c r="AW696" s="444"/>
    </row>
    <row r="697" spans="1:49" ht="21" hidden="1" customHeight="1" outlineLevel="4" x14ac:dyDescent="0.25">
      <c r="A697" s="63" t="str">
        <f>CONCATENATE(B697,".",C697,".",D697,".",E697,".",F697,".",G697)</f>
        <v>1.4.1.4.1.59</v>
      </c>
      <c r="B697" s="64">
        <v>1</v>
      </c>
      <c r="C697" s="64">
        <v>4</v>
      </c>
      <c r="D697" s="64">
        <v>1</v>
      </c>
      <c r="E697" s="64">
        <v>4</v>
      </c>
      <c r="F697" s="64">
        <v>1</v>
      </c>
      <c r="G697" s="64">
        <v>59</v>
      </c>
      <c r="H697" s="65"/>
      <c r="I697" s="65"/>
      <c r="J697" s="66"/>
      <c r="K697" s="65" t="s">
        <v>703</v>
      </c>
      <c r="L697" s="64" t="s">
        <v>246</v>
      </c>
      <c r="M697" s="64" t="s">
        <v>680</v>
      </c>
      <c r="N697" s="64" t="s">
        <v>671</v>
      </c>
      <c r="O697" s="64" t="s">
        <v>359</v>
      </c>
      <c r="P697" s="64"/>
      <c r="Q697" s="64"/>
      <c r="R697" s="64"/>
      <c r="S697" s="65"/>
      <c r="T697" s="194"/>
      <c r="U697" s="155">
        <v>0</v>
      </c>
      <c r="V697" s="155"/>
      <c r="W697" s="155">
        <v>0</v>
      </c>
      <c r="X697" s="1132">
        <v>0</v>
      </c>
      <c r="Y697" s="155">
        <v>0</v>
      </c>
      <c r="Z697" s="155">
        <v>0</v>
      </c>
      <c r="AA697" s="1132">
        <v>0</v>
      </c>
      <c r="AB697" s="155">
        <v>0</v>
      </c>
      <c r="AC697" s="155">
        <v>0</v>
      </c>
      <c r="AD697" s="1132">
        <v>0</v>
      </c>
      <c r="AE697" s="155">
        <v>0</v>
      </c>
      <c r="AF697" s="155">
        <v>0</v>
      </c>
      <c r="AG697" s="1132">
        <v>0</v>
      </c>
      <c r="AH697" s="505">
        <f>+U697+Y697+AB697+AE697</f>
        <v>0</v>
      </c>
      <c r="AI697" s="132"/>
      <c r="AJ697" s="75">
        <f t="shared" ref="AJ697:AJ698" si="126">+W698+Z698+AC698+AF698</f>
        <v>0</v>
      </c>
      <c r="AK697" s="75"/>
      <c r="AL697" s="75"/>
      <c r="AM697" s="75"/>
      <c r="AN697" s="64"/>
      <c r="AO697" s="64"/>
      <c r="AP697" s="64"/>
      <c r="AQ697" s="189"/>
      <c r="AR697" s="64"/>
      <c r="AS697" s="476"/>
      <c r="AT697" s="64"/>
      <c r="AU697" s="646"/>
      <c r="AV697" s="259"/>
      <c r="AW697" s="185" t="s">
        <v>589</v>
      </c>
    </row>
    <row r="698" spans="1:49" ht="21" hidden="1" customHeight="1" outlineLevel="4" x14ac:dyDescent="0.25">
      <c r="A698" s="63" t="str">
        <f t="shared" si="100"/>
        <v>1.4.1.4.2.59</v>
      </c>
      <c r="B698" s="64">
        <v>1</v>
      </c>
      <c r="C698" s="64">
        <v>4</v>
      </c>
      <c r="D698" s="64">
        <v>1</v>
      </c>
      <c r="E698" s="64">
        <v>4</v>
      </c>
      <c r="F698" s="64">
        <v>2</v>
      </c>
      <c r="G698" s="64">
        <v>59</v>
      </c>
      <c r="H698" s="65"/>
      <c r="I698" s="65"/>
      <c r="J698" s="66"/>
      <c r="K698" s="65" t="s">
        <v>704</v>
      </c>
      <c r="L698" s="64" t="s">
        <v>246</v>
      </c>
      <c r="M698" s="64" t="s">
        <v>680</v>
      </c>
      <c r="N698" s="64" t="s">
        <v>671</v>
      </c>
      <c r="O698" s="64" t="s">
        <v>359</v>
      </c>
      <c r="P698" s="64"/>
      <c r="Q698" s="64"/>
      <c r="R698" s="64"/>
      <c r="S698" s="65"/>
      <c r="T698" s="194"/>
      <c r="U698" s="155">
        <v>0</v>
      </c>
      <c r="V698" s="155"/>
      <c r="W698" s="155">
        <v>0</v>
      </c>
      <c r="X698" s="1132">
        <v>0</v>
      </c>
      <c r="Y698" s="155">
        <v>0</v>
      </c>
      <c r="Z698" s="155">
        <v>0</v>
      </c>
      <c r="AA698" s="1132">
        <v>0</v>
      </c>
      <c r="AB698" s="155">
        <v>0</v>
      </c>
      <c r="AC698" s="155">
        <v>0</v>
      </c>
      <c r="AD698" s="1132">
        <v>0</v>
      </c>
      <c r="AE698" s="155">
        <v>0</v>
      </c>
      <c r="AF698" s="155">
        <v>0</v>
      </c>
      <c r="AG698" s="1132">
        <v>0</v>
      </c>
      <c r="AH698" s="505">
        <f>+U698+Y698+AB698+AE698</f>
        <v>0</v>
      </c>
      <c r="AI698" s="132"/>
      <c r="AJ698" s="75">
        <f t="shared" si="126"/>
        <v>0</v>
      </c>
      <c r="AK698" s="75"/>
      <c r="AL698" s="75"/>
      <c r="AM698" s="75"/>
      <c r="AN698" s="64"/>
      <c r="AO698" s="64"/>
      <c r="AP698" s="64"/>
      <c r="AQ698" s="189"/>
      <c r="AR698" s="64"/>
      <c r="AS698" s="476"/>
      <c r="AT698" s="64"/>
      <c r="AU698" s="646"/>
      <c r="AV698" s="259"/>
      <c r="AW698" s="441"/>
    </row>
    <row r="699" spans="1:49" s="153" customFormat="1" ht="15" customHeight="1" outlineLevel="1" collapsed="1" x14ac:dyDescent="0.25">
      <c r="A699" s="148" t="str">
        <f t="shared" si="100"/>
        <v>1.4.1.5.0.0</v>
      </c>
      <c r="B699" s="82">
        <v>1</v>
      </c>
      <c r="C699" s="82">
        <v>4</v>
      </c>
      <c r="D699" s="82">
        <v>1</v>
      </c>
      <c r="E699" s="82">
        <v>5</v>
      </c>
      <c r="F699" s="82">
        <v>0</v>
      </c>
      <c r="G699" s="82">
        <v>0</v>
      </c>
      <c r="H699" s="149"/>
      <c r="I699" s="149"/>
      <c r="J699" s="1260" t="s">
        <v>705</v>
      </c>
      <c r="K699" s="1259"/>
      <c r="L699" s="82" t="s">
        <v>224</v>
      </c>
      <c r="M699" s="82" t="s">
        <v>299</v>
      </c>
      <c r="N699" s="82" t="s">
        <v>671</v>
      </c>
      <c r="O699" s="82" t="s">
        <v>359</v>
      </c>
      <c r="P699" s="82"/>
      <c r="Q699" s="82"/>
      <c r="R699" s="82"/>
      <c r="S699" s="149"/>
      <c r="T699" s="193"/>
      <c r="U699" s="152">
        <f>SUM(U700:U701)</f>
        <v>0</v>
      </c>
      <c r="V699" s="152"/>
      <c r="W699" s="152">
        <f t="shared" ref="W699:AG699" si="127">SUM(W700:W701)</f>
        <v>0</v>
      </c>
      <c r="X699" s="1131">
        <f t="shared" si="127"/>
        <v>0</v>
      </c>
      <c r="Y699" s="152">
        <f t="shared" si="127"/>
        <v>0</v>
      </c>
      <c r="Z699" s="152">
        <f t="shared" si="127"/>
        <v>0</v>
      </c>
      <c r="AA699" s="1131">
        <f t="shared" si="127"/>
        <v>0</v>
      </c>
      <c r="AB699" s="152">
        <f t="shared" si="127"/>
        <v>0</v>
      </c>
      <c r="AC699" s="152">
        <f t="shared" si="127"/>
        <v>0</v>
      </c>
      <c r="AD699" s="1131">
        <f t="shared" si="127"/>
        <v>0</v>
      </c>
      <c r="AE699" s="152">
        <f t="shared" si="127"/>
        <v>0</v>
      </c>
      <c r="AF699" s="152">
        <f t="shared" si="127"/>
        <v>0</v>
      </c>
      <c r="AG699" s="1131">
        <f t="shared" si="127"/>
        <v>0</v>
      </c>
      <c r="AH699" s="152">
        <f>SUM(AH700:AH701)</f>
        <v>0</v>
      </c>
      <c r="AI699" s="152"/>
      <c r="AJ699" s="152"/>
      <c r="AK699" s="152"/>
      <c r="AL699" s="152"/>
      <c r="AM699" s="152"/>
      <c r="AN699" s="82" t="s">
        <v>39</v>
      </c>
      <c r="AO699" s="82"/>
      <c r="AP699" s="82"/>
      <c r="AQ699" s="365"/>
      <c r="AR699" s="82"/>
      <c r="AS699" s="483"/>
      <c r="AT699" s="82"/>
      <c r="AU699" s="666"/>
      <c r="AV699" s="358"/>
      <c r="AW699" s="444"/>
    </row>
    <row r="700" spans="1:49" ht="23.45" hidden="1" customHeight="1" outlineLevel="2" x14ac:dyDescent="0.25">
      <c r="A700" s="63" t="str">
        <f t="shared" si="100"/>
        <v>1.4.1.5.1.63</v>
      </c>
      <c r="B700" s="64">
        <v>1</v>
      </c>
      <c r="C700" s="64">
        <v>4</v>
      </c>
      <c r="D700" s="64">
        <v>1</v>
      </c>
      <c r="E700" s="64">
        <v>5</v>
      </c>
      <c r="F700" s="64">
        <v>1</v>
      </c>
      <c r="G700" s="64">
        <v>63</v>
      </c>
      <c r="H700" s="65"/>
      <c r="I700" s="65"/>
      <c r="J700" s="66"/>
      <c r="K700" s="65" t="s">
        <v>703</v>
      </c>
      <c r="L700" s="64" t="s">
        <v>246</v>
      </c>
      <c r="M700" s="64" t="s">
        <v>680</v>
      </c>
      <c r="N700" s="64" t="s">
        <v>671</v>
      </c>
      <c r="O700" s="64" t="s">
        <v>359</v>
      </c>
      <c r="P700" s="64"/>
      <c r="Q700" s="69"/>
      <c r="R700" s="64"/>
      <c r="S700" s="65"/>
      <c r="T700" s="194"/>
      <c r="U700" s="155">
        <v>0</v>
      </c>
      <c r="V700" s="155"/>
      <c r="W700" s="155">
        <v>0</v>
      </c>
      <c r="X700" s="1132">
        <v>0</v>
      </c>
      <c r="Y700" s="155">
        <v>0</v>
      </c>
      <c r="Z700" s="155">
        <v>0</v>
      </c>
      <c r="AA700" s="1132">
        <v>0</v>
      </c>
      <c r="AB700" s="155">
        <v>0</v>
      </c>
      <c r="AC700" s="155">
        <v>0</v>
      </c>
      <c r="AD700" s="1132">
        <v>0</v>
      </c>
      <c r="AE700" s="155">
        <v>0</v>
      </c>
      <c r="AF700" s="155">
        <v>0</v>
      </c>
      <c r="AG700" s="1132">
        <v>0</v>
      </c>
      <c r="AH700" s="505">
        <f>+U700+Y700+AB700+AE700</f>
        <v>0</v>
      </c>
      <c r="AI700" s="132"/>
      <c r="AJ700" s="75">
        <f t="shared" ref="AJ700:AJ701" si="128">+W701+Z701+AC701+AF701</f>
        <v>0</v>
      </c>
      <c r="AK700" s="75"/>
      <c r="AL700" s="75"/>
      <c r="AM700" s="75"/>
      <c r="AN700" s="64"/>
      <c r="AO700" s="64"/>
      <c r="AP700" s="64"/>
      <c r="AQ700" s="189"/>
      <c r="AR700" s="64"/>
      <c r="AS700" s="476"/>
      <c r="AT700" s="64"/>
      <c r="AU700" s="646"/>
      <c r="AV700" s="259"/>
      <c r="AW700" s="185" t="s">
        <v>589</v>
      </c>
    </row>
    <row r="701" spans="1:49" ht="23.45" hidden="1" customHeight="1" outlineLevel="2" x14ac:dyDescent="0.25">
      <c r="A701" s="63" t="str">
        <f t="shared" si="100"/>
        <v>1.4.1.5.2.63</v>
      </c>
      <c r="B701" s="64">
        <v>1</v>
      </c>
      <c r="C701" s="64">
        <v>4</v>
      </c>
      <c r="D701" s="64">
        <v>1</v>
      </c>
      <c r="E701" s="64">
        <v>5</v>
      </c>
      <c r="F701" s="64">
        <v>2</v>
      </c>
      <c r="G701" s="64">
        <v>63</v>
      </c>
      <c r="H701" s="65"/>
      <c r="I701" s="65"/>
      <c r="J701" s="66"/>
      <c r="K701" s="65" t="s">
        <v>704</v>
      </c>
      <c r="L701" s="64" t="s">
        <v>246</v>
      </c>
      <c r="M701" s="64" t="s">
        <v>680</v>
      </c>
      <c r="N701" s="64" t="s">
        <v>671</v>
      </c>
      <c r="O701" s="64" t="s">
        <v>359</v>
      </c>
      <c r="P701" s="64"/>
      <c r="Q701" s="69"/>
      <c r="R701" s="64"/>
      <c r="S701" s="65"/>
      <c r="T701" s="194"/>
      <c r="U701" s="155">
        <v>0</v>
      </c>
      <c r="V701" s="155"/>
      <c r="W701" s="155">
        <v>0</v>
      </c>
      <c r="X701" s="1132">
        <v>0</v>
      </c>
      <c r="Y701" s="155">
        <v>0</v>
      </c>
      <c r="Z701" s="155">
        <v>0</v>
      </c>
      <c r="AA701" s="1132">
        <v>0</v>
      </c>
      <c r="AB701" s="155">
        <v>0</v>
      </c>
      <c r="AC701" s="155">
        <v>0</v>
      </c>
      <c r="AD701" s="1132">
        <v>0</v>
      </c>
      <c r="AE701" s="155">
        <v>0</v>
      </c>
      <c r="AF701" s="155">
        <v>0</v>
      </c>
      <c r="AG701" s="1132">
        <v>0</v>
      </c>
      <c r="AH701" s="505">
        <f>+U701+Y701+AB701+AE701</f>
        <v>0</v>
      </c>
      <c r="AI701" s="132"/>
      <c r="AJ701" s="75">
        <f t="shared" si="128"/>
        <v>0</v>
      </c>
      <c r="AK701" s="75"/>
      <c r="AL701" s="75"/>
      <c r="AM701" s="75"/>
      <c r="AN701" s="64"/>
      <c r="AO701" s="64"/>
      <c r="AP701" s="64"/>
      <c r="AQ701" s="189"/>
      <c r="AR701" s="64"/>
      <c r="AS701" s="476"/>
      <c r="AT701" s="64"/>
      <c r="AU701" s="646"/>
      <c r="AV701" s="259"/>
      <c r="AW701" s="441"/>
    </row>
    <row r="702" spans="1:49" s="153" customFormat="1" ht="15" customHeight="1" outlineLevel="1" collapsed="1" x14ac:dyDescent="0.25">
      <c r="A702" s="148" t="str">
        <f t="shared" si="100"/>
        <v>1.4.1.6.0.0</v>
      </c>
      <c r="B702" s="82">
        <v>1</v>
      </c>
      <c r="C702" s="82">
        <v>4</v>
      </c>
      <c r="D702" s="82">
        <v>1</v>
      </c>
      <c r="E702" s="82">
        <v>6</v>
      </c>
      <c r="F702" s="82">
        <v>0</v>
      </c>
      <c r="G702" s="82">
        <v>0</v>
      </c>
      <c r="H702" s="149"/>
      <c r="I702" s="149"/>
      <c r="J702" s="1260" t="s">
        <v>706</v>
      </c>
      <c r="K702" s="1259"/>
      <c r="L702" s="82" t="s">
        <v>224</v>
      </c>
      <c r="M702" s="82" t="s">
        <v>299</v>
      </c>
      <c r="N702" s="82" t="s">
        <v>671</v>
      </c>
      <c r="O702" s="82" t="s">
        <v>359</v>
      </c>
      <c r="P702" s="82"/>
      <c r="Q702" s="82"/>
      <c r="R702" s="82"/>
      <c r="S702" s="149"/>
      <c r="T702" s="193"/>
      <c r="U702" s="152">
        <f>SUM(U703:U704)</f>
        <v>0</v>
      </c>
      <c r="V702" s="152"/>
      <c r="W702" s="152">
        <f t="shared" ref="W702:AH702" si="129">SUM(W703:W704)</f>
        <v>0</v>
      </c>
      <c r="X702" s="1131">
        <f t="shared" si="129"/>
        <v>0</v>
      </c>
      <c r="Y702" s="152">
        <f t="shared" si="129"/>
        <v>0</v>
      </c>
      <c r="Z702" s="152">
        <f t="shared" si="129"/>
        <v>0</v>
      </c>
      <c r="AA702" s="1131">
        <f t="shared" si="129"/>
        <v>0</v>
      </c>
      <c r="AB702" s="152">
        <f t="shared" si="129"/>
        <v>0</v>
      </c>
      <c r="AC702" s="152">
        <f t="shared" si="129"/>
        <v>0</v>
      </c>
      <c r="AD702" s="1131">
        <f t="shared" si="129"/>
        <v>0</v>
      </c>
      <c r="AE702" s="152">
        <f t="shared" si="129"/>
        <v>0</v>
      </c>
      <c r="AF702" s="152">
        <f t="shared" si="129"/>
        <v>0</v>
      </c>
      <c r="AG702" s="1131">
        <f t="shared" si="129"/>
        <v>0</v>
      </c>
      <c r="AH702" s="152">
        <f t="shared" si="129"/>
        <v>0</v>
      </c>
      <c r="AI702" s="152"/>
      <c r="AJ702" s="152"/>
      <c r="AK702" s="152"/>
      <c r="AL702" s="152"/>
      <c r="AM702" s="152"/>
      <c r="AN702" s="82" t="s">
        <v>39</v>
      </c>
      <c r="AO702" s="82"/>
      <c r="AP702" s="82"/>
      <c r="AQ702" s="365"/>
      <c r="AR702" s="82"/>
      <c r="AS702" s="483"/>
      <c r="AT702" s="82"/>
      <c r="AU702" s="666"/>
      <c r="AV702" s="358"/>
      <c r="AW702" s="444"/>
    </row>
    <row r="703" spans="1:49" ht="22.35" hidden="1" customHeight="1" outlineLevel="4" x14ac:dyDescent="0.25">
      <c r="A703" s="63" t="str">
        <f t="shared" si="100"/>
        <v>1.4.1.6.1.64</v>
      </c>
      <c r="B703" s="64">
        <v>1</v>
      </c>
      <c r="C703" s="64">
        <v>4</v>
      </c>
      <c r="D703" s="64">
        <v>1</v>
      </c>
      <c r="E703" s="64">
        <v>6</v>
      </c>
      <c r="F703" s="64">
        <v>1</v>
      </c>
      <c r="G703" s="64">
        <v>64</v>
      </c>
      <c r="H703" s="65"/>
      <c r="I703" s="65"/>
      <c r="J703" s="66"/>
      <c r="K703" s="65" t="s">
        <v>703</v>
      </c>
      <c r="L703" s="64" t="s">
        <v>246</v>
      </c>
      <c r="M703" s="64" t="s">
        <v>680</v>
      </c>
      <c r="N703" s="64" t="s">
        <v>671</v>
      </c>
      <c r="O703" s="64" t="s">
        <v>359</v>
      </c>
      <c r="P703" s="64"/>
      <c r="Q703" s="64"/>
      <c r="R703" s="64"/>
      <c r="S703" s="65"/>
      <c r="T703" s="194"/>
      <c r="U703" s="155">
        <v>0</v>
      </c>
      <c r="V703" s="155"/>
      <c r="W703" s="155">
        <v>0</v>
      </c>
      <c r="X703" s="1132">
        <v>0</v>
      </c>
      <c r="Y703" s="155">
        <v>0</v>
      </c>
      <c r="Z703" s="155">
        <v>0</v>
      </c>
      <c r="AA703" s="1132">
        <v>0</v>
      </c>
      <c r="AB703" s="155">
        <v>0</v>
      </c>
      <c r="AC703" s="155">
        <v>0</v>
      </c>
      <c r="AD703" s="1132">
        <v>0</v>
      </c>
      <c r="AE703" s="155">
        <v>0</v>
      </c>
      <c r="AF703" s="155">
        <v>0</v>
      </c>
      <c r="AG703" s="1132">
        <v>0</v>
      </c>
      <c r="AH703" s="505">
        <f>+U703+Y703+AB703+AE703</f>
        <v>0</v>
      </c>
      <c r="AI703" s="132"/>
      <c r="AJ703" s="75">
        <f t="shared" ref="AJ703:AJ704" si="130">+W704+Z704+AC704+AF704</f>
        <v>0</v>
      </c>
      <c r="AK703" s="75"/>
      <c r="AL703" s="75"/>
      <c r="AM703" s="75"/>
      <c r="AN703" s="64"/>
      <c r="AO703" s="64"/>
      <c r="AP703" s="64"/>
      <c r="AQ703" s="189"/>
      <c r="AR703" s="64"/>
      <c r="AS703" s="476"/>
      <c r="AT703" s="64"/>
      <c r="AU703" s="646"/>
      <c r="AV703" s="259"/>
      <c r="AW703" s="185" t="s">
        <v>589</v>
      </c>
    </row>
    <row r="704" spans="1:49" ht="22.35" hidden="1" customHeight="1" outlineLevel="4" x14ac:dyDescent="0.25">
      <c r="A704" s="63" t="str">
        <f t="shared" si="100"/>
        <v>1.4.1.6.2.64</v>
      </c>
      <c r="B704" s="64">
        <v>1</v>
      </c>
      <c r="C704" s="64">
        <v>4</v>
      </c>
      <c r="D704" s="64">
        <v>1</v>
      </c>
      <c r="E704" s="64">
        <v>6</v>
      </c>
      <c r="F704" s="64">
        <v>2</v>
      </c>
      <c r="G704" s="64">
        <v>64</v>
      </c>
      <c r="H704" s="65"/>
      <c r="I704" s="65"/>
      <c r="J704" s="66"/>
      <c r="K704" s="65" t="s">
        <v>704</v>
      </c>
      <c r="L704" s="64" t="s">
        <v>246</v>
      </c>
      <c r="M704" s="64" t="s">
        <v>680</v>
      </c>
      <c r="N704" s="64" t="s">
        <v>671</v>
      </c>
      <c r="O704" s="64" t="s">
        <v>359</v>
      </c>
      <c r="P704" s="64"/>
      <c r="Q704" s="64"/>
      <c r="R704" s="64"/>
      <c r="S704" s="65"/>
      <c r="T704" s="194"/>
      <c r="U704" s="155">
        <v>0</v>
      </c>
      <c r="V704" s="155"/>
      <c r="W704" s="155">
        <v>0</v>
      </c>
      <c r="X704" s="1132">
        <v>0</v>
      </c>
      <c r="Y704" s="155">
        <v>0</v>
      </c>
      <c r="Z704" s="155">
        <v>0</v>
      </c>
      <c r="AA704" s="1132">
        <v>0</v>
      </c>
      <c r="AB704" s="155">
        <v>0</v>
      </c>
      <c r="AC704" s="155">
        <v>0</v>
      </c>
      <c r="AD704" s="1132">
        <v>0</v>
      </c>
      <c r="AE704" s="155">
        <v>0</v>
      </c>
      <c r="AF704" s="155">
        <v>0</v>
      </c>
      <c r="AG704" s="1132">
        <v>0</v>
      </c>
      <c r="AH704" s="505">
        <f>+U704+Y704+AB704+AE704</f>
        <v>0</v>
      </c>
      <c r="AI704" s="132"/>
      <c r="AJ704" s="75">
        <f t="shared" si="130"/>
        <v>0</v>
      </c>
      <c r="AK704" s="75"/>
      <c r="AL704" s="75"/>
      <c r="AM704" s="75"/>
      <c r="AN704" s="64"/>
      <c r="AO704" s="64"/>
      <c r="AP704" s="64"/>
      <c r="AQ704" s="189"/>
      <c r="AR704" s="64"/>
      <c r="AS704" s="476"/>
      <c r="AT704" s="64"/>
      <c r="AU704" s="646"/>
      <c r="AV704" s="259"/>
      <c r="AW704" s="441"/>
    </row>
    <row r="705" spans="1:49" s="153" customFormat="1" ht="15" customHeight="1" outlineLevel="1" collapsed="1" x14ac:dyDescent="0.25">
      <c r="A705" s="148" t="str">
        <f t="shared" si="100"/>
        <v>1.4.1.7.0.0</v>
      </c>
      <c r="B705" s="82">
        <v>1</v>
      </c>
      <c r="C705" s="82">
        <v>4</v>
      </c>
      <c r="D705" s="82">
        <v>1</v>
      </c>
      <c r="E705" s="82">
        <v>7</v>
      </c>
      <c r="F705" s="82">
        <v>0</v>
      </c>
      <c r="G705" s="82">
        <v>0</v>
      </c>
      <c r="H705" s="149"/>
      <c r="I705" s="149"/>
      <c r="J705" s="1260" t="s">
        <v>707</v>
      </c>
      <c r="K705" s="1259"/>
      <c r="L705" s="82" t="s">
        <v>224</v>
      </c>
      <c r="M705" s="82" t="s">
        <v>299</v>
      </c>
      <c r="N705" s="82" t="s">
        <v>671</v>
      </c>
      <c r="O705" s="82" t="s">
        <v>359</v>
      </c>
      <c r="P705" s="82"/>
      <c r="Q705" s="82"/>
      <c r="R705" s="82"/>
      <c r="S705" s="149"/>
      <c r="T705" s="193"/>
      <c r="U705" s="152">
        <f>SUM(U706:U707)</f>
        <v>0</v>
      </c>
      <c r="V705" s="152"/>
      <c r="W705" s="681">
        <f>SUM(W706:W707)</f>
        <v>0</v>
      </c>
      <c r="X705" s="1131">
        <f t="shared" ref="X705:AE705" si="131">SUM(X706:X707)</f>
        <v>0</v>
      </c>
      <c r="Y705" s="152">
        <f t="shared" si="131"/>
        <v>0</v>
      </c>
      <c r="Z705" s="844">
        <f t="shared" si="131"/>
        <v>0</v>
      </c>
      <c r="AA705" s="1131">
        <f t="shared" si="131"/>
        <v>0</v>
      </c>
      <c r="AB705" s="152">
        <f t="shared" si="131"/>
        <v>0</v>
      </c>
      <c r="AC705" s="970">
        <f t="shared" si="131"/>
        <v>0</v>
      </c>
      <c r="AD705" s="1131">
        <f t="shared" si="131"/>
        <v>0</v>
      </c>
      <c r="AE705" s="152">
        <f t="shared" si="131"/>
        <v>0</v>
      </c>
      <c r="AF705" s="597"/>
      <c r="AG705" s="1131">
        <f t="shared" ref="AG705" si="132">SUM(AG706:AG707)</f>
        <v>0</v>
      </c>
      <c r="AH705" s="512">
        <f>+SUM(AH706:AH707)</f>
        <v>0</v>
      </c>
      <c r="AI705" s="152"/>
      <c r="AJ705" s="152"/>
      <c r="AK705" s="152"/>
      <c r="AL705" s="152"/>
      <c r="AM705" s="152"/>
      <c r="AN705" s="82" t="s">
        <v>39</v>
      </c>
      <c r="AO705" s="82"/>
      <c r="AP705" s="82"/>
      <c r="AQ705" s="365"/>
      <c r="AR705" s="82"/>
      <c r="AS705" s="483"/>
      <c r="AT705" s="82"/>
      <c r="AU705" s="666"/>
      <c r="AV705" s="358"/>
      <c r="AW705" s="444"/>
    </row>
    <row r="706" spans="1:49" ht="18.600000000000001" hidden="1" customHeight="1" outlineLevel="2" x14ac:dyDescent="0.25">
      <c r="A706" s="63" t="str">
        <f t="shared" si="100"/>
        <v>1.4.1.7.1.61</v>
      </c>
      <c r="B706" s="64">
        <v>1</v>
      </c>
      <c r="C706" s="64">
        <v>4</v>
      </c>
      <c r="D706" s="64">
        <v>1</v>
      </c>
      <c r="E706" s="64">
        <v>7</v>
      </c>
      <c r="F706" s="64">
        <v>1</v>
      </c>
      <c r="G706" s="64">
        <v>61</v>
      </c>
      <c r="H706" s="65"/>
      <c r="I706" s="65"/>
      <c r="J706" s="66"/>
      <c r="K706" s="65" t="s">
        <v>703</v>
      </c>
      <c r="L706" s="64" t="s">
        <v>246</v>
      </c>
      <c r="M706" s="64" t="s">
        <v>680</v>
      </c>
      <c r="N706" s="64" t="s">
        <v>671</v>
      </c>
      <c r="O706" s="64" t="s">
        <v>359</v>
      </c>
      <c r="P706" s="64"/>
      <c r="Q706" s="64"/>
      <c r="R706" s="64"/>
      <c r="S706" s="65"/>
      <c r="T706" s="194"/>
      <c r="U706" s="155">
        <v>0</v>
      </c>
      <c r="V706" s="155"/>
      <c r="W706" s="155">
        <v>0</v>
      </c>
      <c r="X706" s="1132">
        <v>0</v>
      </c>
      <c r="Y706" s="155">
        <v>0</v>
      </c>
      <c r="Z706" s="155">
        <v>0</v>
      </c>
      <c r="AA706" s="1132">
        <v>0</v>
      </c>
      <c r="AB706" s="155">
        <v>0</v>
      </c>
      <c r="AC706" s="155">
        <v>0</v>
      </c>
      <c r="AD706" s="1132">
        <v>0</v>
      </c>
      <c r="AE706" s="155">
        <v>0</v>
      </c>
      <c r="AF706" s="155">
        <v>0</v>
      </c>
      <c r="AG706" s="1132">
        <v>0</v>
      </c>
      <c r="AH706" s="505">
        <f t="shared" ref="AH706:AH707" si="133">+W706+Y706+AB706+AE706</f>
        <v>0</v>
      </c>
      <c r="AI706" s="132"/>
      <c r="AJ706" s="75">
        <f t="shared" ref="AJ706:AJ707" si="134">+W707+Z707+AC707+AF707</f>
        <v>0</v>
      </c>
      <c r="AK706" s="75"/>
      <c r="AL706" s="75"/>
      <c r="AM706" s="75"/>
      <c r="AN706" s="64"/>
      <c r="AO706" s="64"/>
      <c r="AP706" s="64"/>
      <c r="AQ706" s="189"/>
      <c r="AR706" s="64"/>
      <c r="AS706" s="476"/>
      <c r="AT706" s="64"/>
      <c r="AU706" s="646"/>
      <c r="AV706" s="259"/>
      <c r="AW706" s="185" t="s">
        <v>589</v>
      </c>
    </row>
    <row r="707" spans="1:49" ht="18.600000000000001" hidden="1" customHeight="1" outlineLevel="2" x14ac:dyDescent="0.25">
      <c r="A707" s="63" t="str">
        <f t="shared" si="100"/>
        <v>1.4.1.7.2.61</v>
      </c>
      <c r="B707" s="64">
        <v>1</v>
      </c>
      <c r="C707" s="64">
        <v>4</v>
      </c>
      <c r="D707" s="64">
        <v>1</v>
      </c>
      <c r="E707" s="64">
        <v>7</v>
      </c>
      <c r="F707" s="64">
        <v>2</v>
      </c>
      <c r="G707" s="64">
        <v>61</v>
      </c>
      <c r="H707" s="65"/>
      <c r="I707" s="65"/>
      <c r="J707" s="66"/>
      <c r="K707" s="65" t="s">
        <v>704</v>
      </c>
      <c r="L707" s="64" t="s">
        <v>246</v>
      </c>
      <c r="M707" s="64" t="s">
        <v>680</v>
      </c>
      <c r="N707" s="64" t="s">
        <v>671</v>
      </c>
      <c r="O707" s="64" t="s">
        <v>359</v>
      </c>
      <c r="P707" s="64"/>
      <c r="Q707" s="64"/>
      <c r="R707" s="64"/>
      <c r="S707" s="65"/>
      <c r="T707" s="194"/>
      <c r="U707" s="155">
        <v>0</v>
      </c>
      <c r="V707" s="155"/>
      <c r="W707" s="155">
        <v>0</v>
      </c>
      <c r="X707" s="1132">
        <v>0</v>
      </c>
      <c r="Y707" s="155">
        <v>0</v>
      </c>
      <c r="Z707" s="155">
        <v>0</v>
      </c>
      <c r="AA707" s="1132">
        <v>0</v>
      </c>
      <c r="AB707" s="155">
        <v>0</v>
      </c>
      <c r="AC707" s="155">
        <v>0</v>
      </c>
      <c r="AD707" s="1132">
        <v>0</v>
      </c>
      <c r="AE707" s="155">
        <v>0</v>
      </c>
      <c r="AF707" s="155">
        <v>0</v>
      </c>
      <c r="AG707" s="1132">
        <v>0</v>
      </c>
      <c r="AH707" s="505">
        <f t="shared" si="133"/>
        <v>0</v>
      </c>
      <c r="AI707" s="132"/>
      <c r="AJ707" s="75">
        <f t="shared" si="134"/>
        <v>0</v>
      </c>
      <c r="AK707" s="75"/>
      <c r="AL707" s="75"/>
      <c r="AM707" s="75"/>
      <c r="AN707" s="64"/>
      <c r="AO707" s="64"/>
      <c r="AP707" s="64"/>
      <c r="AQ707" s="189"/>
      <c r="AR707" s="64"/>
      <c r="AS707" s="476"/>
      <c r="AT707" s="64"/>
      <c r="AU707" s="646"/>
      <c r="AV707" s="259"/>
      <c r="AW707" s="441"/>
    </row>
    <row r="708" spans="1:49" s="153" customFormat="1" ht="15" customHeight="1" outlineLevel="1" collapsed="1" x14ac:dyDescent="0.25">
      <c r="A708" s="148" t="str">
        <f t="shared" si="100"/>
        <v>1.4.1.8.0.0</v>
      </c>
      <c r="B708" s="82">
        <v>1</v>
      </c>
      <c r="C708" s="82">
        <v>4</v>
      </c>
      <c r="D708" s="82">
        <v>1</v>
      </c>
      <c r="E708" s="82">
        <v>8</v>
      </c>
      <c r="F708" s="82">
        <v>0</v>
      </c>
      <c r="G708" s="82">
        <v>0</v>
      </c>
      <c r="H708" s="149"/>
      <c r="I708" s="149"/>
      <c r="J708" s="1260" t="s">
        <v>1803</v>
      </c>
      <c r="K708" s="1259"/>
      <c r="L708" s="82" t="s">
        <v>224</v>
      </c>
      <c r="M708" s="82" t="s">
        <v>299</v>
      </c>
      <c r="N708" s="82" t="s">
        <v>671</v>
      </c>
      <c r="O708" s="82" t="s">
        <v>359</v>
      </c>
      <c r="P708" s="82"/>
      <c r="Q708" s="82"/>
      <c r="R708" s="82"/>
      <c r="S708" s="149"/>
      <c r="T708" s="193"/>
      <c r="U708" s="152">
        <f>SUM(U709:U710)</f>
        <v>0</v>
      </c>
      <c r="V708" s="152"/>
      <c r="W708" s="152">
        <f t="shared" ref="W708:AH708" si="135">SUM(W709:W710)</f>
        <v>0</v>
      </c>
      <c r="X708" s="1131">
        <f t="shared" si="135"/>
        <v>0</v>
      </c>
      <c r="Y708" s="152">
        <f t="shared" si="135"/>
        <v>0</v>
      </c>
      <c r="Z708" s="152">
        <f t="shared" si="135"/>
        <v>0</v>
      </c>
      <c r="AA708" s="1131">
        <f t="shared" si="135"/>
        <v>0</v>
      </c>
      <c r="AB708" s="152">
        <f t="shared" si="135"/>
        <v>0</v>
      </c>
      <c r="AC708" s="152">
        <f t="shared" si="135"/>
        <v>0</v>
      </c>
      <c r="AD708" s="1131">
        <f t="shared" si="135"/>
        <v>0</v>
      </c>
      <c r="AE708" s="152">
        <f t="shared" si="135"/>
        <v>0</v>
      </c>
      <c r="AF708" s="152">
        <f t="shared" si="135"/>
        <v>0</v>
      </c>
      <c r="AG708" s="1131">
        <f t="shared" si="135"/>
        <v>0</v>
      </c>
      <c r="AH708" s="152">
        <f t="shared" si="135"/>
        <v>0</v>
      </c>
      <c r="AI708" s="152"/>
      <c r="AJ708" s="152"/>
      <c r="AK708" s="152"/>
      <c r="AL708" s="152"/>
      <c r="AM708" s="152"/>
      <c r="AN708" s="82" t="s">
        <v>39</v>
      </c>
      <c r="AO708" s="82"/>
      <c r="AP708" s="82"/>
      <c r="AQ708" s="365"/>
      <c r="AR708" s="82"/>
      <c r="AS708" s="483"/>
      <c r="AT708" s="82"/>
      <c r="AU708" s="666"/>
      <c r="AV708" s="358"/>
      <c r="AW708" s="444"/>
    </row>
    <row r="709" spans="1:49" ht="24" hidden="1" customHeight="1" outlineLevel="3" x14ac:dyDescent="0.25">
      <c r="A709" s="63" t="str">
        <f t="shared" si="100"/>
        <v>1.4.1.8.1.62</v>
      </c>
      <c r="B709" s="64">
        <v>1</v>
      </c>
      <c r="C709" s="64">
        <v>4</v>
      </c>
      <c r="D709" s="64">
        <v>1</v>
      </c>
      <c r="E709" s="64">
        <v>8</v>
      </c>
      <c r="F709" s="64">
        <v>1</v>
      </c>
      <c r="G709" s="64">
        <v>62</v>
      </c>
      <c r="H709" s="65"/>
      <c r="I709" s="65"/>
      <c r="J709" s="66"/>
      <c r="K709" s="65" t="s">
        <v>703</v>
      </c>
      <c r="L709" s="64" t="s">
        <v>246</v>
      </c>
      <c r="M709" s="64" t="s">
        <v>680</v>
      </c>
      <c r="N709" s="64" t="s">
        <v>671</v>
      </c>
      <c r="O709" s="64" t="s">
        <v>359</v>
      </c>
      <c r="P709" s="64"/>
      <c r="Q709" s="69"/>
      <c r="R709" s="64"/>
      <c r="S709" s="65"/>
      <c r="T709" s="194"/>
      <c r="U709" s="155">
        <v>0</v>
      </c>
      <c r="V709" s="155"/>
      <c r="W709" s="155">
        <v>0</v>
      </c>
      <c r="X709" s="1132">
        <v>0</v>
      </c>
      <c r="Y709" s="155">
        <v>0</v>
      </c>
      <c r="Z709" s="155">
        <v>0</v>
      </c>
      <c r="AA709" s="1132">
        <v>0</v>
      </c>
      <c r="AB709" s="155">
        <v>0</v>
      </c>
      <c r="AC709" s="155">
        <v>0</v>
      </c>
      <c r="AD709" s="1132">
        <v>0</v>
      </c>
      <c r="AE709" s="155">
        <v>0</v>
      </c>
      <c r="AF709" s="155">
        <v>0</v>
      </c>
      <c r="AG709" s="1132">
        <v>0</v>
      </c>
      <c r="AH709" s="505">
        <f>+U709+Y709+AB709+AE709</f>
        <v>0</v>
      </c>
      <c r="AI709" s="132"/>
      <c r="AJ709" s="75">
        <f t="shared" ref="AJ709:AJ710" si="136">+W710+Z710+AC710+AF710</f>
        <v>0</v>
      </c>
      <c r="AK709" s="75"/>
      <c r="AL709" s="75"/>
      <c r="AM709" s="75"/>
      <c r="AN709" s="64"/>
      <c r="AO709" s="64"/>
      <c r="AP709" s="64"/>
      <c r="AQ709" s="189"/>
      <c r="AR709" s="64"/>
      <c r="AS709" s="476"/>
      <c r="AT709" s="64"/>
      <c r="AU709" s="646"/>
      <c r="AV709" s="259"/>
      <c r="AW709" s="185" t="s">
        <v>589</v>
      </c>
    </row>
    <row r="710" spans="1:49" ht="24" hidden="1" customHeight="1" outlineLevel="3" x14ac:dyDescent="0.25">
      <c r="A710" s="63" t="str">
        <f t="shared" si="100"/>
        <v>1.4.1.8.2.62</v>
      </c>
      <c r="B710" s="64">
        <v>1</v>
      </c>
      <c r="C710" s="64">
        <v>4</v>
      </c>
      <c r="D710" s="64">
        <v>1</v>
      </c>
      <c r="E710" s="64">
        <v>8</v>
      </c>
      <c r="F710" s="64">
        <v>2</v>
      </c>
      <c r="G710" s="64">
        <v>62</v>
      </c>
      <c r="H710" s="65"/>
      <c r="I710" s="65"/>
      <c r="J710" s="66"/>
      <c r="K710" s="65" t="s">
        <v>704</v>
      </c>
      <c r="L710" s="64" t="s">
        <v>246</v>
      </c>
      <c r="M710" s="64" t="s">
        <v>680</v>
      </c>
      <c r="N710" s="64" t="s">
        <v>671</v>
      </c>
      <c r="O710" s="64" t="s">
        <v>359</v>
      </c>
      <c r="P710" s="64"/>
      <c r="Q710" s="69"/>
      <c r="R710" s="64"/>
      <c r="S710" s="65"/>
      <c r="T710" s="194"/>
      <c r="U710" s="155">
        <v>0</v>
      </c>
      <c r="V710" s="155"/>
      <c r="W710" s="155">
        <v>0</v>
      </c>
      <c r="X710" s="1132">
        <v>0</v>
      </c>
      <c r="Y710" s="155">
        <v>0</v>
      </c>
      <c r="Z710" s="155">
        <v>0</v>
      </c>
      <c r="AA710" s="1132">
        <v>0</v>
      </c>
      <c r="AB710" s="155">
        <v>0</v>
      </c>
      <c r="AC710" s="155">
        <v>0</v>
      </c>
      <c r="AD710" s="1132">
        <v>0</v>
      </c>
      <c r="AE710" s="155">
        <v>0</v>
      </c>
      <c r="AF710" s="155">
        <v>0</v>
      </c>
      <c r="AG710" s="1132">
        <v>0</v>
      </c>
      <c r="AH710" s="505">
        <f>+U710+Y710+AB710+AE710</f>
        <v>0</v>
      </c>
      <c r="AI710" s="132"/>
      <c r="AJ710" s="75">
        <f t="shared" si="136"/>
        <v>0</v>
      </c>
      <c r="AK710" s="75"/>
      <c r="AL710" s="75"/>
      <c r="AM710" s="75"/>
      <c r="AN710" s="64"/>
      <c r="AO710" s="64"/>
      <c r="AP710" s="64"/>
      <c r="AQ710" s="189"/>
      <c r="AR710" s="64"/>
      <c r="AS710" s="476"/>
      <c r="AT710" s="64"/>
      <c r="AU710" s="646"/>
      <c r="AV710" s="259"/>
      <c r="AW710" s="441"/>
    </row>
    <row r="711" spans="1:49" s="153" customFormat="1" ht="15" customHeight="1" outlineLevel="1" collapsed="1" x14ac:dyDescent="0.25">
      <c r="A711" s="148" t="str">
        <f t="shared" si="100"/>
        <v>1.4.1.9.0.0</v>
      </c>
      <c r="B711" s="82">
        <v>1</v>
      </c>
      <c r="C711" s="82">
        <v>4</v>
      </c>
      <c r="D711" s="82">
        <v>1</v>
      </c>
      <c r="E711" s="82">
        <v>9</v>
      </c>
      <c r="F711" s="82">
        <v>0</v>
      </c>
      <c r="G711" s="82">
        <v>0</v>
      </c>
      <c r="H711" s="149"/>
      <c r="I711" s="149"/>
      <c r="J711" s="1260" t="s">
        <v>1804</v>
      </c>
      <c r="K711" s="1259"/>
      <c r="L711" s="82" t="s">
        <v>224</v>
      </c>
      <c r="M711" s="82" t="s">
        <v>299</v>
      </c>
      <c r="N711" s="82" t="s">
        <v>671</v>
      </c>
      <c r="O711" s="82" t="s">
        <v>359</v>
      </c>
      <c r="P711" s="82"/>
      <c r="Q711" s="82"/>
      <c r="R711" s="82"/>
      <c r="S711" s="149"/>
      <c r="T711" s="193"/>
      <c r="U711" s="152">
        <f>SUM(U712:U713)</f>
        <v>0</v>
      </c>
      <c r="V711" s="152"/>
      <c r="W711" s="152">
        <f t="shared" ref="W711:AH711" si="137">SUM(W712:W713)</f>
        <v>0</v>
      </c>
      <c r="X711" s="1131">
        <f t="shared" si="137"/>
        <v>0</v>
      </c>
      <c r="Y711" s="152">
        <f t="shared" si="137"/>
        <v>0</v>
      </c>
      <c r="Z711" s="152">
        <f t="shared" si="137"/>
        <v>0</v>
      </c>
      <c r="AA711" s="1131">
        <f t="shared" si="137"/>
        <v>0</v>
      </c>
      <c r="AB711" s="152">
        <f t="shared" si="137"/>
        <v>0</v>
      </c>
      <c r="AC711" s="152">
        <f t="shared" si="137"/>
        <v>0</v>
      </c>
      <c r="AD711" s="1131">
        <f t="shared" si="137"/>
        <v>0</v>
      </c>
      <c r="AE711" s="152">
        <f t="shared" si="137"/>
        <v>0</v>
      </c>
      <c r="AF711" s="152">
        <f t="shared" si="137"/>
        <v>0</v>
      </c>
      <c r="AG711" s="1131">
        <f t="shared" si="137"/>
        <v>0</v>
      </c>
      <c r="AH711" s="152">
        <f t="shared" si="137"/>
        <v>0</v>
      </c>
      <c r="AI711" s="152"/>
      <c r="AJ711" s="152"/>
      <c r="AK711" s="152"/>
      <c r="AL711" s="152"/>
      <c r="AM711" s="152"/>
      <c r="AN711" s="82" t="s">
        <v>39</v>
      </c>
      <c r="AO711" s="82"/>
      <c r="AP711" s="82"/>
      <c r="AQ711" s="365"/>
      <c r="AR711" s="82"/>
      <c r="AS711" s="483"/>
      <c r="AT711" s="82"/>
      <c r="AU711" s="666"/>
      <c r="AV711" s="358"/>
      <c r="AW711" s="444"/>
    </row>
    <row r="712" spans="1:49" ht="23.1" hidden="1" customHeight="1" outlineLevel="3" x14ac:dyDescent="0.25">
      <c r="A712" s="63" t="str">
        <f t="shared" si="100"/>
        <v>1.4.1.9.1.60</v>
      </c>
      <c r="B712" s="64">
        <v>1</v>
      </c>
      <c r="C712" s="64">
        <v>4</v>
      </c>
      <c r="D712" s="64">
        <v>1</v>
      </c>
      <c r="E712" s="64">
        <v>9</v>
      </c>
      <c r="F712" s="64">
        <v>1</v>
      </c>
      <c r="G712" s="64">
        <v>60</v>
      </c>
      <c r="H712" s="65"/>
      <c r="I712" s="65"/>
      <c r="J712" s="66"/>
      <c r="K712" s="65" t="s">
        <v>703</v>
      </c>
      <c r="L712" s="64" t="s">
        <v>246</v>
      </c>
      <c r="M712" s="64" t="s">
        <v>680</v>
      </c>
      <c r="N712" s="64" t="s">
        <v>671</v>
      </c>
      <c r="O712" s="64" t="s">
        <v>359</v>
      </c>
      <c r="P712" s="64"/>
      <c r="Q712" s="69"/>
      <c r="R712" s="64"/>
      <c r="S712" s="65"/>
      <c r="T712" s="194"/>
      <c r="U712" s="155">
        <v>0</v>
      </c>
      <c r="V712" s="155"/>
      <c r="W712" s="155">
        <v>0</v>
      </c>
      <c r="X712" s="1132">
        <v>0</v>
      </c>
      <c r="Y712" s="155">
        <v>0</v>
      </c>
      <c r="Z712" s="155">
        <v>0</v>
      </c>
      <c r="AA712" s="1132">
        <v>0</v>
      </c>
      <c r="AB712" s="155">
        <v>0</v>
      </c>
      <c r="AC712" s="155">
        <v>0</v>
      </c>
      <c r="AD712" s="1132">
        <v>0</v>
      </c>
      <c r="AE712" s="155">
        <v>0</v>
      </c>
      <c r="AF712" s="155">
        <v>0</v>
      </c>
      <c r="AG712" s="1132">
        <v>0</v>
      </c>
      <c r="AH712" s="505">
        <f>+U712+Y712+AB712+AE712</f>
        <v>0</v>
      </c>
      <c r="AI712" s="132"/>
      <c r="AJ712" s="75">
        <f t="shared" ref="AJ712:AJ713" si="138">+W713+Z713+AC713+AF713</f>
        <v>0</v>
      </c>
      <c r="AK712" s="75"/>
      <c r="AL712" s="75"/>
      <c r="AM712" s="75"/>
      <c r="AN712" s="64"/>
      <c r="AO712" s="64"/>
      <c r="AP712" s="64"/>
      <c r="AQ712" s="189"/>
      <c r="AR712" s="64"/>
      <c r="AS712" s="476"/>
      <c r="AT712" s="64"/>
      <c r="AU712" s="646"/>
      <c r="AV712" s="259"/>
      <c r="AW712" s="185" t="s">
        <v>589</v>
      </c>
    </row>
    <row r="713" spans="1:49" ht="23.1" hidden="1" customHeight="1" outlineLevel="3" x14ac:dyDescent="0.25">
      <c r="A713" s="63" t="str">
        <f t="shared" si="100"/>
        <v>1.4.1.9.2.60</v>
      </c>
      <c r="B713" s="64">
        <v>1</v>
      </c>
      <c r="C713" s="64">
        <v>4</v>
      </c>
      <c r="D713" s="64">
        <v>1</v>
      </c>
      <c r="E713" s="64">
        <v>9</v>
      </c>
      <c r="F713" s="64">
        <v>2</v>
      </c>
      <c r="G713" s="64">
        <v>60</v>
      </c>
      <c r="H713" s="65"/>
      <c r="I713" s="65"/>
      <c r="J713" s="66"/>
      <c r="K713" s="65" t="s">
        <v>704</v>
      </c>
      <c r="L713" s="64" t="s">
        <v>246</v>
      </c>
      <c r="M713" s="64" t="s">
        <v>680</v>
      </c>
      <c r="N713" s="64" t="s">
        <v>671</v>
      </c>
      <c r="O713" s="64" t="s">
        <v>359</v>
      </c>
      <c r="P713" s="64"/>
      <c r="Q713" s="69"/>
      <c r="R713" s="64"/>
      <c r="S713" s="65"/>
      <c r="T713" s="194"/>
      <c r="U713" s="155">
        <v>0</v>
      </c>
      <c r="V713" s="155"/>
      <c r="W713" s="155">
        <v>0</v>
      </c>
      <c r="X713" s="1132">
        <v>0</v>
      </c>
      <c r="Y713" s="155">
        <v>0</v>
      </c>
      <c r="Z713" s="155">
        <v>0</v>
      </c>
      <c r="AA713" s="1132">
        <v>0</v>
      </c>
      <c r="AB713" s="155">
        <v>0</v>
      </c>
      <c r="AC713" s="155">
        <v>0</v>
      </c>
      <c r="AD713" s="1132">
        <v>0</v>
      </c>
      <c r="AE713" s="155">
        <v>0</v>
      </c>
      <c r="AF713" s="155">
        <v>0</v>
      </c>
      <c r="AG713" s="1132">
        <v>0</v>
      </c>
      <c r="AH713" s="505">
        <f>+U713+Y713+AB713+AE713</f>
        <v>0</v>
      </c>
      <c r="AI713" s="132"/>
      <c r="AJ713" s="75">
        <f t="shared" si="138"/>
        <v>0</v>
      </c>
      <c r="AK713" s="75"/>
      <c r="AL713" s="75"/>
      <c r="AM713" s="75"/>
      <c r="AN713" s="171"/>
      <c r="AO713" s="171"/>
      <c r="AP713" s="171"/>
      <c r="AQ713" s="418"/>
      <c r="AS713" s="484"/>
      <c r="AV713" s="259"/>
      <c r="AW713" s="441"/>
    </row>
    <row r="714" spans="1:49" s="153" customFormat="1" ht="15" customHeight="1" outlineLevel="1" collapsed="1" x14ac:dyDescent="0.25">
      <c r="A714" s="148" t="str">
        <f t="shared" si="100"/>
        <v>1.4.1.10.0.0</v>
      </c>
      <c r="B714" s="82">
        <v>1</v>
      </c>
      <c r="C714" s="82">
        <v>4</v>
      </c>
      <c r="D714" s="82">
        <v>1</v>
      </c>
      <c r="E714" s="82">
        <v>10</v>
      </c>
      <c r="F714" s="82">
        <v>0</v>
      </c>
      <c r="G714" s="82">
        <v>0</v>
      </c>
      <c r="H714" s="149"/>
      <c r="I714" s="149"/>
      <c r="J714" s="1260" t="s">
        <v>708</v>
      </c>
      <c r="K714" s="1259"/>
      <c r="L714" s="82" t="s">
        <v>224</v>
      </c>
      <c r="M714" s="82" t="s">
        <v>299</v>
      </c>
      <c r="N714" s="82" t="s">
        <v>671</v>
      </c>
      <c r="O714" s="82" t="s">
        <v>359</v>
      </c>
      <c r="P714" s="82"/>
      <c r="Q714" s="82"/>
      <c r="R714" s="82"/>
      <c r="S714" s="149"/>
      <c r="T714" s="193"/>
      <c r="U714" s="379">
        <f t="shared" ref="U714:AH714" si="139">+SUM(U715:U716)</f>
        <v>0</v>
      </c>
      <c r="V714" s="379"/>
      <c r="W714" s="379">
        <f t="shared" si="139"/>
        <v>0</v>
      </c>
      <c r="X714" s="1130">
        <f t="shared" si="139"/>
        <v>0</v>
      </c>
      <c r="Y714" s="379">
        <f t="shared" si="139"/>
        <v>0</v>
      </c>
      <c r="Z714" s="379">
        <f t="shared" si="139"/>
        <v>0</v>
      </c>
      <c r="AA714" s="1130">
        <f t="shared" si="139"/>
        <v>0</v>
      </c>
      <c r="AB714" s="379">
        <f t="shared" si="139"/>
        <v>0</v>
      </c>
      <c r="AC714" s="379">
        <f t="shared" si="139"/>
        <v>0</v>
      </c>
      <c r="AD714" s="1130">
        <f t="shared" si="139"/>
        <v>0</v>
      </c>
      <c r="AE714" s="379">
        <f t="shared" si="139"/>
        <v>0</v>
      </c>
      <c r="AF714" s="379">
        <f t="shared" si="139"/>
        <v>0</v>
      </c>
      <c r="AG714" s="1130">
        <f t="shared" si="139"/>
        <v>0</v>
      </c>
      <c r="AH714" s="379">
        <f t="shared" si="139"/>
        <v>0</v>
      </c>
      <c r="AI714" s="152"/>
      <c r="AJ714" s="152"/>
      <c r="AK714" s="152"/>
      <c r="AL714" s="152"/>
      <c r="AM714" s="152"/>
      <c r="AN714" s="82" t="s">
        <v>181</v>
      </c>
      <c r="AO714" s="82"/>
      <c r="AP714" s="82"/>
      <c r="AQ714" s="365"/>
      <c r="AR714" s="82"/>
      <c r="AS714" s="483"/>
      <c r="AT714" s="82"/>
      <c r="AU714" s="666"/>
      <c r="AV714" s="379">
        <f t="shared" ref="AV714" si="140">+SUM(AV715:AV716)</f>
        <v>0</v>
      </c>
      <c r="AW714" s="444"/>
    </row>
    <row r="715" spans="1:49" ht="26.45" hidden="1" customHeight="1" outlineLevel="2" x14ac:dyDescent="0.25">
      <c r="A715" s="63" t="str">
        <f t="shared" si="100"/>
        <v>1.4.1.10.1.51</v>
      </c>
      <c r="B715" s="64">
        <v>1</v>
      </c>
      <c r="C715" s="64">
        <v>4</v>
      </c>
      <c r="D715" s="64">
        <v>1</v>
      </c>
      <c r="E715" s="64">
        <v>10</v>
      </c>
      <c r="F715" s="64">
        <v>1</v>
      </c>
      <c r="G715" s="64">
        <v>51</v>
      </c>
      <c r="H715" s="65"/>
      <c r="I715" s="65"/>
      <c r="J715" s="66"/>
      <c r="K715" s="65" t="s">
        <v>703</v>
      </c>
      <c r="L715" s="64" t="s">
        <v>246</v>
      </c>
      <c r="M715" s="64" t="s">
        <v>680</v>
      </c>
      <c r="N715" s="64" t="s">
        <v>671</v>
      </c>
      <c r="O715" s="64" t="s">
        <v>359</v>
      </c>
      <c r="P715" s="64"/>
      <c r="Q715" s="69"/>
      <c r="R715" s="64">
        <v>4</v>
      </c>
      <c r="S715" s="65"/>
      <c r="T715" s="194"/>
      <c r="U715" s="75">
        <v>0</v>
      </c>
      <c r="V715" s="75"/>
      <c r="W715" s="75">
        <v>0</v>
      </c>
      <c r="X715" s="1122">
        <v>0</v>
      </c>
      <c r="Y715" s="75">
        <v>0</v>
      </c>
      <c r="Z715" s="75">
        <v>0</v>
      </c>
      <c r="AA715" s="1122">
        <v>0</v>
      </c>
      <c r="AB715" s="75">
        <v>0</v>
      </c>
      <c r="AC715" s="75">
        <v>0</v>
      </c>
      <c r="AD715" s="1122">
        <v>0</v>
      </c>
      <c r="AE715" s="75">
        <v>0</v>
      </c>
      <c r="AF715" s="75">
        <v>0</v>
      </c>
      <c r="AG715" s="1122">
        <v>0</v>
      </c>
      <c r="AH715" s="505">
        <f>+U715+Y715+AB715+AE715</f>
        <v>0</v>
      </c>
      <c r="AI715" s="132"/>
      <c r="AJ715" s="75">
        <f t="shared" ref="AJ715:AJ716" si="141">+W716+Z716+AC716+AF716</f>
        <v>0</v>
      </c>
      <c r="AK715" s="75"/>
      <c r="AL715" s="75"/>
      <c r="AM715" s="75"/>
      <c r="AN715" s="64"/>
      <c r="AO715" s="64"/>
      <c r="AP715" s="64"/>
      <c r="AQ715" s="189"/>
      <c r="AR715" s="64"/>
      <c r="AS715" s="476"/>
      <c r="AT715" s="64"/>
      <c r="AU715" s="646"/>
      <c r="AV715" s="259"/>
      <c r="AW715" s="185"/>
    </row>
    <row r="716" spans="1:49" ht="26.45" hidden="1" customHeight="1" outlineLevel="2" x14ac:dyDescent="0.25">
      <c r="A716" s="63" t="str">
        <f t="shared" si="100"/>
        <v>1.4.1.10.2.51</v>
      </c>
      <c r="B716" s="64">
        <v>1</v>
      </c>
      <c r="C716" s="64">
        <v>4</v>
      </c>
      <c r="D716" s="64">
        <v>1</v>
      </c>
      <c r="E716" s="64">
        <v>10</v>
      </c>
      <c r="F716" s="64">
        <v>2</v>
      </c>
      <c r="G716" s="64">
        <v>51</v>
      </c>
      <c r="H716" s="65"/>
      <c r="I716" s="65"/>
      <c r="J716" s="66"/>
      <c r="K716" s="65" t="s">
        <v>704</v>
      </c>
      <c r="L716" s="64" t="s">
        <v>246</v>
      </c>
      <c r="M716" s="64" t="s">
        <v>680</v>
      </c>
      <c r="N716" s="64" t="s">
        <v>671</v>
      </c>
      <c r="O716" s="64" t="s">
        <v>359</v>
      </c>
      <c r="P716" s="64"/>
      <c r="Q716" s="69"/>
      <c r="R716" s="64">
        <v>4</v>
      </c>
      <c r="S716" s="65"/>
      <c r="T716" s="194"/>
      <c r="U716" s="75">
        <v>0</v>
      </c>
      <c r="V716" s="75"/>
      <c r="W716" s="75">
        <v>0</v>
      </c>
      <c r="X716" s="1122">
        <v>0</v>
      </c>
      <c r="Y716" s="75">
        <v>0</v>
      </c>
      <c r="Z716" s="75">
        <v>0</v>
      </c>
      <c r="AA716" s="1122">
        <v>0</v>
      </c>
      <c r="AB716" s="75">
        <v>0</v>
      </c>
      <c r="AC716" s="75">
        <v>0</v>
      </c>
      <c r="AD716" s="1122">
        <v>0</v>
      </c>
      <c r="AE716" s="75">
        <v>0</v>
      </c>
      <c r="AF716" s="75">
        <v>0</v>
      </c>
      <c r="AG716" s="1122">
        <v>0</v>
      </c>
      <c r="AH716" s="505">
        <f>+U716+Y716+AB716+AE716</f>
        <v>0</v>
      </c>
      <c r="AI716" s="132"/>
      <c r="AJ716" s="75">
        <f t="shared" si="141"/>
        <v>0</v>
      </c>
      <c r="AK716" s="75"/>
      <c r="AL716" s="75"/>
      <c r="AM716" s="75"/>
      <c r="AN716" s="64"/>
      <c r="AO716" s="64"/>
      <c r="AP716" s="64"/>
      <c r="AQ716" s="189"/>
      <c r="AR716" s="64"/>
      <c r="AS716" s="476"/>
      <c r="AT716" s="64"/>
      <c r="AU716" s="646"/>
      <c r="AV716" s="259"/>
      <c r="AW716" s="185"/>
    </row>
    <row r="717" spans="1:49" s="153" customFormat="1" ht="15" customHeight="1" outlineLevel="1" collapsed="1" x14ac:dyDescent="0.25">
      <c r="A717" s="148" t="str">
        <f t="shared" si="100"/>
        <v>1.4.1.11.0.0</v>
      </c>
      <c r="B717" s="82">
        <v>1</v>
      </c>
      <c r="C717" s="82">
        <v>4</v>
      </c>
      <c r="D717" s="82">
        <v>1</v>
      </c>
      <c r="E717" s="82">
        <v>11</v>
      </c>
      <c r="F717" s="82">
        <v>0</v>
      </c>
      <c r="G717" s="82">
        <v>0</v>
      </c>
      <c r="H717" s="149"/>
      <c r="I717" s="149"/>
      <c r="J717" s="1260" t="s">
        <v>709</v>
      </c>
      <c r="K717" s="1259"/>
      <c r="L717" s="82" t="s">
        <v>224</v>
      </c>
      <c r="M717" s="82" t="s">
        <v>299</v>
      </c>
      <c r="N717" s="82" t="s">
        <v>671</v>
      </c>
      <c r="O717" s="82" t="s">
        <v>359</v>
      </c>
      <c r="P717" s="82"/>
      <c r="Q717" s="82"/>
      <c r="R717" s="82"/>
      <c r="S717" s="149"/>
      <c r="T717" s="193"/>
      <c r="U717" s="379">
        <f t="shared" ref="U717:AH717" si="142">+SUM(U718:U719)</f>
        <v>0</v>
      </c>
      <c r="V717" s="379"/>
      <c r="W717" s="379">
        <f t="shared" si="142"/>
        <v>0</v>
      </c>
      <c r="X717" s="1130">
        <f t="shared" si="142"/>
        <v>0</v>
      </c>
      <c r="Y717" s="379">
        <f t="shared" si="142"/>
        <v>0</v>
      </c>
      <c r="Z717" s="379">
        <f t="shared" si="142"/>
        <v>0</v>
      </c>
      <c r="AA717" s="1130">
        <f t="shared" si="142"/>
        <v>0</v>
      </c>
      <c r="AB717" s="379">
        <f t="shared" si="142"/>
        <v>0</v>
      </c>
      <c r="AC717" s="379">
        <f t="shared" si="142"/>
        <v>0</v>
      </c>
      <c r="AD717" s="1130">
        <f t="shared" si="142"/>
        <v>0</v>
      </c>
      <c r="AE717" s="379">
        <f t="shared" si="142"/>
        <v>0</v>
      </c>
      <c r="AF717" s="379">
        <f t="shared" si="142"/>
        <v>0</v>
      </c>
      <c r="AG717" s="1130">
        <f t="shared" si="142"/>
        <v>0</v>
      </c>
      <c r="AH717" s="379">
        <f t="shared" si="142"/>
        <v>0</v>
      </c>
      <c r="AI717" s="152"/>
      <c r="AJ717" s="152"/>
      <c r="AK717" s="152"/>
      <c r="AL717" s="152"/>
      <c r="AM717" s="152"/>
      <c r="AN717" s="82" t="s">
        <v>181</v>
      </c>
      <c r="AO717" s="82"/>
      <c r="AP717" s="82"/>
      <c r="AQ717" s="365"/>
      <c r="AR717" s="82"/>
      <c r="AS717" s="483"/>
      <c r="AT717" s="82"/>
      <c r="AU717" s="666"/>
      <c r="AV717" s="379">
        <f t="shared" ref="AV717" si="143">+SUM(AV718:AV719)</f>
        <v>0</v>
      </c>
      <c r="AW717" s="444"/>
    </row>
    <row r="718" spans="1:49" ht="23.1" hidden="1" customHeight="1" outlineLevel="2" x14ac:dyDescent="0.25">
      <c r="A718" s="63" t="str">
        <f t="shared" si="100"/>
        <v>1.4.1.11.1.01</v>
      </c>
      <c r="B718" s="64">
        <v>1</v>
      </c>
      <c r="C718" s="64">
        <v>4</v>
      </c>
      <c r="D718" s="64">
        <v>1</v>
      </c>
      <c r="E718" s="64">
        <v>11</v>
      </c>
      <c r="F718" s="64">
        <v>1</v>
      </c>
      <c r="G718" s="206" t="s">
        <v>710</v>
      </c>
      <c r="H718" s="65"/>
      <c r="I718" s="65"/>
      <c r="J718" s="66"/>
      <c r="K718" s="65" t="s">
        <v>703</v>
      </c>
      <c r="L718" s="64" t="s">
        <v>246</v>
      </c>
      <c r="M718" s="64" t="s">
        <v>680</v>
      </c>
      <c r="N718" s="64" t="s">
        <v>671</v>
      </c>
      <c r="O718" s="64" t="s">
        <v>359</v>
      </c>
      <c r="P718" s="64"/>
      <c r="Q718" s="64"/>
      <c r="R718" s="64">
        <v>3</v>
      </c>
      <c r="S718" s="65"/>
      <c r="T718" s="194"/>
      <c r="U718" s="75">
        <v>0</v>
      </c>
      <c r="V718" s="75"/>
      <c r="W718" s="75">
        <v>0</v>
      </c>
      <c r="X718" s="1122">
        <v>0</v>
      </c>
      <c r="Y718" s="75">
        <v>0</v>
      </c>
      <c r="Z718" s="75">
        <v>0</v>
      </c>
      <c r="AA718" s="1122">
        <v>0</v>
      </c>
      <c r="AB718" s="75">
        <v>0</v>
      </c>
      <c r="AC718" s="75">
        <v>0</v>
      </c>
      <c r="AD718" s="1122">
        <v>0</v>
      </c>
      <c r="AE718" s="75">
        <v>0</v>
      </c>
      <c r="AF718" s="75">
        <v>0</v>
      </c>
      <c r="AG718" s="1122">
        <v>0</v>
      </c>
      <c r="AH718" s="505">
        <f>+U718+Y718+AB718+AE718</f>
        <v>0</v>
      </c>
      <c r="AI718" s="132"/>
      <c r="AJ718" s="75">
        <f t="shared" ref="AJ718:AJ719" si="144">+W719+Z719+AC719+AF719</f>
        <v>0</v>
      </c>
      <c r="AK718" s="75"/>
      <c r="AL718" s="75"/>
      <c r="AM718" s="75"/>
      <c r="AN718" s="64"/>
      <c r="AO718" s="64"/>
      <c r="AP718" s="64"/>
      <c r="AQ718" s="189"/>
      <c r="AR718" s="64"/>
      <c r="AS718" s="476"/>
      <c r="AT718" s="64"/>
      <c r="AU718" s="646"/>
      <c r="AV718" s="259"/>
      <c r="AW718" s="185"/>
    </row>
    <row r="719" spans="1:49" ht="23.1" hidden="1" customHeight="1" outlineLevel="2" x14ac:dyDescent="0.25">
      <c r="A719" s="63" t="str">
        <f t="shared" si="100"/>
        <v>1.4.1.11.2.01</v>
      </c>
      <c r="B719" s="64">
        <v>1</v>
      </c>
      <c r="C719" s="64">
        <v>4</v>
      </c>
      <c r="D719" s="64">
        <v>1</v>
      </c>
      <c r="E719" s="64">
        <v>11</v>
      </c>
      <c r="F719" s="64">
        <v>2</v>
      </c>
      <c r="G719" s="206" t="s">
        <v>710</v>
      </c>
      <c r="H719" s="65"/>
      <c r="I719" s="65"/>
      <c r="J719" s="66"/>
      <c r="K719" s="65" t="s">
        <v>704</v>
      </c>
      <c r="L719" s="64" t="s">
        <v>246</v>
      </c>
      <c r="M719" s="64" t="s">
        <v>680</v>
      </c>
      <c r="N719" s="64" t="s">
        <v>671</v>
      </c>
      <c r="O719" s="64" t="s">
        <v>359</v>
      </c>
      <c r="P719" s="64"/>
      <c r="Q719" s="64"/>
      <c r="R719" s="64">
        <v>3</v>
      </c>
      <c r="S719" s="65"/>
      <c r="T719" s="194"/>
      <c r="U719" s="75">
        <v>0</v>
      </c>
      <c r="V719" s="75"/>
      <c r="W719" s="75">
        <v>0</v>
      </c>
      <c r="X719" s="1122">
        <v>0</v>
      </c>
      <c r="Y719" s="75">
        <v>0</v>
      </c>
      <c r="Z719" s="75">
        <v>0</v>
      </c>
      <c r="AA719" s="1122">
        <v>0</v>
      </c>
      <c r="AB719" s="75">
        <v>0</v>
      </c>
      <c r="AC719" s="75">
        <v>0</v>
      </c>
      <c r="AD719" s="1122">
        <v>0</v>
      </c>
      <c r="AE719" s="75">
        <v>0</v>
      </c>
      <c r="AF719" s="75">
        <v>0</v>
      </c>
      <c r="AG719" s="1122">
        <v>0</v>
      </c>
      <c r="AH719" s="505">
        <f>+U719+Y719+AB719+AE719</f>
        <v>0</v>
      </c>
      <c r="AI719" s="132"/>
      <c r="AJ719" s="75">
        <f t="shared" si="144"/>
        <v>0</v>
      </c>
      <c r="AK719" s="75"/>
      <c r="AL719" s="75"/>
      <c r="AM719" s="75"/>
      <c r="AN719" s="64"/>
      <c r="AO719" s="100"/>
      <c r="AP719" s="100"/>
      <c r="AQ719" s="993"/>
      <c r="AR719" s="100"/>
      <c r="AS719" s="994"/>
      <c r="AT719" s="100"/>
      <c r="AU719" s="983"/>
      <c r="AV719" s="259"/>
      <c r="AW719" s="185"/>
    </row>
    <row r="720" spans="1:49" s="153" customFormat="1" ht="15" customHeight="1" outlineLevel="1" collapsed="1" x14ac:dyDescent="0.25">
      <c r="A720" s="148" t="str">
        <f t="shared" si="100"/>
        <v>1.4.1.12.0.0</v>
      </c>
      <c r="B720" s="82">
        <v>1</v>
      </c>
      <c r="C720" s="82">
        <v>4</v>
      </c>
      <c r="D720" s="82">
        <v>1</v>
      </c>
      <c r="E720" s="82">
        <v>12</v>
      </c>
      <c r="F720" s="82">
        <v>0</v>
      </c>
      <c r="G720" s="82">
        <v>0</v>
      </c>
      <c r="H720" s="149"/>
      <c r="I720" s="149"/>
      <c r="J720" s="1260" t="s">
        <v>711</v>
      </c>
      <c r="K720" s="1259"/>
      <c r="L720" s="82" t="s">
        <v>224</v>
      </c>
      <c r="M720" s="82" t="s">
        <v>299</v>
      </c>
      <c r="N720" s="82" t="s">
        <v>671</v>
      </c>
      <c r="O720" s="82" t="s">
        <v>359</v>
      </c>
      <c r="P720" s="82"/>
      <c r="Q720" s="82"/>
      <c r="R720" s="82"/>
      <c r="S720" s="149"/>
      <c r="T720" s="193"/>
      <c r="U720" s="379">
        <f t="shared" ref="U720:AH720" si="145">+SUM(U721:U722)</f>
        <v>0</v>
      </c>
      <c r="V720" s="379"/>
      <c r="W720" s="379">
        <f t="shared" si="145"/>
        <v>0</v>
      </c>
      <c r="X720" s="1130">
        <f t="shared" si="145"/>
        <v>0</v>
      </c>
      <c r="Y720" s="379">
        <f t="shared" si="145"/>
        <v>0</v>
      </c>
      <c r="Z720" s="379">
        <f t="shared" si="145"/>
        <v>0</v>
      </c>
      <c r="AA720" s="1130">
        <f t="shared" si="145"/>
        <v>0</v>
      </c>
      <c r="AB720" s="379">
        <f t="shared" si="145"/>
        <v>0</v>
      </c>
      <c r="AC720" s="379">
        <f t="shared" si="145"/>
        <v>0</v>
      </c>
      <c r="AD720" s="1130">
        <f t="shared" si="145"/>
        <v>0</v>
      </c>
      <c r="AE720" s="379">
        <f t="shared" si="145"/>
        <v>0</v>
      </c>
      <c r="AF720" s="379">
        <f t="shared" si="145"/>
        <v>0</v>
      </c>
      <c r="AG720" s="1130">
        <f t="shared" si="145"/>
        <v>0</v>
      </c>
      <c r="AH720" s="379">
        <f t="shared" si="145"/>
        <v>0</v>
      </c>
      <c r="AI720" s="152"/>
      <c r="AJ720" s="152"/>
      <c r="AK720" s="152"/>
      <c r="AL720" s="152"/>
      <c r="AM720" s="152"/>
      <c r="AN720" s="82" t="s">
        <v>181</v>
      </c>
      <c r="AO720" s="82"/>
      <c r="AP720" s="82"/>
      <c r="AQ720" s="365"/>
      <c r="AR720" s="82"/>
      <c r="AS720" s="483"/>
      <c r="AT720" s="82"/>
      <c r="AU720" s="666"/>
      <c r="AV720" s="379">
        <f t="shared" ref="AV720" si="146">+SUM(AV721:AV722)</f>
        <v>0</v>
      </c>
      <c r="AW720" s="444"/>
    </row>
    <row r="721" spans="1:49" ht="23.1" hidden="1" customHeight="1" outlineLevel="2" x14ac:dyDescent="0.25">
      <c r="A721" s="63" t="str">
        <f t="shared" si="100"/>
        <v>1.4.1.12.1.06</v>
      </c>
      <c r="B721" s="64">
        <v>1</v>
      </c>
      <c r="C721" s="64">
        <v>4</v>
      </c>
      <c r="D721" s="64">
        <v>1</v>
      </c>
      <c r="E721" s="64">
        <v>12</v>
      </c>
      <c r="F721" s="64">
        <v>1</v>
      </c>
      <c r="G721" s="206" t="s">
        <v>712</v>
      </c>
      <c r="H721" s="65"/>
      <c r="I721" s="65"/>
      <c r="J721" s="66"/>
      <c r="K721" s="65" t="s">
        <v>703</v>
      </c>
      <c r="L721" s="64" t="s">
        <v>246</v>
      </c>
      <c r="M721" s="64" t="s">
        <v>680</v>
      </c>
      <c r="N721" s="64" t="s">
        <v>671</v>
      </c>
      <c r="O721" s="64" t="s">
        <v>359</v>
      </c>
      <c r="P721" s="64"/>
      <c r="Q721" s="64"/>
      <c r="R721" s="64">
        <v>6</v>
      </c>
      <c r="S721" s="65"/>
      <c r="T721" s="194"/>
      <c r="U721" s="75">
        <v>0</v>
      </c>
      <c r="V721" s="75"/>
      <c r="W721" s="75">
        <v>0</v>
      </c>
      <c r="X721" s="1122">
        <v>0</v>
      </c>
      <c r="Y721" s="75">
        <v>0</v>
      </c>
      <c r="Z721" s="75">
        <v>0</v>
      </c>
      <c r="AA721" s="1122">
        <v>0</v>
      </c>
      <c r="AB721" s="75">
        <v>0</v>
      </c>
      <c r="AC721" s="75">
        <v>0</v>
      </c>
      <c r="AD721" s="1122">
        <v>0</v>
      </c>
      <c r="AE721" s="75">
        <v>0</v>
      </c>
      <c r="AF721" s="75">
        <v>0</v>
      </c>
      <c r="AG721" s="1122">
        <v>0</v>
      </c>
      <c r="AH721" s="505">
        <f t="shared" ref="AH721:AH722" si="147">+W721+Y721+AB721+AE721</f>
        <v>0</v>
      </c>
      <c r="AI721" s="132"/>
      <c r="AJ721" s="75">
        <f t="shared" ref="AJ721:AJ722" si="148">+W722+Z722+AC722+AF722</f>
        <v>0</v>
      </c>
      <c r="AK721" s="207"/>
      <c r="AL721" s="207"/>
      <c r="AM721" s="207"/>
      <c r="AN721" s="64"/>
      <c r="AO721" s="64"/>
      <c r="AP721" s="64"/>
      <c r="AQ721" s="189"/>
      <c r="AR721" s="64"/>
      <c r="AS721" s="476"/>
      <c r="AT721" s="64"/>
      <c r="AU721" s="646"/>
      <c r="AV721" s="259"/>
      <c r="AW721" s="185"/>
    </row>
    <row r="722" spans="1:49" ht="23.1" hidden="1" customHeight="1" outlineLevel="2" x14ac:dyDescent="0.25">
      <c r="A722" s="63" t="str">
        <f t="shared" si="100"/>
        <v>1.4.1.12.2.06</v>
      </c>
      <c r="B722" s="64">
        <v>1</v>
      </c>
      <c r="C722" s="64">
        <v>4</v>
      </c>
      <c r="D722" s="64">
        <v>1</v>
      </c>
      <c r="E722" s="64">
        <v>12</v>
      </c>
      <c r="F722" s="64">
        <v>2</v>
      </c>
      <c r="G722" s="206" t="s">
        <v>712</v>
      </c>
      <c r="H722" s="65"/>
      <c r="I722" s="65"/>
      <c r="J722" s="66"/>
      <c r="K722" s="65" t="s">
        <v>704</v>
      </c>
      <c r="L722" s="64" t="s">
        <v>246</v>
      </c>
      <c r="M722" s="64" t="s">
        <v>680</v>
      </c>
      <c r="N722" s="64" t="s">
        <v>671</v>
      </c>
      <c r="O722" s="64" t="s">
        <v>359</v>
      </c>
      <c r="P722" s="64"/>
      <c r="Q722" s="64"/>
      <c r="R722" s="64">
        <v>10</v>
      </c>
      <c r="S722" s="65"/>
      <c r="T722" s="194"/>
      <c r="U722" s="75">
        <v>0</v>
      </c>
      <c r="V722" s="75"/>
      <c r="W722" s="75">
        <v>0</v>
      </c>
      <c r="X722" s="1122">
        <v>0</v>
      </c>
      <c r="Y722" s="75">
        <v>0</v>
      </c>
      <c r="Z722" s="75">
        <v>0</v>
      </c>
      <c r="AA722" s="1122">
        <v>0</v>
      </c>
      <c r="AB722" s="75">
        <v>0</v>
      </c>
      <c r="AC722" s="75">
        <v>0</v>
      </c>
      <c r="AD722" s="1122">
        <v>0</v>
      </c>
      <c r="AE722" s="75">
        <v>0</v>
      </c>
      <c r="AF722" s="75">
        <v>0</v>
      </c>
      <c r="AG722" s="1122">
        <v>0</v>
      </c>
      <c r="AH722" s="505">
        <f t="shared" si="147"/>
        <v>0</v>
      </c>
      <c r="AI722" s="132"/>
      <c r="AJ722" s="75">
        <f t="shared" si="148"/>
        <v>0</v>
      </c>
      <c r="AK722" s="208"/>
      <c r="AL722" s="208"/>
      <c r="AM722" s="208"/>
      <c r="AN722" s="64"/>
      <c r="AO722" s="100"/>
      <c r="AP722" s="100"/>
      <c r="AQ722" s="993"/>
      <c r="AR722" s="100"/>
      <c r="AS722" s="994"/>
      <c r="AT722" s="100"/>
      <c r="AU722" s="983"/>
      <c r="AV722" s="259"/>
      <c r="AW722" s="185"/>
    </row>
    <row r="723" spans="1:49" s="153" customFormat="1" ht="15" customHeight="1" outlineLevel="1" collapsed="1" x14ac:dyDescent="0.25">
      <c r="A723" s="148" t="str">
        <f t="shared" si="100"/>
        <v>1.4.1.13.0.0</v>
      </c>
      <c r="B723" s="82">
        <v>1</v>
      </c>
      <c r="C723" s="82">
        <v>4</v>
      </c>
      <c r="D723" s="82">
        <v>1</v>
      </c>
      <c r="E723" s="82">
        <v>13</v>
      </c>
      <c r="F723" s="82">
        <v>0</v>
      </c>
      <c r="G723" s="82">
        <v>0</v>
      </c>
      <c r="H723" s="149"/>
      <c r="I723" s="149"/>
      <c r="J723" s="1260" t="s">
        <v>713</v>
      </c>
      <c r="K723" s="1259"/>
      <c r="L723" s="82" t="s">
        <v>224</v>
      </c>
      <c r="M723" s="82" t="s">
        <v>299</v>
      </c>
      <c r="N723" s="82" t="s">
        <v>671</v>
      </c>
      <c r="O723" s="82" t="s">
        <v>359</v>
      </c>
      <c r="P723" s="82"/>
      <c r="Q723" s="82"/>
      <c r="R723" s="82"/>
      <c r="S723" s="149"/>
      <c r="T723" s="193"/>
      <c r="U723" s="379">
        <f t="shared" ref="U723:AH723" si="149">+SUM(U724:U725)</f>
        <v>0</v>
      </c>
      <c r="V723" s="379"/>
      <c r="W723" s="379">
        <f t="shared" si="149"/>
        <v>0</v>
      </c>
      <c r="X723" s="1130">
        <f t="shared" si="149"/>
        <v>0</v>
      </c>
      <c r="Y723" s="379">
        <f t="shared" si="149"/>
        <v>0</v>
      </c>
      <c r="Z723" s="379">
        <f t="shared" si="149"/>
        <v>0</v>
      </c>
      <c r="AA723" s="1130">
        <f t="shared" si="149"/>
        <v>0</v>
      </c>
      <c r="AB723" s="379">
        <f t="shared" si="149"/>
        <v>0</v>
      </c>
      <c r="AC723" s="379">
        <f t="shared" si="149"/>
        <v>0</v>
      </c>
      <c r="AD723" s="1130">
        <f t="shared" si="149"/>
        <v>0</v>
      </c>
      <c r="AE723" s="379">
        <f t="shared" si="149"/>
        <v>0</v>
      </c>
      <c r="AF723" s="379">
        <f t="shared" si="149"/>
        <v>0</v>
      </c>
      <c r="AG723" s="1130">
        <f t="shared" si="149"/>
        <v>0</v>
      </c>
      <c r="AH723" s="379">
        <f t="shared" si="149"/>
        <v>0</v>
      </c>
      <c r="AI723" s="152"/>
      <c r="AJ723" s="152"/>
      <c r="AK723" s="152"/>
      <c r="AL723" s="152"/>
      <c r="AM723" s="152"/>
      <c r="AN723" s="82" t="s">
        <v>181</v>
      </c>
      <c r="AO723" s="82"/>
      <c r="AP723" s="82"/>
      <c r="AQ723" s="365"/>
      <c r="AR723" s="82"/>
      <c r="AS723" s="483"/>
      <c r="AT723" s="82"/>
      <c r="AU723" s="666"/>
      <c r="AV723" s="379">
        <f t="shared" ref="AV723" si="150">+SUM(AV724:AV725)</f>
        <v>0</v>
      </c>
      <c r="AW723" s="444"/>
    </row>
    <row r="724" spans="1:49" ht="26.45" hidden="1" customHeight="1" outlineLevel="2" x14ac:dyDescent="0.25">
      <c r="A724" s="63" t="str">
        <f t="shared" si="100"/>
        <v>1.4.1.13.1.03</v>
      </c>
      <c r="B724" s="64">
        <v>1</v>
      </c>
      <c r="C724" s="64">
        <v>4</v>
      </c>
      <c r="D724" s="64">
        <v>1</v>
      </c>
      <c r="E724" s="64">
        <v>13</v>
      </c>
      <c r="F724" s="64">
        <v>1</v>
      </c>
      <c r="G724" s="206" t="s">
        <v>714</v>
      </c>
      <c r="H724" s="65"/>
      <c r="I724" s="65"/>
      <c r="J724" s="66"/>
      <c r="K724" s="65" t="s">
        <v>703</v>
      </c>
      <c r="L724" s="64" t="s">
        <v>246</v>
      </c>
      <c r="M724" s="64" t="s">
        <v>680</v>
      </c>
      <c r="N724" s="64" t="s">
        <v>671</v>
      </c>
      <c r="O724" s="64" t="s">
        <v>359</v>
      </c>
      <c r="P724" s="64"/>
      <c r="Q724" s="69"/>
      <c r="R724" s="64"/>
      <c r="S724" s="65"/>
      <c r="T724" s="194"/>
      <c r="U724" s="75">
        <v>0</v>
      </c>
      <c r="V724" s="75"/>
      <c r="W724" s="75">
        <v>0</v>
      </c>
      <c r="X724" s="1122">
        <v>0</v>
      </c>
      <c r="Y724" s="75">
        <v>0</v>
      </c>
      <c r="Z724" s="75">
        <v>0</v>
      </c>
      <c r="AA724" s="1122">
        <v>0</v>
      </c>
      <c r="AB724" s="75">
        <v>0</v>
      </c>
      <c r="AC724" s="75">
        <v>0</v>
      </c>
      <c r="AD724" s="1122">
        <v>0</v>
      </c>
      <c r="AE724" s="75">
        <v>0</v>
      </c>
      <c r="AF724" s="75">
        <v>0</v>
      </c>
      <c r="AG724" s="1122">
        <v>0</v>
      </c>
      <c r="AH724" s="505">
        <f>+U724+Y724+AB724+AE724</f>
        <v>0</v>
      </c>
      <c r="AI724" s="132"/>
      <c r="AJ724" s="75">
        <f t="shared" ref="AJ724:AJ725" si="151">+W725+Z725+AC725+AF725</f>
        <v>0</v>
      </c>
      <c r="AK724" s="207"/>
      <c r="AL724" s="207"/>
      <c r="AM724" s="207"/>
      <c r="AN724" s="64"/>
      <c r="AO724" s="64"/>
      <c r="AP724" s="64"/>
      <c r="AQ724" s="189"/>
      <c r="AR724" s="64"/>
      <c r="AS724" s="476"/>
      <c r="AT724" s="64"/>
      <c r="AU724" s="646"/>
      <c r="AV724" s="259"/>
      <c r="AW724" s="185"/>
    </row>
    <row r="725" spans="1:49" ht="26.45" hidden="1" customHeight="1" outlineLevel="2" x14ac:dyDescent="0.25">
      <c r="A725" s="63" t="str">
        <f t="shared" si="100"/>
        <v>1.4.1.13.2.03</v>
      </c>
      <c r="B725" s="64">
        <v>1</v>
      </c>
      <c r="C725" s="64">
        <v>4</v>
      </c>
      <c r="D725" s="64">
        <v>1</v>
      </c>
      <c r="E725" s="64">
        <v>13</v>
      </c>
      <c r="F725" s="64">
        <v>2</v>
      </c>
      <c r="G725" s="206" t="s">
        <v>714</v>
      </c>
      <c r="H725" s="65"/>
      <c r="I725" s="65"/>
      <c r="J725" s="66"/>
      <c r="K725" s="65" t="s">
        <v>715</v>
      </c>
      <c r="L725" s="64" t="s">
        <v>246</v>
      </c>
      <c r="M725" s="64" t="s">
        <v>680</v>
      </c>
      <c r="N725" s="64" t="s">
        <v>671</v>
      </c>
      <c r="O725" s="64" t="s">
        <v>359</v>
      </c>
      <c r="P725" s="64"/>
      <c r="Q725" s="69"/>
      <c r="R725" s="64"/>
      <c r="S725" s="65"/>
      <c r="T725" s="194"/>
      <c r="U725" s="75">
        <v>0</v>
      </c>
      <c r="V725" s="75"/>
      <c r="W725" s="75">
        <v>0</v>
      </c>
      <c r="X725" s="1122">
        <v>0</v>
      </c>
      <c r="Y725" s="75">
        <v>0</v>
      </c>
      <c r="Z725" s="75">
        <v>0</v>
      </c>
      <c r="AA725" s="1122">
        <v>0</v>
      </c>
      <c r="AB725" s="75">
        <v>0</v>
      </c>
      <c r="AC725" s="75">
        <v>0</v>
      </c>
      <c r="AD725" s="1122">
        <v>0</v>
      </c>
      <c r="AE725" s="75">
        <v>0</v>
      </c>
      <c r="AF725" s="75">
        <v>0</v>
      </c>
      <c r="AG725" s="1122">
        <v>0</v>
      </c>
      <c r="AH725" s="505">
        <f>+U725+Y725+AB725+AE725</f>
        <v>0</v>
      </c>
      <c r="AI725" s="132"/>
      <c r="AJ725" s="75">
        <f t="shared" si="151"/>
        <v>0</v>
      </c>
      <c r="AK725" s="208"/>
      <c r="AL725" s="208"/>
      <c r="AM725" s="208"/>
      <c r="AN725" s="64"/>
      <c r="AO725" s="64"/>
      <c r="AP725" s="64"/>
      <c r="AQ725" s="189"/>
      <c r="AR725" s="64"/>
      <c r="AS725" s="476"/>
      <c r="AT725" s="64"/>
      <c r="AU725" s="646"/>
      <c r="AV725" s="259"/>
      <c r="AW725" s="185"/>
    </row>
    <row r="726" spans="1:49" s="153" customFormat="1" ht="15" customHeight="1" outlineLevel="1" collapsed="1" x14ac:dyDescent="0.25">
      <c r="A726" s="148" t="str">
        <f t="shared" si="100"/>
        <v>1.4.1.14.0.0</v>
      </c>
      <c r="B726" s="82">
        <v>1</v>
      </c>
      <c r="C726" s="82">
        <v>4</v>
      </c>
      <c r="D726" s="82">
        <v>1</v>
      </c>
      <c r="E726" s="82">
        <v>14</v>
      </c>
      <c r="F726" s="82">
        <v>0</v>
      </c>
      <c r="G726" s="82">
        <v>0</v>
      </c>
      <c r="H726" s="149"/>
      <c r="I726" s="149"/>
      <c r="J726" s="1260" t="s">
        <v>716</v>
      </c>
      <c r="K726" s="1259"/>
      <c r="L726" s="82" t="s">
        <v>224</v>
      </c>
      <c r="M726" s="82" t="s">
        <v>299</v>
      </c>
      <c r="N726" s="82" t="s">
        <v>671</v>
      </c>
      <c r="O726" s="82" t="s">
        <v>359</v>
      </c>
      <c r="P726" s="82"/>
      <c r="Q726" s="82"/>
      <c r="R726" s="82"/>
      <c r="S726" s="149"/>
      <c r="T726" s="193"/>
      <c r="U726" s="379">
        <f t="shared" ref="U726:AH726" si="152">+SUM(U727:U728)</f>
        <v>0</v>
      </c>
      <c r="V726" s="379"/>
      <c r="W726" s="379">
        <f t="shared" si="152"/>
        <v>0</v>
      </c>
      <c r="X726" s="1130">
        <f t="shared" si="152"/>
        <v>0</v>
      </c>
      <c r="Y726" s="379">
        <f t="shared" si="152"/>
        <v>0</v>
      </c>
      <c r="Z726" s="379">
        <f t="shared" si="152"/>
        <v>0</v>
      </c>
      <c r="AA726" s="1130">
        <f t="shared" si="152"/>
        <v>0</v>
      </c>
      <c r="AB726" s="379">
        <f t="shared" si="152"/>
        <v>0</v>
      </c>
      <c r="AC726" s="379">
        <f t="shared" si="152"/>
        <v>0</v>
      </c>
      <c r="AD726" s="1130">
        <f t="shared" si="152"/>
        <v>0</v>
      </c>
      <c r="AE726" s="379">
        <f t="shared" si="152"/>
        <v>0</v>
      </c>
      <c r="AF726" s="379">
        <f t="shared" si="152"/>
        <v>0</v>
      </c>
      <c r="AG726" s="1130">
        <f t="shared" si="152"/>
        <v>0</v>
      </c>
      <c r="AH726" s="379">
        <f t="shared" si="152"/>
        <v>0</v>
      </c>
      <c r="AI726" s="152"/>
      <c r="AJ726" s="152"/>
      <c r="AK726" s="152"/>
      <c r="AL726" s="152"/>
      <c r="AM726" s="152"/>
      <c r="AN726" s="82" t="s">
        <v>2573</v>
      </c>
      <c r="AO726" s="82"/>
      <c r="AP726" s="82"/>
      <c r="AQ726" s="365"/>
      <c r="AR726" s="82"/>
      <c r="AS726" s="483"/>
      <c r="AT726" s="82"/>
      <c r="AU726" s="666"/>
      <c r="AV726" s="379">
        <f t="shared" ref="AV726" si="153">+SUM(AV727:AV728)</f>
        <v>0</v>
      </c>
      <c r="AW726" s="444"/>
    </row>
    <row r="727" spans="1:49" ht="23.1" hidden="1" customHeight="1" outlineLevel="2" x14ac:dyDescent="0.25">
      <c r="A727" s="63" t="str">
        <f t="shared" si="100"/>
        <v>1.4.1.14.1.08</v>
      </c>
      <c r="B727" s="64">
        <v>1</v>
      </c>
      <c r="C727" s="64">
        <v>4</v>
      </c>
      <c r="D727" s="64">
        <v>1</v>
      </c>
      <c r="E727" s="64">
        <v>14</v>
      </c>
      <c r="F727" s="64">
        <v>1</v>
      </c>
      <c r="G727" s="206" t="s">
        <v>717</v>
      </c>
      <c r="H727" s="65"/>
      <c r="I727" s="65"/>
      <c r="J727" s="66"/>
      <c r="K727" s="65" t="s">
        <v>703</v>
      </c>
      <c r="L727" s="64" t="s">
        <v>246</v>
      </c>
      <c r="M727" s="64" t="s">
        <v>680</v>
      </c>
      <c r="N727" s="64" t="s">
        <v>671</v>
      </c>
      <c r="O727" s="64" t="s">
        <v>359</v>
      </c>
      <c r="P727" s="64"/>
      <c r="Q727" s="69"/>
      <c r="R727" s="64"/>
      <c r="S727" s="65"/>
      <c r="T727" s="194"/>
      <c r="U727" s="75">
        <v>0</v>
      </c>
      <c r="V727" s="75"/>
      <c r="W727" s="75">
        <v>0</v>
      </c>
      <c r="X727" s="1122">
        <v>0</v>
      </c>
      <c r="Y727" s="75">
        <v>0</v>
      </c>
      <c r="Z727" s="75">
        <v>0</v>
      </c>
      <c r="AA727" s="1122">
        <v>0</v>
      </c>
      <c r="AB727" s="75">
        <v>0</v>
      </c>
      <c r="AC727" s="75">
        <v>0</v>
      </c>
      <c r="AD727" s="1122">
        <v>0</v>
      </c>
      <c r="AE727" s="75">
        <v>0</v>
      </c>
      <c r="AF727" s="75">
        <v>0</v>
      </c>
      <c r="AG727" s="1122">
        <v>0</v>
      </c>
      <c r="AH727" s="505">
        <f>+U727+Y727+AB727+AE727</f>
        <v>0</v>
      </c>
      <c r="AI727" s="132"/>
      <c r="AJ727" s="75">
        <f t="shared" ref="AJ727:AJ728" si="154">+W728+Z728+AC728+AF728</f>
        <v>0</v>
      </c>
      <c r="AK727" s="207"/>
      <c r="AL727" s="207"/>
      <c r="AM727" s="207"/>
      <c r="AN727" s="64"/>
      <c r="AO727" s="64"/>
      <c r="AP727" s="64"/>
      <c r="AQ727" s="189"/>
      <c r="AR727" s="64"/>
      <c r="AS727" s="476"/>
      <c r="AT727" s="64"/>
      <c r="AU727" s="646"/>
      <c r="AV727" s="259"/>
      <c r="AW727" s="185"/>
    </row>
    <row r="728" spans="1:49" ht="23.1" hidden="1" customHeight="1" outlineLevel="2" x14ac:dyDescent="0.25">
      <c r="A728" s="63" t="str">
        <f t="shared" si="100"/>
        <v>1.4.1.14.2.08</v>
      </c>
      <c r="B728" s="64">
        <v>1</v>
      </c>
      <c r="C728" s="64">
        <v>4</v>
      </c>
      <c r="D728" s="64">
        <v>1</v>
      </c>
      <c r="E728" s="64">
        <v>14</v>
      </c>
      <c r="F728" s="64">
        <v>2</v>
      </c>
      <c r="G728" s="206" t="s">
        <v>717</v>
      </c>
      <c r="H728" s="65"/>
      <c r="I728" s="65"/>
      <c r="J728" s="66"/>
      <c r="K728" s="65" t="s">
        <v>704</v>
      </c>
      <c r="L728" s="64" t="s">
        <v>246</v>
      </c>
      <c r="M728" s="64" t="s">
        <v>680</v>
      </c>
      <c r="N728" s="64" t="s">
        <v>671</v>
      </c>
      <c r="O728" s="64" t="s">
        <v>359</v>
      </c>
      <c r="P728" s="64"/>
      <c r="Q728" s="170"/>
      <c r="R728" s="170"/>
      <c r="S728" s="65"/>
      <c r="T728" s="194"/>
      <c r="U728" s="75">
        <v>0</v>
      </c>
      <c r="V728" s="75"/>
      <c r="W728" s="75">
        <v>0</v>
      </c>
      <c r="X728" s="1122">
        <v>0</v>
      </c>
      <c r="Y728" s="75">
        <v>0</v>
      </c>
      <c r="Z728" s="75">
        <v>0</v>
      </c>
      <c r="AA728" s="1122">
        <v>0</v>
      </c>
      <c r="AB728" s="75">
        <v>0</v>
      </c>
      <c r="AC728" s="75">
        <v>0</v>
      </c>
      <c r="AD728" s="1122">
        <v>0</v>
      </c>
      <c r="AE728" s="75">
        <v>0</v>
      </c>
      <c r="AF728" s="75">
        <v>0</v>
      </c>
      <c r="AG728" s="1122">
        <v>0</v>
      </c>
      <c r="AH728" s="505">
        <f>+U728+Y728+AB728+AE728</f>
        <v>0</v>
      </c>
      <c r="AI728" s="132"/>
      <c r="AJ728" s="75">
        <f t="shared" si="154"/>
        <v>0</v>
      </c>
      <c r="AK728" s="208"/>
      <c r="AL728" s="208"/>
      <c r="AM728" s="208"/>
      <c r="AN728" s="64"/>
      <c r="AO728" s="100"/>
      <c r="AP728" s="100"/>
      <c r="AQ728" s="993"/>
      <c r="AR728" s="100"/>
      <c r="AS728" s="994"/>
      <c r="AT728" s="100"/>
      <c r="AU728" s="983"/>
      <c r="AV728" s="259"/>
      <c r="AW728" s="185"/>
    </row>
    <row r="729" spans="1:49" s="153" customFormat="1" ht="15" customHeight="1" outlineLevel="1" collapsed="1" x14ac:dyDescent="0.25">
      <c r="A729" s="148" t="str">
        <f t="shared" si="100"/>
        <v>1.4.1.15.0.0</v>
      </c>
      <c r="B729" s="82">
        <v>1</v>
      </c>
      <c r="C729" s="82">
        <v>4</v>
      </c>
      <c r="D729" s="82">
        <v>1</v>
      </c>
      <c r="E729" s="82">
        <v>15</v>
      </c>
      <c r="F729" s="82">
        <v>0</v>
      </c>
      <c r="G729" s="82">
        <v>0</v>
      </c>
      <c r="H729" s="149"/>
      <c r="I729" s="149"/>
      <c r="J729" s="1260" t="s">
        <v>718</v>
      </c>
      <c r="K729" s="1259"/>
      <c r="L729" s="82" t="s">
        <v>224</v>
      </c>
      <c r="M729" s="82" t="s">
        <v>299</v>
      </c>
      <c r="N729" s="82" t="s">
        <v>671</v>
      </c>
      <c r="O729" s="82" t="s">
        <v>359</v>
      </c>
      <c r="P729" s="82"/>
      <c r="Q729" s="82"/>
      <c r="R729" s="82"/>
      <c r="S729" s="149"/>
      <c r="T729" s="193"/>
      <c r="U729" s="379">
        <f>+SUM(U730:U731)</f>
        <v>0</v>
      </c>
      <c r="V729" s="379"/>
      <c r="W729" s="379">
        <f t="shared" ref="W729:AH729" si="155">+SUM(W730:W731)</f>
        <v>0</v>
      </c>
      <c r="X729" s="1130">
        <f t="shared" si="155"/>
        <v>0</v>
      </c>
      <c r="Y729" s="379">
        <f t="shared" si="155"/>
        <v>0</v>
      </c>
      <c r="Z729" s="379">
        <f t="shared" si="155"/>
        <v>0</v>
      </c>
      <c r="AA729" s="1130">
        <f t="shared" si="155"/>
        <v>0</v>
      </c>
      <c r="AB729" s="379">
        <f t="shared" si="155"/>
        <v>0</v>
      </c>
      <c r="AC729" s="379">
        <f t="shared" si="155"/>
        <v>0</v>
      </c>
      <c r="AD729" s="1130">
        <f t="shared" si="155"/>
        <v>0</v>
      </c>
      <c r="AE729" s="379">
        <f t="shared" si="155"/>
        <v>0</v>
      </c>
      <c r="AF729" s="379">
        <f t="shared" si="155"/>
        <v>0</v>
      </c>
      <c r="AG729" s="1130">
        <f t="shared" si="155"/>
        <v>0</v>
      </c>
      <c r="AH729" s="379">
        <f t="shared" si="155"/>
        <v>0</v>
      </c>
      <c r="AI729" s="152"/>
      <c r="AJ729" s="152"/>
      <c r="AK729" s="152"/>
      <c r="AL729" s="152"/>
      <c r="AM729" s="152"/>
      <c r="AN729" s="82" t="s">
        <v>181</v>
      </c>
      <c r="AO729" s="82"/>
      <c r="AP729" s="82"/>
      <c r="AQ729" s="365"/>
      <c r="AR729" s="82"/>
      <c r="AS729" s="483"/>
      <c r="AT729" s="82"/>
      <c r="AU729" s="666"/>
      <c r="AV729" s="379">
        <f t="shared" ref="AV729" si="156">+SUM(AV730:AV731)</f>
        <v>0</v>
      </c>
      <c r="AW729" s="444"/>
    </row>
    <row r="730" spans="1:49" ht="24" hidden="1" customHeight="1" outlineLevel="3" x14ac:dyDescent="0.25">
      <c r="A730" s="63" t="str">
        <f t="shared" si="100"/>
        <v>1.4.1.15.1.09</v>
      </c>
      <c r="B730" s="64">
        <v>1</v>
      </c>
      <c r="C730" s="64">
        <v>4</v>
      </c>
      <c r="D730" s="64">
        <v>1</v>
      </c>
      <c r="E730" s="64">
        <v>15</v>
      </c>
      <c r="F730" s="64">
        <v>1</v>
      </c>
      <c r="G730" s="206" t="s">
        <v>719</v>
      </c>
      <c r="H730" s="65"/>
      <c r="I730" s="65"/>
      <c r="J730" s="66"/>
      <c r="K730" s="65" t="s">
        <v>703</v>
      </c>
      <c r="L730" s="64" t="s">
        <v>246</v>
      </c>
      <c r="M730" s="64" t="s">
        <v>680</v>
      </c>
      <c r="N730" s="64" t="s">
        <v>671</v>
      </c>
      <c r="O730" s="64" t="s">
        <v>359</v>
      </c>
      <c r="P730" s="64"/>
      <c r="Q730" s="69"/>
      <c r="R730" s="64"/>
      <c r="S730" s="65"/>
      <c r="T730" s="194"/>
      <c r="U730" s="75">
        <v>0</v>
      </c>
      <c r="V730" s="75"/>
      <c r="W730" s="75">
        <v>0</v>
      </c>
      <c r="X730" s="1122">
        <v>0</v>
      </c>
      <c r="Y730" s="75">
        <v>0</v>
      </c>
      <c r="Z730" s="75">
        <v>0</v>
      </c>
      <c r="AA730" s="1122">
        <v>0</v>
      </c>
      <c r="AB730" s="75">
        <v>0</v>
      </c>
      <c r="AC730" s="75">
        <v>0</v>
      </c>
      <c r="AD730" s="1122">
        <v>0</v>
      </c>
      <c r="AE730" s="75">
        <v>0</v>
      </c>
      <c r="AF730" s="75">
        <v>0</v>
      </c>
      <c r="AG730" s="1122">
        <v>0</v>
      </c>
      <c r="AH730" s="505">
        <f>+U730+Y730+AB730+AE730</f>
        <v>0</v>
      </c>
      <c r="AI730" s="132"/>
      <c r="AJ730" s="75">
        <f t="shared" ref="AJ730:AJ731" si="157">+W731+Z731+AC731+AF731</f>
        <v>0</v>
      </c>
      <c r="AK730" s="207"/>
      <c r="AL730" s="207"/>
      <c r="AM730" s="207"/>
      <c r="AN730" s="64"/>
      <c r="AO730" s="64"/>
      <c r="AP730" s="64"/>
      <c r="AQ730" s="189"/>
      <c r="AR730" s="64"/>
      <c r="AS730" s="476"/>
      <c r="AT730" s="64"/>
      <c r="AU730" s="646"/>
      <c r="AV730" s="259"/>
      <c r="AW730" s="185"/>
    </row>
    <row r="731" spans="1:49" ht="24" hidden="1" customHeight="1" outlineLevel="3" x14ac:dyDescent="0.25">
      <c r="A731" s="63" t="str">
        <f t="shared" si="100"/>
        <v>1.4.1.15.2.09</v>
      </c>
      <c r="B731" s="64">
        <v>1</v>
      </c>
      <c r="C731" s="64">
        <v>4</v>
      </c>
      <c r="D731" s="64">
        <v>1</v>
      </c>
      <c r="E731" s="64">
        <v>15</v>
      </c>
      <c r="F731" s="64">
        <v>2</v>
      </c>
      <c r="G731" s="206" t="s">
        <v>719</v>
      </c>
      <c r="H731" s="65"/>
      <c r="I731" s="65"/>
      <c r="J731" s="66"/>
      <c r="K731" s="65" t="s">
        <v>704</v>
      </c>
      <c r="L731" s="64" t="s">
        <v>246</v>
      </c>
      <c r="M731" s="64" t="s">
        <v>680</v>
      </c>
      <c r="N731" s="64" t="s">
        <v>671</v>
      </c>
      <c r="O731" s="64" t="s">
        <v>359</v>
      </c>
      <c r="P731" s="64"/>
      <c r="Q731" s="69"/>
      <c r="R731" s="64"/>
      <c r="S731" s="65"/>
      <c r="T731" s="194"/>
      <c r="U731" s="75">
        <v>0</v>
      </c>
      <c r="V731" s="75"/>
      <c r="W731" s="75">
        <v>0</v>
      </c>
      <c r="X731" s="1122">
        <v>0</v>
      </c>
      <c r="Y731" s="75">
        <v>0</v>
      </c>
      <c r="Z731" s="75">
        <v>0</v>
      </c>
      <c r="AA731" s="1122">
        <v>0</v>
      </c>
      <c r="AB731" s="75">
        <v>0</v>
      </c>
      <c r="AC731" s="75">
        <v>0</v>
      </c>
      <c r="AD731" s="1122">
        <v>0</v>
      </c>
      <c r="AE731" s="75">
        <v>0</v>
      </c>
      <c r="AF731" s="75">
        <v>0</v>
      </c>
      <c r="AG731" s="1122">
        <v>0</v>
      </c>
      <c r="AH731" s="505">
        <f>+U731+Y731+AB731+AE731</f>
        <v>0</v>
      </c>
      <c r="AI731" s="132"/>
      <c r="AJ731" s="75">
        <f t="shared" si="157"/>
        <v>0</v>
      </c>
      <c r="AK731" s="208"/>
      <c r="AL731" s="208"/>
      <c r="AM731" s="208"/>
      <c r="AN731" s="64"/>
      <c r="AO731" s="100"/>
      <c r="AP731" s="100"/>
      <c r="AQ731" s="993"/>
      <c r="AR731" s="100"/>
      <c r="AS731" s="994"/>
      <c r="AT731" s="100"/>
      <c r="AU731" s="983"/>
      <c r="AV731" s="259"/>
      <c r="AW731" s="185"/>
    </row>
    <row r="732" spans="1:49" s="153" customFormat="1" ht="15" customHeight="1" outlineLevel="1" collapsed="1" x14ac:dyDescent="0.25">
      <c r="A732" s="148" t="str">
        <f t="shared" si="100"/>
        <v>1.4.1.16.0.0</v>
      </c>
      <c r="B732" s="82">
        <v>1</v>
      </c>
      <c r="C732" s="82">
        <v>4</v>
      </c>
      <c r="D732" s="82">
        <v>1</v>
      </c>
      <c r="E732" s="82">
        <v>16</v>
      </c>
      <c r="F732" s="82">
        <v>0</v>
      </c>
      <c r="G732" s="82">
        <v>0</v>
      </c>
      <c r="H732" s="149"/>
      <c r="I732" s="149"/>
      <c r="J732" s="1260" t="s">
        <v>720</v>
      </c>
      <c r="K732" s="1259"/>
      <c r="L732" s="82" t="s">
        <v>224</v>
      </c>
      <c r="M732" s="82" t="s">
        <v>299</v>
      </c>
      <c r="N732" s="82" t="s">
        <v>671</v>
      </c>
      <c r="O732" s="82" t="s">
        <v>359</v>
      </c>
      <c r="P732" s="82"/>
      <c r="Q732" s="82"/>
      <c r="R732" s="82"/>
      <c r="S732" s="149"/>
      <c r="T732" s="193"/>
      <c r="U732" s="379">
        <f t="shared" ref="U732:AH732" si="158">+SUM(U733:U734)</f>
        <v>0</v>
      </c>
      <c r="V732" s="379"/>
      <c r="W732" s="379">
        <f t="shared" si="158"/>
        <v>0</v>
      </c>
      <c r="X732" s="1130">
        <f t="shared" si="158"/>
        <v>0</v>
      </c>
      <c r="Y732" s="379">
        <f t="shared" si="158"/>
        <v>0</v>
      </c>
      <c r="Z732" s="379">
        <f t="shared" si="158"/>
        <v>0</v>
      </c>
      <c r="AA732" s="1130">
        <f t="shared" si="158"/>
        <v>0</v>
      </c>
      <c r="AB732" s="379">
        <f t="shared" si="158"/>
        <v>0</v>
      </c>
      <c r="AC732" s="379">
        <f t="shared" si="158"/>
        <v>0</v>
      </c>
      <c r="AD732" s="1130">
        <f t="shared" si="158"/>
        <v>0</v>
      </c>
      <c r="AE732" s="379">
        <f t="shared" si="158"/>
        <v>0</v>
      </c>
      <c r="AF732" s="379">
        <f t="shared" si="158"/>
        <v>0</v>
      </c>
      <c r="AG732" s="1130">
        <f t="shared" si="158"/>
        <v>0</v>
      </c>
      <c r="AH732" s="379">
        <f t="shared" si="158"/>
        <v>0</v>
      </c>
      <c r="AI732" s="152"/>
      <c r="AJ732" s="152"/>
      <c r="AK732" s="152"/>
      <c r="AL732" s="152"/>
      <c r="AM732" s="152"/>
      <c r="AN732" s="82" t="s">
        <v>181</v>
      </c>
      <c r="AO732" s="82"/>
      <c r="AP732" s="82"/>
      <c r="AQ732" s="365"/>
      <c r="AR732" s="82"/>
      <c r="AS732" s="483"/>
      <c r="AT732" s="82"/>
      <c r="AU732" s="666"/>
      <c r="AV732" s="379">
        <f t="shared" ref="AV732" si="159">+SUM(AV733:AV734)</f>
        <v>0</v>
      </c>
      <c r="AW732" s="444"/>
    </row>
    <row r="733" spans="1:49" ht="25.35" hidden="1" customHeight="1" outlineLevel="2" x14ac:dyDescent="0.25">
      <c r="A733" s="63" t="str">
        <f t="shared" si="100"/>
        <v>1.4.1.16.1.05</v>
      </c>
      <c r="B733" s="64">
        <v>1</v>
      </c>
      <c r="C733" s="64">
        <v>4</v>
      </c>
      <c r="D733" s="64">
        <v>1</v>
      </c>
      <c r="E733" s="64">
        <v>16</v>
      </c>
      <c r="F733" s="64">
        <v>1</v>
      </c>
      <c r="G733" s="206" t="s">
        <v>721</v>
      </c>
      <c r="H733" s="65"/>
      <c r="I733" s="65"/>
      <c r="J733" s="66"/>
      <c r="K733" s="65" t="s">
        <v>703</v>
      </c>
      <c r="L733" s="64" t="s">
        <v>246</v>
      </c>
      <c r="M733" s="64" t="s">
        <v>680</v>
      </c>
      <c r="N733" s="64" t="s">
        <v>671</v>
      </c>
      <c r="O733" s="64" t="s">
        <v>359</v>
      </c>
      <c r="P733" s="64"/>
      <c r="Q733" s="69"/>
      <c r="R733" s="64"/>
      <c r="S733" s="65"/>
      <c r="T733" s="194"/>
      <c r="U733" s="75">
        <v>0</v>
      </c>
      <c r="V733" s="75"/>
      <c r="W733" s="75">
        <v>0</v>
      </c>
      <c r="X733" s="1122">
        <v>0</v>
      </c>
      <c r="Y733" s="75">
        <v>0</v>
      </c>
      <c r="Z733" s="75">
        <v>0</v>
      </c>
      <c r="AA733" s="1122">
        <v>0</v>
      </c>
      <c r="AB733" s="75">
        <v>0</v>
      </c>
      <c r="AC733" s="75">
        <v>0</v>
      </c>
      <c r="AD733" s="1122">
        <v>0</v>
      </c>
      <c r="AE733" s="75">
        <v>0</v>
      </c>
      <c r="AF733" s="75">
        <v>0</v>
      </c>
      <c r="AG733" s="1122">
        <v>0</v>
      </c>
      <c r="AH733" s="505">
        <f>+U733+Y733+AB733+AE733</f>
        <v>0</v>
      </c>
      <c r="AI733" s="132"/>
      <c r="AJ733" s="75">
        <f t="shared" ref="AJ733:AJ734" si="160">+W734+Z734+AC734+AF734</f>
        <v>0</v>
      </c>
      <c r="AK733" s="75"/>
      <c r="AL733" s="75"/>
      <c r="AM733" s="75"/>
      <c r="AN733" s="64"/>
      <c r="AO733" s="64"/>
      <c r="AP733" s="64"/>
      <c r="AQ733" s="189"/>
      <c r="AR733" s="64"/>
      <c r="AS733" s="476"/>
      <c r="AT733" s="64"/>
      <c r="AU733" s="646"/>
      <c r="AV733" s="259"/>
      <c r="AW733" s="185"/>
    </row>
    <row r="734" spans="1:49" ht="25.35" hidden="1" customHeight="1" outlineLevel="2" x14ac:dyDescent="0.25">
      <c r="A734" s="63" t="str">
        <f t="shared" si="100"/>
        <v>1.4.1.16.2.05</v>
      </c>
      <c r="B734" s="64">
        <v>1</v>
      </c>
      <c r="C734" s="64">
        <v>4</v>
      </c>
      <c r="D734" s="64">
        <v>1</v>
      </c>
      <c r="E734" s="64">
        <v>16</v>
      </c>
      <c r="F734" s="64">
        <v>2</v>
      </c>
      <c r="G734" s="206" t="s">
        <v>721</v>
      </c>
      <c r="H734" s="65"/>
      <c r="I734" s="65"/>
      <c r="J734" s="66"/>
      <c r="K734" s="65" t="s">
        <v>704</v>
      </c>
      <c r="L734" s="64" t="s">
        <v>246</v>
      </c>
      <c r="M734" s="64" t="s">
        <v>680</v>
      </c>
      <c r="N734" s="64" t="s">
        <v>671</v>
      </c>
      <c r="O734" s="64" t="s">
        <v>359</v>
      </c>
      <c r="P734" s="64"/>
      <c r="Q734" s="69"/>
      <c r="R734" s="64"/>
      <c r="S734" s="65"/>
      <c r="T734" s="194"/>
      <c r="U734" s="75">
        <v>0</v>
      </c>
      <c r="V734" s="75"/>
      <c r="W734" s="75">
        <v>0</v>
      </c>
      <c r="X734" s="1122">
        <v>0</v>
      </c>
      <c r="Y734" s="75">
        <v>0</v>
      </c>
      <c r="Z734" s="75">
        <v>0</v>
      </c>
      <c r="AA734" s="1122">
        <v>0</v>
      </c>
      <c r="AB734" s="75">
        <v>0</v>
      </c>
      <c r="AC734" s="75">
        <v>0</v>
      </c>
      <c r="AD734" s="1122">
        <v>0</v>
      </c>
      <c r="AE734" s="75">
        <v>0</v>
      </c>
      <c r="AF734" s="75">
        <v>0</v>
      </c>
      <c r="AG734" s="1122">
        <v>0</v>
      </c>
      <c r="AH734" s="505">
        <f>+U734+Y734+AB734+AE734</f>
        <v>0</v>
      </c>
      <c r="AI734" s="132"/>
      <c r="AJ734" s="75">
        <f t="shared" si="160"/>
        <v>0</v>
      </c>
      <c r="AK734" s="75"/>
      <c r="AL734" s="75"/>
      <c r="AM734" s="75"/>
      <c r="AN734" s="64"/>
      <c r="AO734" s="100"/>
      <c r="AP734" s="100"/>
      <c r="AQ734" s="993"/>
      <c r="AR734" s="100"/>
      <c r="AS734" s="994"/>
      <c r="AT734" s="100"/>
      <c r="AU734" s="983"/>
      <c r="AV734" s="259"/>
      <c r="AW734" s="185"/>
    </row>
    <row r="735" spans="1:49" s="153" customFormat="1" ht="15" customHeight="1" outlineLevel="1" collapsed="1" x14ac:dyDescent="0.25">
      <c r="A735" s="148" t="str">
        <f t="shared" si="100"/>
        <v>1.4.1.17.0.0</v>
      </c>
      <c r="B735" s="82">
        <v>1</v>
      </c>
      <c r="C735" s="82">
        <v>4</v>
      </c>
      <c r="D735" s="82">
        <v>1</v>
      </c>
      <c r="E735" s="82">
        <v>17</v>
      </c>
      <c r="F735" s="82">
        <v>0</v>
      </c>
      <c r="G735" s="82">
        <v>0</v>
      </c>
      <c r="H735" s="149"/>
      <c r="I735" s="149"/>
      <c r="J735" s="1260" t="s">
        <v>722</v>
      </c>
      <c r="K735" s="1259"/>
      <c r="L735" s="82" t="s">
        <v>224</v>
      </c>
      <c r="M735" s="82" t="s">
        <v>299</v>
      </c>
      <c r="N735" s="82" t="s">
        <v>671</v>
      </c>
      <c r="O735" s="82" t="s">
        <v>359</v>
      </c>
      <c r="P735" s="82"/>
      <c r="Q735" s="82"/>
      <c r="R735" s="82"/>
      <c r="S735" s="149"/>
      <c r="T735" s="193"/>
      <c r="U735" s="379">
        <f t="shared" ref="U735:AH735" si="161">+SUM(U736:U737)</f>
        <v>0</v>
      </c>
      <c r="V735" s="379"/>
      <c r="W735" s="682">
        <f t="shared" si="161"/>
        <v>0</v>
      </c>
      <c r="X735" s="1130">
        <f t="shared" si="161"/>
        <v>0</v>
      </c>
      <c r="Y735" s="379">
        <f t="shared" si="161"/>
        <v>0</v>
      </c>
      <c r="Z735" s="845">
        <f t="shared" si="161"/>
        <v>0</v>
      </c>
      <c r="AA735" s="1130">
        <f t="shared" si="161"/>
        <v>0</v>
      </c>
      <c r="AB735" s="379">
        <f t="shared" si="161"/>
        <v>0</v>
      </c>
      <c r="AC735" s="971">
        <f t="shared" si="161"/>
        <v>0</v>
      </c>
      <c r="AD735" s="1130">
        <f t="shared" si="161"/>
        <v>0</v>
      </c>
      <c r="AE735" s="379">
        <f t="shared" si="161"/>
        <v>0</v>
      </c>
      <c r="AF735" s="379">
        <f t="shared" si="161"/>
        <v>0</v>
      </c>
      <c r="AG735" s="1130">
        <f t="shared" ref="AG735" si="162">+SUM(AG736:AG737)</f>
        <v>0</v>
      </c>
      <c r="AH735" s="379">
        <f t="shared" si="161"/>
        <v>0</v>
      </c>
      <c r="AI735" s="152"/>
      <c r="AJ735" s="152"/>
      <c r="AK735" s="152"/>
      <c r="AL735" s="152"/>
      <c r="AM735" s="152"/>
      <c r="AN735" s="82" t="s">
        <v>181</v>
      </c>
      <c r="AO735" s="82"/>
      <c r="AP735" s="82"/>
      <c r="AQ735" s="365"/>
      <c r="AR735" s="82"/>
      <c r="AS735" s="483"/>
      <c r="AT735" s="82"/>
      <c r="AU735" s="666"/>
      <c r="AV735" s="379">
        <f t="shared" ref="AV735" si="163">+SUM(AV736:AV737)</f>
        <v>0</v>
      </c>
      <c r="AW735" s="444"/>
    </row>
    <row r="736" spans="1:49" ht="21.6" hidden="1" customHeight="1" outlineLevel="3" x14ac:dyDescent="0.25">
      <c r="A736" s="63" t="str">
        <f t="shared" si="100"/>
        <v>1.4.1.17.1.07</v>
      </c>
      <c r="B736" s="64">
        <v>1</v>
      </c>
      <c r="C736" s="64">
        <v>4</v>
      </c>
      <c r="D736" s="64">
        <v>1</v>
      </c>
      <c r="E736" s="64">
        <v>17</v>
      </c>
      <c r="F736" s="64">
        <v>1</v>
      </c>
      <c r="G736" s="206" t="s">
        <v>723</v>
      </c>
      <c r="H736" s="65"/>
      <c r="I736" s="65"/>
      <c r="J736" s="65"/>
      <c r="K736" s="65" t="s">
        <v>703</v>
      </c>
      <c r="L736" s="64" t="s">
        <v>246</v>
      </c>
      <c r="M736" s="64" t="s">
        <v>680</v>
      </c>
      <c r="N736" s="64" t="s">
        <v>671</v>
      </c>
      <c r="O736" s="64" t="s">
        <v>359</v>
      </c>
      <c r="P736" s="64"/>
      <c r="Q736" s="64"/>
      <c r="R736" s="64"/>
      <c r="S736" s="65"/>
      <c r="T736" s="194"/>
      <c r="U736" s="75">
        <v>0</v>
      </c>
      <c r="V736" s="75"/>
      <c r="W736" s="75">
        <v>0</v>
      </c>
      <c r="X736" s="1122">
        <v>0</v>
      </c>
      <c r="Y736" s="75">
        <v>0</v>
      </c>
      <c r="Z736" s="75">
        <v>0</v>
      </c>
      <c r="AA736" s="1122">
        <v>0</v>
      </c>
      <c r="AB736" s="75">
        <v>0</v>
      </c>
      <c r="AC736" s="75">
        <v>0</v>
      </c>
      <c r="AD736" s="1122">
        <v>0</v>
      </c>
      <c r="AE736" s="75">
        <v>0</v>
      </c>
      <c r="AF736" s="75">
        <v>0</v>
      </c>
      <c r="AG736" s="1122">
        <v>0</v>
      </c>
      <c r="AH736" s="505">
        <f>+U736+Y736+AB736+AE736</f>
        <v>0</v>
      </c>
      <c r="AI736" s="132"/>
      <c r="AJ736" s="75">
        <f t="shared" ref="AJ736:AJ737" si="164">+W737+Z737+AC737+AF737</f>
        <v>0</v>
      </c>
      <c r="AK736" s="207"/>
      <c r="AL736" s="207"/>
      <c r="AM736" s="207"/>
      <c r="AN736" s="64"/>
      <c r="AO736" s="64"/>
      <c r="AP736" s="64"/>
      <c r="AQ736" s="189"/>
      <c r="AR736" s="64"/>
      <c r="AS736" s="476"/>
      <c r="AT736" s="64"/>
      <c r="AU736" s="646"/>
      <c r="AV736" s="259"/>
      <c r="AW736" s="185"/>
    </row>
    <row r="737" spans="1:49" ht="21.6" hidden="1" customHeight="1" outlineLevel="3" x14ac:dyDescent="0.25">
      <c r="A737" s="63" t="str">
        <f t="shared" si="100"/>
        <v>1.4.1.17.2.07</v>
      </c>
      <c r="B737" s="64">
        <v>1</v>
      </c>
      <c r="C737" s="64">
        <v>4</v>
      </c>
      <c r="D737" s="64">
        <v>1</v>
      </c>
      <c r="E737" s="64">
        <v>17</v>
      </c>
      <c r="F737" s="64">
        <v>2</v>
      </c>
      <c r="G737" s="206" t="s">
        <v>723</v>
      </c>
      <c r="H737" s="65"/>
      <c r="I737" s="65"/>
      <c r="J737" s="66"/>
      <c r="K737" s="65" t="s">
        <v>704</v>
      </c>
      <c r="L737" s="64" t="s">
        <v>246</v>
      </c>
      <c r="M737" s="64" t="s">
        <v>680</v>
      </c>
      <c r="N737" s="64" t="s">
        <v>671</v>
      </c>
      <c r="O737" s="64" t="s">
        <v>359</v>
      </c>
      <c r="P737" s="64"/>
      <c r="Q737" s="64"/>
      <c r="R737" s="64"/>
      <c r="S737" s="65"/>
      <c r="T737" s="194"/>
      <c r="U737" s="75">
        <v>0</v>
      </c>
      <c r="V737" s="75"/>
      <c r="W737" s="75">
        <v>0</v>
      </c>
      <c r="X737" s="1122">
        <v>0</v>
      </c>
      <c r="Y737" s="75">
        <v>0</v>
      </c>
      <c r="Z737" s="75">
        <v>0</v>
      </c>
      <c r="AA737" s="1122">
        <v>0</v>
      </c>
      <c r="AB737" s="75">
        <v>0</v>
      </c>
      <c r="AC737" s="75">
        <v>0</v>
      </c>
      <c r="AD737" s="1122">
        <v>0</v>
      </c>
      <c r="AE737" s="75">
        <v>0</v>
      </c>
      <c r="AF737" s="75">
        <v>0</v>
      </c>
      <c r="AG737" s="1122">
        <v>0</v>
      </c>
      <c r="AH737" s="505">
        <f>+U737+Y737+AB737+AE737</f>
        <v>0</v>
      </c>
      <c r="AI737" s="132"/>
      <c r="AJ737" s="75">
        <f t="shared" si="164"/>
        <v>0</v>
      </c>
      <c r="AK737" s="208"/>
      <c r="AL737" s="208"/>
      <c r="AM737" s="208"/>
      <c r="AN737" s="64"/>
      <c r="AO737" s="100"/>
      <c r="AP737" s="100"/>
      <c r="AQ737" s="993"/>
      <c r="AR737" s="100"/>
      <c r="AS737" s="994"/>
      <c r="AT737" s="100"/>
      <c r="AU737" s="983"/>
      <c r="AV737" s="259"/>
      <c r="AW737" s="185"/>
    </row>
    <row r="738" spans="1:49" s="153" customFormat="1" ht="15" customHeight="1" outlineLevel="1" collapsed="1" x14ac:dyDescent="0.25">
      <c r="A738" s="148" t="str">
        <f t="shared" si="100"/>
        <v>1.4.1.18.0.0</v>
      </c>
      <c r="B738" s="82">
        <v>1</v>
      </c>
      <c r="C738" s="82">
        <v>4</v>
      </c>
      <c r="D738" s="82">
        <v>1</v>
      </c>
      <c r="E738" s="82">
        <v>18</v>
      </c>
      <c r="F738" s="82">
        <v>0</v>
      </c>
      <c r="G738" s="82">
        <v>0</v>
      </c>
      <c r="H738" s="149"/>
      <c r="I738" s="149"/>
      <c r="J738" s="1260" t="s">
        <v>724</v>
      </c>
      <c r="K738" s="1259"/>
      <c r="L738" s="82" t="s">
        <v>224</v>
      </c>
      <c r="M738" s="82" t="s">
        <v>299</v>
      </c>
      <c r="N738" s="82" t="s">
        <v>671</v>
      </c>
      <c r="O738" s="82" t="s">
        <v>359</v>
      </c>
      <c r="P738" s="82"/>
      <c r="Q738" s="82"/>
      <c r="R738" s="82"/>
      <c r="S738" s="149"/>
      <c r="T738" s="193"/>
      <c r="U738" s="379">
        <f>+SUM(U739:U740)</f>
        <v>0</v>
      </c>
      <c r="V738" s="379"/>
      <c r="W738" s="379">
        <f t="shared" ref="W738:AH738" si="165">+SUM(W739:W740)</f>
        <v>0</v>
      </c>
      <c r="X738" s="1130">
        <f t="shared" si="165"/>
        <v>0</v>
      </c>
      <c r="Y738" s="379">
        <f t="shared" si="165"/>
        <v>0</v>
      </c>
      <c r="Z738" s="379">
        <f t="shared" si="165"/>
        <v>0</v>
      </c>
      <c r="AA738" s="1130">
        <f t="shared" si="165"/>
        <v>0</v>
      </c>
      <c r="AB738" s="379">
        <f t="shared" si="165"/>
        <v>0</v>
      </c>
      <c r="AC738" s="379">
        <f t="shared" si="165"/>
        <v>0</v>
      </c>
      <c r="AD738" s="1130">
        <f t="shared" si="165"/>
        <v>0</v>
      </c>
      <c r="AE738" s="379">
        <f t="shared" si="165"/>
        <v>0</v>
      </c>
      <c r="AF738" s="379">
        <f t="shared" si="165"/>
        <v>0</v>
      </c>
      <c r="AG738" s="1130">
        <f t="shared" si="165"/>
        <v>0</v>
      </c>
      <c r="AH738" s="379">
        <f t="shared" si="165"/>
        <v>0</v>
      </c>
      <c r="AI738" s="152"/>
      <c r="AJ738" s="152"/>
      <c r="AK738" s="152"/>
      <c r="AL738" s="152"/>
      <c r="AM738" s="152"/>
      <c r="AN738" s="82" t="s">
        <v>181</v>
      </c>
      <c r="AO738" s="82"/>
      <c r="AP738" s="82"/>
      <c r="AQ738" s="365"/>
      <c r="AR738" s="82"/>
      <c r="AS738" s="483"/>
      <c r="AT738" s="82"/>
      <c r="AU738" s="666"/>
      <c r="AV738" s="379">
        <f t="shared" ref="AV738" si="166">+SUM(AV739:AV740)</f>
        <v>0</v>
      </c>
      <c r="AW738" s="444"/>
    </row>
    <row r="739" spans="1:49" ht="25.35" hidden="1" customHeight="1" outlineLevel="2" x14ac:dyDescent="0.25">
      <c r="A739" s="63" t="str">
        <f t="shared" si="100"/>
        <v>1.4.1.18.1.04</v>
      </c>
      <c r="B739" s="64">
        <v>1</v>
      </c>
      <c r="C739" s="64">
        <v>4</v>
      </c>
      <c r="D739" s="64">
        <v>1</v>
      </c>
      <c r="E739" s="64">
        <v>18</v>
      </c>
      <c r="F739" s="64">
        <v>1</v>
      </c>
      <c r="G739" s="206" t="s">
        <v>725</v>
      </c>
      <c r="H739" s="65"/>
      <c r="I739" s="65"/>
      <c r="J739" s="66"/>
      <c r="K739" s="65" t="s">
        <v>703</v>
      </c>
      <c r="L739" s="64" t="s">
        <v>246</v>
      </c>
      <c r="M739" s="64" t="s">
        <v>680</v>
      </c>
      <c r="N739" s="64" t="s">
        <v>671</v>
      </c>
      <c r="O739" s="64" t="s">
        <v>359</v>
      </c>
      <c r="P739" s="64"/>
      <c r="Q739" s="64"/>
      <c r="R739" s="64"/>
      <c r="S739" s="65"/>
      <c r="T739" s="194"/>
      <c r="U739" s="75">
        <v>0</v>
      </c>
      <c r="V739" s="75"/>
      <c r="W739" s="75">
        <v>0</v>
      </c>
      <c r="X739" s="1122">
        <v>0</v>
      </c>
      <c r="Y739" s="75">
        <v>0</v>
      </c>
      <c r="Z739" s="75">
        <v>0</v>
      </c>
      <c r="AA739" s="1122">
        <v>0</v>
      </c>
      <c r="AB739" s="75">
        <v>0</v>
      </c>
      <c r="AC739" s="75">
        <v>0</v>
      </c>
      <c r="AD739" s="1122">
        <v>0</v>
      </c>
      <c r="AE739" s="75">
        <v>0</v>
      </c>
      <c r="AF739" s="75">
        <v>0</v>
      </c>
      <c r="AG739" s="1122">
        <v>0</v>
      </c>
      <c r="AH739" s="505">
        <f t="shared" ref="AH739:AH740" si="167">+W739+Y739+AB739+AE739</f>
        <v>0</v>
      </c>
      <c r="AI739" s="132"/>
      <c r="AJ739" s="75">
        <f t="shared" ref="AJ739:AJ740" si="168">+W740+Z740+AC740+AF740</f>
        <v>0</v>
      </c>
      <c r="AK739" s="75"/>
      <c r="AL739" s="75"/>
      <c r="AM739" s="75"/>
      <c r="AN739" s="64"/>
      <c r="AO739" s="64"/>
      <c r="AP739" s="64"/>
      <c r="AQ739" s="189"/>
      <c r="AR739" s="64"/>
      <c r="AS739" s="476"/>
      <c r="AT739" s="64"/>
      <c r="AU739" s="646"/>
      <c r="AV739" s="259"/>
      <c r="AW739" s="185"/>
    </row>
    <row r="740" spans="1:49" ht="25.35" hidden="1" customHeight="1" outlineLevel="2" x14ac:dyDescent="0.25">
      <c r="A740" s="63" t="str">
        <f t="shared" si="100"/>
        <v>1.4.1.18.2.04</v>
      </c>
      <c r="B740" s="64">
        <v>1</v>
      </c>
      <c r="C740" s="64">
        <v>4</v>
      </c>
      <c r="D740" s="64">
        <v>1</v>
      </c>
      <c r="E740" s="64">
        <v>18</v>
      </c>
      <c r="F740" s="64">
        <v>2</v>
      </c>
      <c r="G740" s="206" t="s">
        <v>725</v>
      </c>
      <c r="H740" s="65"/>
      <c r="I740" s="65"/>
      <c r="J740" s="65"/>
      <c r="K740" s="65" t="s">
        <v>704</v>
      </c>
      <c r="L740" s="64" t="s">
        <v>246</v>
      </c>
      <c r="M740" s="64" t="s">
        <v>680</v>
      </c>
      <c r="N740" s="64" t="s">
        <v>671</v>
      </c>
      <c r="O740" s="64" t="s">
        <v>359</v>
      </c>
      <c r="P740" s="64"/>
      <c r="Q740" s="64"/>
      <c r="R740" s="64"/>
      <c r="S740" s="65"/>
      <c r="T740" s="194"/>
      <c r="U740" s="75">
        <v>0</v>
      </c>
      <c r="V740" s="75"/>
      <c r="W740" s="75">
        <v>0</v>
      </c>
      <c r="X740" s="1122">
        <v>0</v>
      </c>
      <c r="Y740" s="75">
        <v>0</v>
      </c>
      <c r="Z740" s="75">
        <v>0</v>
      </c>
      <c r="AA740" s="1122">
        <v>0</v>
      </c>
      <c r="AB740" s="75">
        <v>0</v>
      </c>
      <c r="AC740" s="75">
        <v>0</v>
      </c>
      <c r="AD740" s="1122">
        <v>0</v>
      </c>
      <c r="AE740" s="75">
        <v>0</v>
      </c>
      <c r="AF740" s="75">
        <v>0</v>
      </c>
      <c r="AG740" s="1122">
        <v>0</v>
      </c>
      <c r="AH740" s="505">
        <f t="shared" si="167"/>
        <v>0</v>
      </c>
      <c r="AI740" s="132"/>
      <c r="AJ740" s="75">
        <f t="shared" si="168"/>
        <v>0</v>
      </c>
      <c r="AK740" s="75"/>
      <c r="AL740" s="75"/>
      <c r="AM740" s="75"/>
      <c r="AN740" s="64"/>
      <c r="AO740" s="100"/>
      <c r="AP740" s="100"/>
      <c r="AQ740" s="993"/>
      <c r="AR740" s="100"/>
      <c r="AS740" s="994"/>
      <c r="AT740" s="100"/>
      <c r="AU740" s="983"/>
      <c r="AV740" s="259"/>
      <c r="AW740" s="185"/>
    </row>
    <row r="741" spans="1:49" s="153" customFormat="1" ht="31.5" customHeight="1" outlineLevel="1" x14ac:dyDescent="0.25">
      <c r="A741" s="108" t="str">
        <f t="shared" si="100"/>
        <v>1.5.1.0.0.0</v>
      </c>
      <c r="B741" s="109">
        <v>1</v>
      </c>
      <c r="C741" s="109">
        <v>5</v>
      </c>
      <c r="D741" s="109">
        <v>1</v>
      </c>
      <c r="E741" s="109">
        <v>0</v>
      </c>
      <c r="F741" s="109">
        <v>0</v>
      </c>
      <c r="G741" s="109">
        <v>0</v>
      </c>
      <c r="H741" s="110"/>
      <c r="I741" s="1265" t="s">
        <v>726</v>
      </c>
      <c r="J741" s="1266"/>
      <c r="K741" s="1267"/>
      <c r="L741" s="109" t="s">
        <v>359</v>
      </c>
      <c r="M741" s="109" t="s">
        <v>727</v>
      </c>
      <c r="N741" s="109" t="s">
        <v>198</v>
      </c>
      <c r="O741" s="109" t="s">
        <v>728</v>
      </c>
      <c r="P741" s="109"/>
      <c r="Q741" s="109"/>
      <c r="R741" s="109"/>
      <c r="S741" s="110"/>
      <c r="T741" s="1183"/>
      <c r="U741" s="112">
        <f>+U742+U753+U755+U757+U781+U789</f>
        <v>4007250</v>
      </c>
      <c r="V741" s="1231">
        <f>+U741/56</f>
        <v>71558.03571428571</v>
      </c>
      <c r="W741" s="112">
        <f t="shared" ref="W741:AH741" si="169">+W742+W753+W755+W757+W781+W789</f>
        <v>0</v>
      </c>
      <c r="X741" s="1116">
        <f t="shared" si="169"/>
        <v>0</v>
      </c>
      <c r="Y741" s="112">
        <f>+Y742+Y753+Y755+Y757+Y781+Y789</f>
        <v>9403250</v>
      </c>
      <c r="Z741" s="112">
        <f t="shared" si="169"/>
        <v>0</v>
      </c>
      <c r="AA741" s="1116">
        <f t="shared" si="169"/>
        <v>0</v>
      </c>
      <c r="AB741" s="112">
        <f>+AB742+AB753+AB755+AB757+AB781+AB789</f>
        <v>3953250</v>
      </c>
      <c r="AC741" s="112">
        <f t="shared" si="169"/>
        <v>0</v>
      </c>
      <c r="AD741" s="1116">
        <f t="shared" si="169"/>
        <v>0</v>
      </c>
      <c r="AE741" s="112">
        <f>+AE742+AE753+AE755+AE757+AE781+AE789</f>
        <v>3615000</v>
      </c>
      <c r="AF741" s="112">
        <f t="shared" si="169"/>
        <v>0</v>
      </c>
      <c r="AG741" s="1116">
        <f t="shared" si="169"/>
        <v>0</v>
      </c>
      <c r="AH741" s="112">
        <f>+AH742+AH753+AH755+AH757+AH781+AH789</f>
        <v>20978750</v>
      </c>
      <c r="AI741" s="514">
        <f>+AI742+AI753+AI757+AI781+AI789+AI755</f>
        <v>0</v>
      </c>
      <c r="AJ741" s="514">
        <f>+AJ742+AJ753+AJ757+AJ781+AJ789+AJ755</f>
        <v>0</v>
      </c>
      <c r="AK741" s="112"/>
      <c r="AL741" s="112"/>
      <c r="AM741" s="112"/>
      <c r="AN741" s="109" t="s">
        <v>39</v>
      </c>
      <c r="AO741" s="109"/>
      <c r="AP741" s="109"/>
      <c r="AQ741" s="411"/>
      <c r="AR741" s="109"/>
      <c r="AS741" s="473"/>
      <c r="AT741" s="109"/>
      <c r="AU741" s="659"/>
      <c r="AV741" s="333"/>
      <c r="AW741" s="429" t="s">
        <v>729</v>
      </c>
    </row>
    <row r="742" spans="1:49" s="153" customFormat="1" ht="22.5" customHeight="1" outlineLevel="1" collapsed="1" x14ac:dyDescent="0.25">
      <c r="A742" s="148" t="str">
        <f t="shared" si="100"/>
        <v>1.5.1.1.0.0</v>
      </c>
      <c r="B742" s="82">
        <v>1</v>
      </c>
      <c r="C742" s="82">
        <v>5</v>
      </c>
      <c r="D742" s="82">
        <v>1</v>
      </c>
      <c r="E742" s="82">
        <v>1</v>
      </c>
      <c r="F742" s="82">
        <v>0</v>
      </c>
      <c r="G742" s="82">
        <v>0</v>
      </c>
      <c r="H742" s="149"/>
      <c r="I742" s="149"/>
      <c r="J742" s="1260" t="s">
        <v>730</v>
      </c>
      <c r="K742" s="1259"/>
      <c r="L742" s="82" t="s">
        <v>731</v>
      </c>
      <c r="M742" s="82" t="s">
        <v>727</v>
      </c>
      <c r="N742" s="82" t="s">
        <v>198</v>
      </c>
      <c r="O742" s="82" t="s">
        <v>728</v>
      </c>
      <c r="P742" s="82"/>
      <c r="Q742" s="82"/>
      <c r="R742" s="82"/>
      <c r="S742" s="149"/>
      <c r="T742" s="193"/>
      <c r="U742" s="209">
        <f>SUM(U743:U752)</f>
        <v>0</v>
      </c>
      <c r="V742" s="209"/>
      <c r="W742" s="209">
        <f t="shared" ref="W742:AG742" si="170">SUM(W743:W752)</f>
        <v>0</v>
      </c>
      <c r="X742" s="1133">
        <f t="shared" si="170"/>
        <v>0</v>
      </c>
      <c r="Y742" s="209">
        <f t="shared" si="170"/>
        <v>4450000</v>
      </c>
      <c r="Z742" s="209">
        <f t="shared" si="170"/>
        <v>0</v>
      </c>
      <c r="AA742" s="1133">
        <f t="shared" si="170"/>
        <v>0</v>
      </c>
      <c r="AB742" s="209">
        <f t="shared" si="170"/>
        <v>0</v>
      </c>
      <c r="AC742" s="209">
        <f t="shared" si="170"/>
        <v>0</v>
      </c>
      <c r="AD742" s="1133">
        <f t="shared" si="170"/>
        <v>0</v>
      </c>
      <c r="AE742" s="209">
        <f t="shared" si="170"/>
        <v>0</v>
      </c>
      <c r="AF742" s="209">
        <f t="shared" si="170"/>
        <v>0</v>
      </c>
      <c r="AG742" s="1133">
        <f t="shared" si="170"/>
        <v>0</v>
      </c>
      <c r="AH742" s="209">
        <f>SUM(AH743:AH752)</f>
        <v>4450000</v>
      </c>
      <c r="AI742" s="512">
        <f>+SUM(AI743:AI752)</f>
        <v>0</v>
      </c>
      <c r="AJ742" s="512">
        <f>+SUM(AJ743:AJ752)</f>
        <v>0</v>
      </c>
      <c r="AK742" s="152"/>
      <c r="AL742" s="152"/>
      <c r="AM742" s="152"/>
      <c r="AN742" s="82" t="s">
        <v>39</v>
      </c>
      <c r="AO742" s="82"/>
      <c r="AP742" s="82"/>
      <c r="AQ742" s="365"/>
      <c r="AR742" s="82"/>
      <c r="AS742" s="483"/>
      <c r="AT742" s="82"/>
      <c r="AU742" s="666"/>
      <c r="AV742" s="358"/>
      <c r="AW742" s="447" t="s">
        <v>732</v>
      </c>
    </row>
    <row r="743" spans="1:49" ht="27" hidden="1" customHeight="1" outlineLevel="2" x14ac:dyDescent="0.25">
      <c r="A743" s="63" t="str">
        <f t="shared" si="100"/>
        <v>1.5.1.1.1.58-64</v>
      </c>
      <c r="B743" s="64">
        <v>1</v>
      </c>
      <c r="C743" s="64">
        <v>5</v>
      </c>
      <c r="D743" s="64">
        <v>1</v>
      </c>
      <c r="E743" s="64">
        <v>1</v>
      </c>
      <c r="F743" s="64">
        <v>1</v>
      </c>
      <c r="G743" s="64" t="s">
        <v>64</v>
      </c>
      <c r="H743" s="65"/>
      <c r="I743" s="65"/>
      <c r="J743" s="65"/>
      <c r="K743" s="65" t="s">
        <v>733</v>
      </c>
      <c r="L743" s="64" t="s">
        <v>731</v>
      </c>
      <c r="M743" s="64" t="s">
        <v>727</v>
      </c>
      <c r="N743" s="64" t="s">
        <v>198</v>
      </c>
      <c r="O743" s="64" t="s">
        <v>728</v>
      </c>
      <c r="P743" s="170"/>
      <c r="Q743" s="170"/>
      <c r="R743" s="170"/>
      <c r="S743" s="170"/>
      <c r="T743" s="1188"/>
      <c r="U743" s="97">
        <v>0</v>
      </c>
      <c r="V743" s="97"/>
      <c r="W743" s="97">
        <v>0</v>
      </c>
      <c r="X743" s="1134">
        <v>0</v>
      </c>
      <c r="Y743" s="97">
        <v>0</v>
      </c>
      <c r="Z743" s="97">
        <v>0</v>
      </c>
      <c r="AA743" s="1134">
        <v>0</v>
      </c>
      <c r="AB743" s="97">
        <v>0</v>
      </c>
      <c r="AC743" s="97">
        <v>0</v>
      </c>
      <c r="AD743" s="1134">
        <v>0</v>
      </c>
      <c r="AE743" s="97">
        <v>0</v>
      </c>
      <c r="AF743" s="97">
        <v>0</v>
      </c>
      <c r="AG743" s="1134">
        <v>0</v>
      </c>
      <c r="AH743" s="505">
        <f>+U743+Y743+AB743+AE743</f>
        <v>0</v>
      </c>
      <c r="AI743" s="132"/>
      <c r="AJ743" s="75">
        <f t="shared" ref="AJ743:AJ751" si="171">+W744+Z744+AC744+AF744</f>
        <v>0</v>
      </c>
      <c r="AK743" s="75"/>
      <c r="AL743" s="75"/>
      <c r="AM743" s="75"/>
      <c r="AN743" s="171" t="s">
        <v>39</v>
      </c>
      <c r="AO743" s="171"/>
      <c r="AP743" s="171"/>
      <c r="AQ743" s="418"/>
      <c r="AS743" s="484"/>
      <c r="AV743" s="353"/>
      <c r="AW743" s="441"/>
    </row>
    <row r="744" spans="1:49" ht="75" hidden="1" outlineLevel="2" x14ac:dyDescent="0.25">
      <c r="A744" s="99" t="str">
        <f t="shared" si="100"/>
        <v>1.5.1.1.2.58-64</v>
      </c>
      <c r="B744" s="64">
        <v>1</v>
      </c>
      <c r="C744" s="64">
        <v>5</v>
      </c>
      <c r="D744" s="64">
        <v>1</v>
      </c>
      <c r="E744" s="64">
        <v>1</v>
      </c>
      <c r="F744" s="64">
        <v>2</v>
      </c>
      <c r="G744" s="64" t="s">
        <v>64</v>
      </c>
      <c r="H744" s="65"/>
      <c r="I744" s="65"/>
      <c r="J744" s="65"/>
      <c r="K744" s="65" t="s">
        <v>734</v>
      </c>
      <c r="L744" s="64" t="s">
        <v>731</v>
      </c>
      <c r="M744" s="68" t="s">
        <v>735</v>
      </c>
      <c r="N744" s="68" t="s">
        <v>2626</v>
      </c>
      <c r="O744" s="64" t="s">
        <v>737</v>
      </c>
      <c r="P744" s="64"/>
      <c r="Q744" s="64"/>
      <c r="R744" s="64"/>
      <c r="S744" s="65"/>
      <c r="T744" s="194"/>
      <c r="U744" s="75">
        <v>0</v>
      </c>
      <c r="V744" s="75"/>
      <c r="W744" s="75">
        <v>0</v>
      </c>
      <c r="X744" s="1122">
        <v>0</v>
      </c>
      <c r="Y744" s="75">
        <v>4450000</v>
      </c>
      <c r="Z744" s="75">
        <v>0</v>
      </c>
      <c r="AA744" s="1122">
        <v>0</v>
      </c>
      <c r="AB744" s="75">
        <v>0</v>
      </c>
      <c r="AC744" s="75">
        <v>0</v>
      </c>
      <c r="AD744" s="1122">
        <v>0</v>
      </c>
      <c r="AE744" s="75">
        <v>0</v>
      </c>
      <c r="AF744" s="75">
        <v>0</v>
      </c>
      <c r="AG744" s="1122">
        <v>0</v>
      </c>
      <c r="AH744" s="505">
        <f t="shared" ref="AH744:AH752" si="172">+U744+Y744+AB744+AE744</f>
        <v>4450000</v>
      </c>
      <c r="AI744" s="132"/>
      <c r="AJ744" s="75">
        <f t="shared" si="171"/>
        <v>0</v>
      </c>
      <c r="AK744" s="132"/>
      <c r="AL744" s="132"/>
      <c r="AM744" s="132"/>
      <c r="AN744" s="64" t="s">
        <v>39</v>
      </c>
      <c r="AO744" s="64" t="s">
        <v>1819</v>
      </c>
      <c r="AP744" s="64" t="s">
        <v>2601</v>
      </c>
      <c r="AQ744" s="189" t="s">
        <v>2602</v>
      </c>
      <c r="AR744" s="69">
        <v>45240</v>
      </c>
      <c r="AS744" s="865">
        <v>44875</v>
      </c>
      <c r="AT744" s="64"/>
      <c r="AU744" s="964"/>
      <c r="AV744" s="259"/>
      <c r="AW744" s="335" t="s">
        <v>2783</v>
      </c>
    </row>
    <row r="745" spans="1:49" s="212" customFormat="1" ht="35.450000000000003" hidden="1" customHeight="1" outlineLevel="2" x14ac:dyDescent="0.25">
      <c r="A745" s="210" t="str">
        <f t="shared" si="100"/>
        <v>1.5.1.1.3.58-64</v>
      </c>
      <c r="B745" s="136">
        <v>1</v>
      </c>
      <c r="C745" s="136">
        <v>5</v>
      </c>
      <c r="D745" s="136">
        <v>1</v>
      </c>
      <c r="E745" s="136">
        <v>1</v>
      </c>
      <c r="F745" s="136">
        <v>3</v>
      </c>
      <c r="G745" s="136" t="s">
        <v>64</v>
      </c>
      <c r="H745" s="125"/>
      <c r="I745" s="125"/>
      <c r="J745" s="125"/>
      <c r="K745" s="86" t="s">
        <v>738</v>
      </c>
      <c r="L745" s="136" t="s">
        <v>208</v>
      </c>
      <c r="M745" s="211" t="s">
        <v>739</v>
      </c>
      <c r="N745" s="211" t="s">
        <v>740</v>
      </c>
      <c r="O745" s="136" t="s">
        <v>741</v>
      </c>
      <c r="P745" s="136"/>
      <c r="Q745" s="136"/>
      <c r="R745" s="136">
        <v>21</v>
      </c>
      <c r="S745" s="125" t="s">
        <v>742</v>
      </c>
      <c r="T745" s="1195">
        <v>0</v>
      </c>
      <c r="U745" s="97">
        <v>0</v>
      </c>
      <c r="V745" s="97"/>
      <c r="W745" s="97">
        <v>0</v>
      </c>
      <c r="X745" s="1134">
        <v>0</v>
      </c>
      <c r="Y745" s="97">
        <v>0</v>
      </c>
      <c r="Z745" s="97">
        <v>0</v>
      </c>
      <c r="AA745" s="1134">
        <v>0</v>
      </c>
      <c r="AB745" s="97">
        <v>0</v>
      </c>
      <c r="AC745" s="97">
        <v>0</v>
      </c>
      <c r="AD745" s="1134">
        <v>0</v>
      </c>
      <c r="AE745" s="97">
        <v>0</v>
      </c>
      <c r="AF745" s="97">
        <v>0</v>
      </c>
      <c r="AG745" s="1134">
        <v>0</v>
      </c>
      <c r="AH745" s="505">
        <f t="shared" si="172"/>
        <v>0</v>
      </c>
      <c r="AI745" s="132"/>
      <c r="AJ745" s="75">
        <f t="shared" si="171"/>
        <v>0</v>
      </c>
      <c r="AK745" s="132"/>
      <c r="AL745" s="132"/>
      <c r="AM745" s="132"/>
      <c r="AN745" s="136" t="s">
        <v>39</v>
      </c>
      <c r="AO745" s="136"/>
      <c r="AP745" s="136"/>
      <c r="AQ745" s="414"/>
      <c r="AR745" s="136"/>
      <c r="AS745" s="477"/>
      <c r="AT745" s="136"/>
      <c r="AU745" s="646"/>
      <c r="AV745" s="350" t="s">
        <v>743</v>
      </c>
      <c r="AW745" s="448"/>
    </row>
    <row r="746" spans="1:49" s="212" customFormat="1" ht="35.450000000000003" hidden="1" customHeight="1" outlineLevel="2" x14ac:dyDescent="0.25">
      <c r="A746" s="210" t="str">
        <f t="shared" si="100"/>
        <v>1.5.1.1.4.58-64</v>
      </c>
      <c r="B746" s="136">
        <v>1</v>
      </c>
      <c r="C746" s="136">
        <v>5</v>
      </c>
      <c r="D746" s="136">
        <v>1</v>
      </c>
      <c r="E746" s="136">
        <v>1</v>
      </c>
      <c r="F746" s="136">
        <v>4</v>
      </c>
      <c r="G746" s="136" t="s">
        <v>64</v>
      </c>
      <c r="H746" s="125"/>
      <c r="I746" s="125"/>
      <c r="J746" s="125"/>
      <c r="K746" s="125" t="s">
        <v>744</v>
      </c>
      <c r="L746" s="136" t="s">
        <v>745</v>
      </c>
      <c r="M746" s="211" t="s">
        <v>746</v>
      </c>
      <c r="N746" s="136" t="s">
        <v>747</v>
      </c>
      <c r="O746" s="136" t="s">
        <v>748</v>
      </c>
      <c r="P746" s="136"/>
      <c r="Q746" s="136"/>
      <c r="R746" s="136">
        <v>168</v>
      </c>
      <c r="S746" s="125" t="s">
        <v>749</v>
      </c>
      <c r="T746" s="1195">
        <v>42</v>
      </c>
      <c r="U746" s="97">
        <v>0</v>
      </c>
      <c r="V746" s="97"/>
      <c r="W746" s="97">
        <v>0</v>
      </c>
      <c r="X746" s="1134">
        <v>0</v>
      </c>
      <c r="Y746" s="97">
        <v>0</v>
      </c>
      <c r="Z746" s="97">
        <v>0</v>
      </c>
      <c r="AA746" s="1134">
        <v>0</v>
      </c>
      <c r="AB746" s="97">
        <v>0</v>
      </c>
      <c r="AC746" s="97">
        <v>0</v>
      </c>
      <c r="AD746" s="1134">
        <v>0</v>
      </c>
      <c r="AE746" s="97">
        <v>0</v>
      </c>
      <c r="AF746" s="97">
        <v>0</v>
      </c>
      <c r="AG746" s="1134">
        <v>0</v>
      </c>
      <c r="AH746" s="505">
        <f t="shared" si="172"/>
        <v>0</v>
      </c>
      <c r="AI746" s="132"/>
      <c r="AJ746" s="75">
        <f t="shared" si="171"/>
        <v>0</v>
      </c>
      <c r="AK746" s="132"/>
      <c r="AL746" s="132"/>
      <c r="AM746" s="132"/>
      <c r="AN746" s="136" t="s">
        <v>39</v>
      </c>
      <c r="AO746" s="136"/>
      <c r="AP746" s="136"/>
      <c r="AQ746" s="414"/>
      <c r="AR746" s="136"/>
      <c r="AS746" s="477"/>
      <c r="AT746" s="136"/>
      <c r="AU746" s="646"/>
      <c r="AV746" s="349"/>
      <c r="AW746" s="448"/>
    </row>
    <row r="747" spans="1:49" s="212" customFormat="1" ht="35.450000000000003" hidden="1" customHeight="1" outlineLevel="2" x14ac:dyDescent="0.25">
      <c r="A747" s="210" t="str">
        <f t="shared" si="100"/>
        <v>1.5.1.1.5.58-64</v>
      </c>
      <c r="B747" s="136">
        <v>1</v>
      </c>
      <c r="C747" s="136">
        <v>5</v>
      </c>
      <c r="D747" s="136">
        <v>1</v>
      </c>
      <c r="E747" s="136">
        <v>1</v>
      </c>
      <c r="F747" s="136">
        <v>5</v>
      </c>
      <c r="G747" s="136" t="s">
        <v>64</v>
      </c>
      <c r="H747" s="125"/>
      <c r="I747" s="125"/>
      <c r="J747" s="213"/>
      <c r="K747" s="86" t="s">
        <v>750</v>
      </c>
      <c r="L747" s="136" t="s">
        <v>751</v>
      </c>
      <c r="M747" s="211" t="s">
        <v>752</v>
      </c>
      <c r="N747" s="136" t="s">
        <v>198</v>
      </c>
      <c r="O747" s="136" t="s">
        <v>192</v>
      </c>
      <c r="P747" s="214"/>
      <c r="Q747" s="214"/>
      <c r="R747" s="136">
        <f t="shared" ref="R747:R752" si="173">T747+X747+AA747+AD747</f>
        <v>3</v>
      </c>
      <c r="S747" s="125" t="s">
        <v>753</v>
      </c>
      <c r="T747" s="1195">
        <v>3</v>
      </c>
      <c r="U747" s="97">
        <v>0</v>
      </c>
      <c r="V747" s="97"/>
      <c r="W747" s="97">
        <v>0</v>
      </c>
      <c r="X747" s="1134">
        <v>0</v>
      </c>
      <c r="Y747" s="97">
        <v>0</v>
      </c>
      <c r="Z747" s="97">
        <v>0</v>
      </c>
      <c r="AA747" s="1134">
        <v>0</v>
      </c>
      <c r="AB747" s="97">
        <v>0</v>
      </c>
      <c r="AC747" s="97">
        <v>0</v>
      </c>
      <c r="AD747" s="1134">
        <v>0</v>
      </c>
      <c r="AE747" s="97">
        <v>0</v>
      </c>
      <c r="AF747" s="97">
        <v>0</v>
      </c>
      <c r="AG747" s="1134">
        <v>0</v>
      </c>
      <c r="AH747" s="505">
        <f t="shared" si="172"/>
        <v>0</v>
      </c>
      <c r="AI747" s="132"/>
      <c r="AJ747" s="75">
        <f t="shared" si="171"/>
        <v>0</v>
      </c>
      <c r="AK747" s="132"/>
      <c r="AL747" s="132"/>
      <c r="AM747" s="132"/>
      <c r="AN747" s="136" t="s">
        <v>39</v>
      </c>
      <c r="AO747" s="136"/>
      <c r="AP747" s="136"/>
      <c r="AQ747" s="414"/>
      <c r="AR747" s="136"/>
      <c r="AS747" s="477"/>
      <c r="AT747" s="136"/>
      <c r="AU747" s="646"/>
      <c r="AV747" s="349"/>
      <c r="AW747" s="448"/>
    </row>
    <row r="748" spans="1:49" s="212" customFormat="1" ht="35.450000000000003" hidden="1" customHeight="1" outlineLevel="2" x14ac:dyDescent="0.25">
      <c r="A748" s="210" t="str">
        <f t="shared" si="100"/>
        <v>1.5.1.1.6.58-64</v>
      </c>
      <c r="B748" s="136">
        <v>1</v>
      </c>
      <c r="C748" s="136">
        <v>5</v>
      </c>
      <c r="D748" s="136">
        <v>1</v>
      </c>
      <c r="E748" s="136">
        <v>1</v>
      </c>
      <c r="F748" s="136">
        <v>6</v>
      </c>
      <c r="G748" s="136" t="s">
        <v>64</v>
      </c>
      <c r="H748" s="125"/>
      <c r="I748" s="125"/>
      <c r="J748" s="125"/>
      <c r="K748" s="86" t="s">
        <v>754</v>
      </c>
      <c r="L748" s="136" t="s">
        <v>751</v>
      </c>
      <c r="M748" s="136" t="s">
        <v>755</v>
      </c>
      <c r="N748" s="136" t="s">
        <v>198</v>
      </c>
      <c r="O748" s="136" t="s">
        <v>192</v>
      </c>
      <c r="P748" s="214"/>
      <c r="Q748" s="214"/>
      <c r="R748" s="136">
        <f t="shared" si="173"/>
        <v>3</v>
      </c>
      <c r="S748" s="125" t="s">
        <v>756</v>
      </c>
      <c r="T748" s="1195">
        <v>3</v>
      </c>
      <c r="U748" s="97">
        <v>0</v>
      </c>
      <c r="V748" s="97"/>
      <c r="W748" s="97">
        <v>0</v>
      </c>
      <c r="X748" s="1134">
        <v>0</v>
      </c>
      <c r="Y748" s="97">
        <v>0</v>
      </c>
      <c r="Z748" s="97">
        <v>0</v>
      </c>
      <c r="AA748" s="1134">
        <v>0</v>
      </c>
      <c r="AB748" s="97">
        <v>0</v>
      </c>
      <c r="AC748" s="97">
        <v>0</v>
      </c>
      <c r="AD748" s="1134">
        <v>0</v>
      </c>
      <c r="AE748" s="97">
        <v>0</v>
      </c>
      <c r="AF748" s="97">
        <v>0</v>
      </c>
      <c r="AG748" s="1134">
        <v>0</v>
      </c>
      <c r="AH748" s="505">
        <f t="shared" si="172"/>
        <v>0</v>
      </c>
      <c r="AI748" s="132"/>
      <c r="AJ748" s="75">
        <f t="shared" si="171"/>
        <v>0</v>
      </c>
      <c r="AK748" s="132"/>
      <c r="AL748" s="132"/>
      <c r="AM748" s="132"/>
      <c r="AN748" s="136" t="s">
        <v>39</v>
      </c>
      <c r="AO748" s="136"/>
      <c r="AP748" s="136"/>
      <c r="AQ748" s="414"/>
      <c r="AR748" s="136"/>
      <c r="AS748" s="477"/>
      <c r="AT748" s="136"/>
      <c r="AU748" s="646"/>
      <c r="AV748" s="349"/>
      <c r="AW748" s="448"/>
    </row>
    <row r="749" spans="1:49" s="212" customFormat="1" ht="35.450000000000003" hidden="1" customHeight="1" outlineLevel="2" x14ac:dyDescent="0.25">
      <c r="A749" s="210" t="str">
        <f t="shared" si="100"/>
        <v>1.5.1.1.7.58-64</v>
      </c>
      <c r="B749" s="136">
        <v>1</v>
      </c>
      <c r="C749" s="136">
        <v>5</v>
      </c>
      <c r="D749" s="136">
        <v>1</v>
      </c>
      <c r="E749" s="136">
        <v>1</v>
      </c>
      <c r="F749" s="136">
        <v>7</v>
      </c>
      <c r="G749" s="136" t="s">
        <v>64</v>
      </c>
      <c r="H749" s="125"/>
      <c r="I749" s="125"/>
      <c r="J749" s="213"/>
      <c r="K749" s="125" t="s">
        <v>757</v>
      </c>
      <c r="L749" s="136" t="s">
        <v>208</v>
      </c>
      <c r="M749" s="136" t="s">
        <v>758</v>
      </c>
      <c r="N749" s="211" t="s">
        <v>759</v>
      </c>
      <c r="O749" s="136" t="s">
        <v>209</v>
      </c>
      <c r="P749" s="136"/>
      <c r="Q749" s="214"/>
      <c r="R749" s="136">
        <f t="shared" si="173"/>
        <v>84</v>
      </c>
      <c r="S749" s="125" t="s">
        <v>760</v>
      </c>
      <c r="T749" s="1195">
        <f>12*7</f>
        <v>84</v>
      </c>
      <c r="U749" s="97">
        <v>0</v>
      </c>
      <c r="V749" s="97"/>
      <c r="W749" s="97">
        <v>0</v>
      </c>
      <c r="X749" s="1134">
        <v>0</v>
      </c>
      <c r="Y749" s="97">
        <v>0</v>
      </c>
      <c r="Z749" s="97">
        <v>0</v>
      </c>
      <c r="AA749" s="1134">
        <v>0</v>
      </c>
      <c r="AB749" s="97">
        <v>0</v>
      </c>
      <c r="AC749" s="97">
        <v>0</v>
      </c>
      <c r="AD749" s="1134">
        <v>0</v>
      </c>
      <c r="AE749" s="97">
        <v>0</v>
      </c>
      <c r="AF749" s="97">
        <v>0</v>
      </c>
      <c r="AG749" s="1134">
        <v>0</v>
      </c>
      <c r="AH749" s="505">
        <f t="shared" si="172"/>
        <v>0</v>
      </c>
      <c r="AI749" s="132"/>
      <c r="AJ749" s="75">
        <f t="shared" si="171"/>
        <v>0</v>
      </c>
      <c r="AK749" s="132"/>
      <c r="AL749" s="132"/>
      <c r="AM749" s="132"/>
      <c r="AN749" s="136" t="s">
        <v>39</v>
      </c>
      <c r="AO749" s="136"/>
      <c r="AP749" s="136"/>
      <c r="AQ749" s="414"/>
      <c r="AR749" s="136"/>
      <c r="AS749" s="477"/>
      <c r="AT749" s="136"/>
      <c r="AU749" s="646"/>
      <c r="AV749" s="349" t="s">
        <v>761</v>
      </c>
      <c r="AW749" s="448"/>
    </row>
    <row r="750" spans="1:49" s="212" customFormat="1" ht="35.450000000000003" hidden="1" customHeight="1" outlineLevel="2" x14ac:dyDescent="0.25">
      <c r="A750" s="210" t="str">
        <f t="shared" si="100"/>
        <v>1.5.1.1.8.58-64</v>
      </c>
      <c r="B750" s="136">
        <v>1</v>
      </c>
      <c r="C750" s="136">
        <v>5</v>
      </c>
      <c r="D750" s="136">
        <v>1</v>
      </c>
      <c r="E750" s="136">
        <v>1</v>
      </c>
      <c r="F750" s="136">
        <v>8</v>
      </c>
      <c r="G750" s="136" t="s">
        <v>64</v>
      </c>
      <c r="H750" s="125"/>
      <c r="I750" s="125"/>
      <c r="J750" s="213"/>
      <c r="K750" s="86" t="s">
        <v>762</v>
      </c>
      <c r="L750" s="136" t="s">
        <v>208</v>
      </c>
      <c r="M750" s="136" t="s">
        <v>763</v>
      </c>
      <c r="N750" s="136" t="s">
        <v>764</v>
      </c>
      <c r="O750" s="136" t="s">
        <v>208</v>
      </c>
      <c r="P750" s="136"/>
      <c r="Q750" s="214"/>
      <c r="R750" s="136">
        <f t="shared" si="173"/>
        <v>6</v>
      </c>
      <c r="S750" s="125" t="s">
        <v>760</v>
      </c>
      <c r="T750" s="1195">
        <v>6</v>
      </c>
      <c r="U750" s="97">
        <v>0</v>
      </c>
      <c r="V750" s="97"/>
      <c r="W750" s="97">
        <v>0</v>
      </c>
      <c r="X750" s="1134">
        <v>0</v>
      </c>
      <c r="Y750" s="97">
        <v>0</v>
      </c>
      <c r="Z750" s="97">
        <v>0</v>
      </c>
      <c r="AA750" s="1134">
        <v>0</v>
      </c>
      <c r="AB750" s="97">
        <v>0</v>
      </c>
      <c r="AC750" s="97">
        <v>0</v>
      </c>
      <c r="AD750" s="1134">
        <v>0</v>
      </c>
      <c r="AE750" s="97">
        <v>0</v>
      </c>
      <c r="AF750" s="97">
        <v>0</v>
      </c>
      <c r="AG750" s="1134">
        <v>0</v>
      </c>
      <c r="AH750" s="505">
        <f t="shared" si="172"/>
        <v>0</v>
      </c>
      <c r="AI750" s="132"/>
      <c r="AJ750" s="75">
        <f t="shared" si="171"/>
        <v>0</v>
      </c>
      <c r="AK750" s="132"/>
      <c r="AL750" s="132"/>
      <c r="AM750" s="132"/>
      <c r="AN750" s="136" t="s">
        <v>39</v>
      </c>
      <c r="AO750" s="136"/>
      <c r="AP750" s="136"/>
      <c r="AQ750" s="414"/>
      <c r="AR750" s="136"/>
      <c r="AS750" s="477"/>
      <c r="AT750" s="136"/>
      <c r="AU750" s="646"/>
      <c r="AV750" s="349" t="s">
        <v>765</v>
      </c>
      <c r="AW750" s="448"/>
    </row>
    <row r="751" spans="1:49" s="212" customFormat="1" ht="35.450000000000003" hidden="1" customHeight="1" outlineLevel="2" x14ac:dyDescent="0.25">
      <c r="A751" s="210" t="str">
        <f t="shared" si="100"/>
        <v>1.5.1.1.9.58-64</v>
      </c>
      <c r="B751" s="136">
        <v>1</v>
      </c>
      <c r="C751" s="136">
        <v>5</v>
      </c>
      <c r="D751" s="136">
        <v>1</v>
      </c>
      <c r="E751" s="136">
        <v>1</v>
      </c>
      <c r="F751" s="136">
        <v>9</v>
      </c>
      <c r="G751" s="136" t="s">
        <v>64</v>
      </c>
      <c r="H751" s="125"/>
      <c r="I751" s="125"/>
      <c r="J751" s="213"/>
      <c r="K751" s="125" t="s">
        <v>766</v>
      </c>
      <c r="L751" s="136" t="s">
        <v>208</v>
      </c>
      <c r="M751" s="136" t="s">
        <v>767</v>
      </c>
      <c r="N751" s="136" t="s">
        <v>764</v>
      </c>
      <c r="O751" s="136" t="s">
        <v>768</v>
      </c>
      <c r="P751" s="136"/>
      <c r="Q751" s="214"/>
      <c r="R751" s="136">
        <f t="shared" si="173"/>
        <v>7</v>
      </c>
      <c r="S751" s="125" t="s">
        <v>760</v>
      </c>
      <c r="T751" s="1195">
        <v>7</v>
      </c>
      <c r="U751" s="97">
        <v>0</v>
      </c>
      <c r="V751" s="97"/>
      <c r="W751" s="97">
        <v>0</v>
      </c>
      <c r="X751" s="1134">
        <v>0</v>
      </c>
      <c r="Y751" s="97">
        <v>0</v>
      </c>
      <c r="Z751" s="97">
        <v>0</v>
      </c>
      <c r="AA751" s="1134">
        <v>0</v>
      </c>
      <c r="AB751" s="97">
        <v>0</v>
      </c>
      <c r="AC751" s="97">
        <v>0</v>
      </c>
      <c r="AD751" s="1134">
        <v>0</v>
      </c>
      <c r="AE751" s="97">
        <v>0</v>
      </c>
      <c r="AF751" s="97">
        <v>0</v>
      </c>
      <c r="AG751" s="1134">
        <v>0</v>
      </c>
      <c r="AH751" s="505">
        <f t="shared" si="172"/>
        <v>0</v>
      </c>
      <c r="AI751" s="132"/>
      <c r="AJ751" s="75">
        <f t="shared" si="171"/>
        <v>0</v>
      </c>
      <c r="AK751" s="132"/>
      <c r="AL751" s="132"/>
      <c r="AM751" s="132"/>
      <c r="AN751" s="136" t="s">
        <v>39</v>
      </c>
      <c r="AO751" s="136"/>
      <c r="AP751" s="136"/>
      <c r="AQ751" s="414"/>
      <c r="AR751" s="136"/>
      <c r="AS751" s="477"/>
      <c r="AT751" s="136"/>
      <c r="AU751" s="646"/>
      <c r="AV751" s="349" t="s">
        <v>761</v>
      </c>
      <c r="AW751" s="448"/>
    </row>
    <row r="752" spans="1:49" s="212" customFormat="1" ht="35.450000000000003" hidden="1" customHeight="1" outlineLevel="2" x14ac:dyDescent="0.25">
      <c r="A752" s="210" t="str">
        <f t="shared" si="100"/>
        <v>1.5.1.1.10.58-64</v>
      </c>
      <c r="B752" s="136">
        <v>1</v>
      </c>
      <c r="C752" s="136">
        <v>5</v>
      </c>
      <c r="D752" s="136">
        <v>1</v>
      </c>
      <c r="E752" s="136">
        <v>1</v>
      </c>
      <c r="F752" s="136">
        <v>10</v>
      </c>
      <c r="G752" s="136" t="s">
        <v>64</v>
      </c>
      <c r="H752" s="125"/>
      <c r="I752" s="125"/>
      <c r="J752" s="213"/>
      <c r="K752" s="86" t="s">
        <v>769</v>
      </c>
      <c r="L752" s="136" t="s">
        <v>208</v>
      </c>
      <c r="M752" s="211" t="s">
        <v>770</v>
      </c>
      <c r="N752" s="136" t="s">
        <v>771</v>
      </c>
      <c r="O752" s="136" t="s">
        <v>359</v>
      </c>
      <c r="P752" s="136"/>
      <c r="Q752" s="214"/>
      <c r="R752" s="136">
        <f t="shared" si="173"/>
        <v>7</v>
      </c>
      <c r="S752" s="125" t="s">
        <v>760</v>
      </c>
      <c r="T752" s="1195">
        <v>7</v>
      </c>
      <c r="U752" s="97">
        <v>0</v>
      </c>
      <c r="V752" s="97"/>
      <c r="W752" s="97">
        <v>0</v>
      </c>
      <c r="X752" s="1134">
        <v>0</v>
      </c>
      <c r="Y752" s="97">
        <v>0</v>
      </c>
      <c r="Z752" s="97">
        <v>0</v>
      </c>
      <c r="AA752" s="1134">
        <v>0</v>
      </c>
      <c r="AB752" s="97">
        <v>0</v>
      </c>
      <c r="AC752" s="97">
        <v>0</v>
      </c>
      <c r="AD752" s="1134">
        <v>0</v>
      </c>
      <c r="AE752" s="97">
        <v>0</v>
      </c>
      <c r="AF752" s="97">
        <v>0</v>
      </c>
      <c r="AG752" s="1134">
        <v>0</v>
      </c>
      <c r="AH752" s="505">
        <f t="shared" si="172"/>
        <v>0</v>
      </c>
      <c r="AI752" s="132"/>
      <c r="AJ752" s="75">
        <f>+W753+Z753+AC753+AF753</f>
        <v>0</v>
      </c>
      <c r="AK752" s="132"/>
      <c r="AL752" s="132"/>
      <c r="AM752" s="132"/>
      <c r="AN752" s="136" t="s">
        <v>39</v>
      </c>
      <c r="AO752" s="136"/>
      <c r="AP752" s="136"/>
      <c r="AQ752" s="414"/>
      <c r="AR752" s="136"/>
      <c r="AS752" s="477"/>
      <c r="AT752" s="136"/>
      <c r="AU752" s="646"/>
      <c r="AV752" s="349" t="s">
        <v>761</v>
      </c>
      <c r="AW752" s="448"/>
    </row>
    <row r="753" spans="1:49" s="153" customFormat="1" ht="22.5" customHeight="1" outlineLevel="1" collapsed="1" x14ac:dyDescent="0.25">
      <c r="A753" s="148" t="str">
        <f t="shared" si="100"/>
        <v>1.5.1.2.0.0</v>
      </c>
      <c r="B753" s="82">
        <v>1</v>
      </c>
      <c r="C753" s="82">
        <v>5</v>
      </c>
      <c r="D753" s="82">
        <v>1</v>
      </c>
      <c r="E753" s="82">
        <v>2</v>
      </c>
      <c r="F753" s="82">
        <v>0</v>
      </c>
      <c r="G753" s="82">
        <v>0</v>
      </c>
      <c r="H753" s="149"/>
      <c r="I753" s="149"/>
      <c r="J753" s="1260" t="s">
        <v>772</v>
      </c>
      <c r="K753" s="1259"/>
      <c r="L753" s="82" t="s">
        <v>236</v>
      </c>
      <c r="M753" s="82">
        <v>0</v>
      </c>
      <c r="N753" s="82">
        <v>0</v>
      </c>
      <c r="O753" s="82">
        <v>0</v>
      </c>
      <c r="P753" s="82"/>
      <c r="Q753" s="82"/>
      <c r="R753" s="82"/>
      <c r="S753" s="149"/>
      <c r="T753" s="193"/>
      <c r="U753" s="844">
        <f t="shared" ref="U753:Y753" si="174">+SUM(U754)</f>
        <v>0</v>
      </c>
      <c r="V753" s="844"/>
      <c r="W753" s="844">
        <f t="shared" si="174"/>
        <v>0</v>
      </c>
      <c r="X753" s="1135">
        <f t="shared" si="174"/>
        <v>0</v>
      </c>
      <c r="Y753" s="844">
        <f t="shared" si="174"/>
        <v>0</v>
      </c>
      <c r="Z753" s="844">
        <f>+SUM(Z754)</f>
        <v>0</v>
      </c>
      <c r="AA753" s="1135">
        <f t="shared" ref="AA753:AH753" si="175">+SUM(AA754)</f>
        <v>0</v>
      </c>
      <c r="AB753" s="844">
        <f t="shared" si="175"/>
        <v>0</v>
      </c>
      <c r="AC753" s="844">
        <f t="shared" si="175"/>
        <v>0</v>
      </c>
      <c r="AD753" s="1135">
        <f t="shared" si="175"/>
        <v>0</v>
      </c>
      <c r="AE753" s="844">
        <f t="shared" si="175"/>
        <v>0</v>
      </c>
      <c r="AF753" s="844">
        <f t="shared" si="175"/>
        <v>0</v>
      </c>
      <c r="AG753" s="1135">
        <f t="shared" si="175"/>
        <v>0</v>
      </c>
      <c r="AH753" s="844">
        <f t="shared" si="175"/>
        <v>0</v>
      </c>
      <c r="AI753" s="519">
        <f>+SUM(AI754)</f>
        <v>0</v>
      </c>
      <c r="AJ753" s="519">
        <f>+SUM(AJ754)</f>
        <v>0</v>
      </c>
      <c r="AK753" s="215"/>
      <c r="AL753" s="215"/>
      <c r="AM753" s="215"/>
      <c r="AN753" s="82" t="s">
        <v>39</v>
      </c>
      <c r="AO753" s="82"/>
      <c r="AP753" s="82"/>
      <c r="AQ753" s="365"/>
      <c r="AR753" s="82"/>
      <c r="AS753" s="483"/>
      <c r="AT753" s="82"/>
      <c r="AU753" s="666"/>
      <c r="AV753" s="358"/>
      <c r="AW753" s="444"/>
    </row>
    <row r="754" spans="1:49" ht="26.25" hidden="1" customHeight="1" outlineLevel="2" x14ac:dyDescent="0.25">
      <c r="A754" s="63" t="str">
        <f t="shared" si="100"/>
        <v>1.5.1.2.1.58-64</v>
      </c>
      <c r="B754" s="64">
        <v>1</v>
      </c>
      <c r="C754" s="64">
        <v>5</v>
      </c>
      <c r="D754" s="64">
        <v>1</v>
      </c>
      <c r="E754" s="64">
        <v>2</v>
      </c>
      <c r="F754" s="64">
        <v>1</v>
      </c>
      <c r="G754" s="64" t="s">
        <v>64</v>
      </c>
      <c r="H754" s="65"/>
      <c r="I754" s="65"/>
      <c r="J754" s="66"/>
      <c r="K754" s="67" t="s">
        <v>773</v>
      </c>
      <c r="L754" s="64" t="s">
        <v>236</v>
      </c>
      <c r="M754" s="64" t="s">
        <v>73</v>
      </c>
      <c r="N754" s="64" t="s">
        <v>74</v>
      </c>
      <c r="O754" s="64" t="s">
        <v>359</v>
      </c>
      <c r="P754" s="64"/>
      <c r="Q754" s="64"/>
      <c r="R754" s="64"/>
      <c r="S754" s="65"/>
      <c r="T754" s="194"/>
      <c r="U754" s="75">
        <v>0</v>
      </c>
      <c r="V754" s="75"/>
      <c r="W754" s="75">
        <v>0</v>
      </c>
      <c r="X754" s="1122">
        <v>0</v>
      </c>
      <c r="Y754" s="75">
        <v>0</v>
      </c>
      <c r="Z754" s="75">
        <v>0</v>
      </c>
      <c r="AA754" s="1122">
        <v>0</v>
      </c>
      <c r="AB754" s="75">
        <v>0</v>
      </c>
      <c r="AC754" s="75">
        <v>0</v>
      </c>
      <c r="AD754" s="1122">
        <v>0</v>
      </c>
      <c r="AE754" s="75">
        <v>0</v>
      </c>
      <c r="AF754" s="75">
        <v>0</v>
      </c>
      <c r="AG754" s="1122">
        <v>0</v>
      </c>
      <c r="AH754" s="505">
        <f>+U754+Y754+AB754+AF754</f>
        <v>0</v>
      </c>
      <c r="AI754" s="132"/>
      <c r="AJ754" s="75">
        <f t="shared" ref="AJ754" si="176">+W755+Z755+AC755+AF755</f>
        <v>0</v>
      </c>
      <c r="AK754" s="75"/>
      <c r="AL754" s="75"/>
      <c r="AM754" s="75"/>
      <c r="AN754" s="64" t="s">
        <v>39</v>
      </c>
      <c r="AO754" s="64"/>
      <c r="AP754" s="64"/>
      <c r="AQ754" s="189"/>
      <c r="AR754" s="64"/>
      <c r="AS754" s="476"/>
      <c r="AT754" s="64"/>
      <c r="AU754" s="646"/>
      <c r="AV754" s="259"/>
      <c r="AW754" s="185"/>
    </row>
    <row r="755" spans="1:49" s="153" customFormat="1" ht="15" customHeight="1" outlineLevel="1" collapsed="1" x14ac:dyDescent="0.25">
      <c r="A755" s="148" t="str">
        <f t="shared" si="100"/>
        <v>1.5.1.3.0.0</v>
      </c>
      <c r="B755" s="82">
        <v>1</v>
      </c>
      <c r="C755" s="82">
        <v>5</v>
      </c>
      <c r="D755" s="82">
        <v>1</v>
      </c>
      <c r="E755" s="82">
        <v>3</v>
      </c>
      <c r="F755" s="82">
        <v>0</v>
      </c>
      <c r="G755" s="82">
        <v>0</v>
      </c>
      <c r="H755" s="149"/>
      <c r="I755" s="149"/>
      <c r="J755" s="1260" t="s">
        <v>774</v>
      </c>
      <c r="K755" s="1259"/>
      <c r="L755" s="82" t="s">
        <v>236</v>
      </c>
      <c r="M755" s="82" t="s">
        <v>73</v>
      </c>
      <c r="N755" s="82" t="s">
        <v>74</v>
      </c>
      <c r="O755" s="82" t="s">
        <v>359</v>
      </c>
      <c r="P755" s="82"/>
      <c r="Q755" s="82"/>
      <c r="R755" s="82"/>
      <c r="S755" s="149"/>
      <c r="T755" s="193"/>
      <c r="U755" s="681">
        <f>SUM(U756)</f>
        <v>0</v>
      </c>
      <c r="V755" s="681"/>
      <c r="W755" s="681">
        <f>SUM(W756)</f>
        <v>0</v>
      </c>
      <c r="X755" s="1136">
        <f t="shared" ref="X755:AH755" si="177">SUM(X756)</f>
        <v>0</v>
      </c>
      <c r="Y755" s="681">
        <f t="shared" si="177"/>
        <v>0</v>
      </c>
      <c r="Z755" s="681">
        <f t="shared" si="177"/>
        <v>0</v>
      </c>
      <c r="AA755" s="1136">
        <f t="shared" si="177"/>
        <v>0</v>
      </c>
      <c r="AB755" s="681">
        <f t="shared" si="177"/>
        <v>0</v>
      </c>
      <c r="AC755" s="681">
        <f t="shared" si="177"/>
        <v>0</v>
      </c>
      <c r="AD755" s="1136">
        <f t="shared" si="177"/>
        <v>0</v>
      </c>
      <c r="AE755" s="681">
        <f t="shared" si="177"/>
        <v>0</v>
      </c>
      <c r="AF755" s="681">
        <f t="shared" si="177"/>
        <v>0</v>
      </c>
      <c r="AG755" s="1136">
        <f t="shared" si="177"/>
        <v>0</v>
      </c>
      <c r="AH755" s="681">
        <f t="shared" si="177"/>
        <v>0</v>
      </c>
      <c r="AI755" s="519">
        <f>+SUM(AI756)</f>
        <v>0</v>
      </c>
      <c r="AJ755" s="519">
        <f>+SUM(AJ756)</f>
        <v>0</v>
      </c>
      <c r="AK755" s="215"/>
      <c r="AL755" s="215"/>
      <c r="AM755" s="215"/>
      <c r="AN755" s="82" t="s">
        <v>39</v>
      </c>
      <c r="AO755" s="82"/>
      <c r="AP755" s="82"/>
      <c r="AQ755" s="365"/>
      <c r="AR755" s="82"/>
      <c r="AS755" s="483"/>
      <c r="AT755" s="82"/>
      <c r="AU755" s="666"/>
      <c r="AV755" s="358"/>
      <c r="AW755" s="444"/>
    </row>
    <row r="756" spans="1:49" ht="32.450000000000003" hidden="1" customHeight="1" outlineLevel="2" x14ac:dyDescent="0.25">
      <c r="A756" s="63" t="str">
        <f t="shared" si="100"/>
        <v>1.5.1.3.1.58-64</v>
      </c>
      <c r="B756" s="64">
        <v>1</v>
      </c>
      <c r="C756" s="64">
        <v>5</v>
      </c>
      <c r="D756" s="64">
        <v>1</v>
      </c>
      <c r="E756" s="64">
        <v>3</v>
      </c>
      <c r="F756" s="64">
        <v>1</v>
      </c>
      <c r="G756" s="64" t="s">
        <v>64</v>
      </c>
      <c r="H756" s="65"/>
      <c r="I756" s="65"/>
      <c r="J756" s="65"/>
      <c r="K756" s="65" t="s">
        <v>775</v>
      </c>
      <c r="L756" s="64" t="s">
        <v>236</v>
      </c>
      <c r="M756" s="64" t="s">
        <v>73</v>
      </c>
      <c r="N756" s="64" t="s">
        <v>74</v>
      </c>
      <c r="O756" s="64" t="s">
        <v>359</v>
      </c>
      <c r="P756" s="64"/>
      <c r="Q756" s="64"/>
      <c r="R756" s="64"/>
      <c r="S756" s="65"/>
      <c r="T756" s="194"/>
      <c r="U756" s="75">
        <v>0</v>
      </c>
      <c r="V756" s="75"/>
      <c r="W756" s="75">
        <v>0</v>
      </c>
      <c r="X756" s="1122">
        <v>0</v>
      </c>
      <c r="Y756" s="75">
        <v>0</v>
      </c>
      <c r="Z756" s="75">
        <v>0</v>
      </c>
      <c r="AA756" s="1122">
        <v>0</v>
      </c>
      <c r="AB756" s="75">
        <v>0</v>
      </c>
      <c r="AC756" s="75">
        <v>0</v>
      </c>
      <c r="AD756" s="1122">
        <v>0</v>
      </c>
      <c r="AE756" s="75">
        <v>0</v>
      </c>
      <c r="AF756" s="75">
        <v>0</v>
      </c>
      <c r="AG756" s="1122">
        <v>0</v>
      </c>
      <c r="AH756" s="505">
        <f>+U756+Y756+AB756+AE756</f>
        <v>0</v>
      </c>
      <c r="AI756" s="132"/>
      <c r="AJ756" s="75">
        <f t="shared" ref="AJ756" si="178">+W757+Z757+AC757+AF757</f>
        <v>0</v>
      </c>
      <c r="AK756" s="75"/>
      <c r="AL756" s="75"/>
      <c r="AM756" s="75"/>
      <c r="AN756" s="64" t="s">
        <v>39</v>
      </c>
      <c r="AO756" s="64"/>
      <c r="AP756" s="64"/>
      <c r="AQ756" s="189"/>
      <c r="AR756" s="64"/>
      <c r="AS756" s="476"/>
      <c r="AT756" s="64"/>
      <c r="AU756" s="646"/>
      <c r="AV756" s="259"/>
      <c r="AW756" s="185"/>
    </row>
    <row r="757" spans="1:49" s="153" customFormat="1" ht="45" customHeight="1" outlineLevel="1" collapsed="1" x14ac:dyDescent="0.25">
      <c r="A757" s="148" t="str">
        <f t="shared" si="100"/>
        <v>1.5.1.4.0.0</v>
      </c>
      <c r="B757" s="82">
        <v>1</v>
      </c>
      <c r="C757" s="82">
        <v>5</v>
      </c>
      <c r="D757" s="82">
        <v>1</v>
      </c>
      <c r="E757" s="82">
        <v>4</v>
      </c>
      <c r="F757" s="82">
        <v>0</v>
      </c>
      <c r="G757" s="82">
        <v>0</v>
      </c>
      <c r="H757" s="149"/>
      <c r="I757" s="149"/>
      <c r="J757" s="1260" t="s">
        <v>776</v>
      </c>
      <c r="K757" s="1259"/>
      <c r="L757" s="82" t="s">
        <v>236</v>
      </c>
      <c r="M757" s="82" t="s">
        <v>422</v>
      </c>
      <c r="N757" s="82">
        <v>0</v>
      </c>
      <c r="O757" s="82">
        <v>0</v>
      </c>
      <c r="P757" s="82"/>
      <c r="Q757" s="82"/>
      <c r="R757" s="82"/>
      <c r="S757" s="149"/>
      <c r="T757" s="193"/>
      <c r="U757" s="152">
        <f>SUM(U758:U780)</f>
        <v>4007250</v>
      </c>
      <c r="V757" s="152"/>
      <c r="W757" s="152">
        <f t="shared" ref="W757:AG757" si="179">SUM(W758:W780)</f>
        <v>0</v>
      </c>
      <c r="X757" s="1131">
        <f t="shared" si="179"/>
        <v>0</v>
      </c>
      <c r="Y757" s="152">
        <f t="shared" si="179"/>
        <v>4953250</v>
      </c>
      <c r="Z757" s="152">
        <f t="shared" si="179"/>
        <v>0</v>
      </c>
      <c r="AA757" s="1131">
        <f t="shared" si="179"/>
        <v>0</v>
      </c>
      <c r="AB757" s="152">
        <f t="shared" si="179"/>
        <v>3953250</v>
      </c>
      <c r="AC757" s="152">
        <f t="shared" si="179"/>
        <v>0</v>
      </c>
      <c r="AD757" s="1131">
        <f t="shared" si="179"/>
        <v>0</v>
      </c>
      <c r="AE757" s="152">
        <f t="shared" si="179"/>
        <v>3615000</v>
      </c>
      <c r="AF757" s="152">
        <f t="shared" si="179"/>
        <v>0</v>
      </c>
      <c r="AG757" s="1131">
        <f t="shared" si="179"/>
        <v>0</v>
      </c>
      <c r="AH757" s="152">
        <f>SUM(AH758:AH780)</f>
        <v>16528750</v>
      </c>
      <c r="AI757" s="520">
        <f>SUM(AI758:AI778)</f>
        <v>0</v>
      </c>
      <c r="AJ757" s="520">
        <f>SUM(AJ758:AJ778)</f>
        <v>0</v>
      </c>
      <c r="AK757" s="216"/>
      <c r="AL757" s="216"/>
      <c r="AM757" s="216"/>
      <c r="AN757" s="82" t="s">
        <v>39</v>
      </c>
      <c r="AO757" s="82"/>
      <c r="AP757" s="82"/>
      <c r="AQ757" s="365"/>
      <c r="AR757" s="82"/>
      <c r="AS757" s="483"/>
      <c r="AT757" s="82"/>
      <c r="AU757" s="666"/>
      <c r="AV757" s="152">
        <f t="shared" ref="AV757" si="180">SUM(AV758:AV778)</f>
        <v>0</v>
      </c>
      <c r="AW757" s="449"/>
    </row>
    <row r="758" spans="1:49" ht="41.45" hidden="1" customHeight="1" outlineLevel="2" x14ac:dyDescent="0.25">
      <c r="A758" s="63" t="str">
        <f t="shared" si="100"/>
        <v>1.5.1.4.1.58</v>
      </c>
      <c r="B758" s="64">
        <v>1</v>
      </c>
      <c r="C758" s="64">
        <v>5</v>
      </c>
      <c r="D758" s="64">
        <v>1</v>
      </c>
      <c r="E758" s="64">
        <v>4</v>
      </c>
      <c r="F758" s="64">
        <v>1</v>
      </c>
      <c r="G758" s="64">
        <v>58</v>
      </c>
      <c r="H758" s="65"/>
      <c r="I758" s="65"/>
      <c r="J758" s="66"/>
      <c r="K758" s="67" t="s">
        <v>778</v>
      </c>
      <c r="L758" s="64" t="s">
        <v>236</v>
      </c>
      <c r="M758" s="64" t="s">
        <v>422</v>
      </c>
      <c r="N758" s="64">
        <v>0</v>
      </c>
      <c r="O758" s="64">
        <v>0</v>
      </c>
      <c r="P758" s="69">
        <v>44931</v>
      </c>
      <c r="Q758" s="69">
        <v>45290</v>
      </c>
      <c r="R758" s="64">
        <v>26</v>
      </c>
      <c r="S758" s="65" t="s">
        <v>779</v>
      </c>
      <c r="T758" s="194">
        <v>6.5</v>
      </c>
      <c r="U758" s="155">
        <v>0</v>
      </c>
      <c r="V758" s="155"/>
      <c r="W758" s="155">
        <v>0</v>
      </c>
      <c r="X758" s="1132">
        <v>0</v>
      </c>
      <c r="Y758" s="155">
        <v>0</v>
      </c>
      <c r="Z758" s="155">
        <v>0</v>
      </c>
      <c r="AA758" s="1132">
        <v>0</v>
      </c>
      <c r="AB758" s="155">
        <v>0</v>
      </c>
      <c r="AC758" s="155">
        <v>0</v>
      </c>
      <c r="AD758" s="1132">
        <v>0</v>
      </c>
      <c r="AE758" s="155">
        <v>0</v>
      </c>
      <c r="AF758" s="155">
        <v>0</v>
      </c>
      <c r="AG758" s="1132">
        <v>0</v>
      </c>
      <c r="AH758" s="505">
        <f>+U758+Y758+AB758+AE758</f>
        <v>0</v>
      </c>
      <c r="AI758" s="132"/>
      <c r="AJ758" s="75">
        <f t="shared" ref="AJ758:AJ777" si="181">+W759+Z759+AC759+AF759</f>
        <v>0</v>
      </c>
      <c r="AK758" s="75"/>
      <c r="AL758" s="75"/>
      <c r="AM758" s="75"/>
      <c r="AN758" s="64" t="s">
        <v>39</v>
      </c>
      <c r="AO758" s="64"/>
      <c r="AP758" s="64"/>
      <c r="AQ758" s="189"/>
      <c r="AR758" s="64"/>
      <c r="AS758" s="476"/>
      <c r="AT758" s="64"/>
      <c r="AU758" s="646"/>
      <c r="AV758" s="259" t="s">
        <v>1795</v>
      </c>
      <c r="AW758" s="185"/>
    </row>
    <row r="759" spans="1:49" ht="41.45" hidden="1" customHeight="1" outlineLevel="2" x14ac:dyDescent="0.25">
      <c r="A759" s="63" t="str">
        <f t="shared" si="100"/>
        <v>1.5.1.4.1.59</v>
      </c>
      <c r="B759" s="64">
        <v>1</v>
      </c>
      <c r="C759" s="64">
        <v>5</v>
      </c>
      <c r="D759" s="64">
        <v>1</v>
      </c>
      <c r="E759" s="64">
        <v>4</v>
      </c>
      <c r="F759" s="64">
        <v>1</v>
      </c>
      <c r="G759" s="64">
        <v>59</v>
      </c>
      <c r="H759" s="65"/>
      <c r="I759" s="65"/>
      <c r="J759" s="66"/>
      <c r="K759" s="67" t="s">
        <v>781</v>
      </c>
      <c r="L759" s="64" t="s">
        <v>236</v>
      </c>
      <c r="M759" s="64" t="s">
        <v>422</v>
      </c>
      <c r="N759" s="64">
        <v>0</v>
      </c>
      <c r="O759" s="64">
        <v>0</v>
      </c>
      <c r="P759" s="69">
        <v>44931</v>
      </c>
      <c r="Q759" s="69">
        <v>45290</v>
      </c>
      <c r="R759" s="64"/>
      <c r="S759" s="65"/>
      <c r="T759" s="194"/>
      <c r="U759" s="155">
        <v>0</v>
      </c>
      <c r="V759" s="155"/>
      <c r="W759" s="155">
        <v>0</v>
      </c>
      <c r="X759" s="1132">
        <v>0</v>
      </c>
      <c r="Y759" s="155">
        <v>0</v>
      </c>
      <c r="Z759" s="155">
        <v>0</v>
      </c>
      <c r="AA759" s="1132">
        <v>0</v>
      </c>
      <c r="AB759" s="155">
        <v>0</v>
      </c>
      <c r="AC759" s="155">
        <v>0</v>
      </c>
      <c r="AD759" s="1132">
        <v>0</v>
      </c>
      <c r="AE759" s="155">
        <v>0</v>
      </c>
      <c r="AF759" s="155">
        <v>0</v>
      </c>
      <c r="AG759" s="1132">
        <v>0</v>
      </c>
      <c r="AH759" s="505">
        <f t="shared" ref="AH759:AH780" si="182">+U759+Y759+AB759+AE759</f>
        <v>0</v>
      </c>
      <c r="AI759" s="132"/>
      <c r="AJ759" s="75">
        <f t="shared" si="181"/>
        <v>0</v>
      </c>
      <c r="AK759" s="75"/>
      <c r="AL759" s="75"/>
      <c r="AM759" s="75"/>
      <c r="AN759" s="64" t="s">
        <v>39</v>
      </c>
      <c r="AO759" s="64"/>
      <c r="AP759" s="64"/>
      <c r="AQ759" s="189"/>
      <c r="AR759" s="64"/>
      <c r="AS759" s="476"/>
      <c r="AT759" s="64"/>
      <c r="AU759" s="646"/>
      <c r="AV759" s="259"/>
      <c r="AW759" s="185"/>
    </row>
    <row r="760" spans="1:49" ht="41.45" hidden="1" customHeight="1" outlineLevel="2" x14ac:dyDescent="0.25">
      <c r="A760" s="63" t="str">
        <f t="shared" si="100"/>
        <v>1.5.1.4.1.60</v>
      </c>
      <c r="B760" s="64">
        <v>1</v>
      </c>
      <c r="C760" s="64">
        <v>5</v>
      </c>
      <c r="D760" s="64">
        <v>1</v>
      </c>
      <c r="E760" s="64">
        <v>4</v>
      </c>
      <c r="F760" s="64">
        <v>1</v>
      </c>
      <c r="G760" s="64">
        <v>60</v>
      </c>
      <c r="H760" s="65"/>
      <c r="I760" s="65"/>
      <c r="J760" s="66"/>
      <c r="K760" s="67" t="s">
        <v>782</v>
      </c>
      <c r="L760" s="64" t="s">
        <v>236</v>
      </c>
      <c r="M760" s="64" t="s">
        <v>422</v>
      </c>
      <c r="N760" s="64">
        <v>0</v>
      </c>
      <c r="O760" s="64">
        <v>0</v>
      </c>
      <c r="P760" s="69">
        <v>44931</v>
      </c>
      <c r="Q760" s="69">
        <v>45290</v>
      </c>
      <c r="R760" s="64"/>
      <c r="S760" s="65"/>
      <c r="T760" s="194"/>
      <c r="U760" s="155">
        <v>0</v>
      </c>
      <c r="V760" s="155"/>
      <c r="W760" s="155">
        <v>0</v>
      </c>
      <c r="X760" s="1132">
        <v>0</v>
      </c>
      <c r="Y760" s="155">
        <v>0</v>
      </c>
      <c r="Z760" s="155">
        <v>0</v>
      </c>
      <c r="AA760" s="1132">
        <v>0</v>
      </c>
      <c r="AB760" s="155">
        <v>0</v>
      </c>
      <c r="AC760" s="155">
        <v>0</v>
      </c>
      <c r="AD760" s="1132">
        <v>0</v>
      </c>
      <c r="AE760" s="155">
        <v>0</v>
      </c>
      <c r="AF760" s="155">
        <v>0</v>
      </c>
      <c r="AG760" s="1132">
        <v>0</v>
      </c>
      <c r="AH760" s="505">
        <f t="shared" si="182"/>
        <v>0</v>
      </c>
      <c r="AI760" s="132"/>
      <c r="AJ760" s="75">
        <f t="shared" si="181"/>
        <v>0</v>
      </c>
      <c r="AK760" s="75"/>
      <c r="AL760" s="75"/>
      <c r="AM760" s="75"/>
      <c r="AN760" s="64" t="s">
        <v>39</v>
      </c>
      <c r="AO760" s="64"/>
      <c r="AP760" s="64"/>
      <c r="AQ760" s="189"/>
      <c r="AR760" s="64"/>
      <c r="AS760" s="476"/>
      <c r="AT760" s="64"/>
      <c r="AU760" s="646"/>
      <c r="AV760" s="259"/>
      <c r="AW760" s="185"/>
    </row>
    <row r="761" spans="1:49" ht="41.45" hidden="1" customHeight="1" outlineLevel="2" x14ac:dyDescent="0.25">
      <c r="A761" s="63" t="str">
        <f t="shared" si="100"/>
        <v>1.5.1.4.1.61</v>
      </c>
      <c r="B761" s="64">
        <v>1</v>
      </c>
      <c r="C761" s="64">
        <v>5</v>
      </c>
      <c r="D761" s="64">
        <v>1</v>
      </c>
      <c r="E761" s="64">
        <v>4</v>
      </c>
      <c r="F761" s="64">
        <v>1</v>
      </c>
      <c r="G761" s="64">
        <v>61</v>
      </c>
      <c r="H761" s="65"/>
      <c r="I761" s="65"/>
      <c r="J761" s="66"/>
      <c r="K761" s="67" t="s">
        <v>783</v>
      </c>
      <c r="L761" s="64" t="s">
        <v>236</v>
      </c>
      <c r="M761" s="64" t="s">
        <v>422</v>
      </c>
      <c r="N761" s="64">
        <v>0</v>
      </c>
      <c r="O761" s="64">
        <v>0</v>
      </c>
      <c r="P761" s="69">
        <v>44931</v>
      </c>
      <c r="Q761" s="69">
        <v>45290</v>
      </c>
      <c r="R761" s="64"/>
      <c r="S761" s="65"/>
      <c r="T761" s="194"/>
      <c r="U761" s="155">
        <v>0</v>
      </c>
      <c r="V761" s="155"/>
      <c r="W761" s="155">
        <v>0</v>
      </c>
      <c r="X761" s="1132">
        <v>0</v>
      </c>
      <c r="Y761" s="155">
        <v>0</v>
      </c>
      <c r="Z761" s="155">
        <v>0</v>
      </c>
      <c r="AA761" s="1132">
        <v>0</v>
      </c>
      <c r="AB761" s="155">
        <v>0</v>
      </c>
      <c r="AC761" s="155">
        <v>0</v>
      </c>
      <c r="AD761" s="1132">
        <v>0</v>
      </c>
      <c r="AE761" s="155">
        <v>0</v>
      </c>
      <c r="AF761" s="155">
        <v>0</v>
      </c>
      <c r="AG761" s="1132">
        <v>0</v>
      </c>
      <c r="AH761" s="505">
        <f t="shared" si="182"/>
        <v>0</v>
      </c>
      <c r="AI761" s="132"/>
      <c r="AJ761" s="75">
        <f t="shared" si="181"/>
        <v>0</v>
      </c>
      <c r="AK761" s="75"/>
      <c r="AL761" s="75"/>
      <c r="AM761" s="75"/>
      <c r="AN761" s="64" t="s">
        <v>39</v>
      </c>
      <c r="AO761" s="64"/>
      <c r="AP761" s="64"/>
      <c r="AQ761" s="189"/>
      <c r="AR761" s="64"/>
      <c r="AS761" s="476"/>
      <c r="AT761" s="64"/>
      <c r="AU761" s="646"/>
      <c r="AV761" s="259"/>
      <c r="AW761" s="185"/>
    </row>
    <row r="762" spans="1:49" ht="41.45" hidden="1" customHeight="1" outlineLevel="2" x14ac:dyDescent="0.25">
      <c r="A762" s="63" t="str">
        <f t="shared" si="100"/>
        <v>1.5.1.4.1.62</v>
      </c>
      <c r="B762" s="64">
        <v>1</v>
      </c>
      <c r="C762" s="64">
        <v>5</v>
      </c>
      <c r="D762" s="64">
        <v>1</v>
      </c>
      <c r="E762" s="64">
        <v>4</v>
      </c>
      <c r="F762" s="64">
        <v>1</v>
      </c>
      <c r="G762" s="64">
        <v>62</v>
      </c>
      <c r="H762" s="65"/>
      <c r="I762" s="65"/>
      <c r="J762" s="66"/>
      <c r="K762" s="67" t="s">
        <v>784</v>
      </c>
      <c r="L762" s="64" t="s">
        <v>236</v>
      </c>
      <c r="M762" s="64" t="s">
        <v>422</v>
      </c>
      <c r="N762" s="64">
        <v>0</v>
      </c>
      <c r="O762" s="64">
        <v>0</v>
      </c>
      <c r="P762" s="69">
        <v>44931</v>
      </c>
      <c r="Q762" s="69">
        <v>45290</v>
      </c>
      <c r="R762" s="64"/>
      <c r="S762" s="65"/>
      <c r="T762" s="194"/>
      <c r="U762" s="155">
        <v>0</v>
      </c>
      <c r="V762" s="155"/>
      <c r="W762" s="155">
        <v>0</v>
      </c>
      <c r="X762" s="1132">
        <v>0</v>
      </c>
      <c r="Y762" s="155">
        <v>0</v>
      </c>
      <c r="Z762" s="155">
        <v>0</v>
      </c>
      <c r="AA762" s="1132">
        <v>0</v>
      </c>
      <c r="AB762" s="155">
        <v>0</v>
      </c>
      <c r="AC762" s="155">
        <v>0</v>
      </c>
      <c r="AD762" s="1132">
        <v>0</v>
      </c>
      <c r="AE762" s="155">
        <v>0</v>
      </c>
      <c r="AF762" s="155">
        <v>0</v>
      </c>
      <c r="AG762" s="1132">
        <v>0</v>
      </c>
      <c r="AH762" s="505">
        <f t="shared" si="182"/>
        <v>0</v>
      </c>
      <c r="AI762" s="132"/>
      <c r="AJ762" s="75">
        <f t="shared" si="181"/>
        <v>0</v>
      </c>
      <c r="AK762" s="75"/>
      <c r="AL762" s="75"/>
      <c r="AM762" s="75"/>
      <c r="AN762" s="64" t="s">
        <v>39</v>
      </c>
      <c r="AO762" s="64"/>
      <c r="AP762" s="64"/>
      <c r="AQ762" s="189"/>
      <c r="AR762" s="64"/>
      <c r="AS762" s="476"/>
      <c r="AT762" s="64"/>
      <c r="AU762" s="646"/>
      <c r="AV762" s="259"/>
      <c r="AW762" s="185"/>
    </row>
    <row r="763" spans="1:49" ht="41.45" hidden="1" customHeight="1" outlineLevel="2" x14ac:dyDescent="0.25">
      <c r="A763" s="63" t="str">
        <f t="shared" si="100"/>
        <v>1.5.1.4.1.63</v>
      </c>
      <c r="B763" s="64">
        <v>1</v>
      </c>
      <c r="C763" s="64">
        <v>5</v>
      </c>
      <c r="D763" s="64">
        <v>1</v>
      </c>
      <c r="E763" s="64">
        <v>4</v>
      </c>
      <c r="F763" s="64">
        <v>1</v>
      </c>
      <c r="G763" s="64">
        <v>63</v>
      </c>
      <c r="H763" s="65"/>
      <c r="I763" s="65"/>
      <c r="J763" s="66"/>
      <c r="K763" s="67" t="s">
        <v>785</v>
      </c>
      <c r="L763" s="64" t="s">
        <v>236</v>
      </c>
      <c r="M763" s="64" t="s">
        <v>422</v>
      </c>
      <c r="N763" s="64">
        <v>0</v>
      </c>
      <c r="O763" s="64">
        <v>0</v>
      </c>
      <c r="P763" s="69">
        <v>44931</v>
      </c>
      <c r="Q763" s="69">
        <v>45290</v>
      </c>
      <c r="R763" s="64"/>
      <c r="S763" s="65"/>
      <c r="T763" s="194"/>
      <c r="U763" s="155">
        <v>0</v>
      </c>
      <c r="V763" s="155"/>
      <c r="W763" s="155">
        <v>0</v>
      </c>
      <c r="X763" s="1132">
        <v>0</v>
      </c>
      <c r="Y763" s="155">
        <v>0</v>
      </c>
      <c r="Z763" s="155">
        <v>0</v>
      </c>
      <c r="AA763" s="1132">
        <v>0</v>
      </c>
      <c r="AB763" s="155">
        <v>0</v>
      </c>
      <c r="AC763" s="155">
        <v>0</v>
      </c>
      <c r="AD763" s="1132">
        <v>0</v>
      </c>
      <c r="AE763" s="155">
        <v>0</v>
      </c>
      <c r="AF763" s="155">
        <v>0</v>
      </c>
      <c r="AG763" s="1132">
        <v>0</v>
      </c>
      <c r="AH763" s="505">
        <f t="shared" si="182"/>
        <v>0</v>
      </c>
      <c r="AI763" s="132"/>
      <c r="AJ763" s="75">
        <f t="shared" si="181"/>
        <v>0</v>
      </c>
      <c r="AK763" s="75"/>
      <c r="AL763" s="75"/>
      <c r="AM763" s="75"/>
      <c r="AN763" s="64" t="s">
        <v>39</v>
      </c>
      <c r="AO763" s="64"/>
      <c r="AP763" s="64"/>
      <c r="AQ763" s="189"/>
      <c r="AR763" s="64"/>
      <c r="AS763" s="476"/>
      <c r="AT763" s="64"/>
      <c r="AU763" s="646"/>
      <c r="AV763" s="259"/>
      <c r="AW763" s="185"/>
    </row>
    <row r="764" spans="1:49" ht="41.45" hidden="1" customHeight="1" outlineLevel="2" x14ac:dyDescent="0.25">
      <c r="A764" s="63" t="str">
        <f t="shared" si="100"/>
        <v>1.5.1.4.1.64</v>
      </c>
      <c r="B764" s="64">
        <v>1</v>
      </c>
      <c r="C764" s="64">
        <v>5</v>
      </c>
      <c r="D764" s="64">
        <v>1</v>
      </c>
      <c r="E764" s="64">
        <v>4</v>
      </c>
      <c r="F764" s="64">
        <v>1</v>
      </c>
      <c r="G764" s="64">
        <v>64</v>
      </c>
      <c r="H764" s="65"/>
      <c r="I764" s="65"/>
      <c r="J764" s="66"/>
      <c r="K764" s="67" t="s">
        <v>786</v>
      </c>
      <c r="L764" s="64" t="s">
        <v>236</v>
      </c>
      <c r="M764" s="64" t="s">
        <v>422</v>
      </c>
      <c r="N764" s="64">
        <v>0</v>
      </c>
      <c r="O764" s="64">
        <v>0</v>
      </c>
      <c r="P764" s="69">
        <v>44931</v>
      </c>
      <c r="Q764" s="69">
        <v>45290</v>
      </c>
      <c r="R764" s="64"/>
      <c r="S764" s="65"/>
      <c r="T764" s="194"/>
      <c r="U764" s="155">
        <v>0</v>
      </c>
      <c r="V764" s="155"/>
      <c r="W764" s="155">
        <v>0</v>
      </c>
      <c r="X764" s="1132">
        <v>0</v>
      </c>
      <c r="Y764" s="155">
        <v>0</v>
      </c>
      <c r="Z764" s="155">
        <v>0</v>
      </c>
      <c r="AA764" s="1132">
        <v>0</v>
      </c>
      <c r="AB764" s="155">
        <v>0</v>
      </c>
      <c r="AC764" s="155">
        <v>0</v>
      </c>
      <c r="AD764" s="1132">
        <v>0</v>
      </c>
      <c r="AE764" s="155">
        <v>0</v>
      </c>
      <c r="AF764" s="155">
        <v>0</v>
      </c>
      <c r="AG764" s="1132">
        <v>0</v>
      </c>
      <c r="AH764" s="505">
        <f t="shared" si="182"/>
        <v>0</v>
      </c>
      <c r="AI764" s="132"/>
      <c r="AJ764" s="75">
        <f t="shared" si="181"/>
        <v>0</v>
      </c>
      <c r="AK764" s="75"/>
      <c r="AL764" s="75"/>
      <c r="AM764" s="75"/>
      <c r="AN764" s="64" t="s">
        <v>39</v>
      </c>
      <c r="AO764" s="64"/>
      <c r="AP764" s="64"/>
      <c r="AQ764" s="189"/>
      <c r="AR764" s="64"/>
      <c r="AS764" s="476"/>
      <c r="AT764" s="64"/>
      <c r="AU764" s="646"/>
      <c r="AV764" s="259"/>
      <c r="AW764" s="185"/>
    </row>
    <row r="765" spans="1:49" ht="41.45" hidden="1" customHeight="1" outlineLevel="2" x14ac:dyDescent="0.25">
      <c r="A765" s="63" t="str">
        <f t="shared" si="100"/>
        <v>1.5.1.4.2.58</v>
      </c>
      <c r="B765" s="64">
        <v>1</v>
      </c>
      <c r="C765" s="64">
        <v>5</v>
      </c>
      <c r="D765" s="64">
        <v>1</v>
      </c>
      <c r="E765" s="64">
        <v>4</v>
      </c>
      <c r="F765" s="64">
        <v>2</v>
      </c>
      <c r="G765" s="64">
        <v>58</v>
      </c>
      <c r="H765" s="65"/>
      <c r="I765" s="65"/>
      <c r="J765" s="66"/>
      <c r="K765" s="67" t="s">
        <v>787</v>
      </c>
      <c r="L765" s="64" t="s">
        <v>236</v>
      </c>
      <c r="M765" s="64" t="s">
        <v>422</v>
      </c>
      <c r="N765" s="64">
        <v>0</v>
      </c>
      <c r="O765" s="64">
        <v>0</v>
      </c>
      <c r="P765" s="69">
        <v>44927</v>
      </c>
      <c r="Q765" s="69">
        <v>45291</v>
      </c>
      <c r="R765" s="64"/>
      <c r="S765" s="65"/>
      <c r="T765" s="194"/>
      <c r="U765" s="155">
        <v>338250</v>
      </c>
      <c r="V765" s="155"/>
      <c r="W765" s="155">
        <v>0</v>
      </c>
      <c r="X765" s="1132">
        <v>0</v>
      </c>
      <c r="Y765" s="155">
        <v>338250</v>
      </c>
      <c r="Z765" s="155">
        <v>0</v>
      </c>
      <c r="AA765" s="1132">
        <v>0</v>
      </c>
      <c r="AB765" s="155">
        <v>338250</v>
      </c>
      <c r="AC765" s="155">
        <v>0</v>
      </c>
      <c r="AD765" s="1132">
        <v>0</v>
      </c>
      <c r="AE765" s="155">
        <v>0</v>
      </c>
      <c r="AF765" s="155">
        <v>0</v>
      </c>
      <c r="AG765" s="1132">
        <v>0</v>
      </c>
      <c r="AH765" s="505">
        <f t="shared" si="182"/>
        <v>1014750</v>
      </c>
      <c r="AI765" s="132"/>
      <c r="AJ765" s="75">
        <f t="shared" si="181"/>
        <v>0</v>
      </c>
      <c r="AK765" s="75"/>
      <c r="AL765" s="75"/>
      <c r="AM765" s="75"/>
      <c r="AN765" s="64" t="s">
        <v>39</v>
      </c>
      <c r="AO765" s="100"/>
      <c r="AP765" s="100"/>
      <c r="AQ765" s="100"/>
      <c r="AR765" s="1051"/>
      <c r="AS765" s="1051"/>
      <c r="AT765" s="100"/>
      <c r="AU765" s="983"/>
      <c r="AV765" s="259"/>
      <c r="AW765" s="1274" t="s">
        <v>2788</v>
      </c>
    </row>
    <row r="766" spans="1:49" ht="41.45" hidden="1" customHeight="1" outlineLevel="2" x14ac:dyDescent="0.25">
      <c r="A766" s="63" t="str">
        <f t="shared" si="100"/>
        <v>1.5.1.4.2.59</v>
      </c>
      <c r="B766" s="64">
        <v>1</v>
      </c>
      <c r="C766" s="64">
        <v>5</v>
      </c>
      <c r="D766" s="64">
        <v>1</v>
      </c>
      <c r="E766" s="64">
        <v>4</v>
      </c>
      <c r="F766" s="64">
        <v>2</v>
      </c>
      <c r="G766" s="64">
        <v>59</v>
      </c>
      <c r="H766" s="65"/>
      <c r="I766" s="65"/>
      <c r="J766" s="66"/>
      <c r="K766" s="67" t="s">
        <v>789</v>
      </c>
      <c r="L766" s="64" t="s">
        <v>236</v>
      </c>
      <c r="M766" s="64" t="s">
        <v>422</v>
      </c>
      <c r="N766" s="64">
        <v>0</v>
      </c>
      <c r="O766" s="64">
        <v>0</v>
      </c>
      <c r="P766" s="69">
        <v>44927</v>
      </c>
      <c r="Q766" s="69">
        <v>45291</v>
      </c>
      <c r="R766" s="64"/>
      <c r="S766" s="65"/>
      <c r="T766" s="194"/>
      <c r="U766" s="155">
        <v>338250</v>
      </c>
      <c r="V766" s="155"/>
      <c r="W766" s="155">
        <v>0</v>
      </c>
      <c r="X766" s="1132">
        <v>0</v>
      </c>
      <c r="Y766" s="155">
        <v>338250</v>
      </c>
      <c r="Z766" s="155">
        <v>0</v>
      </c>
      <c r="AA766" s="1132">
        <v>0</v>
      </c>
      <c r="AB766" s="155">
        <v>338250</v>
      </c>
      <c r="AC766" s="155">
        <v>0</v>
      </c>
      <c r="AD766" s="1132">
        <v>0</v>
      </c>
      <c r="AE766" s="155">
        <v>338250</v>
      </c>
      <c r="AF766" s="155">
        <v>0</v>
      </c>
      <c r="AG766" s="1132">
        <v>0</v>
      </c>
      <c r="AH766" s="505">
        <f t="shared" si="182"/>
        <v>1353000</v>
      </c>
      <c r="AI766" s="132"/>
      <c r="AJ766" s="75">
        <f t="shared" si="181"/>
        <v>0</v>
      </c>
      <c r="AK766" s="75"/>
      <c r="AL766" s="75"/>
      <c r="AM766" s="75"/>
      <c r="AN766" s="64" t="s">
        <v>39</v>
      </c>
      <c r="AO766" s="100"/>
      <c r="AP766" s="100"/>
      <c r="AQ766" s="100"/>
      <c r="AR766" s="1051"/>
      <c r="AS766" s="1051"/>
      <c r="AT766" s="100"/>
      <c r="AU766" s="983"/>
      <c r="AV766" s="259"/>
      <c r="AW766" s="1275"/>
    </row>
    <row r="767" spans="1:49" ht="41.45" hidden="1" customHeight="1" outlineLevel="2" x14ac:dyDescent="0.25">
      <c r="A767" s="63" t="str">
        <f t="shared" si="100"/>
        <v>1.5.1.4.2.60</v>
      </c>
      <c r="B767" s="64">
        <v>1</v>
      </c>
      <c r="C767" s="64">
        <v>5</v>
      </c>
      <c r="D767" s="64">
        <v>1</v>
      </c>
      <c r="E767" s="64">
        <v>4</v>
      </c>
      <c r="F767" s="64">
        <v>2</v>
      </c>
      <c r="G767" s="64">
        <v>60</v>
      </c>
      <c r="H767" s="65"/>
      <c r="I767" s="65"/>
      <c r="J767" s="66"/>
      <c r="K767" s="67" t="s">
        <v>790</v>
      </c>
      <c r="L767" s="64" t="s">
        <v>236</v>
      </c>
      <c r="M767" s="64" t="s">
        <v>422</v>
      </c>
      <c r="N767" s="64">
        <v>0</v>
      </c>
      <c r="O767" s="64">
        <v>0</v>
      </c>
      <c r="P767" s="69">
        <v>44927</v>
      </c>
      <c r="Q767" s="69">
        <v>45291</v>
      </c>
      <c r="R767" s="64"/>
      <c r="S767" s="65"/>
      <c r="T767" s="194"/>
      <c r="U767" s="155">
        <v>338250</v>
      </c>
      <c r="V767" s="155"/>
      <c r="W767" s="155">
        <v>0</v>
      </c>
      <c r="X767" s="1132">
        <v>0</v>
      </c>
      <c r="Y767" s="155">
        <v>338250</v>
      </c>
      <c r="Z767" s="155">
        <v>0</v>
      </c>
      <c r="AA767" s="1132">
        <v>0</v>
      </c>
      <c r="AB767" s="155">
        <v>338250</v>
      </c>
      <c r="AC767" s="155">
        <v>0</v>
      </c>
      <c r="AD767" s="1132">
        <v>0</v>
      </c>
      <c r="AE767" s="155">
        <v>338250</v>
      </c>
      <c r="AF767" s="155">
        <v>0</v>
      </c>
      <c r="AG767" s="1132">
        <v>0</v>
      </c>
      <c r="AH767" s="505">
        <f t="shared" si="182"/>
        <v>1353000</v>
      </c>
      <c r="AI767" s="132"/>
      <c r="AJ767" s="75">
        <f t="shared" si="181"/>
        <v>0</v>
      </c>
      <c r="AK767" s="75"/>
      <c r="AL767" s="75"/>
      <c r="AM767" s="75"/>
      <c r="AN767" s="64" t="s">
        <v>39</v>
      </c>
      <c r="AO767" s="100"/>
      <c r="AP767" s="100"/>
      <c r="AQ767" s="100"/>
      <c r="AR767" s="1051"/>
      <c r="AS767" s="1051"/>
      <c r="AT767" s="100"/>
      <c r="AU767" s="983"/>
      <c r="AV767" s="259"/>
      <c r="AW767" s="1275"/>
    </row>
    <row r="768" spans="1:49" ht="41.45" hidden="1" customHeight="1" outlineLevel="2" x14ac:dyDescent="0.25">
      <c r="A768" s="63" t="str">
        <f t="shared" si="100"/>
        <v>1.5.1.4.2.61</v>
      </c>
      <c r="B768" s="64">
        <v>1</v>
      </c>
      <c r="C768" s="64">
        <v>5</v>
      </c>
      <c r="D768" s="64">
        <v>1</v>
      </c>
      <c r="E768" s="64">
        <v>4</v>
      </c>
      <c r="F768" s="64">
        <v>2</v>
      </c>
      <c r="G768" s="64">
        <v>61</v>
      </c>
      <c r="H768" s="65"/>
      <c r="I768" s="65"/>
      <c r="J768" s="66"/>
      <c r="K768" s="67" t="s">
        <v>791</v>
      </c>
      <c r="L768" s="64" t="s">
        <v>236</v>
      </c>
      <c r="M768" s="64" t="s">
        <v>422</v>
      </c>
      <c r="N768" s="64">
        <v>0</v>
      </c>
      <c r="O768" s="64">
        <v>0</v>
      </c>
      <c r="P768" s="69">
        <v>44927</v>
      </c>
      <c r="Q768" s="69">
        <v>45291</v>
      </c>
      <c r="R768" s="64"/>
      <c r="S768" s="65"/>
      <c r="T768" s="194"/>
      <c r="U768" s="155">
        <v>338250</v>
      </c>
      <c r="V768" s="155"/>
      <c r="W768" s="155">
        <v>0</v>
      </c>
      <c r="X768" s="1132">
        <v>0</v>
      </c>
      <c r="Y768" s="155">
        <v>338250</v>
      </c>
      <c r="Z768" s="155">
        <v>0</v>
      </c>
      <c r="AA768" s="1132">
        <v>0</v>
      </c>
      <c r="AB768" s="155">
        <v>338250</v>
      </c>
      <c r="AC768" s="155">
        <v>0</v>
      </c>
      <c r="AD768" s="1132">
        <v>0</v>
      </c>
      <c r="AE768" s="155">
        <v>338250</v>
      </c>
      <c r="AF768" s="155">
        <v>0</v>
      </c>
      <c r="AG768" s="1132">
        <v>0</v>
      </c>
      <c r="AH768" s="505">
        <f t="shared" si="182"/>
        <v>1353000</v>
      </c>
      <c r="AI768" s="132"/>
      <c r="AJ768" s="75">
        <f t="shared" si="181"/>
        <v>0</v>
      </c>
      <c r="AK768" s="75"/>
      <c r="AL768" s="75"/>
      <c r="AM768" s="75"/>
      <c r="AN768" s="64" t="s">
        <v>39</v>
      </c>
      <c r="AO768" s="100"/>
      <c r="AP768" s="100"/>
      <c r="AQ768" s="100"/>
      <c r="AR768" s="1051"/>
      <c r="AS768" s="1051"/>
      <c r="AT768" s="100"/>
      <c r="AU768" s="983"/>
      <c r="AV768" s="259"/>
      <c r="AW768" s="1275"/>
    </row>
    <row r="769" spans="1:49" ht="41.45" hidden="1" customHeight="1" outlineLevel="2" x14ac:dyDescent="0.25">
      <c r="A769" s="63" t="str">
        <f t="shared" si="100"/>
        <v>1.5.1.4.2.62</v>
      </c>
      <c r="B769" s="64">
        <v>1</v>
      </c>
      <c r="C769" s="64">
        <v>5</v>
      </c>
      <c r="D769" s="64">
        <v>1</v>
      </c>
      <c r="E769" s="64">
        <v>4</v>
      </c>
      <c r="F769" s="64">
        <v>2</v>
      </c>
      <c r="G769" s="64">
        <v>62</v>
      </c>
      <c r="H769" s="65"/>
      <c r="I769" s="65"/>
      <c r="J769" s="66"/>
      <c r="K769" s="67" t="s">
        <v>792</v>
      </c>
      <c r="L769" s="64" t="s">
        <v>236</v>
      </c>
      <c r="M769" s="64" t="s">
        <v>422</v>
      </c>
      <c r="N769" s="64">
        <v>0</v>
      </c>
      <c r="O769" s="64">
        <v>0</v>
      </c>
      <c r="P769" s="69">
        <v>44927</v>
      </c>
      <c r="Q769" s="69">
        <v>45291</v>
      </c>
      <c r="R769" s="64"/>
      <c r="S769" s="65"/>
      <c r="T769" s="194"/>
      <c r="U769" s="155">
        <v>338250</v>
      </c>
      <c r="V769" s="155"/>
      <c r="W769" s="155">
        <v>0</v>
      </c>
      <c r="X769" s="1132">
        <v>0</v>
      </c>
      <c r="Y769" s="155">
        <v>338250</v>
      </c>
      <c r="Z769" s="155">
        <v>0</v>
      </c>
      <c r="AA769" s="1132">
        <v>0</v>
      </c>
      <c r="AB769" s="155">
        <v>338250</v>
      </c>
      <c r="AC769" s="155">
        <v>0</v>
      </c>
      <c r="AD769" s="1132">
        <v>0</v>
      </c>
      <c r="AE769" s="155">
        <v>338250</v>
      </c>
      <c r="AF769" s="155">
        <v>0</v>
      </c>
      <c r="AG769" s="1132">
        <v>0</v>
      </c>
      <c r="AH769" s="505">
        <f t="shared" si="182"/>
        <v>1353000</v>
      </c>
      <c r="AI769" s="132"/>
      <c r="AJ769" s="75">
        <f t="shared" si="181"/>
        <v>0</v>
      </c>
      <c r="AK769" s="75"/>
      <c r="AL769" s="75"/>
      <c r="AM769" s="75"/>
      <c r="AN769" s="64" t="s">
        <v>39</v>
      </c>
      <c r="AO769" s="100"/>
      <c r="AP769" s="100"/>
      <c r="AQ769" s="100"/>
      <c r="AR769" s="1051"/>
      <c r="AS769" s="1051"/>
      <c r="AT769" s="100"/>
      <c r="AU769" s="983"/>
      <c r="AV769" s="259"/>
      <c r="AW769" s="1275"/>
    </row>
    <row r="770" spans="1:49" ht="41.45" hidden="1" customHeight="1" outlineLevel="2" x14ac:dyDescent="0.25">
      <c r="A770" s="63" t="str">
        <f t="shared" si="100"/>
        <v>1.5.1.4.2.63</v>
      </c>
      <c r="B770" s="64">
        <v>1</v>
      </c>
      <c r="C770" s="64">
        <v>5</v>
      </c>
      <c r="D770" s="64">
        <v>1</v>
      </c>
      <c r="E770" s="64">
        <v>4</v>
      </c>
      <c r="F770" s="64">
        <v>2</v>
      </c>
      <c r="G770" s="64">
        <v>63</v>
      </c>
      <c r="H770" s="65"/>
      <c r="I770" s="65"/>
      <c r="J770" s="66"/>
      <c r="K770" s="67" t="s">
        <v>793</v>
      </c>
      <c r="L770" s="64" t="s">
        <v>236</v>
      </c>
      <c r="M770" s="64" t="s">
        <v>422</v>
      </c>
      <c r="N770" s="64">
        <v>0</v>
      </c>
      <c r="O770" s="64">
        <v>0</v>
      </c>
      <c r="P770" s="69">
        <v>44927</v>
      </c>
      <c r="Q770" s="69">
        <v>45291</v>
      </c>
      <c r="R770" s="64"/>
      <c r="S770" s="65"/>
      <c r="T770" s="194"/>
      <c r="U770" s="155">
        <v>338250</v>
      </c>
      <c r="V770" s="155"/>
      <c r="W770" s="155">
        <v>0</v>
      </c>
      <c r="X770" s="1132">
        <v>0</v>
      </c>
      <c r="Y770" s="155">
        <v>338250</v>
      </c>
      <c r="Z770" s="155">
        <v>0</v>
      </c>
      <c r="AA770" s="1132">
        <v>0</v>
      </c>
      <c r="AB770" s="155">
        <v>338250</v>
      </c>
      <c r="AC770" s="155">
        <v>0</v>
      </c>
      <c r="AD770" s="1132">
        <v>0</v>
      </c>
      <c r="AE770" s="155">
        <v>338250</v>
      </c>
      <c r="AF770" s="155">
        <v>0</v>
      </c>
      <c r="AG770" s="1132">
        <v>0</v>
      </c>
      <c r="AH770" s="505">
        <f t="shared" si="182"/>
        <v>1353000</v>
      </c>
      <c r="AI770" s="132"/>
      <c r="AJ770" s="75">
        <f t="shared" si="181"/>
        <v>0</v>
      </c>
      <c r="AK770" s="75"/>
      <c r="AL770" s="75"/>
      <c r="AM770" s="75"/>
      <c r="AN770" s="64" t="s">
        <v>39</v>
      </c>
      <c r="AO770" s="100"/>
      <c r="AP770" s="100"/>
      <c r="AQ770" s="100"/>
      <c r="AR770" s="1051"/>
      <c r="AS770" s="1051"/>
      <c r="AT770" s="100"/>
      <c r="AU770" s="983"/>
      <c r="AV770" s="259"/>
      <c r="AW770" s="1275"/>
    </row>
    <row r="771" spans="1:49" ht="41.45" hidden="1" customHeight="1" outlineLevel="2" x14ac:dyDescent="0.25">
      <c r="A771" s="63" t="str">
        <f t="shared" si="100"/>
        <v>1.5.1.4.2.64</v>
      </c>
      <c r="B771" s="64">
        <v>1</v>
      </c>
      <c r="C771" s="64">
        <v>5</v>
      </c>
      <c r="D771" s="64">
        <v>1</v>
      </c>
      <c r="E771" s="64">
        <v>4</v>
      </c>
      <c r="F771" s="64">
        <v>2</v>
      </c>
      <c r="G771" s="64">
        <v>64</v>
      </c>
      <c r="H771" s="65"/>
      <c r="I771" s="65"/>
      <c r="J771" s="66"/>
      <c r="K771" s="67" t="s">
        <v>794</v>
      </c>
      <c r="L771" s="64" t="s">
        <v>236</v>
      </c>
      <c r="M771" s="64" t="s">
        <v>422</v>
      </c>
      <c r="N771" s="64">
        <v>0</v>
      </c>
      <c r="O771" s="64">
        <v>0</v>
      </c>
      <c r="P771" s="69">
        <v>44927</v>
      </c>
      <c r="Q771" s="69">
        <v>45291</v>
      </c>
      <c r="R771" s="64"/>
      <c r="S771" s="65"/>
      <c r="T771" s="194"/>
      <c r="U771" s="155">
        <v>338250</v>
      </c>
      <c r="V771" s="155"/>
      <c r="W771" s="155">
        <v>0</v>
      </c>
      <c r="X771" s="1132">
        <v>0</v>
      </c>
      <c r="Y771" s="155">
        <v>338250</v>
      </c>
      <c r="Z771" s="155">
        <v>0</v>
      </c>
      <c r="AA771" s="1132">
        <v>0</v>
      </c>
      <c r="AB771" s="155">
        <v>338250</v>
      </c>
      <c r="AC771" s="155">
        <v>0</v>
      </c>
      <c r="AD771" s="1132">
        <v>0</v>
      </c>
      <c r="AE771" s="155">
        <v>338250</v>
      </c>
      <c r="AF771" s="155">
        <v>0</v>
      </c>
      <c r="AG771" s="1132">
        <v>0</v>
      </c>
      <c r="AH771" s="505">
        <f t="shared" si="182"/>
        <v>1353000</v>
      </c>
      <c r="AI771" s="132"/>
      <c r="AJ771" s="75">
        <f t="shared" si="181"/>
        <v>0</v>
      </c>
      <c r="AK771" s="75"/>
      <c r="AL771" s="75"/>
      <c r="AM771" s="75"/>
      <c r="AN771" s="64" t="s">
        <v>39</v>
      </c>
      <c r="AO771" s="100"/>
      <c r="AP771" s="100"/>
      <c r="AQ771" s="100"/>
      <c r="AR771" s="1051"/>
      <c r="AS771" s="1051"/>
      <c r="AT771" s="100"/>
      <c r="AU771" s="983"/>
      <c r="AV771" s="259"/>
      <c r="AW771" s="1276"/>
    </row>
    <row r="772" spans="1:49" ht="41.45" hidden="1" customHeight="1" outlineLevel="2" x14ac:dyDescent="0.25">
      <c r="A772" s="63" t="str">
        <f t="shared" si="100"/>
        <v>1.5.1.4.3.58</v>
      </c>
      <c r="B772" s="64">
        <v>1</v>
      </c>
      <c r="C772" s="64">
        <v>5</v>
      </c>
      <c r="D772" s="64">
        <v>1</v>
      </c>
      <c r="E772" s="64">
        <v>4</v>
      </c>
      <c r="F772" s="64">
        <v>3</v>
      </c>
      <c r="G772" s="64">
        <v>58</v>
      </c>
      <c r="H772" s="65"/>
      <c r="I772" s="65"/>
      <c r="J772" s="66"/>
      <c r="K772" s="67" t="s">
        <v>795</v>
      </c>
      <c r="L772" s="64" t="s">
        <v>236</v>
      </c>
      <c r="M772" s="64" t="s">
        <v>422</v>
      </c>
      <c r="N772" s="64">
        <v>0</v>
      </c>
      <c r="O772" s="64">
        <v>0</v>
      </c>
      <c r="P772" s="69">
        <v>44927</v>
      </c>
      <c r="Q772" s="69">
        <v>45291</v>
      </c>
      <c r="R772" s="64"/>
      <c r="S772" s="65"/>
      <c r="T772" s="194"/>
      <c r="U772" s="155">
        <v>226500</v>
      </c>
      <c r="V772" s="155"/>
      <c r="W772" s="155">
        <v>0</v>
      </c>
      <c r="X772" s="1132">
        <v>0</v>
      </c>
      <c r="Y772" s="155">
        <v>226500</v>
      </c>
      <c r="Z772" s="155">
        <v>0</v>
      </c>
      <c r="AA772" s="1132">
        <v>0</v>
      </c>
      <c r="AB772" s="155">
        <v>226500</v>
      </c>
      <c r="AC772" s="155">
        <v>0</v>
      </c>
      <c r="AD772" s="1132">
        <v>0</v>
      </c>
      <c r="AE772" s="155">
        <v>226500</v>
      </c>
      <c r="AF772" s="155">
        <v>0</v>
      </c>
      <c r="AG772" s="1132">
        <v>0</v>
      </c>
      <c r="AH772" s="505">
        <f t="shared" si="182"/>
        <v>906000</v>
      </c>
      <c r="AI772" s="132"/>
      <c r="AJ772" s="75">
        <f t="shared" si="181"/>
        <v>0</v>
      </c>
      <c r="AK772" s="75"/>
      <c r="AL772" s="75"/>
      <c r="AM772" s="75"/>
      <c r="AN772" s="64" t="s">
        <v>39</v>
      </c>
      <c r="AO772" s="995"/>
      <c r="AP772" s="995"/>
      <c r="AQ772" s="996"/>
      <c r="AR772" s="104"/>
      <c r="AS772" s="997"/>
      <c r="AT772" s="998"/>
      <c r="AU772" s="981"/>
      <c r="AV772" s="101"/>
      <c r="AW772" s="101" t="s">
        <v>2781</v>
      </c>
    </row>
    <row r="773" spans="1:49" ht="41.45" hidden="1" customHeight="1" outlineLevel="2" x14ac:dyDescent="0.25">
      <c r="A773" s="63" t="str">
        <f t="shared" si="100"/>
        <v>1.5.1.4.3.59</v>
      </c>
      <c r="B773" s="64">
        <v>1</v>
      </c>
      <c r="C773" s="64">
        <v>5</v>
      </c>
      <c r="D773" s="64">
        <v>1</v>
      </c>
      <c r="E773" s="64">
        <v>4</v>
      </c>
      <c r="F773" s="64">
        <v>3</v>
      </c>
      <c r="G773" s="64">
        <v>59</v>
      </c>
      <c r="H773" s="65"/>
      <c r="I773" s="65"/>
      <c r="J773" s="66"/>
      <c r="K773" s="67" t="s">
        <v>797</v>
      </c>
      <c r="L773" s="64" t="s">
        <v>236</v>
      </c>
      <c r="M773" s="64" t="s">
        <v>422</v>
      </c>
      <c r="N773" s="64">
        <v>0</v>
      </c>
      <c r="O773" s="64">
        <v>0</v>
      </c>
      <c r="P773" s="69">
        <v>44927</v>
      </c>
      <c r="Q773" s="69">
        <v>45291</v>
      </c>
      <c r="R773" s="64"/>
      <c r="S773" s="65"/>
      <c r="T773" s="194"/>
      <c r="U773" s="155">
        <v>226500</v>
      </c>
      <c r="V773" s="155"/>
      <c r="W773" s="155">
        <v>0</v>
      </c>
      <c r="X773" s="1132">
        <v>0</v>
      </c>
      <c r="Y773" s="155">
        <v>226500</v>
      </c>
      <c r="Z773" s="155">
        <v>0</v>
      </c>
      <c r="AA773" s="1132">
        <v>0</v>
      </c>
      <c r="AB773" s="155">
        <v>226500</v>
      </c>
      <c r="AC773" s="155">
        <v>0</v>
      </c>
      <c r="AD773" s="1132">
        <v>0</v>
      </c>
      <c r="AE773" s="155">
        <v>226500</v>
      </c>
      <c r="AF773" s="155">
        <v>0</v>
      </c>
      <c r="AG773" s="1132">
        <v>0</v>
      </c>
      <c r="AH773" s="505">
        <f t="shared" si="182"/>
        <v>906000</v>
      </c>
      <c r="AI773" s="132"/>
      <c r="AJ773" s="75">
        <f t="shared" si="181"/>
        <v>0</v>
      </c>
      <c r="AK773" s="75"/>
      <c r="AL773" s="75"/>
      <c r="AM773" s="75"/>
      <c r="AN773" s="64" t="s">
        <v>39</v>
      </c>
      <c r="AO773" s="995"/>
      <c r="AP773" s="995"/>
      <c r="AQ773" s="996"/>
      <c r="AR773" s="104"/>
      <c r="AS773" s="997"/>
      <c r="AT773" s="998"/>
      <c r="AU773" s="981"/>
      <c r="AV773" s="101"/>
      <c r="AW773" s="101" t="s">
        <v>2781</v>
      </c>
    </row>
    <row r="774" spans="1:49" ht="41.45" hidden="1" customHeight="1" outlineLevel="2" x14ac:dyDescent="0.25">
      <c r="A774" s="63" t="str">
        <f t="shared" si="100"/>
        <v>1.5.1.4.3.60</v>
      </c>
      <c r="B774" s="64">
        <v>1</v>
      </c>
      <c r="C774" s="64">
        <v>5</v>
      </c>
      <c r="D774" s="64">
        <v>1</v>
      </c>
      <c r="E774" s="64">
        <v>4</v>
      </c>
      <c r="F774" s="64">
        <v>3</v>
      </c>
      <c r="G774" s="64">
        <v>60</v>
      </c>
      <c r="H774" s="65"/>
      <c r="I774" s="65"/>
      <c r="J774" s="66"/>
      <c r="K774" s="67" t="s">
        <v>798</v>
      </c>
      <c r="L774" s="64" t="s">
        <v>236</v>
      </c>
      <c r="M774" s="64" t="s">
        <v>422</v>
      </c>
      <c r="N774" s="64">
        <v>0</v>
      </c>
      <c r="O774" s="64">
        <v>0</v>
      </c>
      <c r="P774" s="69">
        <v>44927</v>
      </c>
      <c r="Q774" s="69">
        <v>45291</v>
      </c>
      <c r="R774" s="64"/>
      <c r="S774" s="65"/>
      <c r="T774" s="194"/>
      <c r="U774" s="155">
        <v>226500</v>
      </c>
      <c r="V774" s="155"/>
      <c r="W774" s="155">
        <v>0</v>
      </c>
      <c r="X774" s="1132">
        <v>0</v>
      </c>
      <c r="Y774" s="155">
        <v>226500</v>
      </c>
      <c r="Z774" s="155">
        <v>0</v>
      </c>
      <c r="AA774" s="1132">
        <v>0</v>
      </c>
      <c r="AB774" s="155">
        <v>226500</v>
      </c>
      <c r="AC774" s="155">
        <v>0</v>
      </c>
      <c r="AD774" s="1132">
        <v>0</v>
      </c>
      <c r="AE774" s="155">
        <v>226500</v>
      </c>
      <c r="AF774" s="155">
        <v>0</v>
      </c>
      <c r="AG774" s="1132">
        <v>0</v>
      </c>
      <c r="AH774" s="505">
        <f t="shared" si="182"/>
        <v>906000</v>
      </c>
      <c r="AI774" s="132"/>
      <c r="AJ774" s="75">
        <f t="shared" si="181"/>
        <v>0</v>
      </c>
      <c r="AK774" s="75"/>
      <c r="AL774" s="75"/>
      <c r="AM774" s="75"/>
      <c r="AN774" s="64" t="s">
        <v>39</v>
      </c>
      <c r="AO774" s="995"/>
      <c r="AP774" s="995"/>
      <c r="AQ774" s="996"/>
      <c r="AR774" s="104"/>
      <c r="AS774" s="997"/>
      <c r="AT774" s="998"/>
      <c r="AU774" s="981"/>
      <c r="AV774" s="101"/>
      <c r="AW774" s="101" t="s">
        <v>2781</v>
      </c>
    </row>
    <row r="775" spans="1:49" ht="41.45" hidden="1" customHeight="1" outlineLevel="2" x14ac:dyDescent="0.25">
      <c r="A775" s="63" t="str">
        <f t="shared" si="100"/>
        <v>1.5.1.4.3.61</v>
      </c>
      <c r="B775" s="64">
        <v>1</v>
      </c>
      <c r="C775" s="64">
        <v>5</v>
      </c>
      <c r="D775" s="64">
        <v>1</v>
      </c>
      <c r="E775" s="64">
        <v>4</v>
      </c>
      <c r="F775" s="64">
        <v>3</v>
      </c>
      <c r="G775" s="64">
        <v>61</v>
      </c>
      <c r="H775" s="65"/>
      <c r="I775" s="65"/>
      <c r="J775" s="66"/>
      <c r="K775" s="67" t="s">
        <v>799</v>
      </c>
      <c r="L775" s="64" t="s">
        <v>236</v>
      </c>
      <c r="M775" s="64" t="s">
        <v>422</v>
      </c>
      <c r="N775" s="64">
        <v>0</v>
      </c>
      <c r="O775" s="64">
        <v>0</v>
      </c>
      <c r="P775" s="69">
        <v>44927</v>
      </c>
      <c r="Q775" s="69">
        <v>45291</v>
      </c>
      <c r="R775" s="64"/>
      <c r="S775" s="65"/>
      <c r="T775" s="194"/>
      <c r="U775" s="155">
        <v>226500</v>
      </c>
      <c r="V775" s="155"/>
      <c r="W775" s="155">
        <v>0</v>
      </c>
      <c r="X775" s="1132">
        <v>0</v>
      </c>
      <c r="Y775" s="155">
        <v>226500</v>
      </c>
      <c r="Z775" s="155">
        <v>0</v>
      </c>
      <c r="AA775" s="1132">
        <v>0</v>
      </c>
      <c r="AB775" s="155">
        <v>226500</v>
      </c>
      <c r="AC775" s="155">
        <v>0</v>
      </c>
      <c r="AD775" s="1132">
        <v>0</v>
      </c>
      <c r="AE775" s="155">
        <v>226500</v>
      </c>
      <c r="AF775" s="155">
        <v>0</v>
      </c>
      <c r="AG775" s="1132">
        <v>0</v>
      </c>
      <c r="AH775" s="505">
        <f t="shared" si="182"/>
        <v>906000</v>
      </c>
      <c r="AI775" s="132"/>
      <c r="AJ775" s="75">
        <f t="shared" si="181"/>
        <v>0</v>
      </c>
      <c r="AK775" s="75"/>
      <c r="AL775" s="75"/>
      <c r="AM775" s="75"/>
      <c r="AN775" s="64" t="s">
        <v>39</v>
      </c>
      <c r="AO775" s="995"/>
      <c r="AP775" s="995"/>
      <c r="AQ775" s="996"/>
      <c r="AR775" s="104"/>
      <c r="AS775" s="997"/>
      <c r="AT775" s="998"/>
      <c r="AU775" s="981"/>
      <c r="AV775" s="101"/>
      <c r="AW775" s="101" t="s">
        <v>2781</v>
      </c>
    </row>
    <row r="776" spans="1:49" ht="41.45" hidden="1" customHeight="1" outlineLevel="2" x14ac:dyDescent="0.25">
      <c r="A776" s="63" t="str">
        <f t="shared" si="100"/>
        <v>1.5.1.4.3.62</v>
      </c>
      <c r="B776" s="64">
        <v>1</v>
      </c>
      <c r="C776" s="64">
        <v>5</v>
      </c>
      <c r="D776" s="64">
        <v>1</v>
      </c>
      <c r="E776" s="64">
        <v>4</v>
      </c>
      <c r="F776" s="64">
        <v>3</v>
      </c>
      <c r="G776" s="64">
        <v>62</v>
      </c>
      <c r="H776" s="65"/>
      <c r="I776" s="65"/>
      <c r="J776" s="66"/>
      <c r="K776" s="67" t="s">
        <v>800</v>
      </c>
      <c r="L776" s="64" t="s">
        <v>236</v>
      </c>
      <c r="M776" s="64" t="s">
        <v>422</v>
      </c>
      <c r="N776" s="64">
        <v>0</v>
      </c>
      <c r="O776" s="64">
        <v>0</v>
      </c>
      <c r="P776" s="69">
        <v>44927</v>
      </c>
      <c r="Q776" s="69">
        <v>45291</v>
      </c>
      <c r="R776" s="64"/>
      <c r="S776" s="65"/>
      <c r="T776" s="194"/>
      <c r="U776" s="155">
        <v>226500</v>
      </c>
      <c r="V776" s="155"/>
      <c r="W776" s="155">
        <v>0</v>
      </c>
      <c r="X776" s="1132">
        <v>0</v>
      </c>
      <c r="Y776" s="155">
        <v>226500</v>
      </c>
      <c r="Z776" s="155">
        <v>0</v>
      </c>
      <c r="AA776" s="1132">
        <v>0</v>
      </c>
      <c r="AB776" s="155">
        <v>226500</v>
      </c>
      <c r="AC776" s="155">
        <v>0</v>
      </c>
      <c r="AD776" s="1132">
        <v>0</v>
      </c>
      <c r="AE776" s="155">
        <v>226500</v>
      </c>
      <c r="AF776" s="155">
        <v>0</v>
      </c>
      <c r="AG776" s="1132">
        <v>0</v>
      </c>
      <c r="AH776" s="505">
        <f t="shared" si="182"/>
        <v>906000</v>
      </c>
      <c r="AI776" s="132"/>
      <c r="AJ776" s="75">
        <f t="shared" si="181"/>
        <v>0</v>
      </c>
      <c r="AK776" s="75"/>
      <c r="AL776" s="75"/>
      <c r="AM776" s="75"/>
      <c r="AN776" s="64" t="s">
        <v>39</v>
      </c>
      <c r="AO776" s="995"/>
      <c r="AP776" s="995"/>
      <c r="AQ776" s="996"/>
      <c r="AR776" s="104"/>
      <c r="AS776" s="997"/>
      <c r="AT776" s="998"/>
      <c r="AU776" s="981"/>
      <c r="AV776" s="101"/>
      <c r="AW776" s="101" t="s">
        <v>2781</v>
      </c>
    </row>
    <row r="777" spans="1:49" ht="41.45" hidden="1" customHeight="1" outlineLevel="2" x14ac:dyDescent="0.25">
      <c r="A777" s="63" t="str">
        <f t="shared" si="100"/>
        <v>1.5.1.4.3.63</v>
      </c>
      <c r="B777" s="64">
        <v>1</v>
      </c>
      <c r="C777" s="64">
        <v>5</v>
      </c>
      <c r="D777" s="64">
        <v>1</v>
      </c>
      <c r="E777" s="64">
        <v>4</v>
      </c>
      <c r="F777" s="64">
        <v>3</v>
      </c>
      <c r="G777" s="64">
        <v>63</v>
      </c>
      <c r="H777" s="65"/>
      <c r="I777" s="65"/>
      <c r="J777" s="66"/>
      <c r="K777" s="67" t="s">
        <v>1755</v>
      </c>
      <c r="L777" s="64" t="s">
        <v>236</v>
      </c>
      <c r="M777" s="64" t="s">
        <v>422</v>
      </c>
      <c r="N777" s="64">
        <v>0</v>
      </c>
      <c r="O777" s="64">
        <v>0</v>
      </c>
      <c r="P777" s="69">
        <v>44927</v>
      </c>
      <c r="Q777" s="69">
        <v>45291</v>
      </c>
      <c r="R777" s="64"/>
      <c r="S777" s="65"/>
      <c r="T777" s="194"/>
      <c r="U777" s="155">
        <v>226500</v>
      </c>
      <c r="V777" s="155"/>
      <c r="W777" s="155">
        <v>0</v>
      </c>
      <c r="X777" s="1132">
        <v>0</v>
      </c>
      <c r="Y777" s="155">
        <v>226500</v>
      </c>
      <c r="Z777" s="155">
        <v>0</v>
      </c>
      <c r="AA777" s="1132">
        <v>0</v>
      </c>
      <c r="AB777" s="155">
        <v>226500</v>
      </c>
      <c r="AC777" s="155">
        <v>0</v>
      </c>
      <c r="AD777" s="1132">
        <v>0</v>
      </c>
      <c r="AE777" s="155">
        <v>226500</v>
      </c>
      <c r="AF777" s="155">
        <v>0</v>
      </c>
      <c r="AG777" s="1132">
        <v>0</v>
      </c>
      <c r="AH777" s="505">
        <f t="shared" si="182"/>
        <v>906000</v>
      </c>
      <c r="AI777" s="132"/>
      <c r="AJ777" s="75">
        <f t="shared" si="181"/>
        <v>0</v>
      </c>
      <c r="AK777" s="75"/>
      <c r="AL777" s="75"/>
      <c r="AM777" s="75"/>
      <c r="AN777" s="64" t="s">
        <v>39</v>
      </c>
      <c r="AO777" s="995"/>
      <c r="AP777" s="995"/>
      <c r="AQ777" s="996"/>
      <c r="AR777" s="104"/>
      <c r="AS777" s="997"/>
      <c r="AT777" s="998"/>
      <c r="AU777" s="981"/>
      <c r="AV777" s="65"/>
      <c r="AW777" s="101" t="s">
        <v>2781</v>
      </c>
    </row>
    <row r="778" spans="1:49" ht="41.45" hidden="1" customHeight="1" outlineLevel="2" x14ac:dyDescent="0.25">
      <c r="A778" s="63" t="str">
        <f t="shared" si="100"/>
        <v>1.5.1.4.3.64</v>
      </c>
      <c r="B778" s="64">
        <v>1</v>
      </c>
      <c r="C778" s="64">
        <v>5</v>
      </c>
      <c r="D778" s="64">
        <v>1</v>
      </c>
      <c r="E778" s="64">
        <v>4</v>
      </c>
      <c r="F778" s="64">
        <v>3</v>
      </c>
      <c r="G778" s="64">
        <v>64</v>
      </c>
      <c r="H778" s="65"/>
      <c r="I778" s="65"/>
      <c r="J778" s="66"/>
      <c r="K778" s="67" t="s">
        <v>801</v>
      </c>
      <c r="L778" s="64" t="s">
        <v>236</v>
      </c>
      <c r="M778" s="64" t="s">
        <v>422</v>
      </c>
      <c r="N778" s="64">
        <v>0</v>
      </c>
      <c r="O778" s="64">
        <v>0</v>
      </c>
      <c r="P778" s="69">
        <v>44927</v>
      </c>
      <c r="Q778" s="69">
        <v>45291</v>
      </c>
      <c r="R778" s="64"/>
      <c r="S778" s="65"/>
      <c r="T778" s="194"/>
      <c r="U778" s="155">
        <v>226500</v>
      </c>
      <c r="V778" s="155"/>
      <c r="W778" s="155">
        <v>0</v>
      </c>
      <c r="X778" s="1132">
        <v>0</v>
      </c>
      <c r="Y778" s="155">
        <v>226500</v>
      </c>
      <c r="Z778" s="155">
        <v>0</v>
      </c>
      <c r="AA778" s="1132">
        <v>0</v>
      </c>
      <c r="AB778" s="155">
        <v>226500</v>
      </c>
      <c r="AC778" s="155">
        <v>0</v>
      </c>
      <c r="AD778" s="1132">
        <v>0</v>
      </c>
      <c r="AE778" s="155">
        <v>226500</v>
      </c>
      <c r="AF778" s="155">
        <v>0</v>
      </c>
      <c r="AG778" s="1132">
        <v>0</v>
      </c>
      <c r="AH778" s="505">
        <f t="shared" si="182"/>
        <v>906000</v>
      </c>
      <c r="AI778" s="132"/>
      <c r="AJ778" s="75">
        <f>+W781+Z781+AC781+AF781</f>
        <v>0</v>
      </c>
      <c r="AK778" s="75"/>
      <c r="AL778" s="75"/>
      <c r="AM778" s="75"/>
      <c r="AN778" s="64" t="s">
        <v>39</v>
      </c>
      <c r="AO778" s="995"/>
      <c r="AP778" s="995"/>
      <c r="AQ778" s="996"/>
      <c r="AR778" s="104"/>
      <c r="AS778" s="997"/>
      <c r="AT778" s="998"/>
      <c r="AU778" s="981"/>
      <c r="AV778" s="65"/>
      <c r="AW778" s="101" t="s">
        <v>2781</v>
      </c>
    </row>
    <row r="779" spans="1:49" ht="41.45" hidden="1" customHeight="1" outlineLevel="2" x14ac:dyDescent="0.25">
      <c r="A779" s="63" t="str">
        <f t="shared" si="100"/>
        <v>1.5.1.4.4.58-64</v>
      </c>
      <c r="B779" s="64">
        <v>1</v>
      </c>
      <c r="C779" s="64">
        <v>5</v>
      </c>
      <c r="D779" s="64">
        <v>1</v>
      </c>
      <c r="E779" s="64">
        <v>4</v>
      </c>
      <c r="F779" s="64">
        <v>4</v>
      </c>
      <c r="G779" s="64" t="s">
        <v>64</v>
      </c>
      <c r="H779" s="65"/>
      <c r="I779" s="65"/>
      <c r="J779" s="66"/>
      <c r="K779" s="67" t="s">
        <v>2787</v>
      </c>
      <c r="L779" s="64" t="s">
        <v>236</v>
      </c>
      <c r="M779" s="64" t="s">
        <v>422</v>
      </c>
      <c r="N779" s="64">
        <v>0</v>
      </c>
      <c r="O779" s="64">
        <v>0</v>
      </c>
      <c r="P779" s="69"/>
      <c r="Q779" s="69"/>
      <c r="R779" s="64"/>
      <c r="S779" s="65"/>
      <c r="T779" s="194"/>
      <c r="U779" s="389">
        <v>54000</v>
      </c>
      <c r="V779" s="389"/>
      <c r="W779" s="389">
        <v>0</v>
      </c>
      <c r="X779" s="1137">
        <v>0</v>
      </c>
      <c r="Y779" s="389">
        <v>0</v>
      </c>
      <c r="Z779" s="389">
        <v>0</v>
      </c>
      <c r="AA779" s="1137">
        <v>0</v>
      </c>
      <c r="AB779" s="389">
        <v>0</v>
      </c>
      <c r="AC779" s="389">
        <v>0</v>
      </c>
      <c r="AD779" s="1137">
        <v>0</v>
      </c>
      <c r="AE779" s="155">
        <v>0</v>
      </c>
      <c r="AF779" s="389">
        <v>0</v>
      </c>
      <c r="AG779" s="1137">
        <v>0</v>
      </c>
      <c r="AH779" s="505">
        <f t="shared" si="182"/>
        <v>54000</v>
      </c>
      <c r="AI779" s="377"/>
      <c r="AJ779" s="370">
        <v>0</v>
      </c>
      <c r="AK779" s="75"/>
      <c r="AL779" s="75"/>
      <c r="AM779" s="75"/>
      <c r="AN779" s="64" t="s">
        <v>39</v>
      </c>
      <c r="AO779" s="995"/>
      <c r="AP779" s="995"/>
      <c r="AQ779" s="996"/>
      <c r="AR779" s="104"/>
      <c r="AS779" s="997"/>
      <c r="AT779" s="998"/>
      <c r="AU779" s="981"/>
      <c r="AV779" s="185"/>
      <c r="AW779" s="1096" t="s">
        <v>2781</v>
      </c>
    </row>
    <row r="780" spans="1:49" ht="41.45" hidden="1" customHeight="1" outlineLevel="2" x14ac:dyDescent="0.25">
      <c r="A780" s="63" t="str">
        <f t="shared" si="100"/>
        <v>1.5.1.4.5.58-64</v>
      </c>
      <c r="B780" s="64">
        <v>1</v>
      </c>
      <c r="C780" s="64">
        <v>5</v>
      </c>
      <c r="D780" s="64">
        <v>1</v>
      </c>
      <c r="E780" s="64">
        <v>4</v>
      </c>
      <c r="F780" s="64">
        <v>5</v>
      </c>
      <c r="G780" s="64" t="s">
        <v>64</v>
      </c>
      <c r="H780" s="65"/>
      <c r="I780" s="65"/>
      <c r="J780" s="66"/>
      <c r="K780" s="67" t="s">
        <v>2828</v>
      </c>
      <c r="L780" s="64" t="s">
        <v>236</v>
      </c>
      <c r="M780" s="64" t="s">
        <v>422</v>
      </c>
      <c r="N780" s="64">
        <v>0</v>
      </c>
      <c r="O780" s="64">
        <v>0</v>
      </c>
      <c r="P780" s="69"/>
      <c r="Q780" s="69"/>
      <c r="R780" s="64"/>
      <c r="S780" s="65"/>
      <c r="T780" s="194"/>
      <c r="U780" s="389">
        <v>0</v>
      </c>
      <c r="V780" s="389"/>
      <c r="W780" s="389">
        <v>0</v>
      </c>
      <c r="X780" s="1137">
        <v>0</v>
      </c>
      <c r="Y780" s="389">
        <v>1000000</v>
      </c>
      <c r="Z780" s="389">
        <v>0</v>
      </c>
      <c r="AA780" s="1137">
        <v>0</v>
      </c>
      <c r="AB780" s="389">
        <v>0</v>
      </c>
      <c r="AC780" s="389">
        <v>0</v>
      </c>
      <c r="AD780" s="1137">
        <v>0</v>
      </c>
      <c r="AE780" s="155">
        <v>0</v>
      </c>
      <c r="AF780" s="389">
        <v>0</v>
      </c>
      <c r="AG780" s="1137">
        <v>0</v>
      </c>
      <c r="AH780" s="505">
        <f t="shared" si="182"/>
        <v>1000000</v>
      </c>
      <c r="AI780" s="377"/>
      <c r="AJ780" s="370">
        <v>1</v>
      </c>
      <c r="AK780" s="75"/>
      <c r="AL780" s="75"/>
      <c r="AM780" s="75"/>
      <c r="AN780" s="64" t="s">
        <v>39</v>
      </c>
      <c r="AO780" s="995"/>
      <c r="AP780" s="995"/>
      <c r="AQ780" s="996"/>
      <c r="AR780" s="104"/>
      <c r="AS780" s="997"/>
      <c r="AT780" s="998"/>
      <c r="AU780" s="981"/>
      <c r="AV780" s="185"/>
      <c r="AW780" s="1096" t="s">
        <v>2829</v>
      </c>
    </row>
    <row r="781" spans="1:49" s="153" customFormat="1" ht="31.5" customHeight="1" outlineLevel="1" collapsed="1" x14ac:dyDescent="0.25">
      <c r="A781" s="148" t="str">
        <f t="shared" si="100"/>
        <v>1.5.1.5.0.0</v>
      </c>
      <c r="B781" s="82">
        <v>1</v>
      </c>
      <c r="C781" s="82">
        <v>5</v>
      </c>
      <c r="D781" s="82">
        <v>1</v>
      </c>
      <c r="E781" s="82">
        <v>5</v>
      </c>
      <c r="F781" s="82">
        <v>0</v>
      </c>
      <c r="G781" s="82">
        <v>0</v>
      </c>
      <c r="H781" s="149"/>
      <c r="I781" s="149"/>
      <c r="J781" s="1289" t="s">
        <v>802</v>
      </c>
      <c r="K781" s="1290"/>
      <c r="L781" s="82" t="s">
        <v>236</v>
      </c>
      <c r="M781" s="82" t="s">
        <v>422</v>
      </c>
      <c r="N781" s="82">
        <v>0</v>
      </c>
      <c r="O781" s="82">
        <v>0</v>
      </c>
      <c r="P781" s="82"/>
      <c r="Q781" s="82"/>
      <c r="R781" s="82"/>
      <c r="S781" s="149"/>
      <c r="T781" s="193"/>
      <c r="U781" s="379">
        <f t="shared" ref="U781:AH781" si="183">+SUM(U782:U788)</f>
        <v>0</v>
      </c>
      <c r="V781" s="379"/>
      <c r="W781" s="379">
        <f t="shared" si="183"/>
        <v>0</v>
      </c>
      <c r="X781" s="1130">
        <f t="shared" si="183"/>
        <v>0</v>
      </c>
      <c r="Y781" s="379">
        <f t="shared" si="183"/>
        <v>0</v>
      </c>
      <c r="Z781" s="379">
        <f t="shared" si="183"/>
        <v>0</v>
      </c>
      <c r="AA781" s="1130">
        <f t="shared" si="183"/>
        <v>0</v>
      </c>
      <c r="AB781" s="379">
        <f t="shared" si="183"/>
        <v>0</v>
      </c>
      <c r="AC781" s="379">
        <f t="shared" si="183"/>
        <v>0</v>
      </c>
      <c r="AD781" s="1130">
        <f t="shared" si="183"/>
        <v>0</v>
      </c>
      <c r="AE781" s="379">
        <f t="shared" si="183"/>
        <v>0</v>
      </c>
      <c r="AF781" s="379">
        <f t="shared" si="183"/>
        <v>0</v>
      </c>
      <c r="AG781" s="1130">
        <f t="shared" si="183"/>
        <v>0</v>
      </c>
      <c r="AH781" s="379">
        <f t="shared" si="183"/>
        <v>0</v>
      </c>
      <c r="AI781" s="512">
        <f>+SUM(AI782:AI788)</f>
        <v>0</v>
      </c>
      <c r="AJ781" s="512">
        <f>+SUM(AJ782:AJ788)</f>
        <v>0</v>
      </c>
      <c r="AK781" s="152"/>
      <c r="AL781" s="152"/>
      <c r="AM781" s="152"/>
      <c r="AN781" s="82" t="s">
        <v>39</v>
      </c>
      <c r="AO781" s="82"/>
      <c r="AP781" s="82"/>
      <c r="AQ781" s="365"/>
      <c r="AR781" s="82"/>
      <c r="AS781" s="483"/>
      <c r="AT781" s="82"/>
      <c r="AU781" s="666"/>
      <c r="AV781" s="379">
        <f t="shared" ref="AV781" si="184">+SUM(AV782:AV788)</f>
        <v>0</v>
      </c>
      <c r="AW781" s="444"/>
    </row>
    <row r="782" spans="1:49" ht="32.1" hidden="1" customHeight="1" outlineLevel="2" x14ac:dyDescent="0.25">
      <c r="A782" s="63" t="str">
        <f t="shared" si="100"/>
        <v>1.5.1.5.1.58</v>
      </c>
      <c r="B782" s="64">
        <v>1</v>
      </c>
      <c r="C782" s="64">
        <v>5</v>
      </c>
      <c r="D782" s="64">
        <v>1</v>
      </c>
      <c r="E782" s="64">
        <v>5</v>
      </c>
      <c r="F782" s="64">
        <v>1</v>
      </c>
      <c r="G782" s="64">
        <v>58</v>
      </c>
      <c r="H782" s="65"/>
      <c r="I782" s="65"/>
      <c r="J782" s="65"/>
      <c r="K782" s="65" t="s">
        <v>803</v>
      </c>
      <c r="L782" s="64" t="s">
        <v>236</v>
      </c>
      <c r="M782" s="64" t="s">
        <v>422</v>
      </c>
      <c r="N782" s="64" t="s">
        <v>699</v>
      </c>
      <c r="O782" s="64" t="s">
        <v>700</v>
      </c>
      <c r="P782" s="69">
        <v>44987</v>
      </c>
      <c r="Q782" s="69">
        <v>45076</v>
      </c>
      <c r="R782" s="64">
        <v>1</v>
      </c>
      <c r="S782" s="65"/>
      <c r="T782" s="194"/>
      <c r="U782" s="75">
        <v>0</v>
      </c>
      <c r="V782" s="75"/>
      <c r="W782" s="75">
        <v>0</v>
      </c>
      <c r="X782" s="1122">
        <v>0</v>
      </c>
      <c r="Y782" s="75">
        <v>0</v>
      </c>
      <c r="Z782" s="75">
        <v>0</v>
      </c>
      <c r="AA782" s="1122">
        <v>0</v>
      </c>
      <c r="AB782" s="75">
        <v>0</v>
      </c>
      <c r="AC782" s="75">
        <v>0</v>
      </c>
      <c r="AD782" s="1122">
        <v>0</v>
      </c>
      <c r="AE782" s="75">
        <v>0</v>
      </c>
      <c r="AF782" s="75">
        <v>0</v>
      </c>
      <c r="AG782" s="1122">
        <v>0</v>
      </c>
      <c r="AH782" s="505">
        <f>+U782+Y782+AB782+AE782</f>
        <v>0</v>
      </c>
      <c r="AI782" s="132"/>
      <c r="AJ782" s="75">
        <f t="shared" ref="AJ782:AJ788" si="185">+W783+Z783+AC783+AF783</f>
        <v>0</v>
      </c>
      <c r="AK782" s="154"/>
      <c r="AL782" s="154"/>
      <c r="AM782" s="154"/>
      <c r="AN782" s="64" t="s">
        <v>282</v>
      </c>
      <c r="AO782" s="64"/>
      <c r="AP782" s="64"/>
      <c r="AQ782" s="189"/>
      <c r="AR782" s="64"/>
      <c r="AS782" s="476"/>
      <c r="AT782" s="64"/>
      <c r="AU782" s="646"/>
      <c r="AV782" s="259" t="s">
        <v>804</v>
      </c>
      <c r="AW782" s="185"/>
    </row>
    <row r="783" spans="1:49" ht="32.1" hidden="1" customHeight="1" outlineLevel="2" x14ac:dyDescent="0.25">
      <c r="A783" s="63" t="str">
        <f t="shared" si="100"/>
        <v>1.5.1.5.1.59</v>
      </c>
      <c r="B783" s="64">
        <v>1</v>
      </c>
      <c r="C783" s="64">
        <v>5</v>
      </c>
      <c r="D783" s="64">
        <v>1</v>
      </c>
      <c r="E783" s="64">
        <v>5</v>
      </c>
      <c r="F783" s="64">
        <v>1</v>
      </c>
      <c r="G783" s="64">
        <v>59</v>
      </c>
      <c r="H783" s="65"/>
      <c r="I783" s="65"/>
      <c r="J783" s="65"/>
      <c r="K783" s="65" t="s">
        <v>805</v>
      </c>
      <c r="L783" s="64" t="s">
        <v>236</v>
      </c>
      <c r="M783" s="64" t="s">
        <v>422</v>
      </c>
      <c r="N783" s="64" t="s">
        <v>699</v>
      </c>
      <c r="O783" s="64" t="s">
        <v>700</v>
      </c>
      <c r="P783" s="69"/>
      <c r="Q783" s="69"/>
      <c r="R783" s="64"/>
      <c r="S783" s="65"/>
      <c r="T783" s="194"/>
      <c r="U783" s="75">
        <v>0</v>
      </c>
      <c r="V783" s="75"/>
      <c r="W783" s="75">
        <v>0</v>
      </c>
      <c r="X783" s="1122">
        <v>0</v>
      </c>
      <c r="Y783" s="75">
        <v>0</v>
      </c>
      <c r="Z783" s="75">
        <v>0</v>
      </c>
      <c r="AA783" s="1122">
        <v>0</v>
      </c>
      <c r="AB783" s="75">
        <v>0</v>
      </c>
      <c r="AC783" s="75">
        <v>0</v>
      </c>
      <c r="AD783" s="1122">
        <v>0</v>
      </c>
      <c r="AE783" s="75">
        <v>0</v>
      </c>
      <c r="AF783" s="75">
        <v>0</v>
      </c>
      <c r="AG783" s="1122">
        <v>0</v>
      </c>
      <c r="AH783" s="505">
        <f t="shared" ref="AH783:AH788" si="186">+U783+Y783+AB783+AE783</f>
        <v>0</v>
      </c>
      <c r="AI783" s="132"/>
      <c r="AJ783" s="75">
        <f t="shared" si="185"/>
        <v>0</v>
      </c>
      <c r="AK783" s="154"/>
      <c r="AL783" s="154"/>
      <c r="AM783" s="154"/>
      <c r="AN783" s="64" t="s">
        <v>282</v>
      </c>
      <c r="AO783" s="64"/>
      <c r="AP783" s="64"/>
      <c r="AQ783" s="189"/>
      <c r="AR783" s="64"/>
      <c r="AS783" s="476"/>
      <c r="AT783" s="64"/>
      <c r="AU783" s="646"/>
      <c r="AV783" s="259"/>
      <c r="AW783" s="185"/>
    </row>
    <row r="784" spans="1:49" ht="32.1" hidden="1" customHeight="1" outlineLevel="2" x14ac:dyDescent="0.25">
      <c r="A784" s="63" t="str">
        <f t="shared" si="100"/>
        <v>1.5.1.5.1.60</v>
      </c>
      <c r="B784" s="64">
        <v>1</v>
      </c>
      <c r="C784" s="64">
        <v>5</v>
      </c>
      <c r="D784" s="64">
        <v>1</v>
      </c>
      <c r="E784" s="64">
        <v>5</v>
      </c>
      <c r="F784" s="64">
        <v>1</v>
      </c>
      <c r="G784" s="64">
        <v>60</v>
      </c>
      <c r="H784" s="65"/>
      <c r="I784" s="65"/>
      <c r="J784" s="65"/>
      <c r="K784" s="65" t="s">
        <v>806</v>
      </c>
      <c r="L784" s="64" t="s">
        <v>236</v>
      </c>
      <c r="M784" s="64" t="s">
        <v>422</v>
      </c>
      <c r="N784" s="64" t="s">
        <v>699</v>
      </c>
      <c r="O784" s="64" t="s">
        <v>700</v>
      </c>
      <c r="P784" s="69"/>
      <c r="Q784" s="69"/>
      <c r="R784" s="64"/>
      <c r="S784" s="65"/>
      <c r="T784" s="194"/>
      <c r="U784" s="75">
        <v>0</v>
      </c>
      <c r="V784" s="75"/>
      <c r="W784" s="75">
        <v>0</v>
      </c>
      <c r="X784" s="1122">
        <v>0</v>
      </c>
      <c r="Y784" s="75">
        <v>0</v>
      </c>
      <c r="Z784" s="75">
        <v>0</v>
      </c>
      <c r="AA784" s="1122">
        <v>0</v>
      </c>
      <c r="AB784" s="75">
        <v>0</v>
      </c>
      <c r="AC784" s="75">
        <v>0</v>
      </c>
      <c r="AD784" s="1122">
        <v>0</v>
      </c>
      <c r="AE784" s="75">
        <v>0</v>
      </c>
      <c r="AF784" s="75">
        <v>0</v>
      </c>
      <c r="AG784" s="1122">
        <v>0</v>
      </c>
      <c r="AH784" s="505">
        <f t="shared" si="186"/>
        <v>0</v>
      </c>
      <c r="AI784" s="132"/>
      <c r="AJ784" s="75">
        <f t="shared" si="185"/>
        <v>0</v>
      </c>
      <c r="AK784" s="154"/>
      <c r="AL784" s="154"/>
      <c r="AM784" s="154"/>
      <c r="AN784" s="64" t="s">
        <v>282</v>
      </c>
      <c r="AO784" s="64"/>
      <c r="AP784" s="64"/>
      <c r="AQ784" s="189"/>
      <c r="AR784" s="64"/>
      <c r="AS784" s="476"/>
      <c r="AT784" s="64"/>
      <c r="AU784" s="646"/>
      <c r="AV784" s="259"/>
      <c r="AW784" s="185"/>
    </row>
    <row r="785" spans="1:49" ht="32.1" hidden="1" customHeight="1" outlineLevel="2" x14ac:dyDescent="0.25">
      <c r="A785" s="63" t="str">
        <f t="shared" si="100"/>
        <v>1.5.1.5.1.61</v>
      </c>
      <c r="B785" s="64">
        <v>1</v>
      </c>
      <c r="C785" s="64">
        <v>5</v>
      </c>
      <c r="D785" s="64">
        <v>1</v>
      </c>
      <c r="E785" s="64">
        <v>5</v>
      </c>
      <c r="F785" s="64">
        <v>1</v>
      </c>
      <c r="G785" s="64">
        <v>61</v>
      </c>
      <c r="H785" s="65"/>
      <c r="I785" s="65"/>
      <c r="J785" s="65"/>
      <c r="K785" s="65" t="s">
        <v>807</v>
      </c>
      <c r="L785" s="64" t="s">
        <v>236</v>
      </c>
      <c r="M785" s="64" t="s">
        <v>422</v>
      </c>
      <c r="N785" s="64" t="s">
        <v>699</v>
      </c>
      <c r="O785" s="64" t="s">
        <v>700</v>
      </c>
      <c r="P785" s="69"/>
      <c r="Q785" s="69"/>
      <c r="R785" s="64"/>
      <c r="S785" s="65"/>
      <c r="T785" s="194"/>
      <c r="U785" s="75">
        <v>0</v>
      </c>
      <c r="V785" s="75"/>
      <c r="W785" s="75">
        <v>0</v>
      </c>
      <c r="X785" s="1122">
        <v>0</v>
      </c>
      <c r="Y785" s="75">
        <v>0</v>
      </c>
      <c r="Z785" s="75">
        <v>0</v>
      </c>
      <c r="AA785" s="1122">
        <v>0</v>
      </c>
      <c r="AB785" s="75">
        <v>0</v>
      </c>
      <c r="AC785" s="75">
        <v>0</v>
      </c>
      <c r="AD785" s="1122">
        <v>0</v>
      </c>
      <c r="AE785" s="75">
        <v>0</v>
      </c>
      <c r="AF785" s="75">
        <v>0</v>
      </c>
      <c r="AG785" s="1122">
        <v>0</v>
      </c>
      <c r="AH785" s="505">
        <f t="shared" si="186"/>
        <v>0</v>
      </c>
      <c r="AI785" s="132"/>
      <c r="AJ785" s="75">
        <f t="shared" si="185"/>
        <v>0</v>
      </c>
      <c r="AK785" s="154"/>
      <c r="AL785" s="154"/>
      <c r="AM785" s="154"/>
      <c r="AN785" s="64" t="s">
        <v>282</v>
      </c>
      <c r="AO785" s="64"/>
      <c r="AP785" s="64"/>
      <c r="AQ785" s="189"/>
      <c r="AR785" s="64"/>
      <c r="AS785" s="476"/>
      <c r="AT785" s="64"/>
      <c r="AU785" s="646"/>
      <c r="AV785" s="259"/>
      <c r="AW785" s="185"/>
    </row>
    <row r="786" spans="1:49" ht="32.1" hidden="1" customHeight="1" outlineLevel="2" x14ac:dyDescent="0.25">
      <c r="A786" s="63" t="str">
        <f t="shared" si="100"/>
        <v>1.5.1.5.1.62</v>
      </c>
      <c r="B786" s="64">
        <v>1</v>
      </c>
      <c r="C786" s="64">
        <v>5</v>
      </c>
      <c r="D786" s="64">
        <v>1</v>
      </c>
      <c r="E786" s="64">
        <v>5</v>
      </c>
      <c r="F786" s="64">
        <v>1</v>
      </c>
      <c r="G786" s="64">
        <v>62</v>
      </c>
      <c r="H786" s="65"/>
      <c r="I786" s="65"/>
      <c r="J786" s="65"/>
      <c r="K786" s="65" t="s">
        <v>808</v>
      </c>
      <c r="L786" s="64" t="s">
        <v>236</v>
      </c>
      <c r="M786" s="64" t="s">
        <v>422</v>
      </c>
      <c r="N786" s="64" t="s">
        <v>699</v>
      </c>
      <c r="O786" s="64" t="s">
        <v>700</v>
      </c>
      <c r="P786" s="69"/>
      <c r="Q786" s="69"/>
      <c r="R786" s="64"/>
      <c r="S786" s="65"/>
      <c r="T786" s="194"/>
      <c r="U786" s="75">
        <v>0</v>
      </c>
      <c r="V786" s="75"/>
      <c r="W786" s="75">
        <v>0</v>
      </c>
      <c r="X786" s="1122">
        <v>0</v>
      </c>
      <c r="Y786" s="75">
        <v>0</v>
      </c>
      <c r="Z786" s="75">
        <v>0</v>
      </c>
      <c r="AA786" s="1122">
        <v>0</v>
      </c>
      <c r="AB786" s="75">
        <v>0</v>
      </c>
      <c r="AC786" s="75">
        <v>0</v>
      </c>
      <c r="AD786" s="1122">
        <v>0</v>
      </c>
      <c r="AE786" s="75">
        <v>0</v>
      </c>
      <c r="AF786" s="75">
        <v>0</v>
      </c>
      <c r="AG786" s="1122">
        <v>0</v>
      </c>
      <c r="AH786" s="505">
        <f t="shared" si="186"/>
        <v>0</v>
      </c>
      <c r="AI786" s="132"/>
      <c r="AJ786" s="75">
        <f t="shared" si="185"/>
        <v>0</v>
      </c>
      <c r="AK786" s="154"/>
      <c r="AL786" s="154"/>
      <c r="AM786" s="154"/>
      <c r="AN786" s="64" t="s">
        <v>282</v>
      </c>
      <c r="AO786" s="64"/>
      <c r="AP786" s="64"/>
      <c r="AQ786" s="189"/>
      <c r="AR786" s="64"/>
      <c r="AS786" s="476"/>
      <c r="AT786" s="64"/>
      <c r="AU786" s="646"/>
      <c r="AV786" s="259"/>
      <c r="AW786" s="185"/>
    </row>
    <row r="787" spans="1:49" ht="32.1" hidden="1" customHeight="1" outlineLevel="2" x14ac:dyDescent="0.25">
      <c r="A787" s="63" t="str">
        <f t="shared" si="100"/>
        <v>1.5.1.5.1.63</v>
      </c>
      <c r="B787" s="64">
        <v>1</v>
      </c>
      <c r="C787" s="64">
        <v>5</v>
      </c>
      <c r="D787" s="64">
        <v>1</v>
      </c>
      <c r="E787" s="64">
        <v>5</v>
      </c>
      <c r="F787" s="64">
        <v>1</v>
      </c>
      <c r="G787" s="64">
        <v>63</v>
      </c>
      <c r="H787" s="65"/>
      <c r="I787" s="65"/>
      <c r="J787" s="65"/>
      <c r="K787" s="65" t="s">
        <v>1756</v>
      </c>
      <c r="L787" s="64" t="s">
        <v>236</v>
      </c>
      <c r="M787" s="64" t="s">
        <v>422</v>
      </c>
      <c r="N787" s="64" t="s">
        <v>699</v>
      </c>
      <c r="O787" s="64" t="s">
        <v>700</v>
      </c>
      <c r="P787" s="69"/>
      <c r="Q787" s="69"/>
      <c r="R787" s="64"/>
      <c r="S787" s="65"/>
      <c r="T787" s="194"/>
      <c r="U787" s="75">
        <v>0</v>
      </c>
      <c r="V787" s="75"/>
      <c r="W787" s="75">
        <v>0</v>
      </c>
      <c r="X787" s="1122">
        <v>0</v>
      </c>
      <c r="Y787" s="75">
        <v>0</v>
      </c>
      <c r="Z787" s="75">
        <v>0</v>
      </c>
      <c r="AA787" s="1122">
        <v>0</v>
      </c>
      <c r="AB787" s="75">
        <v>0</v>
      </c>
      <c r="AC787" s="75">
        <v>0</v>
      </c>
      <c r="AD787" s="1122">
        <v>0</v>
      </c>
      <c r="AE787" s="75">
        <v>0</v>
      </c>
      <c r="AF787" s="75">
        <v>0</v>
      </c>
      <c r="AG787" s="1122">
        <v>0</v>
      </c>
      <c r="AH787" s="505">
        <f t="shared" si="186"/>
        <v>0</v>
      </c>
      <c r="AI787" s="132"/>
      <c r="AJ787" s="75">
        <f t="shared" si="185"/>
        <v>0</v>
      </c>
      <c r="AK787" s="154"/>
      <c r="AL787" s="154"/>
      <c r="AM787" s="154"/>
      <c r="AN787" s="64" t="s">
        <v>282</v>
      </c>
      <c r="AO787" s="64"/>
      <c r="AP787" s="64"/>
      <c r="AQ787" s="189"/>
      <c r="AR787" s="64"/>
      <c r="AS787" s="476"/>
      <c r="AT787" s="64"/>
      <c r="AU787" s="646"/>
      <c r="AV787" s="259"/>
      <c r="AW787" s="185"/>
    </row>
    <row r="788" spans="1:49" ht="32.1" hidden="1" customHeight="1" outlineLevel="2" x14ac:dyDescent="0.25">
      <c r="A788" s="63" t="str">
        <f t="shared" si="100"/>
        <v>1.5.1.5.1.64</v>
      </c>
      <c r="B788" s="64">
        <v>1</v>
      </c>
      <c r="C788" s="64">
        <v>5</v>
      </c>
      <c r="D788" s="64">
        <v>1</v>
      </c>
      <c r="E788" s="64">
        <v>5</v>
      </c>
      <c r="F788" s="64">
        <v>1</v>
      </c>
      <c r="G788" s="64">
        <v>64</v>
      </c>
      <c r="H788" s="65"/>
      <c r="I788" s="65"/>
      <c r="J788" s="65"/>
      <c r="K788" s="65" t="s">
        <v>809</v>
      </c>
      <c r="L788" s="64" t="s">
        <v>236</v>
      </c>
      <c r="M788" s="64" t="s">
        <v>422</v>
      </c>
      <c r="N788" s="64" t="s">
        <v>699</v>
      </c>
      <c r="O788" s="64" t="s">
        <v>700</v>
      </c>
      <c r="P788" s="69"/>
      <c r="Q788" s="69"/>
      <c r="R788" s="64"/>
      <c r="S788" s="65"/>
      <c r="T788" s="194"/>
      <c r="U788" s="75">
        <v>0</v>
      </c>
      <c r="V788" s="75"/>
      <c r="W788" s="75">
        <v>0</v>
      </c>
      <c r="X788" s="1122">
        <v>0</v>
      </c>
      <c r="Y788" s="75">
        <v>0</v>
      </c>
      <c r="Z788" s="75">
        <v>0</v>
      </c>
      <c r="AA788" s="1122">
        <v>0</v>
      </c>
      <c r="AB788" s="75">
        <v>0</v>
      </c>
      <c r="AC788" s="75">
        <v>0</v>
      </c>
      <c r="AD788" s="1122">
        <v>0</v>
      </c>
      <c r="AE788" s="75">
        <v>0</v>
      </c>
      <c r="AF788" s="75">
        <v>0</v>
      </c>
      <c r="AG788" s="1122">
        <v>0</v>
      </c>
      <c r="AH788" s="505">
        <f t="shared" si="186"/>
        <v>0</v>
      </c>
      <c r="AI788" s="132"/>
      <c r="AJ788" s="75">
        <f t="shared" si="185"/>
        <v>0</v>
      </c>
      <c r="AK788" s="154"/>
      <c r="AL788" s="154"/>
      <c r="AM788" s="154"/>
      <c r="AN788" s="64" t="s">
        <v>282</v>
      </c>
      <c r="AO788" s="64"/>
      <c r="AP788" s="64"/>
      <c r="AQ788" s="189"/>
      <c r="AR788" s="64"/>
      <c r="AS788" s="476"/>
      <c r="AT788" s="64"/>
      <c r="AU788" s="646"/>
      <c r="AV788" s="259"/>
      <c r="AW788" s="185"/>
    </row>
    <row r="789" spans="1:49" s="107" customFormat="1" ht="34.5" customHeight="1" outlineLevel="1" collapsed="1" x14ac:dyDescent="0.25">
      <c r="A789" s="173" t="str">
        <f t="shared" si="100"/>
        <v>1.5.1.6.0.0</v>
      </c>
      <c r="B789" s="82">
        <v>1</v>
      </c>
      <c r="C789" s="82">
        <v>5</v>
      </c>
      <c r="D789" s="82">
        <v>1</v>
      </c>
      <c r="E789" s="82">
        <v>6</v>
      </c>
      <c r="F789" s="82">
        <v>0</v>
      </c>
      <c r="G789" s="82">
        <v>0</v>
      </c>
      <c r="H789" s="149"/>
      <c r="I789" s="149"/>
      <c r="J789" s="1289" t="s">
        <v>810</v>
      </c>
      <c r="K789" s="1290"/>
      <c r="L789" s="81" t="s">
        <v>811</v>
      </c>
      <c r="M789" s="174"/>
      <c r="N789" s="81"/>
      <c r="O789" s="81"/>
      <c r="P789" s="81"/>
      <c r="Q789" s="173"/>
      <c r="R789" s="81"/>
      <c r="S789" s="173"/>
      <c r="T789" s="1184"/>
      <c r="U789" s="379">
        <f>SUM(U790:U791)</f>
        <v>0</v>
      </c>
      <c r="V789" s="379"/>
      <c r="W789" s="379">
        <f t="shared" ref="W789:AH789" si="187">SUM(W790:W791)</f>
        <v>0</v>
      </c>
      <c r="X789" s="1130">
        <f t="shared" si="187"/>
        <v>0</v>
      </c>
      <c r="Y789" s="379">
        <f t="shared" si="187"/>
        <v>0</v>
      </c>
      <c r="Z789" s="379">
        <f t="shared" si="187"/>
        <v>0</v>
      </c>
      <c r="AA789" s="1130">
        <f t="shared" si="187"/>
        <v>0</v>
      </c>
      <c r="AB789" s="379">
        <f t="shared" si="187"/>
        <v>0</v>
      </c>
      <c r="AC789" s="379">
        <f t="shared" si="187"/>
        <v>0</v>
      </c>
      <c r="AD789" s="1130">
        <f t="shared" si="187"/>
        <v>0</v>
      </c>
      <c r="AE789" s="379">
        <f t="shared" si="187"/>
        <v>0</v>
      </c>
      <c r="AF789" s="379">
        <f t="shared" si="187"/>
        <v>0</v>
      </c>
      <c r="AG789" s="1130">
        <f t="shared" si="187"/>
        <v>0</v>
      </c>
      <c r="AH789" s="379">
        <f t="shared" si="187"/>
        <v>0</v>
      </c>
      <c r="AI789" s="152"/>
      <c r="AJ789" s="152"/>
      <c r="AK789" s="152"/>
      <c r="AL789" s="152"/>
      <c r="AM789" s="152"/>
      <c r="AN789" s="82" t="s">
        <v>39</v>
      </c>
      <c r="AO789" s="82"/>
      <c r="AP789" s="82"/>
      <c r="AQ789" s="365"/>
      <c r="AR789" s="82"/>
      <c r="AS789" s="483"/>
      <c r="AT789" s="82"/>
      <c r="AU789" s="666"/>
      <c r="AV789" s="394">
        <f t="shared" ref="AV789" si="188">SUM(AV790)</f>
        <v>0</v>
      </c>
      <c r="AW789" s="444"/>
    </row>
    <row r="790" spans="1:49" s="212" customFormat="1" ht="27" hidden="1" customHeight="1" outlineLevel="2" x14ac:dyDescent="0.25">
      <c r="A790" s="210" t="str">
        <f t="shared" si="100"/>
        <v>1.5.1.6.1.0</v>
      </c>
      <c r="B790" s="136">
        <v>1</v>
      </c>
      <c r="C790" s="136">
        <v>5</v>
      </c>
      <c r="D790" s="136">
        <v>1</v>
      </c>
      <c r="E790" s="136">
        <v>6</v>
      </c>
      <c r="F790" s="136">
        <v>1</v>
      </c>
      <c r="G790" s="136">
        <v>0</v>
      </c>
      <c r="H790" s="125"/>
      <c r="I790" s="125"/>
      <c r="J790" s="213"/>
      <c r="K790" s="125" t="s">
        <v>812</v>
      </c>
      <c r="L790" s="136" t="s">
        <v>813</v>
      </c>
      <c r="M790" s="136" t="s">
        <v>814</v>
      </c>
      <c r="N790" s="136" t="s">
        <v>2625</v>
      </c>
      <c r="O790" s="136" t="s">
        <v>179</v>
      </c>
      <c r="P790" s="136"/>
      <c r="Q790" s="214"/>
      <c r="R790" s="136">
        <f>T790+X790+AA790+AD790</f>
        <v>1</v>
      </c>
      <c r="S790" s="125" t="s">
        <v>76</v>
      </c>
      <c r="T790" s="1195">
        <v>1</v>
      </c>
      <c r="U790" s="132">
        <v>0</v>
      </c>
      <c r="V790" s="132"/>
      <c r="W790" s="132">
        <v>0</v>
      </c>
      <c r="X790" s="1138">
        <v>0</v>
      </c>
      <c r="Y790" s="132">
        <v>0</v>
      </c>
      <c r="Z790" s="132">
        <v>0</v>
      </c>
      <c r="AA790" s="1138">
        <v>0</v>
      </c>
      <c r="AB790" s="132">
        <v>0</v>
      </c>
      <c r="AC790" s="132">
        <v>0</v>
      </c>
      <c r="AD790" s="1138">
        <v>0</v>
      </c>
      <c r="AE790" s="132">
        <v>0</v>
      </c>
      <c r="AF790" s="132">
        <v>0</v>
      </c>
      <c r="AG790" s="1138">
        <v>0</v>
      </c>
      <c r="AH790" s="505">
        <f>+U790+Y790+AB790+AE790</f>
        <v>0</v>
      </c>
      <c r="AI790" s="132"/>
      <c r="AJ790" s="75">
        <f t="shared" ref="AJ790:AJ791" si="189">+W791+Z791+AC791+AF791</f>
        <v>0</v>
      </c>
      <c r="AK790" s="75"/>
      <c r="AL790" s="75"/>
      <c r="AM790" s="75"/>
      <c r="AN790" s="136" t="s">
        <v>39</v>
      </c>
      <c r="AO790" s="136"/>
      <c r="AP790" s="136"/>
      <c r="AQ790" s="414"/>
      <c r="AR790" s="136"/>
      <c r="AS790" s="477"/>
      <c r="AT790" s="136"/>
      <c r="AU790" s="646"/>
      <c r="AV790" s="125" t="s">
        <v>76</v>
      </c>
      <c r="AW790" s="448"/>
    </row>
    <row r="791" spans="1:49" s="212" customFormat="1" ht="27" hidden="1" customHeight="1" outlineLevel="2" x14ac:dyDescent="0.25">
      <c r="A791" s="210" t="str">
        <f>CONCATENATE(B791,".",C791,".",D791,".",E791,".",F791,".",G791)</f>
        <v>1.5.1.6.2.0</v>
      </c>
      <c r="B791" s="136">
        <v>1</v>
      </c>
      <c r="C791" s="136">
        <v>5</v>
      </c>
      <c r="D791" s="136">
        <v>1</v>
      </c>
      <c r="E791" s="136">
        <v>6</v>
      </c>
      <c r="F791" s="136">
        <v>2</v>
      </c>
      <c r="G791" s="136">
        <v>0</v>
      </c>
      <c r="H791" s="125"/>
      <c r="I791" s="975"/>
      <c r="J791" s="976"/>
      <c r="K791" s="975" t="s">
        <v>2623</v>
      </c>
      <c r="L791" s="581" t="s">
        <v>813</v>
      </c>
      <c r="M791" s="581" t="s">
        <v>814</v>
      </c>
      <c r="N791" s="581" t="s">
        <v>2625</v>
      </c>
      <c r="O791" s="581" t="s">
        <v>179</v>
      </c>
      <c r="P791" s="136"/>
      <c r="Q791" s="214"/>
      <c r="R791" s="136">
        <v>30</v>
      </c>
      <c r="S791" s="125" t="s">
        <v>76</v>
      </c>
      <c r="T791" s="1196">
        <v>30</v>
      </c>
      <c r="U791" s="132">
        <v>0</v>
      </c>
      <c r="V791" s="132"/>
      <c r="W791" s="132">
        <v>0</v>
      </c>
      <c r="X791" s="1138">
        <v>0</v>
      </c>
      <c r="Y791" s="132">
        <v>0</v>
      </c>
      <c r="Z791" s="132">
        <v>0</v>
      </c>
      <c r="AA791" s="1138">
        <v>0</v>
      </c>
      <c r="AB791" s="132">
        <v>0</v>
      </c>
      <c r="AC791" s="132">
        <v>0</v>
      </c>
      <c r="AD791" s="1138">
        <v>0</v>
      </c>
      <c r="AE791" s="132">
        <v>0</v>
      </c>
      <c r="AF791" s="132">
        <v>0</v>
      </c>
      <c r="AG791" s="1138">
        <v>0</v>
      </c>
      <c r="AH791" s="505">
        <f>+U791+Y791+AB791+AE791</f>
        <v>0</v>
      </c>
      <c r="AI791" s="132"/>
      <c r="AJ791" s="75">
        <f t="shared" si="189"/>
        <v>0</v>
      </c>
      <c r="AK791" s="75"/>
      <c r="AL791" s="75"/>
      <c r="AM791" s="75"/>
      <c r="AN791" s="136" t="s">
        <v>39</v>
      </c>
      <c r="AO791" s="136"/>
      <c r="AP791" s="136"/>
      <c r="AQ791" s="414"/>
      <c r="AR791" s="136"/>
      <c r="AS791" s="477"/>
      <c r="AT791" s="136"/>
      <c r="AU791" s="646"/>
      <c r="AV791" s="125"/>
      <c r="AW791" s="448"/>
    </row>
    <row r="792" spans="1:49" s="153" customFormat="1" ht="57" customHeight="1" outlineLevel="1" x14ac:dyDescent="0.25">
      <c r="A792" s="743" t="str">
        <f t="shared" si="100"/>
        <v>1.6.1.0.0.0</v>
      </c>
      <c r="B792" s="109">
        <v>1</v>
      </c>
      <c r="C792" s="109">
        <v>6</v>
      </c>
      <c r="D792" s="109">
        <v>1</v>
      </c>
      <c r="E792" s="109">
        <v>0</v>
      </c>
      <c r="F792" s="109">
        <v>0</v>
      </c>
      <c r="G792" s="109">
        <v>0</v>
      </c>
      <c r="H792" s="748"/>
      <c r="I792" s="1328" t="s">
        <v>815</v>
      </c>
      <c r="J792" s="1329"/>
      <c r="K792" s="1330"/>
      <c r="L792" s="109" t="s">
        <v>816</v>
      </c>
      <c r="M792" s="109" t="s">
        <v>817</v>
      </c>
      <c r="N792" s="109" t="s">
        <v>2627</v>
      </c>
      <c r="O792" s="109" t="s">
        <v>819</v>
      </c>
      <c r="P792" s="109"/>
      <c r="Q792" s="109"/>
      <c r="R792" s="109">
        <v>1</v>
      </c>
      <c r="S792" s="110" t="s">
        <v>820</v>
      </c>
      <c r="T792" s="1183"/>
      <c r="U792" s="112">
        <f t="shared" ref="U792:AH792" si="190">+U793+U796+U856+U860+U865</f>
        <v>97500</v>
      </c>
      <c r="V792" s="1231">
        <f>+U792/56</f>
        <v>1741.0714285714287</v>
      </c>
      <c r="W792" s="112">
        <f t="shared" si="190"/>
        <v>0</v>
      </c>
      <c r="X792" s="1116">
        <f t="shared" si="190"/>
        <v>0</v>
      </c>
      <c r="Y792" s="112">
        <f t="shared" si="190"/>
        <v>439773.62428571435</v>
      </c>
      <c r="Z792" s="112">
        <f t="shared" si="190"/>
        <v>0</v>
      </c>
      <c r="AA792" s="1116">
        <f t="shared" si="190"/>
        <v>0</v>
      </c>
      <c r="AB792" s="112">
        <f t="shared" si="190"/>
        <v>97000</v>
      </c>
      <c r="AC792" s="112">
        <f t="shared" si="190"/>
        <v>0</v>
      </c>
      <c r="AD792" s="1116">
        <f t="shared" si="190"/>
        <v>0</v>
      </c>
      <c r="AE792" s="112">
        <f t="shared" si="190"/>
        <v>97000</v>
      </c>
      <c r="AF792" s="112">
        <f t="shared" si="190"/>
        <v>0</v>
      </c>
      <c r="AG792" s="1116">
        <f t="shared" si="190"/>
        <v>0</v>
      </c>
      <c r="AH792" s="112">
        <f>+AH793+AH796+AH856+AH860+AH865</f>
        <v>731273.62428571435</v>
      </c>
      <c r="AI792" s="521">
        <f>+AI793+AI796+AI856+AI860+AI865</f>
        <v>0</v>
      </c>
      <c r="AJ792" s="760">
        <f>+AJ793+AJ796+AJ856+AJ860+AJ865</f>
        <v>0</v>
      </c>
      <c r="AK792" s="217"/>
      <c r="AL792" s="217"/>
      <c r="AM792" s="217"/>
      <c r="AN792" s="785" t="s">
        <v>39</v>
      </c>
      <c r="AO792" s="109"/>
      <c r="AP792" s="109"/>
      <c r="AQ792" s="411"/>
      <c r="AR792" s="109"/>
      <c r="AS792" s="473"/>
      <c r="AT792" s="109"/>
      <c r="AU792" s="659"/>
      <c r="AV792" s="978"/>
      <c r="AW792" s="429" t="s">
        <v>821</v>
      </c>
    </row>
    <row r="793" spans="1:49" s="153" customFormat="1" ht="28.35" customHeight="1" outlineLevel="1" collapsed="1" x14ac:dyDescent="0.25">
      <c r="A793" s="744" t="str">
        <f t="shared" si="100"/>
        <v>1.6.1.1.0.0</v>
      </c>
      <c r="B793" s="82">
        <v>1</v>
      </c>
      <c r="C793" s="82">
        <v>6</v>
      </c>
      <c r="D793" s="82">
        <v>1</v>
      </c>
      <c r="E793" s="82">
        <v>1</v>
      </c>
      <c r="F793" s="82">
        <v>0</v>
      </c>
      <c r="G793" s="82">
        <v>0</v>
      </c>
      <c r="H793" s="749"/>
      <c r="I793" s="749"/>
      <c r="J793" s="1304" t="s">
        <v>822</v>
      </c>
      <c r="K793" s="1303"/>
      <c r="L793" s="82" t="s">
        <v>209</v>
      </c>
      <c r="M793" s="82">
        <v>0</v>
      </c>
      <c r="N793" s="82" t="s">
        <v>2627</v>
      </c>
      <c r="O793" s="82" t="s">
        <v>359</v>
      </c>
      <c r="P793" s="82"/>
      <c r="Q793" s="82"/>
      <c r="R793" s="82"/>
      <c r="S793" s="149"/>
      <c r="T793" s="193"/>
      <c r="U793" s="1015">
        <f>SUM(U794:U795)</f>
        <v>0</v>
      </c>
      <c r="V793" s="1015"/>
      <c r="W793" s="1015">
        <f t="shared" ref="W793:AH793" si="191">SUM(W794:W795)</f>
        <v>0</v>
      </c>
      <c r="X793" s="1139">
        <f t="shared" si="191"/>
        <v>0</v>
      </c>
      <c r="Y793" s="1015">
        <f t="shared" si="191"/>
        <v>0</v>
      </c>
      <c r="Z793" s="1015">
        <f t="shared" si="191"/>
        <v>0</v>
      </c>
      <c r="AA793" s="1139">
        <f t="shared" si="191"/>
        <v>0</v>
      </c>
      <c r="AB793" s="1015">
        <f t="shared" si="191"/>
        <v>0</v>
      </c>
      <c r="AC793" s="1015">
        <f t="shared" si="191"/>
        <v>0</v>
      </c>
      <c r="AD793" s="1139">
        <f t="shared" si="191"/>
        <v>0</v>
      </c>
      <c r="AE793" s="1015">
        <f t="shared" si="191"/>
        <v>0</v>
      </c>
      <c r="AF793" s="1015">
        <f t="shared" si="191"/>
        <v>0</v>
      </c>
      <c r="AG793" s="1139">
        <f t="shared" si="191"/>
        <v>0</v>
      </c>
      <c r="AH793" s="1015">
        <f t="shared" si="191"/>
        <v>0</v>
      </c>
      <c r="AI793" s="218"/>
      <c r="AJ793" s="1033"/>
      <c r="AK793" s="218"/>
      <c r="AL793" s="218"/>
      <c r="AM793" s="218"/>
      <c r="AN793" s="1034" t="s">
        <v>39</v>
      </c>
      <c r="AO793" s="82"/>
      <c r="AP793" s="82"/>
      <c r="AQ793" s="365"/>
      <c r="AR793" s="82"/>
      <c r="AS793" s="483"/>
      <c r="AT793" s="82"/>
      <c r="AU793" s="666"/>
      <c r="AV793" s="386">
        <f t="shared" ref="AV793" si="192">SUM(AV794:AV795)</f>
        <v>0</v>
      </c>
      <c r="AW793" s="444"/>
    </row>
    <row r="794" spans="1:49" ht="72" hidden="1" customHeight="1" outlineLevel="2" x14ac:dyDescent="0.25">
      <c r="A794" s="745" t="str">
        <f t="shared" si="100"/>
        <v>1.6.1.1.1.58-64</v>
      </c>
      <c r="B794" s="64">
        <v>1</v>
      </c>
      <c r="C794" s="64">
        <v>6</v>
      </c>
      <c r="D794" s="64">
        <v>1</v>
      </c>
      <c r="E794" s="64">
        <v>1</v>
      </c>
      <c r="F794" s="64">
        <v>1</v>
      </c>
      <c r="G794" s="64" t="s">
        <v>64</v>
      </c>
      <c r="H794" s="750"/>
      <c r="I794" s="750"/>
      <c r="J794" s="751"/>
      <c r="K794" s="752" t="s">
        <v>823</v>
      </c>
      <c r="L794" s="64" t="s">
        <v>209</v>
      </c>
      <c r="M794" s="64" t="s">
        <v>824</v>
      </c>
      <c r="N794" s="64" t="s">
        <v>2627</v>
      </c>
      <c r="O794" s="64" t="s">
        <v>359</v>
      </c>
      <c r="P794" s="69">
        <v>44927</v>
      </c>
      <c r="Q794" s="69">
        <v>45083</v>
      </c>
      <c r="R794" s="64"/>
      <c r="S794" s="65"/>
      <c r="T794" s="194"/>
      <c r="U794" s="75">
        <v>0</v>
      </c>
      <c r="V794" s="75"/>
      <c r="W794" s="75">
        <v>0</v>
      </c>
      <c r="X794" s="1122">
        <v>0</v>
      </c>
      <c r="Y794" s="75">
        <v>0</v>
      </c>
      <c r="Z794" s="75">
        <v>0</v>
      </c>
      <c r="AA794" s="1122">
        <v>0</v>
      </c>
      <c r="AB794" s="75">
        <v>0</v>
      </c>
      <c r="AC794" s="75">
        <v>0</v>
      </c>
      <c r="AD794" s="1122">
        <v>0</v>
      </c>
      <c r="AE794" s="75">
        <v>0</v>
      </c>
      <c r="AF794" s="75">
        <v>0</v>
      </c>
      <c r="AG794" s="1122">
        <v>0</v>
      </c>
      <c r="AH794" s="505">
        <f>+U794+Y794+AB794+AE794</f>
        <v>0</v>
      </c>
      <c r="AI794" s="132"/>
      <c r="AJ794" s="75">
        <f t="shared" ref="AJ794:AJ795" si="193">+W795+Z795+AC795+AF795</f>
        <v>0</v>
      </c>
      <c r="AK794" s="75"/>
      <c r="AL794" s="75"/>
      <c r="AM794" s="75"/>
      <c r="AN794" s="787" t="s">
        <v>39</v>
      </c>
      <c r="AO794" s="64"/>
      <c r="AP794" s="64"/>
      <c r="AQ794" s="189"/>
      <c r="AR794" s="64"/>
      <c r="AS794" s="476"/>
      <c r="AT794" s="64"/>
      <c r="AU794" s="646"/>
      <c r="AV794" s="259"/>
      <c r="AW794" s="185"/>
    </row>
    <row r="795" spans="1:49" ht="50.45" hidden="1" customHeight="1" outlineLevel="2" x14ac:dyDescent="0.25">
      <c r="A795" s="745" t="str">
        <f t="shared" si="100"/>
        <v>1.6.1.1.2.58-64</v>
      </c>
      <c r="B795" s="64">
        <v>1</v>
      </c>
      <c r="C795" s="64">
        <v>6</v>
      </c>
      <c r="D795" s="64">
        <v>1</v>
      </c>
      <c r="E795" s="64">
        <v>1</v>
      </c>
      <c r="F795" s="64">
        <v>2</v>
      </c>
      <c r="G795" s="64" t="s">
        <v>64</v>
      </c>
      <c r="H795" s="750"/>
      <c r="I795" s="750"/>
      <c r="J795" s="751"/>
      <c r="K795" s="752" t="s">
        <v>825</v>
      </c>
      <c r="L795" s="64" t="s">
        <v>209</v>
      </c>
      <c r="M795" s="64" t="s">
        <v>826</v>
      </c>
      <c r="N795" s="64" t="s">
        <v>2627</v>
      </c>
      <c r="O795" s="64" t="s">
        <v>819</v>
      </c>
      <c r="P795" s="64"/>
      <c r="Q795" s="64"/>
      <c r="R795" s="64"/>
      <c r="S795" s="65" t="s">
        <v>827</v>
      </c>
      <c r="T795" s="194"/>
      <c r="U795" s="327">
        <v>0</v>
      </c>
      <c r="V795" s="327"/>
      <c r="W795" s="327">
        <v>0</v>
      </c>
      <c r="X795" s="1140">
        <v>0</v>
      </c>
      <c r="Y795" s="327">
        <v>0</v>
      </c>
      <c r="Z795" s="327">
        <v>0</v>
      </c>
      <c r="AA795" s="1140">
        <v>0</v>
      </c>
      <c r="AB795" s="327">
        <v>0</v>
      </c>
      <c r="AC795" s="327">
        <v>0</v>
      </c>
      <c r="AD795" s="1140">
        <v>0</v>
      </c>
      <c r="AE795" s="327">
        <v>0</v>
      </c>
      <c r="AF795" s="327">
        <v>0</v>
      </c>
      <c r="AG795" s="1140">
        <v>0</v>
      </c>
      <c r="AH795" s="505">
        <f>+U795+Y795+AB795+AE795</f>
        <v>0</v>
      </c>
      <c r="AI795" s="132"/>
      <c r="AJ795" s="75">
        <f t="shared" si="193"/>
        <v>0</v>
      </c>
      <c r="AK795" s="75"/>
      <c r="AL795" s="75"/>
      <c r="AM795" s="75"/>
      <c r="AN795" s="1035" t="s">
        <v>39</v>
      </c>
      <c r="AO795" s="64"/>
      <c r="AP795" s="64"/>
      <c r="AQ795" s="189"/>
      <c r="AR795" s="64"/>
      <c r="AS795" s="476"/>
      <c r="AT795" s="64"/>
      <c r="AU795" s="646"/>
      <c r="AV795" s="259" t="s">
        <v>1796</v>
      </c>
      <c r="AW795" s="185"/>
    </row>
    <row r="796" spans="1:49" s="153" customFormat="1" ht="43.5" customHeight="1" outlineLevel="1" collapsed="1" x14ac:dyDescent="0.25">
      <c r="A796" s="744" t="str">
        <f t="shared" si="100"/>
        <v>1.6.1.2.0.0</v>
      </c>
      <c r="B796" s="82">
        <v>1</v>
      </c>
      <c r="C796" s="82">
        <v>6</v>
      </c>
      <c r="D796" s="82">
        <v>1</v>
      </c>
      <c r="E796" s="82">
        <v>2</v>
      </c>
      <c r="F796" s="82">
        <v>0</v>
      </c>
      <c r="G796" s="82">
        <v>0</v>
      </c>
      <c r="H796" s="749"/>
      <c r="I796" s="749"/>
      <c r="J796" s="1304" t="s">
        <v>687</v>
      </c>
      <c r="K796" s="1303"/>
      <c r="L796" s="82" t="s">
        <v>72</v>
      </c>
      <c r="M796" s="82" t="s">
        <v>73</v>
      </c>
      <c r="N796" s="83" t="s">
        <v>828</v>
      </c>
      <c r="O796" s="82" t="s">
        <v>829</v>
      </c>
      <c r="P796" s="82"/>
      <c r="Q796" s="82"/>
      <c r="R796" s="82"/>
      <c r="S796" s="149"/>
      <c r="T796" s="193"/>
      <c r="U796" s="209">
        <f>SUM(U797:U855)</f>
        <v>0</v>
      </c>
      <c r="V796" s="209"/>
      <c r="W796" s="209">
        <f t="shared" ref="W796:AG796" si="194">SUM(W797:W855)</f>
        <v>0</v>
      </c>
      <c r="X796" s="1133">
        <f t="shared" si="194"/>
        <v>0</v>
      </c>
      <c r="Y796" s="209">
        <f>SUM(Y797:Y855)</f>
        <v>342773.62428571435</v>
      </c>
      <c r="Z796" s="209">
        <f t="shared" si="194"/>
        <v>0</v>
      </c>
      <c r="AA796" s="1133">
        <f t="shared" si="194"/>
        <v>0</v>
      </c>
      <c r="AB796" s="209">
        <f t="shared" si="194"/>
        <v>0</v>
      </c>
      <c r="AC796" s="209">
        <f t="shared" si="194"/>
        <v>0</v>
      </c>
      <c r="AD796" s="1133">
        <f t="shared" si="194"/>
        <v>0</v>
      </c>
      <c r="AE796" s="209">
        <f t="shared" si="194"/>
        <v>0</v>
      </c>
      <c r="AF796" s="209">
        <f t="shared" si="194"/>
        <v>0</v>
      </c>
      <c r="AG796" s="1133">
        <f t="shared" si="194"/>
        <v>0</v>
      </c>
      <c r="AH796" s="209">
        <f>SUM(AH797:AH855)</f>
        <v>342773.62428571435</v>
      </c>
      <c r="AI796" s="522">
        <f>+SUM(AI797:AI855)</f>
        <v>0</v>
      </c>
      <c r="AJ796" s="765">
        <f>+SUM(AJ797:AJ855)</f>
        <v>0</v>
      </c>
      <c r="AK796" s="218"/>
      <c r="AL796" s="218"/>
      <c r="AM796" s="218"/>
      <c r="AN796" s="786" t="s">
        <v>39</v>
      </c>
      <c r="AO796" s="82"/>
      <c r="AP796" s="82"/>
      <c r="AQ796" s="365"/>
      <c r="AR796" s="82"/>
      <c r="AS796" s="483"/>
      <c r="AT796" s="82"/>
      <c r="AU796" s="666"/>
      <c r="AV796" s="358"/>
      <c r="AW796" s="444"/>
    </row>
    <row r="797" spans="1:49" s="212" customFormat="1" ht="26.45" hidden="1" customHeight="1" outlineLevel="2" x14ac:dyDescent="0.25">
      <c r="A797" s="746" t="str">
        <f t="shared" si="100"/>
        <v>1.6.1.2.1.58</v>
      </c>
      <c r="B797" s="136">
        <v>1</v>
      </c>
      <c r="C797" s="136">
        <v>6</v>
      </c>
      <c r="D797" s="136">
        <v>1</v>
      </c>
      <c r="E797" s="136">
        <v>2</v>
      </c>
      <c r="F797" s="136">
        <v>1</v>
      </c>
      <c r="G797" s="136">
        <v>58</v>
      </c>
      <c r="H797" s="753"/>
      <c r="I797" s="753"/>
      <c r="J797" s="753"/>
      <c r="K797" s="753" t="s">
        <v>482</v>
      </c>
      <c r="L797" s="136" t="s">
        <v>830</v>
      </c>
      <c r="M797" s="136" t="s">
        <v>73</v>
      </c>
      <c r="N797" s="136" t="s">
        <v>74</v>
      </c>
      <c r="O797" s="136" t="s">
        <v>737</v>
      </c>
      <c r="P797" s="219">
        <v>44197</v>
      </c>
      <c r="Q797" s="219">
        <v>44229</v>
      </c>
      <c r="R797" s="219">
        <v>1</v>
      </c>
      <c r="S797" s="219" t="s">
        <v>831</v>
      </c>
      <c r="T797" s="1197"/>
      <c r="U797" s="220">
        <v>0</v>
      </c>
      <c r="V797" s="220"/>
      <c r="W797" s="220">
        <v>0</v>
      </c>
      <c r="X797" s="1141">
        <v>0</v>
      </c>
      <c r="Y797" s="220">
        <v>0</v>
      </c>
      <c r="Z797" s="220">
        <v>0</v>
      </c>
      <c r="AA797" s="1141">
        <v>0</v>
      </c>
      <c r="AB797" s="220">
        <v>0</v>
      </c>
      <c r="AC797" s="220">
        <v>0</v>
      </c>
      <c r="AD797" s="1141">
        <v>0</v>
      </c>
      <c r="AE797" s="220">
        <v>0</v>
      </c>
      <c r="AF797" s="220">
        <v>0</v>
      </c>
      <c r="AG797" s="1141">
        <v>0</v>
      </c>
      <c r="AH797" s="505">
        <f>+U797+Y797+AB797+AE797</f>
        <v>0</v>
      </c>
      <c r="AI797" s="132"/>
      <c r="AJ797" s="75">
        <f t="shared" ref="AJ797:AJ855" si="195">+W798+Z798+AC798+AF798</f>
        <v>0</v>
      </c>
      <c r="AK797" s="75"/>
      <c r="AL797" s="75"/>
      <c r="AM797" s="75"/>
      <c r="AN797" s="788" t="s">
        <v>39</v>
      </c>
      <c r="AO797" s="221"/>
      <c r="AP797" s="221"/>
      <c r="AQ797" s="221"/>
      <c r="AR797" s="221"/>
      <c r="AS797" s="221"/>
      <c r="AT797" s="221"/>
      <c r="AU797" s="654"/>
      <c r="AV797" s="359" t="s">
        <v>166</v>
      </c>
      <c r="AW797" s="1317"/>
    </row>
    <row r="798" spans="1:49" s="212" customFormat="1" ht="26.45" hidden="1" customHeight="1" outlineLevel="2" x14ac:dyDescent="0.25">
      <c r="A798" s="746" t="str">
        <f t="shared" si="100"/>
        <v>1.6.1.2.1.59</v>
      </c>
      <c r="B798" s="136">
        <v>1</v>
      </c>
      <c r="C798" s="136">
        <v>6</v>
      </c>
      <c r="D798" s="136">
        <v>1</v>
      </c>
      <c r="E798" s="136">
        <v>2</v>
      </c>
      <c r="F798" s="136">
        <v>1</v>
      </c>
      <c r="G798" s="136">
        <v>59</v>
      </c>
      <c r="H798" s="753"/>
      <c r="I798" s="753"/>
      <c r="J798" s="753"/>
      <c r="K798" s="753" t="s">
        <v>483</v>
      </c>
      <c r="L798" s="136" t="s">
        <v>830</v>
      </c>
      <c r="M798" s="136" t="s">
        <v>73</v>
      </c>
      <c r="N798" s="136" t="s">
        <v>74</v>
      </c>
      <c r="O798" s="136" t="s">
        <v>737</v>
      </c>
      <c r="P798" s="219"/>
      <c r="Q798" s="219"/>
      <c r="R798" s="219"/>
      <c r="S798" s="219"/>
      <c r="T798" s="1197"/>
      <c r="U798" s="220">
        <v>0</v>
      </c>
      <c r="V798" s="220"/>
      <c r="W798" s="220">
        <v>0</v>
      </c>
      <c r="X798" s="1141">
        <v>0</v>
      </c>
      <c r="Y798" s="220">
        <v>0</v>
      </c>
      <c r="Z798" s="220">
        <v>0</v>
      </c>
      <c r="AA798" s="1141">
        <v>0</v>
      </c>
      <c r="AB798" s="220">
        <v>0</v>
      </c>
      <c r="AC798" s="220">
        <v>0</v>
      </c>
      <c r="AD798" s="1141">
        <v>0</v>
      </c>
      <c r="AE798" s="220">
        <v>0</v>
      </c>
      <c r="AF798" s="220">
        <v>0</v>
      </c>
      <c r="AG798" s="1141">
        <v>0</v>
      </c>
      <c r="AH798" s="505">
        <f t="shared" ref="AH798:AH855" si="196">+U798+Y798+AB798+AE798</f>
        <v>0</v>
      </c>
      <c r="AI798" s="132"/>
      <c r="AJ798" s="75">
        <f t="shared" si="195"/>
        <v>0</v>
      </c>
      <c r="AK798" s="75"/>
      <c r="AL798" s="75"/>
      <c r="AM798" s="75"/>
      <c r="AN798" s="788" t="s">
        <v>39</v>
      </c>
      <c r="AO798" s="221"/>
      <c r="AP798" s="221"/>
      <c r="AQ798" s="221"/>
      <c r="AR798" s="221"/>
      <c r="AS798" s="221"/>
      <c r="AT798" s="221"/>
      <c r="AU798" s="654"/>
      <c r="AV798" s="359" t="s">
        <v>166</v>
      </c>
      <c r="AW798" s="1318"/>
    </row>
    <row r="799" spans="1:49" s="212" customFormat="1" ht="26.45" hidden="1" customHeight="1" outlineLevel="2" x14ac:dyDescent="0.25">
      <c r="A799" s="746" t="str">
        <f t="shared" si="100"/>
        <v>1.6.1.2.1.60</v>
      </c>
      <c r="B799" s="136">
        <v>1</v>
      </c>
      <c r="C799" s="136">
        <v>6</v>
      </c>
      <c r="D799" s="136">
        <v>1</v>
      </c>
      <c r="E799" s="136">
        <v>2</v>
      </c>
      <c r="F799" s="136">
        <v>1</v>
      </c>
      <c r="G799" s="136">
        <v>60</v>
      </c>
      <c r="H799" s="753"/>
      <c r="I799" s="753"/>
      <c r="J799" s="753"/>
      <c r="K799" s="753" t="s">
        <v>484</v>
      </c>
      <c r="L799" s="136" t="s">
        <v>830</v>
      </c>
      <c r="M799" s="136" t="s">
        <v>73</v>
      </c>
      <c r="N799" s="136" t="s">
        <v>74</v>
      </c>
      <c r="O799" s="136" t="s">
        <v>737</v>
      </c>
      <c r="P799" s="219"/>
      <c r="Q799" s="219"/>
      <c r="R799" s="219"/>
      <c r="S799" s="219"/>
      <c r="T799" s="1197"/>
      <c r="U799" s="220">
        <v>0</v>
      </c>
      <c r="V799" s="220"/>
      <c r="W799" s="220">
        <v>0</v>
      </c>
      <c r="X799" s="1141">
        <v>0</v>
      </c>
      <c r="Y799" s="220">
        <v>0</v>
      </c>
      <c r="Z799" s="220">
        <v>0</v>
      </c>
      <c r="AA799" s="1141">
        <v>0</v>
      </c>
      <c r="AB799" s="220">
        <v>0</v>
      </c>
      <c r="AC799" s="220">
        <v>0</v>
      </c>
      <c r="AD799" s="1141">
        <v>0</v>
      </c>
      <c r="AE799" s="220">
        <v>0</v>
      </c>
      <c r="AF799" s="220">
        <v>0</v>
      </c>
      <c r="AG799" s="1141">
        <v>0</v>
      </c>
      <c r="AH799" s="505">
        <f t="shared" si="196"/>
        <v>0</v>
      </c>
      <c r="AI799" s="132"/>
      <c r="AJ799" s="75">
        <f t="shared" si="195"/>
        <v>0</v>
      </c>
      <c r="AK799" s="75"/>
      <c r="AL799" s="75"/>
      <c r="AM799" s="75"/>
      <c r="AN799" s="788" t="s">
        <v>39</v>
      </c>
      <c r="AO799" s="221"/>
      <c r="AP799" s="221"/>
      <c r="AQ799" s="221"/>
      <c r="AR799" s="221"/>
      <c r="AS799" s="221"/>
      <c r="AT799" s="221"/>
      <c r="AU799" s="654"/>
      <c r="AV799" s="359" t="s">
        <v>166</v>
      </c>
      <c r="AW799" s="1318"/>
    </row>
    <row r="800" spans="1:49" s="212" customFormat="1" ht="26.45" hidden="1" customHeight="1" outlineLevel="2" x14ac:dyDescent="0.25">
      <c r="A800" s="746" t="str">
        <f t="shared" si="100"/>
        <v>1.6.1.2.1.61</v>
      </c>
      <c r="B800" s="136">
        <v>1</v>
      </c>
      <c r="C800" s="136">
        <v>6</v>
      </c>
      <c r="D800" s="136">
        <v>1</v>
      </c>
      <c r="E800" s="136">
        <v>2</v>
      </c>
      <c r="F800" s="136">
        <v>1</v>
      </c>
      <c r="G800" s="136">
        <v>61</v>
      </c>
      <c r="H800" s="753"/>
      <c r="I800" s="753"/>
      <c r="J800" s="753"/>
      <c r="K800" s="753" t="s">
        <v>485</v>
      </c>
      <c r="L800" s="136" t="s">
        <v>830</v>
      </c>
      <c r="M800" s="136" t="s">
        <v>73</v>
      </c>
      <c r="N800" s="136" t="s">
        <v>74</v>
      </c>
      <c r="O800" s="136" t="s">
        <v>737</v>
      </c>
      <c r="P800" s="219"/>
      <c r="Q800" s="219"/>
      <c r="R800" s="219"/>
      <c r="S800" s="219"/>
      <c r="T800" s="1197"/>
      <c r="U800" s="220">
        <v>0</v>
      </c>
      <c r="V800" s="220"/>
      <c r="W800" s="220">
        <v>0</v>
      </c>
      <c r="X800" s="1141">
        <v>0</v>
      </c>
      <c r="Y800" s="220">
        <v>0</v>
      </c>
      <c r="Z800" s="220">
        <v>0</v>
      </c>
      <c r="AA800" s="1141">
        <v>0</v>
      </c>
      <c r="AB800" s="220">
        <v>0</v>
      </c>
      <c r="AC800" s="220">
        <v>0</v>
      </c>
      <c r="AD800" s="1141">
        <v>0</v>
      </c>
      <c r="AE800" s="220">
        <v>0</v>
      </c>
      <c r="AF800" s="220">
        <v>0</v>
      </c>
      <c r="AG800" s="1141">
        <v>0</v>
      </c>
      <c r="AH800" s="505">
        <f t="shared" si="196"/>
        <v>0</v>
      </c>
      <c r="AI800" s="132"/>
      <c r="AJ800" s="75">
        <f t="shared" si="195"/>
        <v>0</v>
      </c>
      <c r="AK800" s="75"/>
      <c r="AL800" s="75"/>
      <c r="AM800" s="75"/>
      <c r="AN800" s="788" t="s">
        <v>39</v>
      </c>
      <c r="AO800" s="221"/>
      <c r="AP800" s="221"/>
      <c r="AQ800" s="221"/>
      <c r="AR800" s="221"/>
      <c r="AS800" s="221"/>
      <c r="AT800" s="221"/>
      <c r="AU800" s="654"/>
      <c r="AV800" s="359" t="s">
        <v>166</v>
      </c>
      <c r="AW800" s="1318"/>
    </row>
    <row r="801" spans="1:49" s="212" customFormat="1" ht="26.45" hidden="1" customHeight="1" outlineLevel="2" x14ac:dyDescent="0.25">
      <c r="A801" s="746" t="str">
        <f t="shared" si="100"/>
        <v>1.6.1.2.1.62</v>
      </c>
      <c r="B801" s="136">
        <v>1</v>
      </c>
      <c r="C801" s="136">
        <v>6</v>
      </c>
      <c r="D801" s="136">
        <v>1</v>
      </c>
      <c r="E801" s="136">
        <v>2</v>
      </c>
      <c r="F801" s="136">
        <v>1</v>
      </c>
      <c r="G801" s="136">
        <v>62</v>
      </c>
      <c r="H801" s="753"/>
      <c r="I801" s="753"/>
      <c r="J801" s="753"/>
      <c r="K801" s="753" t="s">
        <v>832</v>
      </c>
      <c r="L801" s="136" t="s">
        <v>830</v>
      </c>
      <c r="M801" s="136" t="s">
        <v>73</v>
      </c>
      <c r="N801" s="136" t="s">
        <v>74</v>
      </c>
      <c r="O801" s="136" t="s">
        <v>737</v>
      </c>
      <c r="P801" s="219"/>
      <c r="Q801" s="219"/>
      <c r="R801" s="221"/>
      <c r="S801" s="219"/>
      <c r="T801" s="1197"/>
      <c r="U801" s="220">
        <v>0</v>
      </c>
      <c r="V801" s="220"/>
      <c r="W801" s="220">
        <v>0</v>
      </c>
      <c r="X801" s="1141">
        <v>0</v>
      </c>
      <c r="Y801" s="220">
        <v>0</v>
      </c>
      <c r="Z801" s="220">
        <v>0</v>
      </c>
      <c r="AA801" s="1141">
        <v>0</v>
      </c>
      <c r="AB801" s="220">
        <v>0</v>
      </c>
      <c r="AC801" s="220">
        <v>0</v>
      </c>
      <c r="AD801" s="1141">
        <v>0</v>
      </c>
      <c r="AE801" s="220">
        <v>0</v>
      </c>
      <c r="AF801" s="220">
        <v>0</v>
      </c>
      <c r="AG801" s="1141">
        <v>0</v>
      </c>
      <c r="AH801" s="505">
        <f t="shared" si="196"/>
        <v>0</v>
      </c>
      <c r="AI801" s="132"/>
      <c r="AJ801" s="75">
        <f t="shared" si="195"/>
        <v>0</v>
      </c>
      <c r="AK801" s="75"/>
      <c r="AL801" s="75"/>
      <c r="AM801" s="75"/>
      <c r="AN801" s="788" t="s">
        <v>39</v>
      </c>
      <c r="AO801" s="221"/>
      <c r="AP801" s="221"/>
      <c r="AQ801" s="221"/>
      <c r="AR801" s="221"/>
      <c r="AS801" s="221"/>
      <c r="AT801" s="221"/>
      <c r="AU801" s="654"/>
      <c r="AV801" s="359" t="s">
        <v>166</v>
      </c>
      <c r="AW801" s="1318"/>
    </row>
    <row r="802" spans="1:49" s="212" customFormat="1" ht="26.45" hidden="1" customHeight="1" outlineLevel="2" x14ac:dyDescent="0.25">
      <c r="A802" s="746" t="str">
        <f t="shared" si="100"/>
        <v>1.6.1.2.1.63</v>
      </c>
      <c r="B802" s="136">
        <v>1</v>
      </c>
      <c r="C802" s="136">
        <v>6</v>
      </c>
      <c r="D802" s="136">
        <v>1</v>
      </c>
      <c r="E802" s="136">
        <v>2</v>
      </c>
      <c r="F802" s="136">
        <v>1</v>
      </c>
      <c r="G802" s="136">
        <v>63</v>
      </c>
      <c r="H802" s="753"/>
      <c r="I802" s="753"/>
      <c r="J802" s="753"/>
      <c r="K802" s="753" t="s">
        <v>1757</v>
      </c>
      <c r="L802" s="136" t="s">
        <v>830</v>
      </c>
      <c r="M802" s="136" t="s">
        <v>73</v>
      </c>
      <c r="N802" s="136" t="s">
        <v>74</v>
      </c>
      <c r="O802" s="136" t="s">
        <v>737</v>
      </c>
      <c r="P802" s="219"/>
      <c r="Q802" s="219"/>
      <c r="R802" s="219"/>
      <c r="S802" s="219"/>
      <c r="T802" s="1197"/>
      <c r="U802" s="220">
        <v>0</v>
      </c>
      <c r="V802" s="220"/>
      <c r="W802" s="220">
        <v>0</v>
      </c>
      <c r="X802" s="1141">
        <v>0</v>
      </c>
      <c r="Y802" s="220">
        <v>0</v>
      </c>
      <c r="Z802" s="220">
        <v>0</v>
      </c>
      <c r="AA802" s="1141">
        <v>0</v>
      </c>
      <c r="AB802" s="220">
        <v>0</v>
      </c>
      <c r="AC802" s="220">
        <v>0</v>
      </c>
      <c r="AD802" s="1141">
        <v>0</v>
      </c>
      <c r="AE802" s="220">
        <v>0</v>
      </c>
      <c r="AF802" s="220">
        <v>0</v>
      </c>
      <c r="AG802" s="1141">
        <v>0</v>
      </c>
      <c r="AH802" s="505">
        <f t="shared" si="196"/>
        <v>0</v>
      </c>
      <c r="AI802" s="132"/>
      <c r="AJ802" s="75">
        <f t="shared" si="195"/>
        <v>0</v>
      </c>
      <c r="AK802" s="75"/>
      <c r="AL802" s="75"/>
      <c r="AM802" s="75"/>
      <c r="AN802" s="788" t="s">
        <v>39</v>
      </c>
      <c r="AO802" s="221"/>
      <c r="AP802" s="221"/>
      <c r="AQ802" s="221"/>
      <c r="AR802" s="221"/>
      <c r="AS802" s="221"/>
      <c r="AT802" s="221"/>
      <c r="AU802" s="654"/>
      <c r="AV802" s="359" t="s">
        <v>166</v>
      </c>
      <c r="AW802" s="1318"/>
    </row>
    <row r="803" spans="1:49" s="212" customFormat="1" ht="26.45" hidden="1" customHeight="1" outlineLevel="2" x14ac:dyDescent="0.25">
      <c r="A803" s="746" t="str">
        <f t="shared" si="100"/>
        <v>1.6.1.2.1.64</v>
      </c>
      <c r="B803" s="136">
        <v>1</v>
      </c>
      <c r="C803" s="136">
        <v>6</v>
      </c>
      <c r="D803" s="136">
        <v>1</v>
      </c>
      <c r="E803" s="136">
        <v>2</v>
      </c>
      <c r="F803" s="136">
        <v>1</v>
      </c>
      <c r="G803" s="136">
        <v>64</v>
      </c>
      <c r="H803" s="753"/>
      <c r="I803" s="753"/>
      <c r="J803" s="753"/>
      <c r="K803" s="753" t="s">
        <v>487</v>
      </c>
      <c r="L803" s="136" t="s">
        <v>830</v>
      </c>
      <c r="M803" s="136" t="s">
        <v>73</v>
      </c>
      <c r="N803" s="136" t="s">
        <v>74</v>
      </c>
      <c r="O803" s="136" t="s">
        <v>737</v>
      </c>
      <c r="P803" s="219"/>
      <c r="Q803" s="219"/>
      <c r="R803" s="219"/>
      <c r="S803" s="219"/>
      <c r="T803" s="1197"/>
      <c r="U803" s="220">
        <v>0</v>
      </c>
      <c r="V803" s="220"/>
      <c r="W803" s="220">
        <v>0</v>
      </c>
      <c r="X803" s="1141">
        <v>0</v>
      </c>
      <c r="Y803" s="220">
        <v>0</v>
      </c>
      <c r="Z803" s="220">
        <v>0</v>
      </c>
      <c r="AA803" s="1141">
        <v>0</v>
      </c>
      <c r="AB803" s="220">
        <v>0</v>
      </c>
      <c r="AC803" s="220">
        <v>0</v>
      </c>
      <c r="AD803" s="1141">
        <v>0</v>
      </c>
      <c r="AE803" s="220">
        <v>0</v>
      </c>
      <c r="AF803" s="220">
        <v>0</v>
      </c>
      <c r="AG803" s="1141">
        <v>0</v>
      </c>
      <c r="AH803" s="505">
        <f t="shared" si="196"/>
        <v>0</v>
      </c>
      <c r="AI803" s="132"/>
      <c r="AJ803" s="75">
        <f t="shared" si="195"/>
        <v>0</v>
      </c>
      <c r="AK803" s="75"/>
      <c r="AL803" s="75"/>
      <c r="AM803" s="75"/>
      <c r="AN803" s="788" t="s">
        <v>39</v>
      </c>
      <c r="AO803" s="221"/>
      <c r="AP803" s="221"/>
      <c r="AQ803" s="221"/>
      <c r="AR803" s="221"/>
      <c r="AS803" s="221"/>
      <c r="AT803" s="221"/>
      <c r="AU803" s="654"/>
      <c r="AV803" s="359" t="s">
        <v>166</v>
      </c>
      <c r="AW803" s="1319"/>
    </row>
    <row r="804" spans="1:49" s="212" customFormat="1" ht="32.1" hidden="1" customHeight="1" outlineLevel="2" x14ac:dyDescent="0.25">
      <c r="A804" s="746" t="str">
        <f t="shared" si="100"/>
        <v>1.6.1.2.2.58</v>
      </c>
      <c r="B804" s="136">
        <v>1</v>
      </c>
      <c r="C804" s="136">
        <v>6</v>
      </c>
      <c r="D804" s="136">
        <v>1</v>
      </c>
      <c r="E804" s="136">
        <v>2</v>
      </c>
      <c r="F804" s="136">
        <v>2</v>
      </c>
      <c r="G804" s="136">
        <v>58</v>
      </c>
      <c r="H804" s="753"/>
      <c r="I804" s="753"/>
      <c r="J804" s="753"/>
      <c r="K804" s="754" t="s">
        <v>833</v>
      </c>
      <c r="L804" s="136" t="s">
        <v>830</v>
      </c>
      <c r="M804" s="136" t="s">
        <v>73</v>
      </c>
      <c r="N804" s="136" t="s">
        <v>834</v>
      </c>
      <c r="O804" s="136" t="s">
        <v>737</v>
      </c>
      <c r="P804" s="210">
        <v>44197</v>
      </c>
      <c r="Q804" s="210">
        <v>44229</v>
      </c>
      <c r="R804" s="219">
        <v>1</v>
      </c>
      <c r="S804" s="219" t="s">
        <v>831</v>
      </c>
      <c r="T804" s="1197"/>
      <c r="U804" s="220">
        <v>0</v>
      </c>
      <c r="V804" s="220"/>
      <c r="W804" s="220">
        <v>0</v>
      </c>
      <c r="X804" s="1141">
        <v>0</v>
      </c>
      <c r="Y804" s="220">
        <f>342773.65/7</f>
        <v>48967.664285714287</v>
      </c>
      <c r="Z804" s="220">
        <v>0</v>
      </c>
      <c r="AA804" s="1141">
        <v>0</v>
      </c>
      <c r="AB804" s="220">
        <v>0</v>
      </c>
      <c r="AC804" s="220">
        <v>0</v>
      </c>
      <c r="AD804" s="1141">
        <v>0</v>
      </c>
      <c r="AE804" s="220">
        <v>0</v>
      </c>
      <c r="AF804" s="220">
        <v>0</v>
      </c>
      <c r="AG804" s="1141">
        <v>0</v>
      </c>
      <c r="AH804" s="505">
        <f t="shared" si="196"/>
        <v>48967.664285714287</v>
      </c>
      <c r="AI804" s="132"/>
      <c r="AJ804" s="75">
        <f t="shared" si="195"/>
        <v>0</v>
      </c>
      <c r="AK804" s="322"/>
      <c r="AL804" s="322"/>
      <c r="AM804" s="322"/>
      <c r="AN804" s="788" t="s">
        <v>39</v>
      </c>
      <c r="AO804" s="221"/>
      <c r="AP804" s="221"/>
      <c r="AQ804" s="221"/>
      <c r="AR804" s="890"/>
      <c r="AS804" s="890"/>
      <c r="AT804" s="890"/>
      <c r="AU804" s="1083"/>
      <c r="AV804" s="360" t="s">
        <v>73</v>
      </c>
      <c r="AW804" s="1320" t="s">
        <v>2784</v>
      </c>
    </row>
    <row r="805" spans="1:49" s="212" customFormat="1" ht="48" hidden="1" customHeight="1" outlineLevel="2" x14ac:dyDescent="0.25">
      <c r="A805" s="746" t="str">
        <f t="shared" si="100"/>
        <v>1.6.1.2.2.59</v>
      </c>
      <c r="B805" s="136">
        <v>1</v>
      </c>
      <c r="C805" s="136">
        <v>6</v>
      </c>
      <c r="D805" s="136">
        <v>1</v>
      </c>
      <c r="E805" s="136">
        <v>2</v>
      </c>
      <c r="F805" s="136">
        <v>2</v>
      </c>
      <c r="G805" s="136">
        <v>59</v>
      </c>
      <c r="H805" s="753"/>
      <c r="I805" s="753"/>
      <c r="J805" s="753"/>
      <c r="K805" s="754" t="s">
        <v>836</v>
      </c>
      <c r="L805" s="136" t="s">
        <v>830</v>
      </c>
      <c r="M805" s="136" t="s">
        <v>73</v>
      </c>
      <c r="N805" s="136" t="s">
        <v>834</v>
      </c>
      <c r="O805" s="136" t="s">
        <v>737</v>
      </c>
      <c r="P805" s="219"/>
      <c r="Q805" s="219"/>
      <c r="R805" s="219"/>
      <c r="S805" s="219"/>
      <c r="T805" s="1197"/>
      <c r="U805" s="220">
        <v>0</v>
      </c>
      <c r="V805" s="220"/>
      <c r="W805" s="220">
        <v>0</v>
      </c>
      <c r="X805" s="1141">
        <v>0</v>
      </c>
      <c r="Y805" s="220">
        <v>48967.66</v>
      </c>
      <c r="Z805" s="220">
        <v>0</v>
      </c>
      <c r="AA805" s="1141">
        <v>0</v>
      </c>
      <c r="AB805" s="220">
        <v>0</v>
      </c>
      <c r="AC805" s="220">
        <v>0</v>
      </c>
      <c r="AD805" s="1141">
        <v>0</v>
      </c>
      <c r="AE805" s="220">
        <v>0</v>
      </c>
      <c r="AF805" s="220">
        <v>0</v>
      </c>
      <c r="AG805" s="1141">
        <v>0</v>
      </c>
      <c r="AH805" s="505">
        <f t="shared" si="196"/>
        <v>48967.66</v>
      </c>
      <c r="AI805" s="132"/>
      <c r="AJ805" s="75">
        <f t="shared" si="195"/>
        <v>0</v>
      </c>
      <c r="AK805" s="323"/>
      <c r="AL805" s="323"/>
      <c r="AM805" s="323"/>
      <c r="AN805" s="788" t="s">
        <v>39</v>
      </c>
      <c r="AO805" s="221"/>
      <c r="AP805" s="221"/>
      <c r="AQ805" s="221"/>
      <c r="AR805" s="890"/>
      <c r="AS805" s="890"/>
      <c r="AT805" s="890"/>
      <c r="AU805" s="1083"/>
      <c r="AV805" s="360" t="s">
        <v>73</v>
      </c>
      <c r="AW805" s="1321"/>
    </row>
    <row r="806" spans="1:49" s="212" customFormat="1" ht="48" hidden="1" customHeight="1" outlineLevel="2" x14ac:dyDescent="0.25">
      <c r="A806" s="746" t="str">
        <f t="shared" si="100"/>
        <v>1.6.1.2.2.60</v>
      </c>
      <c r="B806" s="136">
        <v>1</v>
      </c>
      <c r="C806" s="136">
        <v>6</v>
      </c>
      <c r="D806" s="136">
        <v>1</v>
      </c>
      <c r="E806" s="136">
        <v>2</v>
      </c>
      <c r="F806" s="136">
        <v>2</v>
      </c>
      <c r="G806" s="136">
        <v>60</v>
      </c>
      <c r="H806" s="753"/>
      <c r="I806" s="753"/>
      <c r="J806" s="753"/>
      <c r="K806" s="754" t="s">
        <v>837</v>
      </c>
      <c r="L806" s="136" t="s">
        <v>830</v>
      </c>
      <c r="M806" s="136" t="s">
        <v>73</v>
      </c>
      <c r="N806" s="136" t="s">
        <v>834</v>
      </c>
      <c r="O806" s="136" t="s">
        <v>737</v>
      </c>
      <c r="P806" s="219"/>
      <c r="Q806" s="219"/>
      <c r="R806" s="219"/>
      <c r="S806" s="219"/>
      <c r="T806" s="1197"/>
      <c r="U806" s="220">
        <v>0</v>
      </c>
      <c r="V806" s="220"/>
      <c r="W806" s="220">
        <v>0</v>
      </c>
      <c r="X806" s="1141">
        <v>0</v>
      </c>
      <c r="Y806" s="220">
        <v>48967.66</v>
      </c>
      <c r="Z806" s="220">
        <v>0</v>
      </c>
      <c r="AA806" s="1141">
        <v>0</v>
      </c>
      <c r="AB806" s="220">
        <v>0</v>
      </c>
      <c r="AC806" s="220">
        <v>0</v>
      </c>
      <c r="AD806" s="1141">
        <v>0</v>
      </c>
      <c r="AE806" s="220">
        <v>0</v>
      </c>
      <c r="AF806" s="220">
        <v>0</v>
      </c>
      <c r="AG806" s="1141">
        <v>0</v>
      </c>
      <c r="AH806" s="505">
        <f t="shared" si="196"/>
        <v>48967.66</v>
      </c>
      <c r="AI806" s="132"/>
      <c r="AJ806" s="75">
        <f t="shared" si="195"/>
        <v>0</v>
      </c>
      <c r="AK806" s="323"/>
      <c r="AL806" s="323"/>
      <c r="AM806" s="323"/>
      <c r="AN806" s="788" t="s">
        <v>39</v>
      </c>
      <c r="AO806" s="221"/>
      <c r="AP806" s="221"/>
      <c r="AQ806" s="221"/>
      <c r="AR806" s="890"/>
      <c r="AS806" s="890"/>
      <c r="AT806" s="890"/>
      <c r="AU806" s="1083"/>
      <c r="AV806" s="360" t="s">
        <v>73</v>
      </c>
      <c r="AW806" s="1321"/>
    </row>
    <row r="807" spans="1:49" s="212" customFormat="1" ht="48" hidden="1" customHeight="1" outlineLevel="2" x14ac:dyDescent="0.25">
      <c r="A807" s="746" t="str">
        <f t="shared" si="100"/>
        <v>1.6.1.2.2.61</v>
      </c>
      <c r="B807" s="136">
        <v>1</v>
      </c>
      <c r="C807" s="136">
        <v>6</v>
      </c>
      <c r="D807" s="136">
        <v>1</v>
      </c>
      <c r="E807" s="136">
        <v>2</v>
      </c>
      <c r="F807" s="136">
        <v>2</v>
      </c>
      <c r="G807" s="136">
        <v>61</v>
      </c>
      <c r="H807" s="753"/>
      <c r="I807" s="753"/>
      <c r="J807" s="753"/>
      <c r="K807" s="754" t="s">
        <v>838</v>
      </c>
      <c r="L807" s="136" t="s">
        <v>830</v>
      </c>
      <c r="M807" s="136" t="s">
        <v>73</v>
      </c>
      <c r="N807" s="136" t="s">
        <v>834</v>
      </c>
      <c r="O807" s="136" t="s">
        <v>737</v>
      </c>
      <c r="P807" s="219"/>
      <c r="Q807" s="219"/>
      <c r="R807" s="219"/>
      <c r="S807" s="219"/>
      <c r="T807" s="1197"/>
      <c r="U807" s="220">
        <v>0</v>
      </c>
      <c r="V807" s="220"/>
      <c r="W807" s="220">
        <v>0</v>
      </c>
      <c r="X807" s="1141">
        <v>0</v>
      </c>
      <c r="Y807" s="220">
        <v>48967.66</v>
      </c>
      <c r="Z807" s="220">
        <v>0</v>
      </c>
      <c r="AA807" s="1141">
        <v>0</v>
      </c>
      <c r="AB807" s="220">
        <v>0</v>
      </c>
      <c r="AC807" s="220">
        <v>0</v>
      </c>
      <c r="AD807" s="1141">
        <v>0</v>
      </c>
      <c r="AE807" s="220">
        <v>0</v>
      </c>
      <c r="AF807" s="220">
        <v>0</v>
      </c>
      <c r="AG807" s="1141">
        <v>0</v>
      </c>
      <c r="AH807" s="505">
        <f t="shared" si="196"/>
        <v>48967.66</v>
      </c>
      <c r="AI807" s="132"/>
      <c r="AJ807" s="75">
        <f t="shared" si="195"/>
        <v>0</v>
      </c>
      <c r="AK807" s="323"/>
      <c r="AL807" s="323"/>
      <c r="AM807" s="323"/>
      <c r="AN807" s="788" t="s">
        <v>39</v>
      </c>
      <c r="AO807" s="221"/>
      <c r="AP807" s="221"/>
      <c r="AQ807" s="221"/>
      <c r="AR807" s="890"/>
      <c r="AS807" s="890"/>
      <c r="AT807" s="890"/>
      <c r="AU807" s="1083"/>
      <c r="AV807" s="360" t="s">
        <v>73</v>
      </c>
      <c r="AW807" s="1321"/>
    </row>
    <row r="808" spans="1:49" s="212" customFormat="1" ht="48" hidden="1" customHeight="1" outlineLevel="2" x14ac:dyDescent="0.25">
      <c r="A808" s="746" t="str">
        <f t="shared" si="100"/>
        <v>1.6.1.2.2.62</v>
      </c>
      <c r="B808" s="136">
        <v>1</v>
      </c>
      <c r="C808" s="136">
        <v>6</v>
      </c>
      <c r="D808" s="136">
        <v>1</v>
      </c>
      <c r="E808" s="136">
        <v>2</v>
      </c>
      <c r="F808" s="136">
        <v>2</v>
      </c>
      <c r="G808" s="136">
        <v>62</v>
      </c>
      <c r="H808" s="753"/>
      <c r="I808" s="753"/>
      <c r="J808" s="753"/>
      <c r="K808" s="754" t="s">
        <v>839</v>
      </c>
      <c r="L808" s="136" t="s">
        <v>830</v>
      </c>
      <c r="M808" s="136" t="s">
        <v>73</v>
      </c>
      <c r="N808" s="136" t="s">
        <v>834</v>
      </c>
      <c r="O808" s="136" t="s">
        <v>737</v>
      </c>
      <c r="P808" s="219"/>
      <c r="Q808" s="219"/>
      <c r="R808" s="221"/>
      <c r="S808" s="219"/>
      <c r="T808" s="1197"/>
      <c r="U808" s="220">
        <v>0</v>
      </c>
      <c r="V808" s="220"/>
      <c r="W808" s="220">
        <v>0</v>
      </c>
      <c r="X808" s="1141">
        <v>0</v>
      </c>
      <c r="Y808" s="220">
        <v>48967.66</v>
      </c>
      <c r="Z808" s="220">
        <v>0</v>
      </c>
      <c r="AA808" s="1141">
        <v>0</v>
      </c>
      <c r="AB808" s="220">
        <v>0</v>
      </c>
      <c r="AC808" s="220">
        <v>0</v>
      </c>
      <c r="AD808" s="1141">
        <v>0</v>
      </c>
      <c r="AE808" s="220">
        <v>0</v>
      </c>
      <c r="AF808" s="220">
        <v>0</v>
      </c>
      <c r="AG808" s="1141">
        <v>0</v>
      </c>
      <c r="AH808" s="505">
        <f t="shared" si="196"/>
        <v>48967.66</v>
      </c>
      <c r="AI808" s="132"/>
      <c r="AJ808" s="75">
        <f t="shared" si="195"/>
        <v>0</v>
      </c>
      <c r="AK808" s="323"/>
      <c r="AL808" s="323"/>
      <c r="AM808" s="323"/>
      <c r="AN808" s="788" t="s">
        <v>39</v>
      </c>
      <c r="AO808" s="221"/>
      <c r="AP808" s="221"/>
      <c r="AQ808" s="221"/>
      <c r="AR808" s="890"/>
      <c r="AS808" s="890"/>
      <c r="AT808" s="890"/>
      <c r="AU808" s="1083"/>
      <c r="AV808" s="360" t="s">
        <v>73</v>
      </c>
      <c r="AW808" s="1321"/>
    </row>
    <row r="809" spans="1:49" s="212" customFormat="1" ht="48" hidden="1" customHeight="1" outlineLevel="2" x14ac:dyDescent="0.25">
      <c r="A809" s="746" t="str">
        <f t="shared" si="100"/>
        <v>1.6.1.2.2.63</v>
      </c>
      <c r="B809" s="136">
        <v>1</v>
      </c>
      <c r="C809" s="136">
        <v>6</v>
      </c>
      <c r="D809" s="136">
        <v>1</v>
      </c>
      <c r="E809" s="136">
        <v>2</v>
      </c>
      <c r="F809" s="136">
        <v>2</v>
      </c>
      <c r="G809" s="136">
        <v>63</v>
      </c>
      <c r="H809" s="753"/>
      <c r="I809" s="753"/>
      <c r="J809" s="753"/>
      <c r="K809" s="754" t="s">
        <v>1758</v>
      </c>
      <c r="L809" s="136" t="s">
        <v>830</v>
      </c>
      <c r="M809" s="136" t="s">
        <v>73</v>
      </c>
      <c r="N809" s="136" t="s">
        <v>834</v>
      </c>
      <c r="O809" s="136" t="s">
        <v>737</v>
      </c>
      <c r="P809" s="219"/>
      <c r="Q809" s="219"/>
      <c r="R809" s="219"/>
      <c r="S809" s="219"/>
      <c r="T809" s="1197"/>
      <c r="U809" s="220">
        <v>0</v>
      </c>
      <c r="V809" s="220"/>
      <c r="W809" s="220">
        <v>0</v>
      </c>
      <c r="X809" s="1141">
        <v>0</v>
      </c>
      <c r="Y809" s="220">
        <v>48967.66</v>
      </c>
      <c r="Z809" s="220">
        <v>0</v>
      </c>
      <c r="AA809" s="1141">
        <v>0</v>
      </c>
      <c r="AB809" s="220">
        <v>0</v>
      </c>
      <c r="AC809" s="220">
        <v>0</v>
      </c>
      <c r="AD809" s="1141">
        <v>0</v>
      </c>
      <c r="AE809" s="220">
        <v>0</v>
      </c>
      <c r="AF809" s="220">
        <v>0</v>
      </c>
      <c r="AG809" s="1141">
        <v>0</v>
      </c>
      <c r="AH809" s="505">
        <f t="shared" si="196"/>
        <v>48967.66</v>
      </c>
      <c r="AI809" s="132"/>
      <c r="AJ809" s="75">
        <f t="shared" si="195"/>
        <v>0</v>
      </c>
      <c r="AK809" s="323"/>
      <c r="AL809" s="323"/>
      <c r="AM809" s="323"/>
      <c r="AN809" s="788" t="s">
        <v>39</v>
      </c>
      <c r="AO809" s="221"/>
      <c r="AP809" s="221"/>
      <c r="AQ809" s="221"/>
      <c r="AR809" s="890"/>
      <c r="AS809" s="890"/>
      <c r="AT809" s="890"/>
      <c r="AU809" s="1083"/>
      <c r="AV809" s="360" t="s">
        <v>73</v>
      </c>
      <c r="AW809" s="1321"/>
    </row>
    <row r="810" spans="1:49" s="212" customFormat="1" ht="48" hidden="1" customHeight="1" outlineLevel="2" x14ac:dyDescent="0.25">
      <c r="A810" s="746" t="str">
        <f t="shared" si="100"/>
        <v>1.6.1.2.2.64</v>
      </c>
      <c r="B810" s="136">
        <v>1</v>
      </c>
      <c r="C810" s="136">
        <v>6</v>
      </c>
      <c r="D810" s="136">
        <v>1</v>
      </c>
      <c r="E810" s="136">
        <v>2</v>
      </c>
      <c r="F810" s="136">
        <v>2</v>
      </c>
      <c r="G810" s="136">
        <v>64</v>
      </c>
      <c r="H810" s="753"/>
      <c r="I810" s="753"/>
      <c r="J810" s="753"/>
      <c r="K810" s="754" t="s">
        <v>840</v>
      </c>
      <c r="L810" s="136" t="s">
        <v>830</v>
      </c>
      <c r="M810" s="136" t="s">
        <v>73</v>
      </c>
      <c r="N810" s="136" t="s">
        <v>834</v>
      </c>
      <c r="O810" s="136" t="s">
        <v>737</v>
      </c>
      <c r="P810" s="219"/>
      <c r="Q810" s="219"/>
      <c r="R810" s="219"/>
      <c r="S810" s="219"/>
      <c r="T810" s="1197"/>
      <c r="U810" s="220">
        <v>0</v>
      </c>
      <c r="V810" s="220"/>
      <c r="W810" s="220">
        <v>0</v>
      </c>
      <c r="X810" s="1141">
        <v>0</v>
      </c>
      <c r="Y810" s="220">
        <v>48967.66</v>
      </c>
      <c r="Z810" s="220">
        <v>0</v>
      </c>
      <c r="AA810" s="1141">
        <v>0</v>
      </c>
      <c r="AB810" s="220">
        <v>0</v>
      </c>
      <c r="AC810" s="220">
        <v>0</v>
      </c>
      <c r="AD810" s="1141">
        <v>0</v>
      </c>
      <c r="AE810" s="220">
        <v>0</v>
      </c>
      <c r="AF810" s="220">
        <v>0</v>
      </c>
      <c r="AG810" s="1141">
        <v>0</v>
      </c>
      <c r="AH810" s="505">
        <f t="shared" si="196"/>
        <v>48967.66</v>
      </c>
      <c r="AI810" s="132"/>
      <c r="AJ810" s="75">
        <f t="shared" si="195"/>
        <v>0</v>
      </c>
      <c r="AK810" s="324"/>
      <c r="AL810" s="324"/>
      <c r="AM810" s="324"/>
      <c r="AN810" s="788" t="s">
        <v>39</v>
      </c>
      <c r="AO810" s="221"/>
      <c r="AP810" s="221"/>
      <c r="AQ810" s="221"/>
      <c r="AR810" s="890"/>
      <c r="AS810" s="890"/>
      <c r="AT810" s="890"/>
      <c r="AU810" s="1083"/>
      <c r="AV810" s="360" t="s">
        <v>73</v>
      </c>
      <c r="AW810" s="1322"/>
    </row>
    <row r="811" spans="1:49" s="212" customFormat="1" ht="48" hidden="1" customHeight="1" outlineLevel="2" x14ac:dyDescent="0.25">
      <c r="A811" s="746" t="str">
        <f t="shared" si="100"/>
        <v>1.6.1.2.3.58</v>
      </c>
      <c r="B811" s="136">
        <v>1</v>
      </c>
      <c r="C811" s="136">
        <v>6</v>
      </c>
      <c r="D811" s="136">
        <v>1</v>
      </c>
      <c r="E811" s="136">
        <v>2</v>
      </c>
      <c r="F811" s="136">
        <v>3</v>
      </c>
      <c r="G811" s="136">
        <v>58</v>
      </c>
      <c r="H811" s="753"/>
      <c r="I811" s="753"/>
      <c r="J811" s="753"/>
      <c r="K811" s="754" t="s">
        <v>841</v>
      </c>
      <c r="L811" s="136" t="s">
        <v>830</v>
      </c>
      <c r="M811" s="136" t="s">
        <v>73</v>
      </c>
      <c r="N811" s="136" t="s">
        <v>74</v>
      </c>
      <c r="O811" s="136" t="s">
        <v>737</v>
      </c>
      <c r="P811" s="222">
        <v>44927</v>
      </c>
      <c r="Q811" s="222">
        <v>45291</v>
      </c>
      <c r="R811" s="126">
        <v>1</v>
      </c>
      <c r="S811" s="126"/>
      <c r="T811" s="1138"/>
      <c r="U811" s="220">
        <v>0</v>
      </c>
      <c r="V811" s="220"/>
      <c r="W811" s="220">
        <v>0</v>
      </c>
      <c r="X811" s="1141">
        <v>0</v>
      </c>
      <c r="Y811" s="220">
        <v>0</v>
      </c>
      <c r="Z811" s="220">
        <v>0</v>
      </c>
      <c r="AA811" s="1141">
        <v>0</v>
      </c>
      <c r="AB811" s="220">
        <v>0</v>
      </c>
      <c r="AC811" s="220">
        <v>0</v>
      </c>
      <c r="AD811" s="1141">
        <v>0</v>
      </c>
      <c r="AE811" s="220">
        <v>0</v>
      </c>
      <c r="AF811" s="220">
        <v>0</v>
      </c>
      <c r="AG811" s="1141">
        <v>0</v>
      </c>
      <c r="AH811" s="505">
        <f t="shared" si="196"/>
        <v>0</v>
      </c>
      <c r="AI811" s="132"/>
      <c r="AJ811" s="75">
        <f t="shared" si="195"/>
        <v>0</v>
      </c>
      <c r="AK811" s="75"/>
      <c r="AL811" s="75"/>
      <c r="AM811" s="75"/>
      <c r="AN811" s="788" t="s">
        <v>39</v>
      </c>
      <c r="AO811" s="221"/>
      <c r="AP811" s="221"/>
      <c r="AQ811" s="419"/>
      <c r="AR811" s="221"/>
      <c r="AS811" s="485"/>
      <c r="AT811" s="221"/>
      <c r="AU811" s="654"/>
      <c r="AV811" s="359" t="s">
        <v>166</v>
      </c>
      <c r="AW811" s="451"/>
    </row>
    <row r="812" spans="1:49" s="212" customFormat="1" ht="48" hidden="1" customHeight="1" outlineLevel="2" x14ac:dyDescent="0.25">
      <c r="A812" s="746" t="str">
        <f t="shared" si="100"/>
        <v>1.6.1.2.3.59</v>
      </c>
      <c r="B812" s="136">
        <v>1</v>
      </c>
      <c r="C812" s="136">
        <v>6</v>
      </c>
      <c r="D812" s="136">
        <v>1</v>
      </c>
      <c r="E812" s="136">
        <v>2</v>
      </c>
      <c r="F812" s="136">
        <v>3</v>
      </c>
      <c r="G812" s="136">
        <v>59</v>
      </c>
      <c r="H812" s="753"/>
      <c r="I812" s="753"/>
      <c r="J812" s="753"/>
      <c r="K812" s="753" t="s">
        <v>842</v>
      </c>
      <c r="L812" s="136" t="s">
        <v>830</v>
      </c>
      <c r="M812" s="136" t="s">
        <v>73</v>
      </c>
      <c r="N812" s="136" t="s">
        <v>74</v>
      </c>
      <c r="O812" s="136" t="s">
        <v>737</v>
      </c>
      <c r="P812" s="222">
        <v>44927</v>
      </c>
      <c r="Q812" s="222">
        <v>45291</v>
      </c>
      <c r="R812" s="126">
        <v>1</v>
      </c>
      <c r="S812" s="126"/>
      <c r="T812" s="1138"/>
      <c r="U812" s="220">
        <v>0</v>
      </c>
      <c r="V812" s="220"/>
      <c r="W812" s="220">
        <v>0</v>
      </c>
      <c r="X812" s="1141">
        <v>0</v>
      </c>
      <c r="Y812" s="220">
        <v>0</v>
      </c>
      <c r="Z812" s="220">
        <v>0</v>
      </c>
      <c r="AA812" s="1141">
        <v>0</v>
      </c>
      <c r="AB812" s="220">
        <v>0</v>
      </c>
      <c r="AC812" s="220">
        <v>0</v>
      </c>
      <c r="AD812" s="1141">
        <v>0</v>
      </c>
      <c r="AE812" s="220">
        <v>0</v>
      </c>
      <c r="AF812" s="220">
        <v>0</v>
      </c>
      <c r="AG812" s="1141">
        <v>0</v>
      </c>
      <c r="AH812" s="505">
        <f t="shared" si="196"/>
        <v>0</v>
      </c>
      <c r="AI812" s="132"/>
      <c r="AJ812" s="75">
        <f t="shared" si="195"/>
        <v>0</v>
      </c>
      <c r="AK812" s="75"/>
      <c r="AL812" s="75"/>
      <c r="AM812" s="75"/>
      <c r="AN812" s="788" t="s">
        <v>39</v>
      </c>
      <c r="AO812" s="221"/>
      <c r="AP812" s="221"/>
      <c r="AQ812" s="419"/>
      <c r="AR812" s="221"/>
      <c r="AS812" s="485"/>
      <c r="AT812" s="221"/>
      <c r="AU812" s="654"/>
      <c r="AV812" s="359" t="s">
        <v>166</v>
      </c>
      <c r="AW812" s="451"/>
    </row>
    <row r="813" spans="1:49" s="212" customFormat="1" ht="48" hidden="1" customHeight="1" outlineLevel="2" x14ac:dyDescent="0.25">
      <c r="A813" s="746" t="str">
        <f t="shared" si="100"/>
        <v>1.6.1.2.3.60</v>
      </c>
      <c r="B813" s="136">
        <v>1</v>
      </c>
      <c r="C813" s="136">
        <v>6</v>
      </c>
      <c r="D813" s="136">
        <v>1</v>
      </c>
      <c r="E813" s="136">
        <v>2</v>
      </c>
      <c r="F813" s="136">
        <v>3</v>
      </c>
      <c r="G813" s="136">
        <v>60</v>
      </c>
      <c r="H813" s="753"/>
      <c r="I813" s="753"/>
      <c r="J813" s="753"/>
      <c r="K813" s="753" t="s">
        <v>843</v>
      </c>
      <c r="L813" s="136" t="s">
        <v>830</v>
      </c>
      <c r="M813" s="136" t="s">
        <v>73</v>
      </c>
      <c r="N813" s="136" t="s">
        <v>74</v>
      </c>
      <c r="O813" s="136" t="s">
        <v>737</v>
      </c>
      <c r="P813" s="222">
        <v>44927</v>
      </c>
      <c r="Q813" s="222">
        <v>45291</v>
      </c>
      <c r="R813" s="126">
        <v>1</v>
      </c>
      <c r="S813" s="126"/>
      <c r="T813" s="1138"/>
      <c r="U813" s="220">
        <v>0</v>
      </c>
      <c r="V813" s="220"/>
      <c r="W813" s="220">
        <v>0</v>
      </c>
      <c r="X813" s="1141">
        <v>0</v>
      </c>
      <c r="Y813" s="220">
        <v>0</v>
      </c>
      <c r="Z813" s="220">
        <v>0</v>
      </c>
      <c r="AA813" s="1141">
        <v>0</v>
      </c>
      <c r="AB813" s="220">
        <v>0</v>
      </c>
      <c r="AC813" s="220">
        <v>0</v>
      </c>
      <c r="AD813" s="1141">
        <v>0</v>
      </c>
      <c r="AE813" s="220">
        <v>0</v>
      </c>
      <c r="AF813" s="220">
        <v>0</v>
      </c>
      <c r="AG813" s="1141">
        <v>0</v>
      </c>
      <c r="AH813" s="505">
        <f t="shared" si="196"/>
        <v>0</v>
      </c>
      <c r="AI813" s="132"/>
      <c r="AJ813" s="75">
        <f t="shared" si="195"/>
        <v>0</v>
      </c>
      <c r="AK813" s="75"/>
      <c r="AL813" s="75"/>
      <c r="AM813" s="75"/>
      <c r="AN813" s="788" t="s">
        <v>39</v>
      </c>
      <c r="AO813" s="221"/>
      <c r="AP813" s="221"/>
      <c r="AQ813" s="419"/>
      <c r="AR813" s="221"/>
      <c r="AS813" s="485"/>
      <c r="AT813" s="221"/>
      <c r="AU813" s="654"/>
      <c r="AV813" s="359" t="s">
        <v>166</v>
      </c>
      <c r="AW813" s="451"/>
    </row>
    <row r="814" spans="1:49" s="212" customFormat="1" ht="48" hidden="1" customHeight="1" outlineLevel="2" x14ac:dyDescent="0.25">
      <c r="A814" s="746" t="str">
        <f t="shared" si="100"/>
        <v>1.6.1.2.3.61</v>
      </c>
      <c r="B814" s="136">
        <v>1</v>
      </c>
      <c r="C814" s="136">
        <v>6</v>
      </c>
      <c r="D814" s="136">
        <v>1</v>
      </c>
      <c r="E814" s="136">
        <v>2</v>
      </c>
      <c r="F814" s="136">
        <v>3</v>
      </c>
      <c r="G814" s="136">
        <v>61</v>
      </c>
      <c r="H814" s="753"/>
      <c r="I814" s="753"/>
      <c r="J814" s="753"/>
      <c r="K814" s="753" t="s">
        <v>844</v>
      </c>
      <c r="L814" s="136" t="s">
        <v>830</v>
      </c>
      <c r="M814" s="136" t="s">
        <v>73</v>
      </c>
      <c r="N814" s="136" t="s">
        <v>74</v>
      </c>
      <c r="O814" s="136" t="s">
        <v>737</v>
      </c>
      <c r="P814" s="222">
        <v>44927</v>
      </c>
      <c r="Q814" s="222">
        <v>45291</v>
      </c>
      <c r="R814" s="126">
        <v>1</v>
      </c>
      <c r="S814" s="126"/>
      <c r="T814" s="1138"/>
      <c r="U814" s="220">
        <v>0</v>
      </c>
      <c r="V814" s="220"/>
      <c r="W814" s="220">
        <v>0</v>
      </c>
      <c r="X814" s="1141">
        <v>0</v>
      </c>
      <c r="Y814" s="220">
        <v>0</v>
      </c>
      <c r="Z814" s="220">
        <v>0</v>
      </c>
      <c r="AA814" s="1141">
        <v>0</v>
      </c>
      <c r="AB814" s="220">
        <v>0</v>
      </c>
      <c r="AC814" s="220">
        <v>0</v>
      </c>
      <c r="AD814" s="1141">
        <v>0</v>
      </c>
      <c r="AE814" s="220">
        <v>0</v>
      </c>
      <c r="AF814" s="220">
        <v>0</v>
      </c>
      <c r="AG814" s="1141">
        <v>0</v>
      </c>
      <c r="AH814" s="505">
        <f t="shared" si="196"/>
        <v>0</v>
      </c>
      <c r="AI814" s="132"/>
      <c r="AJ814" s="75">
        <f t="shared" si="195"/>
        <v>0</v>
      </c>
      <c r="AK814" s="75"/>
      <c r="AL814" s="75"/>
      <c r="AM814" s="75"/>
      <c r="AN814" s="788" t="s">
        <v>39</v>
      </c>
      <c r="AO814" s="221"/>
      <c r="AP814" s="221"/>
      <c r="AQ814" s="419"/>
      <c r="AR814" s="221"/>
      <c r="AS814" s="485"/>
      <c r="AT814" s="221"/>
      <c r="AU814" s="654"/>
      <c r="AV814" s="359" t="s">
        <v>166</v>
      </c>
      <c r="AW814" s="451"/>
    </row>
    <row r="815" spans="1:49" s="212" customFormat="1" ht="48" hidden="1" customHeight="1" outlineLevel="2" x14ac:dyDescent="0.25">
      <c r="A815" s="746" t="str">
        <f t="shared" si="100"/>
        <v>1.6.1.2.3.62</v>
      </c>
      <c r="B815" s="136">
        <v>1</v>
      </c>
      <c r="C815" s="136">
        <v>6</v>
      </c>
      <c r="D815" s="136">
        <v>1</v>
      </c>
      <c r="E815" s="136">
        <v>2</v>
      </c>
      <c r="F815" s="136">
        <v>3</v>
      </c>
      <c r="G815" s="136">
        <v>62</v>
      </c>
      <c r="H815" s="753"/>
      <c r="I815" s="753"/>
      <c r="J815" s="753"/>
      <c r="K815" s="753" t="s">
        <v>845</v>
      </c>
      <c r="L815" s="136" t="s">
        <v>830</v>
      </c>
      <c r="M815" s="136" t="s">
        <v>73</v>
      </c>
      <c r="N815" s="136" t="s">
        <v>74</v>
      </c>
      <c r="O815" s="136" t="s">
        <v>737</v>
      </c>
      <c r="P815" s="222">
        <v>44927</v>
      </c>
      <c r="Q815" s="222">
        <v>45291</v>
      </c>
      <c r="R815" s="126">
        <v>1</v>
      </c>
      <c r="S815" s="126"/>
      <c r="T815" s="1138"/>
      <c r="U815" s="220">
        <v>0</v>
      </c>
      <c r="V815" s="220"/>
      <c r="W815" s="220">
        <v>0</v>
      </c>
      <c r="X815" s="1141">
        <v>0</v>
      </c>
      <c r="Y815" s="220">
        <v>0</v>
      </c>
      <c r="Z815" s="220">
        <v>0</v>
      </c>
      <c r="AA815" s="1141">
        <v>0</v>
      </c>
      <c r="AB815" s="220">
        <v>0</v>
      </c>
      <c r="AC815" s="220">
        <v>0</v>
      </c>
      <c r="AD815" s="1141">
        <v>0</v>
      </c>
      <c r="AE815" s="220">
        <v>0</v>
      </c>
      <c r="AF815" s="220">
        <v>0</v>
      </c>
      <c r="AG815" s="1141">
        <v>0</v>
      </c>
      <c r="AH815" s="505">
        <f t="shared" si="196"/>
        <v>0</v>
      </c>
      <c r="AI815" s="132"/>
      <c r="AJ815" s="75">
        <f t="shared" si="195"/>
        <v>0</v>
      </c>
      <c r="AK815" s="75"/>
      <c r="AL815" s="75"/>
      <c r="AM815" s="75"/>
      <c r="AN815" s="788" t="s">
        <v>39</v>
      </c>
      <c r="AO815" s="221"/>
      <c r="AP815" s="221"/>
      <c r="AQ815" s="419"/>
      <c r="AR815" s="221"/>
      <c r="AS815" s="485"/>
      <c r="AT815" s="221"/>
      <c r="AU815" s="654"/>
      <c r="AV815" s="359" t="s">
        <v>166</v>
      </c>
      <c r="AW815" s="451"/>
    </row>
    <row r="816" spans="1:49" s="212" customFormat="1" ht="48" hidden="1" customHeight="1" outlineLevel="2" x14ac:dyDescent="0.25">
      <c r="A816" s="746" t="str">
        <f t="shared" si="100"/>
        <v>1.6.1.2.3.63</v>
      </c>
      <c r="B816" s="136">
        <v>1</v>
      </c>
      <c r="C816" s="136">
        <v>6</v>
      </c>
      <c r="D816" s="136">
        <v>1</v>
      </c>
      <c r="E816" s="136">
        <v>2</v>
      </c>
      <c r="F816" s="136">
        <v>3</v>
      </c>
      <c r="G816" s="136">
        <v>63</v>
      </c>
      <c r="H816" s="753"/>
      <c r="I816" s="753"/>
      <c r="J816" s="753"/>
      <c r="K816" s="753" t="s">
        <v>1759</v>
      </c>
      <c r="L816" s="136" t="s">
        <v>830</v>
      </c>
      <c r="M816" s="136" t="s">
        <v>73</v>
      </c>
      <c r="N816" s="136" t="s">
        <v>74</v>
      </c>
      <c r="O816" s="136" t="s">
        <v>737</v>
      </c>
      <c r="P816" s="222">
        <v>44927</v>
      </c>
      <c r="Q816" s="222">
        <v>45291</v>
      </c>
      <c r="R816" s="126">
        <v>1</v>
      </c>
      <c r="S816" s="126"/>
      <c r="T816" s="1138"/>
      <c r="U816" s="220">
        <v>0</v>
      </c>
      <c r="V816" s="220"/>
      <c r="W816" s="220">
        <v>0</v>
      </c>
      <c r="X816" s="1141">
        <v>0</v>
      </c>
      <c r="Y816" s="220">
        <v>0</v>
      </c>
      <c r="Z816" s="220">
        <v>0</v>
      </c>
      <c r="AA816" s="1141">
        <v>0</v>
      </c>
      <c r="AB816" s="220">
        <v>0</v>
      </c>
      <c r="AC816" s="220">
        <v>0</v>
      </c>
      <c r="AD816" s="1141">
        <v>0</v>
      </c>
      <c r="AE816" s="220">
        <v>0</v>
      </c>
      <c r="AF816" s="220">
        <v>0</v>
      </c>
      <c r="AG816" s="1141">
        <v>0</v>
      </c>
      <c r="AH816" s="505">
        <f t="shared" si="196"/>
        <v>0</v>
      </c>
      <c r="AI816" s="132"/>
      <c r="AJ816" s="75">
        <f t="shared" si="195"/>
        <v>0</v>
      </c>
      <c r="AK816" s="75"/>
      <c r="AL816" s="75"/>
      <c r="AM816" s="75"/>
      <c r="AN816" s="788" t="s">
        <v>39</v>
      </c>
      <c r="AO816" s="221"/>
      <c r="AP816" s="221"/>
      <c r="AQ816" s="419"/>
      <c r="AR816" s="221"/>
      <c r="AS816" s="485"/>
      <c r="AT816" s="221"/>
      <c r="AU816" s="654"/>
      <c r="AV816" s="359" t="s">
        <v>166</v>
      </c>
      <c r="AW816" s="451"/>
    </row>
    <row r="817" spans="1:49" s="212" customFormat="1" ht="48" hidden="1" customHeight="1" outlineLevel="2" x14ac:dyDescent="0.25">
      <c r="A817" s="746" t="str">
        <f t="shared" si="100"/>
        <v>1.6.1.2.3.64</v>
      </c>
      <c r="B817" s="136">
        <v>1</v>
      </c>
      <c r="C817" s="136">
        <v>6</v>
      </c>
      <c r="D817" s="136">
        <v>1</v>
      </c>
      <c r="E817" s="136">
        <v>2</v>
      </c>
      <c r="F817" s="136">
        <v>3</v>
      </c>
      <c r="G817" s="136">
        <v>64</v>
      </c>
      <c r="H817" s="753"/>
      <c r="I817" s="753"/>
      <c r="J817" s="753"/>
      <c r="K817" s="753" t="s">
        <v>846</v>
      </c>
      <c r="L817" s="136" t="s">
        <v>830</v>
      </c>
      <c r="M817" s="136" t="s">
        <v>73</v>
      </c>
      <c r="N817" s="136" t="s">
        <v>74</v>
      </c>
      <c r="O817" s="136" t="s">
        <v>737</v>
      </c>
      <c r="P817" s="222">
        <v>44927</v>
      </c>
      <c r="Q817" s="222">
        <v>45291</v>
      </c>
      <c r="R817" s="126">
        <v>1</v>
      </c>
      <c r="S817" s="126"/>
      <c r="T817" s="1138"/>
      <c r="U817" s="220">
        <v>0</v>
      </c>
      <c r="V817" s="220"/>
      <c r="W817" s="220">
        <v>0</v>
      </c>
      <c r="X817" s="1141">
        <v>0</v>
      </c>
      <c r="Y817" s="220">
        <v>0</v>
      </c>
      <c r="Z817" s="220">
        <v>0</v>
      </c>
      <c r="AA817" s="1141">
        <v>0</v>
      </c>
      <c r="AB817" s="220">
        <v>0</v>
      </c>
      <c r="AC817" s="220">
        <v>0</v>
      </c>
      <c r="AD817" s="1141">
        <v>0</v>
      </c>
      <c r="AE817" s="220">
        <v>0</v>
      </c>
      <c r="AF817" s="220">
        <v>0</v>
      </c>
      <c r="AG817" s="1141">
        <v>0</v>
      </c>
      <c r="AH817" s="505">
        <f t="shared" si="196"/>
        <v>0</v>
      </c>
      <c r="AI817" s="132"/>
      <c r="AJ817" s="75">
        <f t="shared" si="195"/>
        <v>0</v>
      </c>
      <c r="AK817" s="75"/>
      <c r="AL817" s="75"/>
      <c r="AM817" s="75"/>
      <c r="AN817" s="788" t="s">
        <v>39</v>
      </c>
      <c r="AO817" s="221"/>
      <c r="AP817" s="221"/>
      <c r="AQ817" s="419"/>
      <c r="AR817" s="221"/>
      <c r="AS817" s="485"/>
      <c r="AT817" s="221"/>
      <c r="AU817" s="654"/>
      <c r="AV817" s="359" t="s">
        <v>166</v>
      </c>
      <c r="AW817" s="451"/>
    </row>
    <row r="818" spans="1:49" s="212" customFormat="1" ht="48" hidden="1" customHeight="1" outlineLevel="2" x14ac:dyDescent="0.25">
      <c r="A818" s="746" t="str">
        <f t="shared" si="100"/>
        <v>1.6.1.2.4.58</v>
      </c>
      <c r="B818" s="136">
        <v>1</v>
      </c>
      <c r="C818" s="136">
        <v>6</v>
      </c>
      <c r="D818" s="136">
        <v>1</v>
      </c>
      <c r="E818" s="136">
        <v>2</v>
      </c>
      <c r="F818" s="136">
        <v>4</v>
      </c>
      <c r="G818" s="136">
        <v>58</v>
      </c>
      <c r="H818" s="753"/>
      <c r="I818" s="753"/>
      <c r="J818" s="753"/>
      <c r="K818" s="753" t="s">
        <v>847</v>
      </c>
      <c r="L818" s="136" t="s">
        <v>72</v>
      </c>
      <c r="M818" s="136" t="s">
        <v>73</v>
      </c>
      <c r="N818" s="136" t="s">
        <v>74</v>
      </c>
      <c r="O818" s="136" t="s">
        <v>848</v>
      </c>
      <c r="P818" s="224">
        <v>44927</v>
      </c>
      <c r="Q818" s="224">
        <v>44959</v>
      </c>
      <c r="R818" s="219">
        <v>1</v>
      </c>
      <c r="S818" s="219" t="s">
        <v>831</v>
      </c>
      <c r="T818" s="1197"/>
      <c r="U818" s="220">
        <v>0</v>
      </c>
      <c r="V818" s="220"/>
      <c r="W818" s="220">
        <v>0</v>
      </c>
      <c r="X818" s="1141">
        <v>0</v>
      </c>
      <c r="Y818" s="220">
        <v>0</v>
      </c>
      <c r="Z818" s="220">
        <v>0</v>
      </c>
      <c r="AA818" s="1141">
        <v>0</v>
      </c>
      <c r="AB818" s="220">
        <v>0</v>
      </c>
      <c r="AC818" s="220">
        <v>0</v>
      </c>
      <c r="AD818" s="1141">
        <v>0</v>
      </c>
      <c r="AE818" s="220">
        <v>0</v>
      </c>
      <c r="AF818" s="220">
        <v>0</v>
      </c>
      <c r="AG818" s="1141">
        <v>0</v>
      </c>
      <c r="AH818" s="505">
        <f t="shared" si="196"/>
        <v>0</v>
      </c>
      <c r="AI818" s="132"/>
      <c r="AJ818" s="75">
        <f t="shared" si="195"/>
        <v>0</v>
      </c>
      <c r="AK818" s="75"/>
      <c r="AL818" s="75"/>
      <c r="AM818" s="75"/>
      <c r="AN818" s="788" t="s">
        <v>39</v>
      </c>
      <c r="AO818" s="221"/>
      <c r="AP818" s="221"/>
      <c r="AQ818" s="419"/>
      <c r="AR818" s="221"/>
      <c r="AS818" s="485"/>
      <c r="AT818" s="221"/>
      <c r="AU818" s="654"/>
      <c r="AV818" s="360" t="s">
        <v>649</v>
      </c>
      <c r="AW818" s="451"/>
    </row>
    <row r="819" spans="1:49" s="212" customFormat="1" ht="48" hidden="1" customHeight="1" outlineLevel="2" x14ac:dyDescent="0.25">
      <c r="A819" s="746" t="str">
        <f t="shared" si="100"/>
        <v>1.6.1.2.4.59</v>
      </c>
      <c r="B819" s="136">
        <v>1</v>
      </c>
      <c r="C819" s="136">
        <v>6</v>
      </c>
      <c r="D819" s="136">
        <v>1</v>
      </c>
      <c r="E819" s="136">
        <v>2</v>
      </c>
      <c r="F819" s="136">
        <v>4</v>
      </c>
      <c r="G819" s="136">
        <v>59</v>
      </c>
      <c r="H819" s="753"/>
      <c r="I819" s="753"/>
      <c r="J819" s="753"/>
      <c r="K819" s="753" t="s">
        <v>849</v>
      </c>
      <c r="L819" s="136" t="s">
        <v>72</v>
      </c>
      <c r="M819" s="136" t="s">
        <v>73</v>
      </c>
      <c r="N819" s="136" t="s">
        <v>74</v>
      </c>
      <c r="O819" s="136" t="s">
        <v>848</v>
      </c>
      <c r="P819" s="224"/>
      <c r="Q819" s="224"/>
      <c r="R819" s="219"/>
      <c r="S819" s="219"/>
      <c r="T819" s="1197"/>
      <c r="U819" s="220">
        <v>0</v>
      </c>
      <c r="V819" s="220"/>
      <c r="W819" s="220">
        <v>0</v>
      </c>
      <c r="X819" s="1141">
        <v>0</v>
      </c>
      <c r="Y819" s="220">
        <v>0</v>
      </c>
      <c r="Z819" s="220">
        <v>0</v>
      </c>
      <c r="AA819" s="1141">
        <v>0</v>
      </c>
      <c r="AB819" s="220">
        <v>0</v>
      </c>
      <c r="AC819" s="220">
        <v>0</v>
      </c>
      <c r="AD819" s="1141">
        <v>0</v>
      </c>
      <c r="AE819" s="220">
        <v>0</v>
      </c>
      <c r="AF819" s="220">
        <v>0</v>
      </c>
      <c r="AG819" s="1141">
        <v>0</v>
      </c>
      <c r="AH819" s="505">
        <f t="shared" si="196"/>
        <v>0</v>
      </c>
      <c r="AI819" s="132"/>
      <c r="AJ819" s="75">
        <f t="shared" si="195"/>
        <v>0</v>
      </c>
      <c r="AK819" s="75"/>
      <c r="AL819" s="75"/>
      <c r="AM819" s="75"/>
      <c r="AN819" s="788" t="s">
        <v>39</v>
      </c>
      <c r="AO819" s="221"/>
      <c r="AP819" s="221"/>
      <c r="AQ819" s="419"/>
      <c r="AR819" s="221"/>
      <c r="AS819" s="485"/>
      <c r="AT819" s="221"/>
      <c r="AU819" s="654"/>
      <c r="AV819" s="360"/>
      <c r="AW819" s="451"/>
    </row>
    <row r="820" spans="1:49" s="212" customFormat="1" ht="48" hidden="1" customHeight="1" outlineLevel="2" x14ac:dyDescent="0.25">
      <c r="A820" s="746" t="str">
        <f t="shared" si="100"/>
        <v>1.6.1.2.4.60</v>
      </c>
      <c r="B820" s="136">
        <v>1</v>
      </c>
      <c r="C820" s="136">
        <v>6</v>
      </c>
      <c r="D820" s="136">
        <v>1</v>
      </c>
      <c r="E820" s="136">
        <v>2</v>
      </c>
      <c r="F820" s="136">
        <v>4</v>
      </c>
      <c r="G820" s="136">
        <v>60</v>
      </c>
      <c r="H820" s="753"/>
      <c r="I820" s="753"/>
      <c r="J820" s="753"/>
      <c r="K820" s="753" t="s">
        <v>850</v>
      </c>
      <c r="L820" s="136" t="s">
        <v>72</v>
      </c>
      <c r="M820" s="136" t="s">
        <v>73</v>
      </c>
      <c r="N820" s="136" t="s">
        <v>74</v>
      </c>
      <c r="O820" s="136" t="s">
        <v>848</v>
      </c>
      <c r="P820" s="224"/>
      <c r="Q820" s="224"/>
      <c r="R820" s="219"/>
      <c r="S820" s="219"/>
      <c r="T820" s="1197"/>
      <c r="U820" s="220">
        <v>0</v>
      </c>
      <c r="V820" s="220"/>
      <c r="W820" s="220">
        <v>0</v>
      </c>
      <c r="X820" s="1141">
        <v>0</v>
      </c>
      <c r="Y820" s="220">
        <v>0</v>
      </c>
      <c r="Z820" s="220">
        <v>0</v>
      </c>
      <c r="AA820" s="1141">
        <v>0</v>
      </c>
      <c r="AB820" s="220">
        <v>0</v>
      </c>
      <c r="AC820" s="220">
        <v>0</v>
      </c>
      <c r="AD820" s="1141">
        <v>0</v>
      </c>
      <c r="AE820" s="220">
        <v>0</v>
      </c>
      <c r="AF820" s="220">
        <v>0</v>
      </c>
      <c r="AG820" s="1141">
        <v>0</v>
      </c>
      <c r="AH820" s="505">
        <f t="shared" si="196"/>
        <v>0</v>
      </c>
      <c r="AI820" s="132"/>
      <c r="AJ820" s="75">
        <f t="shared" si="195"/>
        <v>0</v>
      </c>
      <c r="AK820" s="75"/>
      <c r="AL820" s="75"/>
      <c r="AM820" s="75"/>
      <c r="AN820" s="788" t="s">
        <v>39</v>
      </c>
      <c r="AO820" s="221"/>
      <c r="AP820" s="221"/>
      <c r="AQ820" s="419"/>
      <c r="AR820" s="221"/>
      <c r="AS820" s="485"/>
      <c r="AT820" s="221"/>
      <c r="AU820" s="654"/>
      <c r="AV820" s="360"/>
      <c r="AW820" s="451"/>
    </row>
    <row r="821" spans="1:49" s="212" customFormat="1" ht="48" hidden="1" customHeight="1" outlineLevel="2" x14ac:dyDescent="0.25">
      <c r="A821" s="746" t="str">
        <f t="shared" si="100"/>
        <v>1.6.1.2.4.61</v>
      </c>
      <c r="B821" s="136">
        <v>1</v>
      </c>
      <c r="C821" s="136">
        <v>6</v>
      </c>
      <c r="D821" s="136">
        <v>1</v>
      </c>
      <c r="E821" s="136">
        <v>2</v>
      </c>
      <c r="F821" s="136">
        <v>4</v>
      </c>
      <c r="G821" s="136">
        <v>61</v>
      </c>
      <c r="H821" s="753"/>
      <c r="I821" s="753"/>
      <c r="J821" s="753"/>
      <c r="K821" s="753" t="s">
        <v>851</v>
      </c>
      <c r="L821" s="136" t="s">
        <v>72</v>
      </c>
      <c r="M821" s="136" t="s">
        <v>73</v>
      </c>
      <c r="N821" s="136" t="s">
        <v>74</v>
      </c>
      <c r="O821" s="136" t="s">
        <v>848</v>
      </c>
      <c r="P821" s="224"/>
      <c r="Q821" s="224"/>
      <c r="R821" s="219"/>
      <c r="S821" s="219"/>
      <c r="T821" s="1197"/>
      <c r="U821" s="220">
        <v>0</v>
      </c>
      <c r="V821" s="220"/>
      <c r="W821" s="220">
        <v>0</v>
      </c>
      <c r="X821" s="1141">
        <v>0</v>
      </c>
      <c r="Y821" s="220">
        <v>0</v>
      </c>
      <c r="Z821" s="220">
        <v>0</v>
      </c>
      <c r="AA821" s="1141">
        <v>0</v>
      </c>
      <c r="AB821" s="220">
        <v>0</v>
      </c>
      <c r="AC821" s="220">
        <v>0</v>
      </c>
      <c r="AD821" s="1141">
        <v>0</v>
      </c>
      <c r="AE821" s="220">
        <v>0</v>
      </c>
      <c r="AF821" s="220">
        <v>0</v>
      </c>
      <c r="AG821" s="1141">
        <v>0</v>
      </c>
      <c r="AH821" s="505">
        <f t="shared" si="196"/>
        <v>0</v>
      </c>
      <c r="AI821" s="132"/>
      <c r="AJ821" s="75">
        <f t="shared" si="195"/>
        <v>0</v>
      </c>
      <c r="AK821" s="75"/>
      <c r="AL821" s="75"/>
      <c r="AM821" s="75"/>
      <c r="AN821" s="788" t="s">
        <v>39</v>
      </c>
      <c r="AO821" s="221"/>
      <c r="AP821" s="221"/>
      <c r="AQ821" s="419"/>
      <c r="AR821" s="221"/>
      <c r="AS821" s="485"/>
      <c r="AT821" s="221"/>
      <c r="AU821" s="654"/>
      <c r="AV821" s="360"/>
      <c r="AW821" s="451"/>
    </row>
    <row r="822" spans="1:49" s="212" customFormat="1" ht="48" hidden="1" customHeight="1" outlineLevel="2" x14ac:dyDescent="0.25">
      <c r="A822" s="746" t="str">
        <f t="shared" si="100"/>
        <v>1.6.1.2.4.62</v>
      </c>
      <c r="B822" s="136">
        <v>1</v>
      </c>
      <c r="C822" s="136">
        <v>6</v>
      </c>
      <c r="D822" s="136">
        <v>1</v>
      </c>
      <c r="E822" s="136">
        <v>2</v>
      </c>
      <c r="F822" s="136">
        <v>4</v>
      </c>
      <c r="G822" s="136">
        <v>62</v>
      </c>
      <c r="H822" s="753"/>
      <c r="I822" s="753"/>
      <c r="J822" s="753"/>
      <c r="K822" s="753" t="s">
        <v>852</v>
      </c>
      <c r="L822" s="136" t="s">
        <v>72</v>
      </c>
      <c r="M822" s="136" t="s">
        <v>73</v>
      </c>
      <c r="N822" s="136" t="s">
        <v>74</v>
      </c>
      <c r="O822" s="136" t="s">
        <v>848</v>
      </c>
      <c r="P822" s="224"/>
      <c r="Q822" s="224"/>
      <c r="R822" s="221"/>
      <c r="S822" s="219"/>
      <c r="T822" s="1197"/>
      <c r="U822" s="220">
        <v>0</v>
      </c>
      <c r="V822" s="220"/>
      <c r="W822" s="220">
        <v>0</v>
      </c>
      <c r="X822" s="1141">
        <v>0</v>
      </c>
      <c r="Y822" s="220">
        <v>0</v>
      </c>
      <c r="Z822" s="220">
        <v>0</v>
      </c>
      <c r="AA822" s="1141">
        <v>0</v>
      </c>
      <c r="AB822" s="220">
        <v>0</v>
      </c>
      <c r="AC822" s="220">
        <v>0</v>
      </c>
      <c r="AD822" s="1141">
        <v>0</v>
      </c>
      <c r="AE822" s="220">
        <v>0</v>
      </c>
      <c r="AF822" s="220">
        <v>0</v>
      </c>
      <c r="AG822" s="1141">
        <v>0</v>
      </c>
      <c r="AH822" s="505">
        <f t="shared" si="196"/>
        <v>0</v>
      </c>
      <c r="AI822" s="132"/>
      <c r="AJ822" s="75">
        <f t="shared" si="195"/>
        <v>0</v>
      </c>
      <c r="AK822" s="75"/>
      <c r="AL822" s="75"/>
      <c r="AM822" s="75"/>
      <c r="AN822" s="788" t="s">
        <v>39</v>
      </c>
      <c r="AO822" s="221"/>
      <c r="AP822" s="221"/>
      <c r="AQ822" s="419"/>
      <c r="AR822" s="221"/>
      <c r="AS822" s="485"/>
      <c r="AT822" s="221"/>
      <c r="AU822" s="654"/>
      <c r="AV822" s="360"/>
      <c r="AW822" s="451"/>
    </row>
    <row r="823" spans="1:49" s="212" customFormat="1" ht="48" hidden="1" customHeight="1" outlineLevel="2" x14ac:dyDescent="0.25">
      <c r="A823" s="746" t="str">
        <f t="shared" si="100"/>
        <v>1.6.1.2.4.63</v>
      </c>
      <c r="B823" s="136">
        <v>1</v>
      </c>
      <c r="C823" s="136">
        <v>6</v>
      </c>
      <c r="D823" s="136">
        <v>1</v>
      </c>
      <c r="E823" s="136">
        <v>2</v>
      </c>
      <c r="F823" s="136">
        <v>4</v>
      </c>
      <c r="G823" s="136">
        <v>63</v>
      </c>
      <c r="H823" s="753"/>
      <c r="I823" s="753"/>
      <c r="J823" s="753"/>
      <c r="K823" s="753" t="s">
        <v>1760</v>
      </c>
      <c r="L823" s="136" t="s">
        <v>72</v>
      </c>
      <c r="M823" s="136" t="s">
        <v>73</v>
      </c>
      <c r="N823" s="136" t="s">
        <v>74</v>
      </c>
      <c r="O823" s="136" t="s">
        <v>848</v>
      </c>
      <c r="P823" s="224"/>
      <c r="Q823" s="224"/>
      <c r="R823" s="219"/>
      <c r="S823" s="219"/>
      <c r="T823" s="1197"/>
      <c r="U823" s="220">
        <v>0</v>
      </c>
      <c r="V823" s="220"/>
      <c r="W823" s="220">
        <v>0</v>
      </c>
      <c r="X823" s="1141">
        <v>0</v>
      </c>
      <c r="Y823" s="220">
        <v>0</v>
      </c>
      <c r="Z823" s="220">
        <v>0</v>
      </c>
      <c r="AA823" s="1141">
        <v>0</v>
      </c>
      <c r="AB823" s="220">
        <v>0</v>
      </c>
      <c r="AC823" s="220">
        <v>0</v>
      </c>
      <c r="AD823" s="1141">
        <v>0</v>
      </c>
      <c r="AE823" s="220">
        <v>0</v>
      </c>
      <c r="AF823" s="220">
        <v>0</v>
      </c>
      <c r="AG823" s="1141">
        <v>0</v>
      </c>
      <c r="AH823" s="505">
        <f t="shared" si="196"/>
        <v>0</v>
      </c>
      <c r="AI823" s="132"/>
      <c r="AJ823" s="75">
        <f t="shared" si="195"/>
        <v>0</v>
      </c>
      <c r="AK823" s="75"/>
      <c r="AL823" s="75"/>
      <c r="AM823" s="75"/>
      <c r="AN823" s="788" t="s">
        <v>39</v>
      </c>
      <c r="AO823" s="221"/>
      <c r="AP823" s="221"/>
      <c r="AQ823" s="419"/>
      <c r="AR823" s="221"/>
      <c r="AS823" s="485"/>
      <c r="AT823" s="221"/>
      <c r="AU823" s="654"/>
      <c r="AV823" s="360"/>
      <c r="AW823" s="451"/>
    </row>
    <row r="824" spans="1:49" s="212" customFormat="1" ht="48" hidden="1" customHeight="1" outlineLevel="2" x14ac:dyDescent="0.25">
      <c r="A824" s="746" t="str">
        <f t="shared" si="100"/>
        <v>1.6.1.2.4.64</v>
      </c>
      <c r="B824" s="136">
        <v>1</v>
      </c>
      <c r="C824" s="136">
        <v>6</v>
      </c>
      <c r="D824" s="136">
        <v>1</v>
      </c>
      <c r="E824" s="136">
        <v>2</v>
      </c>
      <c r="F824" s="136">
        <v>4</v>
      </c>
      <c r="G824" s="136">
        <v>64</v>
      </c>
      <c r="H824" s="753"/>
      <c r="I824" s="753"/>
      <c r="J824" s="753"/>
      <c r="K824" s="754" t="s">
        <v>853</v>
      </c>
      <c r="L824" s="136" t="s">
        <v>72</v>
      </c>
      <c r="M824" s="136" t="s">
        <v>73</v>
      </c>
      <c r="N824" s="136" t="s">
        <v>74</v>
      </c>
      <c r="O824" s="136" t="s">
        <v>848</v>
      </c>
      <c r="P824" s="224"/>
      <c r="Q824" s="224"/>
      <c r="R824" s="219"/>
      <c r="S824" s="219"/>
      <c r="T824" s="1197"/>
      <c r="U824" s="220">
        <v>0</v>
      </c>
      <c r="V824" s="220"/>
      <c r="W824" s="220">
        <v>0</v>
      </c>
      <c r="X824" s="1141">
        <v>0</v>
      </c>
      <c r="Y824" s="220">
        <v>0</v>
      </c>
      <c r="Z824" s="220">
        <v>0</v>
      </c>
      <c r="AA824" s="1141">
        <v>0</v>
      </c>
      <c r="AB824" s="220">
        <v>0</v>
      </c>
      <c r="AC824" s="220">
        <v>0</v>
      </c>
      <c r="AD824" s="1141">
        <v>0</v>
      </c>
      <c r="AE824" s="220">
        <v>0</v>
      </c>
      <c r="AF824" s="220">
        <v>0</v>
      </c>
      <c r="AG824" s="1141">
        <v>0</v>
      </c>
      <c r="AH824" s="505">
        <f t="shared" si="196"/>
        <v>0</v>
      </c>
      <c r="AI824" s="132"/>
      <c r="AJ824" s="75">
        <f t="shared" si="195"/>
        <v>0</v>
      </c>
      <c r="AK824" s="75"/>
      <c r="AL824" s="75"/>
      <c r="AM824" s="75"/>
      <c r="AN824" s="788" t="s">
        <v>39</v>
      </c>
      <c r="AO824" s="221"/>
      <c r="AP824" s="221"/>
      <c r="AQ824" s="419"/>
      <c r="AR824" s="221"/>
      <c r="AS824" s="485"/>
      <c r="AT824" s="221"/>
      <c r="AU824" s="654"/>
      <c r="AV824" s="360"/>
      <c r="AW824" s="451"/>
    </row>
    <row r="825" spans="1:49" s="212" customFormat="1" ht="48" hidden="1" customHeight="1" outlineLevel="2" x14ac:dyDescent="0.25">
      <c r="A825" s="746" t="str">
        <f t="shared" si="100"/>
        <v>1.6.1.2.5.58</v>
      </c>
      <c r="B825" s="136">
        <v>1</v>
      </c>
      <c r="C825" s="136">
        <v>6</v>
      </c>
      <c r="D825" s="136">
        <v>1</v>
      </c>
      <c r="E825" s="136">
        <v>2</v>
      </c>
      <c r="F825" s="136">
        <v>5</v>
      </c>
      <c r="G825" s="136">
        <v>58</v>
      </c>
      <c r="H825" s="753"/>
      <c r="I825" s="753"/>
      <c r="J825" s="753"/>
      <c r="K825" s="754" t="s">
        <v>854</v>
      </c>
      <c r="L825" s="136" t="s">
        <v>830</v>
      </c>
      <c r="M825" s="136" t="s">
        <v>73</v>
      </c>
      <c r="N825" s="136" t="s">
        <v>74</v>
      </c>
      <c r="O825" s="136" t="s">
        <v>737</v>
      </c>
      <c r="P825" s="224">
        <v>44927</v>
      </c>
      <c r="Q825" s="224">
        <v>44959</v>
      </c>
      <c r="R825" s="219">
        <v>1</v>
      </c>
      <c r="S825" s="219" t="s">
        <v>831</v>
      </c>
      <c r="T825" s="1197"/>
      <c r="U825" s="220">
        <v>0</v>
      </c>
      <c r="V825" s="220"/>
      <c r="W825" s="220">
        <v>0</v>
      </c>
      <c r="X825" s="1141">
        <v>0</v>
      </c>
      <c r="Y825" s="220">
        <v>0</v>
      </c>
      <c r="Z825" s="220">
        <v>0</v>
      </c>
      <c r="AA825" s="1141">
        <v>0</v>
      </c>
      <c r="AB825" s="220">
        <v>0</v>
      </c>
      <c r="AC825" s="220">
        <v>0</v>
      </c>
      <c r="AD825" s="1141">
        <v>0</v>
      </c>
      <c r="AE825" s="220">
        <v>0</v>
      </c>
      <c r="AF825" s="220">
        <v>0</v>
      </c>
      <c r="AG825" s="1141">
        <v>0</v>
      </c>
      <c r="AH825" s="505">
        <f t="shared" si="196"/>
        <v>0</v>
      </c>
      <c r="AI825" s="132"/>
      <c r="AJ825" s="75">
        <f t="shared" si="195"/>
        <v>0</v>
      </c>
      <c r="AK825" s="75"/>
      <c r="AL825" s="75"/>
      <c r="AM825" s="75"/>
      <c r="AN825" s="788" t="s">
        <v>39</v>
      </c>
      <c r="AO825" s="221"/>
      <c r="AP825" s="221"/>
      <c r="AQ825" s="419"/>
      <c r="AR825" s="221"/>
      <c r="AS825" s="485"/>
      <c r="AT825" s="221"/>
      <c r="AU825" s="654"/>
      <c r="AV825" s="360" t="s">
        <v>649</v>
      </c>
      <c r="AW825" s="451"/>
    </row>
    <row r="826" spans="1:49" s="212" customFormat="1" ht="48" hidden="1" customHeight="1" outlineLevel="2" x14ac:dyDescent="0.25">
      <c r="A826" s="746" t="str">
        <f t="shared" si="100"/>
        <v>1.6.1.2.5.59</v>
      </c>
      <c r="B826" s="136">
        <v>1</v>
      </c>
      <c r="C826" s="136">
        <v>6</v>
      </c>
      <c r="D826" s="136">
        <v>1</v>
      </c>
      <c r="E826" s="136">
        <v>2</v>
      </c>
      <c r="F826" s="136">
        <v>5</v>
      </c>
      <c r="G826" s="136">
        <v>59</v>
      </c>
      <c r="H826" s="753"/>
      <c r="I826" s="753"/>
      <c r="J826" s="753"/>
      <c r="K826" s="753" t="s">
        <v>855</v>
      </c>
      <c r="L826" s="136" t="s">
        <v>830</v>
      </c>
      <c r="M826" s="136" t="s">
        <v>73</v>
      </c>
      <c r="N826" s="136" t="s">
        <v>74</v>
      </c>
      <c r="O826" s="136" t="s">
        <v>737</v>
      </c>
      <c r="P826" s="224"/>
      <c r="Q826" s="224"/>
      <c r="R826" s="219"/>
      <c r="S826" s="219"/>
      <c r="T826" s="1197"/>
      <c r="U826" s="220">
        <v>0</v>
      </c>
      <c r="V826" s="220"/>
      <c r="W826" s="220">
        <v>0</v>
      </c>
      <c r="X826" s="1141">
        <v>0</v>
      </c>
      <c r="Y826" s="220">
        <v>0</v>
      </c>
      <c r="Z826" s="220">
        <v>0</v>
      </c>
      <c r="AA826" s="1141">
        <v>0</v>
      </c>
      <c r="AB826" s="220">
        <v>0</v>
      </c>
      <c r="AC826" s="220">
        <v>0</v>
      </c>
      <c r="AD826" s="1141">
        <v>0</v>
      </c>
      <c r="AE826" s="220">
        <v>0</v>
      </c>
      <c r="AF826" s="220">
        <v>0</v>
      </c>
      <c r="AG826" s="1141">
        <v>0</v>
      </c>
      <c r="AH826" s="505">
        <f t="shared" si="196"/>
        <v>0</v>
      </c>
      <c r="AI826" s="132"/>
      <c r="AJ826" s="75">
        <f t="shared" si="195"/>
        <v>0</v>
      </c>
      <c r="AK826" s="75"/>
      <c r="AL826" s="75"/>
      <c r="AM826" s="75"/>
      <c r="AN826" s="788" t="s">
        <v>39</v>
      </c>
      <c r="AO826" s="221"/>
      <c r="AP826" s="221"/>
      <c r="AQ826" s="419"/>
      <c r="AR826" s="221"/>
      <c r="AS826" s="485"/>
      <c r="AT826" s="221"/>
      <c r="AU826" s="654"/>
      <c r="AV826" s="360"/>
      <c r="AW826" s="451"/>
    </row>
    <row r="827" spans="1:49" s="212" customFormat="1" ht="48" hidden="1" customHeight="1" outlineLevel="2" x14ac:dyDescent="0.25">
      <c r="A827" s="746" t="str">
        <f t="shared" si="100"/>
        <v>1.6.1.2.5.60</v>
      </c>
      <c r="B827" s="136">
        <v>1</v>
      </c>
      <c r="C827" s="136">
        <v>6</v>
      </c>
      <c r="D827" s="136">
        <v>1</v>
      </c>
      <c r="E827" s="136">
        <v>2</v>
      </c>
      <c r="F827" s="136">
        <v>5</v>
      </c>
      <c r="G827" s="136">
        <v>60</v>
      </c>
      <c r="H827" s="753"/>
      <c r="I827" s="753"/>
      <c r="J827" s="753"/>
      <c r="K827" s="753" t="s">
        <v>856</v>
      </c>
      <c r="L827" s="136" t="s">
        <v>830</v>
      </c>
      <c r="M827" s="136" t="s">
        <v>73</v>
      </c>
      <c r="N827" s="136" t="s">
        <v>74</v>
      </c>
      <c r="O827" s="136" t="s">
        <v>737</v>
      </c>
      <c r="P827" s="224"/>
      <c r="Q827" s="224"/>
      <c r="R827" s="219"/>
      <c r="S827" s="219"/>
      <c r="T827" s="1197"/>
      <c r="U827" s="220">
        <v>0</v>
      </c>
      <c r="V827" s="220"/>
      <c r="W827" s="220">
        <v>0</v>
      </c>
      <c r="X827" s="1141">
        <v>0</v>
      </c>
      <c r="Y827" s="220">
        <v>0</v>
      </c>
      <c r="Z827" s="220">
        <v>0</v>
      </c>
      <c r="AA827" s="1141">
        <v>0</v>
      </c>
      <c r="AB827" s="220">
        <v>0</v>
      </c>
      <c r="AC827" s="220">
        <v>0</v>
      </c>
      <c r="AD827" s="1141">
        <v>0</v>
      </c>
      <c r="AE827" s="220">
        <v>0</v>
      </c>
      <c r="AF827" s="220">
        <v>0</v>
      </c>
      <c r="AG827" s="1141">
        <v>0</v>
      </c>
      <c r="AH827" s="505">
        <f t="shared" si="196"/>
        <v>0</v>
      </c>
      <c r="AI827" s="132"/>
      <c r="AJ827" s="75">
        <f t="shared" si="195"/>
        <v>0</v>
      </c>
      <c r="AK827" s="75"/>
      <c r="AL827" s="75"/>
      <c r="AM827" s="75"/>
      <c r="AN827" s="788" t="s">
        <v>39</v>
      </c>
      <c r="AO827" s="221"/>
      <c r="AP827" s="221"/>
      <c r="AQ827" s="419"/>
      <c r="AR827" s="221"/>
      <c r="AS827" s="485"/>
      <c r="AT827" s="221"/>
      <c r="AU827" s="654"/>
      <c r="AV827" s="360"/>
      <c r="AW827" s="451"/>
    </row>
    <row r="828" spans="1:49" s="212" customFormat="1" ht="48" hidden="1" customHeight="1" outlineLevel="2" x14ac:dyDescent="0.25">
      <c r="A828" s="746" t="str">
        <f t="shared" si="100"/>
        <v>1.6.1.2.5.61</v>
      </c>
      <c r="B828" s="136">
        <v>1</v>
      </c>
      <c r="C828" s="136">
        <v>6</v>
      </c>
      <c r="D828" s="136">
        <v>1</v>
      </c>
      <c r="E828" s="136">
        <v>2</v>
      </c>
      <c r="F828" s="136">
        <v>5</v>
      </c>
      <c r="G828" s="136">
        <v>61</v>
      </c>
      <c r="H828" s="753"/>
      <c r="I828" s="753"/>
      <c r="J828" s="753"/>
      <c r="K828" s="753" t="s">
        <v>857</v>
      </c>
      <c r="L828" s="136" t="s">
        <v>830</v>
      </c>
      <c r="M828" s="136" t="s">
        <v>73</v>
      </c>
      <c r="N828" s="136" t="s">
        <v>74</v>
      </c>
      <c r="O828" s="136" t="s">
        <v>737</v>
      </c>
      <c r="P828" s="219"/>
      <c r="Q828" s="219"/>
      <c r="R828" s="219"/>
      <c r="S828" s="219"/>
      <c r="T828" s="1197"/>
      <c r="U828" s="220">
        <v>0</v>
      </c>
      <c r="V828" s="220"/>
      <c r="W828" s="220">
        <v>0</v>
      </c>
      <c r="X828" s="1141">
        <v>0</v>
      </c>
      <c r="Y828" s="220">
        <v>0</v>
      </c>
      <c r="Z828" s="220">
        <v>0</v>
      </c>
      <c r="AA828" s="1141">
        <v>0</v>
      </c>
      <c r="AB828" s="220">
        <v>0</v>
      </c>
      <c r="AC828" s="220">
        <v>0</v>
      </c>
      <c r="AD828" s="1141">
        <v>0</v>
      </c>
      <c r="AE828" s="220">
        <v>0</v>
      </c>
      <c r="AF828" s="220">
        <v>0</v>
      </c>
      <c r="AG828" s="1141">
        <v>0</v>
      </c>
      <c r="AH828" s="505">
        <f t="shared" si="196"/>
        <v>0</v>
      </c>
      <c r="AI828" s="132"/>
      <c r="AJ828" s="75">
        <f t="shared" si="195"/>
        <v>0</v>
      </c>
      <c r="AK828" s="75"/>
      <c r="AL828" s="75"/>
      <c r="AM828" s="75"/>
      <c r="AN828" s="788" t="s">
        <v>39</v>
      </c>
      <c r="AO828" s="221"/>
      <c r="AP828" s="221"/>
      <c r="AQ828" s="419"/>
      <c r="AR828" s="221"/>
      <c r="AS828" s="485"/>
      <c r="AT828" s="221"/>
      <c r="AU828" s="654"/>
      <c r="AV828" s="360"/>
      <c r="AW828" s="451"/>
    </row>
    <row r="829" spans="1:49" s="212" customFormat="1" ht="48" hidden="1" customHeight="1" outlineLevel="2" x14ac:dyDescent="0.25">
      <c r="A829" s="746" t="str">
        <f t="shared" si="100"/>
        <v>1.6.1.2.5.62</v>
      </c>
      <c r="B829" s="136">
        <v>1</v>
      </c>
      <c r="C829" s="136">
        <v>6</v>
      </c>
      <c r="D829" s="136">
        <v>1</v>
      </c>
      <c r="E829" s="136">
        <v>2</v>
      </c>
      <c r="F829" s="136">
        <v>5</v>
      </c>
      <c r="G829" s="136">
        <v>62</v>
      </c>
      <c r="H829" s="753"/>
      <c r="I829" s="753"/>
      <c r="J829" s="753"/>
      <c r="K829" s="753" t="s">
        <v>858</v>
      </c>
      <c r="L829" s="136" t="s">
        <v>830</v>
      </c>
      <c r="M829" s="136" t="s">
        <v>73</v>
      </c>
      <c r="N829" s="136" t="s">
        <v>74</v>
      </c>
      <c r="O829" s="136" t="s">
        <v>737</v>
      </c>
      <c r="P829" s="219"/>
      <c r="Q829" s="219"/>
      <c r="R829" s="221"/>
      <c r="S829" s="219"/>
      <c r="T829" s="1197"/>
      <c r="U829" s="220">
        <v>0</v>
      </c>
      <c r="V829" s="220"/>
      <c r="W829" s="220">
        <v>0</v>
      </c>
      <c r="X829" s="1141">
        <v>0</v>
      </c>
      <c r="Y829" s="220">
        <v>0</v>
      </c>
      <c r="Z829" s="220">
        <v>0</v>
      </c>
      <c r="AA829" s="1141">
        <v>0</v>
      </c>
      <c r="AB829" s="220">
        <v>0</v>
      </c>
      <c r="AC829" s="220">
        <v>0</v>
      </c>
      <c r="AD829" s="1141">
        <v>0</v>
      </c>
      <c r="AE829" s="220">
        <v>0</v>
      </c>
      <c r="AF829" s="220">
        <v>0</v>
      </c>
      <c r="AG829" s="1141">
        <v>0</v>
      </c>
      <c r="AH829" s="505">
        <f t="shared" si="196"/>
        <v>0</v>
      </c>
      <c r="AI829" s="132"/>
      <c r="AJ829" s="75">
        <f t="shared" si="195"/>
        <v>0</v>
      </c>
      <c r="AK829" s="75"/>
      <c r="AL829" s="75"/>
      <c r="AM829" s="75"/>
      <c r="AN829" s="788" t="s">
        <v>39</v>
      </c>
      <c r="AO829" s="221"/>
      <c r="AP829" s="221"/>
      <c r="AQ829" s="419"/>
      <c r="AR829" s="221"/>
      <c r="AS829" s="485"/>
      <c r="AT829" s="221"/>
      <c r="AU829" s="654"/>
      <c r="AV829" s="360"/>
      <c r="AW829" s="451"/>
    </row>
    <row r="830" spans="1:49" s="212" customFormat="1" ht="48" hidden="1" customHeight="1" outlineLevel="2" x14ac:dyDescent="0.25">
      <c r="A830" s="746" t="str">
        <f t="shared" si="100"/>
        <v>1.6.1.2.5.63</v>
      </c>
      <c r="B830" s="136">
        <v>1</v>
      </c>
      <c r="C830" s="136">
        <v>6</v>
      </c>
      <c r="D830" s="136">
        <v>1</v>
      </c>
      <c r="E830" s="136">
        <v>2</v>
      </c>
      <c r="F830" s="136">
        <v>5</v>
      </c>
      <c r="G830" s="136">
        <v>63</v>
      </c>
      <c r="H830" s="753"/>
      <c r="I830" s="753"/>
      <c r="J830" s="753"/>
      <c r="K830" s="753" t="s">
        <v>1761</v>
      </c>
      <c r="L830" s="136" t="s">
        <v>830</v>
      </c>
      <c r="M830" s="136" t="s">
        <v>73</v>
      </c>
      <c r="N830" s="136" t="s">
        <v>74</v>
      </c>
      <c r="O830" s="136" t="s">
        <v>737</v>
      </c>
      <c r="P830" s="219"/>
      <c r="Q830" s="219"/>
      <c r="R830" s="219"/>
      <c r="S830" s="219"/>
      <c r="T830" s="1197"/>
      <c r="U830" s="220">
        <v>0</v>
      </c>
      <c r="V830" s="220"/>
      <c r="W830" s="220">
        <v>0</v>
      </c>
      <c r="X830" s="1141">
        <v>0</v>
      </c>
      <c r="Y830" s="220">
        <v>0</v>
      </c>
      <c r="Z830" s="220">
        <v>0</v>
      </c>
      <c r="AA830" s="1141">
        <v>0</v>
      </c>
      <c r="AB830" s="220">
        <v>0</v>
      </c>
      <c r="AC830" s="220">
        <v>0</v>
      </c>
      <c r="AD830" s="1141">
        <v>0</v>
      </c>
      <c r="AE830" s="220">
        <v>0</v>
      </c>
      <c r="AF830" s="220">
        <v>0</v>
      </c>
      <c r="AG830" s="1141">
        <v>0</v>
      </c>
      <c r="AH830" s="505">
        <f t="shared" si="196"/>
        <v>0</v>
      </c>
      <c r="AI830" s="132"/>
      <c r="AJ830" s="75">
        <f t="shared" si="195"/>
        <v>0</v>
      </c>
      <c r="AK830" s="75"/>
      <c r="AL830" s="75"/>
      <c r="AM830" s="75"/>
      <c r="AN830" s="788" t="s">
        <v>39</v>
      </c>
      <c r="AO830" s="221"/>
      <c r="AP830" s="221"/>
      <c r="AQ830" s="419"/>
      <c r="AR830" s="221"/>
      <c r="AS830" s="485"/>
      <c r="AT830" s="221"/>
      <c r="AU830" s="654"/>
      <c r="AV830" s="360"/>
      <c r="AW830" s="451"/>
    </row>
    <row r="831" spans="1:49" s="212" customFormat="1" ht="48" hidden="1" customHeight="1" outlineLevel="2" x14ac:dyDescent="0.25">
      <c r="A831" s="746" t="str">
        <f t="shared" si="100"/>
        <v>1.6.1.2.5.64</v>
      </c>
      <c r="B831" s="136">
        <v>1</v>
      </c>
      <c r="C831" s="136">
        <v>6</v>
      </c>
      <c r="D831" s="136">
        <v>1</v>
      </c>
      <c r="E831" s="136">
        <v>2</v>
      </c>
      <c r="F831" s="136">
        <v>5</v>
      </c>
      <c r="G831" s="136">
        <v>64</v>
      </c>
      <c r="H831" s="753"/>
      <c r="I831" s="753"/>
      <c r="J831" s="753"/>
      <c r="K831" s="753" t="s">
        <v>859</v>
      </c>
      <c r="L831" s="136" t="s">
        <v>830</v>
      </c>
      <c r="M831" s="136" t="s">
        <v>73</v>
      </c>
      <c r="N831" s="136" t="s">
        <v>74</v>
      </c>
      <c r="O831" s="136" t="s">
        <v>737</v>
      </c>
      <c r="P831" s="219"/>
      <c r="Q831" s="219"/>
      <c r="R831" s="219"/>
      <c r="S831" s="219"/>
      <c r="T831" s="1197"/>
      <c r="U831" s="220">
        <v>0</v>
      </c>
      <c r="V831" s="220"/>
      <c r="W831" s="220">
        <v>0</v>
      </c>
      <c r="X831" s="1141">
        <v>0</v>
      </c>
      <c r="Y831" s="220">
        <v>0</v>
      </c>
      <c r="Z831" s="220">
        <v>0</v>
      </c>
      <c r="AA831" s="1141">
        <v>0</v>
      </c>
      <c r="AB831" s="220">
        <v>0</v>
      </c>
      <c r="AC831" s="220">
        <v>0</v>
      </c>
      <c r="AD831" s="1141">
        <v>0</v>
      </c>
      <c r="AE831" s="220">
        <v>0</v>
      </c>
      <c r="AF831" s="220">
        <v>0</v>
      </c>
      <c r="AG831" s="1141">
        <v>0</v>
      </c>
      <c r="AH831" s="505">
        <f t="shared" si="196"/>
        <v>0</v>
      </c>
      <c r="AI831" s="132"/>
      <c r="AJ831" s="75">
        <f t="shared" si="195"/>
        <v>0</v>
      </c>
      <c r="AK831" s="75"/>
      <c r="AL831" s="75"/>
      <c r="AM831" s="75"/>
      <c r="AN831" s="788" t="s">
        <v>39</v>
      </c>
      <c r="AO831" s="221"/>
      <c r="AP831" s="221"/>
      <c r="AQ831" s="419"/>
      <c r="AR831" s="221"/>
      <c r="AS831" s="485"/>
      <c r="AT831" s="221"/>
      <c r="AU831" s="654"/>
      <c r="AV831" s="360"/>
      <c r="AW831" s="451"/>
    </row>
    <row r="832" spans="1:49" s="212" customFormat="1" ht="48" hidden="1" customHeight="1" outlineLevel="2" x14ac:dyDescent="0.25">
      <c r="A832" s="746" t="str">
        <f t="shared" si="100"/>
        <v>1.6.1.2.6.58</v>
      </c>
      <c r="B832" s="136">
        <v>1</v>
      </c>
      <c r="C832" s="136">
        <v>6</v>
      </c>
      <c r="D832" s="136">
        <v>1</v>
      </c>
      <c r="E832" s="136">
        <v>2</v>
      </c>
      <c r="F832" s="136">
        <v>6</v>
      </c>
      <c r="G832" s="136">
        <v>58</v>
      </c>
      <c r="H832" s="753"/>
      <c r="I832" s="753"/>
      <c r="J832" s="753"/>
      <c r="K832" s="754" t="s">
        <v>860</v>
      </c>
      <c r="L832" s="136" t="s">
        <v>830</v>
      </c>
      <c r="M832" s="136" t="s">
        <v>73</v>
      </c>
      <c r="N832" s="136" t="s">
        <v>74</v>
      </c>
      <c r="O832" s="136" t="s">
        <v>737</v>
      </c>
      <c r="P832" s="219">
        <v>44197</v>
      </c>
      <c r="Q832" s="219">
        <v>44560</v>
      </c>
      <c r="R832" s="219">
        <v>1</v>
      </c>
      <c r="S832" s="219" t="s">
        <v>831</v>
      </c>
      <c r="T832" s="1197"/>
      <c r="U832" s="220">
        <v>0</v>
      </c>
      <c r="V832" s="220"/>
      <c r="W832" s="220">
        <v>0</v>
      </c>
      <c r="X832" s="1141">
        <v>0</v>
      </c>
      <c r="Y832" s="220">
        <v>0</v>
      </c>
      <c r="Z832" s="220">
        <v>0</v>
      </c>
      <c r="AA832" s="1141">
        <v>0</v>
      </c>
      <c r="AB832" s="220">
        <v>0</v>
      </c>
      <c r="AC832" s="220">
        <v>0</v>
      </c>
      <c r="AD832" s="1141">
        <v>0</v>
      </c>
      <c r="AE832" s="220">
        <v>0</v>
      </c>
      <c r="AF832" s="220">
        <v>0</v>
      </c>
      <c r="AG832" s="1141">
        <v>0</v>
      </c>
      <c r="AH832" s="505">
        <f t="shared" si="196"/>
        <v>0</v>
      </c>
      <c r="AI832" s="132"/>
      <c r="AJ832" s="75">
        <f t="shared" si="195"/>
        <v>0</v>
      </c>
      <c r="AK832" s="75"/>
      <c r="AL832" s="75"/>
      <c r="AM832" s="75"/>
      <c r="AN832" s="788" t="s">
        <v>39</v>
      </c>
      <c r="AO832" s="221"/>
      <c r="AP832" s="221"/>
      <c r="AQ832" s="419"/>
      <c r="AR832" s="221"/>
      <c r="AS832" s="485"/>
      <c r="AT832" s="221"/>
      <c r="AU832" s="654"/>
      <c r="AV832" s="360" t="s">
        <v>649</v>
      </c>
      <c r="AW832" s="451"/>
    </row>
    <row r="833" spans="1:49" s="212" customFormat="1" ht="48" hidden="1" customHeight="1" outlineLevel="2" x14ac:dyDescent="0.25">
      <c r="A833" s="746" t="str">
        <f t="shared" si="100"/>
        <v>1.6.1.2.6.59</v>
      </c>
      <c r="B833" s="136">
        <v>1</v>
      </c>
      <c r="C833" s="136">
        <v>6</v>
      </c>
      <c r="D833" s="136">
        <v>1</v>
      </c>
      <c r="E833" s="136">
        <v>2</v>
      </c>
      <c r="F833" s="136">
        <v>6</v>
      </c>
      <c r="G833" s="136">
        <v>59</v>
      </c>
      <c r="H833" s="753"/>
      <c r="I833" s="753"/>
      <c r="J833" s="753"/>
      <c r="K833" s="754" t="s">
        <v>861</v>
      </c>
      <c r="L833" s="136" t="s">
        <v>830</v>
      </c>
      <c r="M833" s="136" t="s">
        <v>73</v>
      </c>
      <c r="N833" s="136" t="s">
        <v>74</v>
      </c>
      <c r="O833" s="136" t="s">
        <v>737</v>
      </c>
      <c r="P833" s="219"/>
      <c r="Q833" s="219"/>
      <c r="R833" s="219"/>
      <c r="S833" s="219"/>
      <c r="T833" s="1197"/>
      <c r="U833" s="220">
        <v>0</v>
      </c>
      <c r="V833" s="220"/>
      <c r="W833" s="220">
        <v>0</v>
      </c>
      <c r="X833" s="1141">
        <v>0</v>
      </c>
      <c r="Y833" s="220">
        <v>0</v>
      </c>
      <c r="Z833" s="220">
        <v>0</v>
      </c>
      <c r="AA833" s="1141">
        <v>0</v>
      </c>
      <c r="AB833" s="220">
        <v>0</v>
      </c>
      <c r="AC833" s="220">
        <v>0</v>
      </c>
      <c r="AD833" s="1141">
        <v>0</v>
      </c>
      <c r="AE833" s="220">
        <v>0</v>
      </c>
      <c r="AF833" s="220">
        <v>0</v>
      </c>
      <c r="AG833" s="1141">
        <v>0</v>
      </c>
      <c r="AH833" s="505">
        <f t="shared" si="196"/>
        <v>0</v>
      </c>
      <c r="AI833" s="132"/>
      <c r="AJ833" s="75">
        <f t="shared" si="195"/>
        <v>0</v>
      </c>
      <c r="AK833" s="75"/>
      <c r="AL833" s="75"/>
      <c r="AM833" s="75"/>
      <c r="AN833" s="788" t="s">
        <v>39</v>
      </c>
      <c r="AO833" s="221"/>
      <c r="AP833" s="221"/>
      <c r="AQ833" s="419"/>
      <c r="AR833" s="221"/>
      <c r="AS833" s="485"/>
      <c r="AT833" s="221"/>
      <c r="AU833" s="654"/>
      <c r="AV833" s="360"/>
      <c r="AW833" s="451"/>
    </row>
    <row r="834" spans="1:49" s="212" customFormat="1" ht="48" hidden="1" customHeight="1" outlineLevel="2" x14ac:dyDescent="0.25">
      <c r="A834" s="746" t="str">
        <f t="shared" si="100"/>
        <v>1.6.1.2.6.60</v>
      </c>
      <c r="B834" s="136">
        <v>1</v>
      </c>
      <c r="C834" s="136">
        <v>6</v>
      </c>
      <c r="D834" s="136">
        <v>1</v>
      </c>
      <c r="E834" s="136">
        <v>2</v>
      </c>
      <c r="F834" s="136">
        <v>6</v>
      </c>
      <c r="G834" s="136">
        <v>60</v>
      </c>
      <c r="H834" s="753"/>
      <c r="I834" s="753"/>
      <c r="J834" s="753"/>
      <c r="K834" s="754" t="s">
        <v>862</v>
      </c>
      <c r="L834" s="136" t="s">
        <v>830</v>
      </c>
      <c r="M834" s="136" t="s">
        <v>73</v>
      </c>
      <c r="N834" s="136" t="s">
        <v>74</v>
      </c>
      <c r="O834" s="136" t="s">
        <v>737</v>
      </c>
      <c r="P834" s="219"/>
      <c r="Q834" s="219"/>
      <c r="R834" s="219"/>
      <c r="S834" s="219"/>
      <c r="T834" s="1197"/>
      <c r="U834" s="220">
        <v>0</v>
      </c>
      <c r="V834" s="220"/>
      <c r="W834" s="220">
        <v>0</v>
      </c>
      <c r="X834" s="1141">
        <v>0</v>
      </c>
      <c r="Y834" s="220">
        <v>0</v>
      </c>
      <c r="Z834" s="220">
        <v>0</v>
      </c>
      <c r="AA834" s="1141">
        <v>0</v>
      </c>
      <c r="AB834" s="220">
        <v>0</v>
      </c>
      <c r="AC834" s="220">
        <v>0</v>
      </c>
      <c r="AD834" s="1141">
        <v>0</v>
      </c>
      <c r="AE834" s="220">
        <v>0</v>
      </c>
      <c r="AF834" s="220">
        <v>0</v>
      </c>
      <c r="AG834" s="1141">
        <v>0</v>
      </c>
      <c r="AH834" s="505">
        <f t="shared" si="196"/>
        <v>0</v>
      </c>
      <c r="AI834" s="132"/>
      <c r="AJ834" s="75">
        <f t="shared" si="195"/>
        <v>0</v>
      </c>
      <c r="AK834" s="75"/>
      <c r="AL834" s="75"/>
      <c r="AM834" s="75"/>
      <c r="AN834" s="788" t="s">
        <v>39</v>
      </c>
      <c r="AO834" s="221"/>
      <c r="AP834" s="221"/>
      <c r="AQ834" s="419"/>
      <c r="AR834" s="221"/>
      <c r="AS834" s="485"/>
      <c r="AT834" s="221"/>
      <c r="AU834" s="654"/>
      <c r="AV834" s="360"/>
      <c r="AW834" s="451"/>
    </row>
    <row r="835" spans="1:49" s="212" customFormat="1" ht="48" hidden="1" customHeight="1" outlineLevel="2" x14ac:dyDescent="0.25">
      <c r="A835" s="746" t="str">
        <f t="shared" si="100"/>
        <v>1.6.1.2.6.61</v>
      </c>
      <c r="B835" s="136">
        <v>1</v>
      </c>
      <c r="C835" s="136">
        <v>6</v>
      </c>
      <c r="D835" s="136">
        <v>1</v>
      </c>
      <c r="E835" s="136">
        <v>2</v>
      </c>
      <c r="F835" s="136">
        <v>6</v>
      </c>
      <c r="G835" s="136">
        <v>61</v>
      </c>
      <c r="H835" s="753"/>
      <c r="I835" s="753"/>
      <c r="J835" s="753"/>
      <c r="K835" s="754" t="s">
        <v>863</v>
      </c>
      <c r="L835" s="136" t="s">
        <v>830</v>
      </c>
      <c r="M835" s="136" t="s">
        <v>73</v>
      </c>
      <c r="N835" s="136" t="s">
        <v>74</v>
      </c>
      <c r="O835" s="136" t="s">
        <v>737</v>
      </c>
      <c r="P835" s="219"/>
      <c r="Q835" s="219"/>
      <c r="R835" s="219"/>
      <c r="S835" s="219"/>
      <c r="T835" s="1197"/>
      <c r="U835" s="220">
        <v>0</v>
      </c>
      <c r="V835" s="220"/>
      <c r="W835" s="220">
        <v>0</v>
      </c>
      <c r="X835" s="1141">
        <v>0</v>
      </c>
      <c r="Y835" s="220">
        <v>0</v>
      </c>
      <c r="Z835" s="220">
        <v>0</v>
      </c>
      <c r="AA835" s="1141">
        <v>0</v>
      </c>
      <c r="AB835" s="220">
        <v>0</v>
      </c>
      <c r="AC835" s="220">
        <v>0</v>
      </c>
      <c r="AD835" s="1141">
        <v>0</v>
      </c>
      <c r="AE835" s="220">
        <v>0</v>
      </c>
      <c r="AF835" s="220">
        <v>0</v>
      </c>
      <c r="AG835" s="1141">
        <v>0</v>
      </c>
      <c r="AH835" s="505">
        <f t="shared" si="196"/>
        <v>0</v>
      </c>
      <c r="AI835" s="132"/>
      <c r="AJ835" s="75">
        <f t="shared" si="195"/>
        <v>0</v>
      </c>
      <c r="AK835" s="75"/>
      <c r="AL835" s="75"/>
      <c r="AM835" s="75"/>
      <c r="AN835" s="788" t="s">
        <v>39</v>
      </c>
      <c r="AO835" s="221"/>
      <c r="AP835" s="221"/>
      <c r="AQ835" s="419"/>
      <c r="AR835" s="221"/>
      <c r="AS835" s="485"/>
      <c r="AT835" s="221"/>
      <c r="AU835" s="654"/>
      <c r="AV835" s="360"/>
      <c r="AW835" s="451"/>
    </row>
    <row r="836" spans="1:49" s="212" customFormat="1" ht="48" hidden="1" customHeight="1" outlineLevel="2" x14ac:dyDescent="0.25">
      <c r="A836" s="746" t="str">
        <f t="shared" si="100"/>
        <v>1.6.1.2.6.62</v>
      </c>
      <c r="B836" s="136">
        <v>1</v>
      </c>
      <c r="C836" s="136">
        <v>6</v>
      </c>
      <c r="D836" s="136">
        <v>1</v>
      </c>
      <c r="E836" s="136">
        <v>2</v>
      </c>
      <c r="F836" s="136">
        <v>6</v>
      </c>
      <c r="G836" s="136">
        <v>62</v>
      </c>
      <c r="H836" s="753"/>
      <c r="I836" s="753"/>
      <c r="J836" s="753"/>
      <c r="K836" s="754" t="s">
        <v>864</v>
      </c>
      <c r="L836" s="136" t="s">
        <v>830</v>
      </c>
      <c r="M836" s="136" t="s">
        <v>73</v>
      </c>
      <c r="N836" s="136" t="s">
        <v>74</v>
      </c>
      <c r="O836" s="136" t="s">
        <v>737</v>
      </c>
      <c r="P836" s="219"/>
      <c r="Q836" s="219"/>
      <c r="R836" s="219"/>
      <c r="S836" s="219"/>
      <c r="T836" s="1197"/>
      <c r="U836" s="220">
        <v>0</v>
      </c>
      <c r="V836" s="220"/>
      <c r="W836" s="220">
        <v>0</v>
      </c>
      <c r="X836" s="1141">
        <v>0</v>
      </c>
      <c r="Y836" s="220">
        <v>0</v>
      </c>
      <c r="Z836" s="220">
        <v>0</v>
      </c>
      <c r="AA836" s="1141">
        <v>0</v>
      </c>
      <c r="AB836" s="220">
        <v>0</v>
      </c>
      <c r="AC836" s="220">
        <v>0</v>
      </c>
      <c r="AD836" s="1141">
        <v>0</v>
      </c>
      <c r="AE836" s="220">
        <v>0</v>
      </c>
      <c r="AF836" s="220">
        <v>0</v>
      </c>
      <c r="AG836" s="1141">
        <v>0</v>
      </c>
      <c r="AH836" s="505">
        <f t="shared" si="196"/>
        <v>0</v>
      </c>
      <c r="AI836" s="132"/>
      <c r="AJ836" s="75">
        <f t="shared" si="195"/>
        <v>0</v>
      </c>
      <c r="AK836" s="75"/>
      <c r="AL836" s="75"/>
      <c r="AM836" s="75"/>
      <c r="AN836" s="788" t="s">
        <v>39</v>
      </c>
      <c r="AO836" s="221"/>
      <c r="AP836" s="221"/>
      <c r="AQ836" s="419"/>
      <c r="AR836" s="221"/>
      <c r="AS836" s="485"/>
      <c r="AT836" s="221"/>
      <c r="AU836" s="654"/>
      <c r="AV836" s="360"/>
      <c r="AW836" s="451"/>
    </row>
    <row r="837" spans="1:49" s="212" customFormat="1" ht="48" hidden="1" customHeight="1" outlineLevel="2" x14ac:dyDescent="0.25">
      <c r="A837" s="746" t="str">
        <f t="shared" si="100"/>
        <v>1.6.1.2.6.63</v>
      </c>
      <c r="B837" s="136">
        <v>1</v>
      </c>
      <c r="C837" s="136">
        <v>6</v>
      </c>
      <c r="D837" s="136">
        <v>1</v>
      </c>
      <c r="E837" s="136">
        <v>2</v>
      </c>
      <c r="F837" s="136">
        <v>6</v>
      </c>
      <c r="G837" s="136">
        <v>63</v>
      </c>
      <c r="H837" s="753"/>
      <c r="I837" s="753"/>
      <c r="J837" s="753"/>
      <c r="K837" s="754" t="s">
        <v>1762</v>
      </c>
      <c r="L837" s="136" t="s">
        <v>830</v>
      </c>
      <c r="M837" s="136" t="s">
        <v>73</v>
      </c>
      <c r="N837" s="136" t="s">
        <v>74</v>
      </c>
      <c r="O837" s="136" t="s">
        <v>737</v>
      </c>
      <c r="P837" s="219"/>
      <c r="Q837" s="219"/>
      <c r="R837" s="219"/>
      <c r="S837" s="219"/>
      <c r="T837" s="1197"/>
      <c r="U837" s="220">
        <v>0</v>
      </c>
      <c r="V837" s="220"/>
      <c r="W837" s="220">
        <v>0</v>
      </c>
      <c r="X837" s="1141">
        <v>0</v>
      </c>
      <c r="Y837" s="220">
        <v>0</v>
      </c>
      <c r="Z837" s="220">
        <v>0</v>
      </c>
      <c r="AA837" s="1141">
        <v>0</v>
      </c>
      <c r="AB837" s="220">
        <v>0</v>
      </c>
      <c r="AC837" s="220">
        <v>0</v>
      </c>
      <c r="AD837" s="1141">
        <v>0</v>
      </c>
      <c r="AE837" s="220">
        <v>0</v>
      </c>
      <c r="AF837" s="220">
        <v>0</v>
      </c>
      <c r="AG837" s="1141">
        <v>0</v>
      </c>
      <c r="AH837" s="505">
        <f t="shared" si="196"/>
        <v>0</v>
      </c>
      <c r="AI837" s="132"/>
      <c r="AJ837" s="75">
        <f t="shared" si="195"/>
        <v>0</v>
      </c>
      <c r="AK837" s="75"/>
      <c r="AL837" s="75"/>
      <c r="AM837" s="75"/>
      <c r="AN837" s="788" t="s">
        <v>39</v>
      </c>
      <c r="AO837" s="221"/>
      <c r="AP837" s="221"/>
      <c r="AQ837" s="419"/>
      <c r="AR837" s="221"/>
      <c r="AS837" s="485"/>
      <c r="AT837" s="221"/>
      <c r="AU837" s="654"/>
      <c r="AV837" s="360"/>
      <c r="AW837" s="451"/>
    </row>
    <row r="838" spans="1:49" s="212" customFormat="1" ht="48" hidden="1" customHeight="1" outlineLevel="2" x14ac:dyDescent="0.25">
      <c r="A838" s="746" t="str">
        <f t="shared" si="100"/>
        <v>1.6.1.2.6.64</v>
      </c>
      <c r="B838" s="136">
        <v>1</v>
      </c>
      <c r="C838" s="136">
        <v>6</v>
      </c>
      <c r="D838" s="136">
        <v>1</v>
      </c>
      <c r="E838" s="136">
        <v>2</v>
      </c>
      <c r="F838" s="136">
        <v>6</v>
      </c>
      <c r="G838" s="136">
        <v>64</v>
      </c>
      <c r="H838" s="753"/>
      <c r="I838" s="753"/>
      <c r="J838" s="753"/>
      <c r="K838" s="754" t="s">
        <v>865</v>
      </c>
      <c r="L838" s="136" t="s">
        <v>830</v>
      </c>
      <c r="M838" s="136" t="s">
        <v>73</v>
      </c>
      <c r="N838" s="136" t="s">
        <v>74</v>
      </c>
      <c r="O838" s="136" t="s">
        <v>737</v>
      </c>
      <c r="P838" s="219"/>
      <c r="Q838" s="219"/>
      <c r="R838" s="219"/>
      <c r="S838" s="219"/>
      <c r="T838" s="1197"/>
      <c r="U838" s="220">
        <v>0</v>
      </c>
      <c r="V838" s="220"/>
      <c r="W838" s="220">
        <v>0</v>
      </c>
      <c r="X838" s="1141">
        <v>0</v>
      </c>
      <c r="Y838" s="220">
        <v>0</v>
      </c>
      <c r="Z838" s="220">
        <v>0</v>
      </c>
      <c r="AA838" s="1141">
        <v>0</v>
      </c>
      <c r="AB838" s="220">
        <v>0</v>
      </c>
      <c r="AC838" s="220">
        <v>0</v>
      </c>
      <c r="AD838" s="1141">
        <v>0</v>
      </c>
      <c r="AE838" s="220">
        <v>0</v>
      </c>
      <c r="AF838" s="220">
        <v>0</v>
      </c>
      <c r="AG838" s="1141">
        <v>0</v>
      </c>
      <c r="AH838" s="505">
        <f t="shared" si="196"/>
        <v>0</v>
      </c>
      <c r="AI838" s="132"/>
      <c r="AJ838" s="75">
        <f t="shared" si="195"/>
        <v>0</v>
      </c>
      <c r="AK838" s="75"/>
      <c r="AL838" s="75"/>
      <c r="AM838" s="75"/>
      <c r="AN838" s="788" t="s">
        <v>39</v>
      </c>
      <c r="AO838" s="221"/>
      <c r="AP838" s="221"/>
      <c r="AQ838" s="419"/>
      <c r="AR838" s="221"/>
      <c r="AS838" s="485"/>
      <c r="AT838" s="221"/>
      <c r="AU838" s="654"/>
      <c r="AV838" s="360"/>
      <c r="AW838" s="451"/>
    </row>
    <row r="839" spans="1:49" s="212" customFormat="1" ht="48" hidden="1" customHeight="1" outlineLevel="2" x14ac:dyDescent="0.25">
      <c r="A839" s="746" t="str">
        <f t="shared" si="100"/>
        <v>1.6.1.2.7.0</v>
      </c>
      <c r="B839" s="136">
        <v>1</v>
      </c>
      <c r="C839" s="136">
        <v>6</v>
      </c>
      <c r="D839" s="136">
        <v>1</v>
      </c>
      <c r="E839" s="136">
        <v>2</v>
      </c>
      <c r="F839" s="136">
        <v>7</v>
      </c>
      <c r="G839" s="136">
        <v>0</v>
      </c>
      <c r="H839" s="753"/>
      <c r="I839" s="753"/>
      <c r="J839" s="753"/>
      <c r="K839" s="754" t="s">
        <v>866</v>
      </c>
      <c r="L839" s="136" t="s">
        <v>72</v>
      </c>
      <c r="M839" s="136" t="s">
        <v>73</v>
      </c>
      <c r="N839" s="136" t="s">
        <v>74</v>
      </c>
      <c r="O839" s="136" t="s">
        <v>867</v>
      </c>
      <c r="P839" s="219">
        <v>44197</v>
      </c>
      <c r="Q839" s="219">
        <v>41030</v>
      </c>
      <c r="R839" s="219">
        <v>1</v>
      </c>
      <c r="S839" s="219" t="s">
        <v>831</v>
      </c>
      <c r="T839" s="1197"/>
      <c r="U839" s="220">
        <v>0</v>
      </c>
      <c r="V839" s="220"/>
      <c r="W839" s="220">
        <v>0</v>
      </c>
      <c r="X839" s="1141">
        <v>0</v>
      </c>
      <c r="Y839" s="220">
        <v>0</v>
      </c>
      <c r="Z839" s="220">
        <v>0</v>
      </c>
      <c r="AA839" s="1141">
        <v>0</v>
      </c>
      <c r="AB839" s="220">
        <v>0</v>
      </c>
      <c r="AC839" s="220">
        <v>0</v>
      </c>
      <c r="AD839" s="1141">
        <v>0</v>
      </c>
      <c r="AE839" s="220">
        <v>0</v>
      </c>
      <c r="AF839" s="220">
        <v>0</v>
      </c>
      <c r="AG839" s="1141">
        <v>0</v>
      </c>
      <c r="AH839" s="505">
        <f t="shared" si="196"/>
        <v>0</v>
      </c>
      <c r="AI839" s="132"/>
      <c r="AJ839" s="75">
        <f t="shared" si="195"/>
        <v>0</v>
      </c>
      <c r="AK839" s="75"/>
      <c r="AL839" s="75"/>
      <c r="AM839" s="75"/>
      <c r="AN839" s="788" t="s">
        <v>39</v>
      </c>
      <c r="AO839" s="221"/>
      <c r="AP839" s="221"/>
      <c r="AQ839" s="419"/>
      <c r="AR839" s="221"/>
      <c r="AS839" s="485"/>
      <c r="AT839" s="221"/>
      <c r="AU839" s="654"/>
      <c r="AV839" s="360" t="s">
        <v>649</v>
      </c>
      <c r="AW839" s="451"/>
    </row>
    <row r="840" spans="1:49" s="212" customFormat="1" ht="48" hidden="1" customHeight="1" outlineLevel="2" x14ac:dyDescent="0.25">
      <c r="A840" s="746" t="str">
        <f t="shared" si="100"/>
        <v>1.6.1.2.8.58-64</v>
      </c>
      <c r="B840" s="136">
        <v>1</v>
      </c>
      <c r="C840" s="136">
        <v>6</v>
      </c>
      <c r="D840" s="136">
        <v>1</v>
      </c>
      <c r="E840" s="136">
        <v>2</v>
      </c>
      <c r="F840" s="136">
        <v>8</v>
      </c>
      <c r="G840" s="136" t="s">
        <v>64</v>
      </c>
      <c r="H840" s="753"/>
      <c r="I840" s="753"/>
      <c r="J840" s="753"/>
      <c r="K840" s="754" t="s">
        <v>1915</v>
      </c>
      <c r="L840" s="136" t="s">
        <v>72</v>
      </c>
      <c r="M840" s="136" t="s">
        <v>73</v>
      </c>
      <c r="N840" s="136" t="s">
        <v>382</v>
      </c>
      <c r="O840" s="136" t="s">
        <v>829</v>
      </c>
      <c r="P840" s="225">
        <v>44197</v>
      </c>
      <c r="Q840" s="225">
        <v>44560</v>
      </c>
      <c r="R840" s="136">
        <v>1</v>
      </c>
      <c r="S840" s="219" t="s">
        <v>76</v>
      </c>
      <c r="T840" s="1197"/>
      <c r="U840" s="220">
        <v>0</v>
      </c>
      <c r="V840" s="220"/>
      <c r="W840" s="220">
        <v>0</v>
      </c>
      <c r="X840" s="1141">
        <v>0</v>
      </c>
      <c r="Y840" s="220">
        <v>0</v>
      </c>
      <c r="Z840" s="220">
        <v>0</v>
      </c>
      <c r="AA840" s="1141">
        <v>0</v>
      </c>
      <c r="AB840" s="220">
        <v>0</v>
      </c>
      <c r="AC840" s="220">
        <v>0</v>
      </c>
      <c r="AD840" s="1141">
        <v>0</v>
      </c>
      <c r="AE840" s="220">
        <v>0</v>
      </c>
      <c r="AF840" s="220">
        <v>0</v>
      </c>
      <c r="AG840" s="1141">
        <v>0</v>
      </c>
      <c r="AH840" s="505">
        <f t="shared" si="196"/>
        <v>0</v>
      </c>
      <c r="AI840" s="132"/>
      <c r="AJ840" s="75">
        <f t="shared" si="195"/>
        <v>0</v>
      </c>
      <c r="AK840" s="75"/>
      <c r="AL840" s="75"/>
      <c r="AM840" s="75"/>
      <c r="AN840" s="789" t="s">
        <v>39</v>
      </c>
      <c r="AO840" s="136" t="s">
        <v>1815</v>
      </c>
      <c r="AP840" s="136" t="s">
        <v>649</v>
      </c>
      <c r="AQ840" s="581" t="s">
        <v>649</v>
      </c>
      <c r="AR840" s="69">
        <v>44592</v>
      </c>
      <c r="AS840" s="554">
        <v>44926</v>
      </c>
      <c r="AT840" s="136" t="s">
        <v>1814</v>
      </c>
      <c r="AU840" s="875" t="s">
        <v>2222</v>
      </c>
      <c r="AV840" s="360" t="s">
        <v>868</v>
      </c>
      <c r="AW840" s="452" t="s">
        <v>2603</v>
      </c>
    </row>
    <row r="841" spans="1:49" s="212" customFormat="1" ht="48" hidden="1" customHeight="1" outlineLevel="2" x14ac:dyDescent="0.25">
      <c r="A841" s="746" t="str">
        <f t="shared" si="100"/>
        <v>1.6.1.2.9.58-64</v>
      </c>
      <c r="B841" s="136">
        <v>1</v>
      </c>
      <c r="C841" s="136">
        <v>6</v>
      </c>
      <c r="D841" s="136">
        <v>1</v>
      </c>
      <c r="E841" s="136">
        <v>2</v>
      </c>
      <c r="F841" s="136">
        <v>9</v>
      </c>
      <c r="G841" s="136" t="s">
        <v>64</v>
      </c>
      <c r="H841" s="753"/>
      <c r="I841" s="753"/>
      <c r="J841" s="753"/>
      <c r="K841" s="753" t="s">
        <v>869</v>
      </c>
      <c r="L841" s="136" t="s">
        <v>830</v>
      </c>
      <c r="M841" s="136" t="s">
        <v>73</v>
      </c>
      <c r="N841" s="136" t="s">
        <v>870</v>
      </c>
      <c r="O841" s="136" t="s">
        <v>668</v>
      </c>
      <c r="P841" s="214">
        <v>44927</v>
      </c>
      <c r="Q841" s="214">
        <v>45291</v>
      </c>
      <c r="R841" s="136"/>
      <c r="S841" s="219" t="s">
        <v>871</v>
      </c>
      <c r="T841" s="1197"/>
      <c r="U841" s="220">
        <v>0</v>
      </c>
      <c r="V841" s="220"/>
      <c r="W841" s="220">
        <v>0</v>
      </c>
      <c r="X841" s="1141">
        <v>0</v>
      </c>
      <c r="Y841" s="220">
        <v>0</v>
      </c>
      <c r="Z841" s="220">
        <v>0</v>
      </c>
      <c r="AA841" s="1141">
        <v>0</v>
      </c>
      <c r="AB841" s="220">
        <v>0</v>
      </c>
      <c r="AC841" s="220">
        <v>0</v>
      </c>
      <c r="AD841" s="1141">
        <v>0</v>
      </c>
      <c r="AE841" s="220">
        <v>0</v>
      </c>
      <c r="AF841" s="220">
        <v>0</v>
      </c>
      <c r="AG841" s="1141">
        <v>0</v>
      </c>
      <c r="AH841" s="505">
        <f t="shared" si="196"/>
        <v>0</v>
      </c>
      <c r="AI841" s="132"/>
      <c r="AJ841" s="75">
        <f t="shared" si="195"/>
        <v>0</v>
      </c>
      <c r="AK841" s="75"/>
      <c r="AL841" s="75"/>
      <c r="AM841" s="75"/>
      <c r="AN841" s="788" t="s">
        <v>39</v>
      </c>
      <c r="AO841" s="995"/>
      <c r="AP841" s="995"/>
      <c r="AQ841" s="996"/>
      <c r="AR841" s="104"/>
      <c r="AS841" s="997"/>
      <c r="AT841" s="998"/>
      <c r="AU841" s="981"/>
      <c r="AV841" s="360" t="s">
        <v>649</v>
      </c>
      <c r="AW841" s="453"/>
    </row>
    <row r="842" spans="1:49" s="212" customFormat="1" ht="48" hidden="1" customHeight="1" outlineLevel="2" x14ac:dyDescent="0.25">
      <c r="A842" s="746" t="str">
        <f t="shared" si="100"/>
        <v>1.6.1.2.10.58</v>
      </c>
      <c r="B842" s="136">
        <v>1</v>
      </c>
      <c r="C842" s="136">
        <v>6</v>
      </c>
      <c r="D842" s="136">
        <v>1</v>
      </c>
      <c r="E842" s="136">
        <v>2</v>
      </c>
      <c r="F842" s="136">
        <v>10</v>
      </c>
      <c r="G842" s="136">
        <v>58</v>
      </c>
      <c r="H842" s="753"/>
      <c r="I842" s="753"/>
      <c r="J842" s="753"/>
      <c r="K842" s="754" t="s">
        <v>872</v>
      </c>
      <c r="L842" s="136" t="s">
        <v>830</v>
      </c>
      <c r="M842" s="136" t="s">
        <v>73</v>
      </c>
      <c r="N842" s="136" t="s">
        <v>2627</v>
      </c>
      <c r="O842" s="136" t="s">
        <v>873</v>
      </c>
      <c r="P842" s="219">
        <v>44315</v>
      </c>
      <c r="Q842" s="219">
        <v>44407</v>
      </c>
      <c r="R842" s="219">
        <v>1</v>
      </c>
      <c r="S842" s="219" t="s">
        <v>831</v>
      </c>
      <c r="T842" s="1197"/>
      <c r="U842" s="220">
        <v>0</v>
      </c>
      <c r="V842" s="220"/>
      <c r="W842" s="220">
        <v>0</v>
      </c>
      <c r="X842" s="1141">
        <v>0</v>
      </c>
      <c r="Y842" s="220">
        <v>0</v>
      </c>
      <c r="Z842" s="220">
        <v>0</v>
      </c>
      <c r="AA842" s="1141">
        <v>0</v>
      </c>
      <c r="AB842" s="220">
        <v>0</v>
      </c>
      <c r="AC842" s="220">
        <v>0</v>
      </c>
      <c r="AD842" s="1141">
        <v>0</v>
      </c>
      <c r="AE842" s="220">
        <v>0</v>
      </c>
      <c r="AF842" s="220">
        <v>0</v>
      </c>
      <c r="AG842" s="1141">
        <v>0</v>
      </c>
      <c r="AH842" s="505">
        <f t="shared" si="196"/>
        <v>0</v>
      </c>
      <c r="AI842" s="132"/>
      <c r="AJ842" s="75">
        <f t="shared" si="195"/>
        <v>0</v>
      </c>
      <c r="AK842" s="75"/>
      <c r="AL842" s="75"/>
      <c r="AM842" s="75"/>
      <c r="AN842" s="788" t="s">
        <v>39</v>
      </c>
      <c r="AO842" s="221"/>
      <c r="AP842" s="221"/>
      <c r="AQ842" s="221"/>
      <c r="AR842" s="221"/>
      <c r="AS842" s="221"/>
      <c r="AT842" s="221"/>
      <c r="AU842" s="654"/>
      <c r="AV842" s="361"/>
      <c r="AW842" s="1323"/>
    </row>
    <row r="843" spans="1:49" s="212" customFormat="1" ht="48" hidden="1" customHeight="1" outlineLevel="2" x14ac:dyDescent="0.25">
      <c r="A843" s="746" t="str">
        <f t="shared" si="100"/>
        <v>1.6.1.2.10.59</v>
      </c>
      <c r="B843" s="136">
        <v>1</v>
      </c>
      <c r="C843" s="136">
        <v>6</v>
      </c>
      <c r="D843" s="136">
        <v>1</v>
      </c>
      <c r="E843" s="136">
        <v>2</v>
      </c>
      <c r="F843" s="136">
        <v>10</v>
      </c>
      <c r="G843" s="136">
        <v>59</v>
      </c>
      <c r="H843" s="753"/>
      <c r="I843" s="753"/>
      <c r="J843" s="753"/>
      <c r="K843" s="754" t="s">
        <v>874</v>
      </c>
      <c r="L843" s="136" t="s">
        <v>830</v>
      </c>
      <c r="M843" s="136" t="s">
        <v>73</v>
      </c>
      <c r="N843" s="136" t="s">
        <v>2627</v>
      </c>
      <c r="O843" s="136" t="s">
        <v>873</v>
      </c>
      <c r="P843" s="219"/>
      <c r="Q843" s="219"/>
      <c r="R843" s="219"/>
      <c r="S843" s="219"/>
      <c r="T843" s="1197"/>
      <c r="U843" s="220">
        <v>0</v>
      </c>
      <c r="V843" s="220"/>
      <c r="W843" s="220">
        <v>0</v>
      </c>
      <c r="X843" s="1141">
        <v>0</v>
      </c>
      <c r="Y843" s="220">
        <v>0</v>
      </c>
      <c r="Z843" s="220">
        <v>0</v>
      </c>
      <c r="AA843" s="1141">
        <v>0</v>
      </c>
      <c r="AB843" s="220">
        <v>0</v>
      </c>
      <c r="AC843" s="220">
        <v>0</v>
      </c>
      <c r="AD843" s="1141">
        <v>0</v>
      </c>
      <c r="AE843" s="220">
        <v>0</v>
      </c>
      <c r="AF843" s="220">
        <v>0</v>
      </c>
      <c r="AG843" s="1141">
        <v>0</v>
      </c>
      <c r="AH843" s="505">
        <f t="shared" si="196"/>
        <v>0</v>
      </c>
      <c r="AI843" s="132"/>
      <c r="AJ843" s="75">
        <f t="shared" si="195"/>
        <v>0</v>
      </c>
      <c r="AK843" s="75"/>
      <c r="AL843" s="75"/>
      <c r="AM843" s="75"/>
      <c r="AN843" s="788" t="s">
        <v>39</v>
      </c>
      <c r="AO843" s="221"/>
      <c r="AP843" s="221"/>
      <c r="AQ843" s="221"/>
      <c r="AR843" s="221"/>
      <c r="AS843" s="221"/>
      <c r="AT843" s="221"/>
      <c r="AU843" s="654"/>
      <c r="AV843" s="361"/>
      <c r="AW843" s="1324"/>
    </row>
    <row r="844" spans="1:49" s="212" customFormat="1" ht="48" hidden="1" customHeight="1" outlineLevel="2" x14ac:dyDescent="0.25">
      <c r="A844" s="746" t="str">
        <f t="shared" si="100"/>
        <v>1.6.1.2.10.60</v>
      </c>
      <c r="B844" s="136">
        <v>1</v>
      </c>
      <c r="C844" s="136">
        <v>6</v>
      </c>
      <c r="D844" s="136">
        <v>1</v>
      </c>
      <c r="E844" s="136">
        <v>2</v>
      </c>
      <c r="F844" s="136">
        <v>10</v>
      </c>
      <c r="G844" s="136">
        <v>60</v>
      </c>
      <c r="H844" s="753"/>
      <c r="I844" s="753"/>
      <c r="J844" s="753"/>
      <c r="K844" s="754" t="s">
        <v>875</v>
      </c>
      <c r="L844" s="136" t="s">
        <v>830</v>
      </c>
      <c r="M844" s="136" t="s">
        <v>73</v>
      </c>
      <c r="N844" s="136" t="s">
        <v>2627</v>
      </c>
      <c r="O844" s="136" t="s">
        <v>873</v>
      </c>
      <c r="P844" s="219"/>
      <c r="Q844" s="219"/>
      <c r="R844" s="219"/>
      <c r="S844" s="219"/>
      <c r="T844" s="1197"/>
      <c r="U844" s="220">
        <v>0</v>
      </c>
      <c r="V844" s="220"/>
      <c r="W844" s="220">
        <v>0</v>
      </c>
      <c r="X844" s="1141">
        <v>0</v>
      </c>
      <c r="Y844" s="220">
        <v>0</v>
      </c>
      <c r="Z844" s="220">
        <v>0</v>
      </c>
      <c r="AA844" s="1141">
        <v>0</v>
      </c>
      <c r="AB844" s="220">
        <v>0</v>
      </c>
      <c r="AC844" s="220">
        <v>0</v>
      </c>
      <c r="AD844" s="1141">
        <v>0</v>
      </c>
      <c r="AE844" s="220">
        <v>0</v>
      </c>
      <c r="AF844" s="220">
        <v>0</v>
      </c>
      <c r="AG844" s="1141">
        <v>0</v>
      </c>
      <c r="AH844" s="505">
        <f t="shared" si="196"/>
        <v>0</v>
      </c>
      <c r="AI844" s="132"/>
      <c r="AJ844" s="75">
        <f t="shared" si="195"/>
        <v>0</v>
      </c>
      <c r="AK844" s="75"/>
      <c r="AL844" s="75"/>
      <c r="AM844" s="75"/>
      <c r="AN844" s="788" t="s">
        <v>39</v>
      </c>
      <c r="AO844" s="221"/>
      <c r="AP844" s="221"/>
      <c r="AQ844" s="221"/>
      <c r="AR844" s="221"/>
      <c r="AS844" s="221"/>
      <c r="AT844" s="221"/>
      <c r="AU844" s="654"/>
      <c r="AV844" s="361"/>
      <c r="AW844" s="1324"/>
    </row>
    <row r="845" spans="1:49" s="212" customFormat="1" ht="48" hidden="1" customHeight="1" outlineLevel="2" x14ac:dyDescent="0.25">
      <c r="A845" s="746" t="str">
        <f t="shared" si="100"/>
        <v>1.6.1.2.10.61</v>
      </c>
      <c r="B845" s="136">
        <v>1</v>
      </c>
      <c r="C845" s="136">
        <v>6</v>
      </c>
      <c r="D845" s="136">
        <v>1</v>
      </c>
      <c r="E845" s="136">
        <v>2</v>
      </c>
      <c r="F845" s="136">
        <v>10</v>
      </c>
      <c r="G845" s="136">
        <v>61</v>
      </c>
      <c r="H845" s="753"/>
      <c r="I845" s="753"/>
      <c r="J845" s="753"/>
      <c r="K845" s="754" t="s">
        <v>876</v>
      </c>
      <c r="L845" s="136" t="s">
        <v>830</v>
      </c>
      <c r="M845" s="136" t="s">
        <v>73</v>
      </c>
      <c r="N845" s="136" t="s">
        <v>2627</v>
      </c>
      <c r="O845" s="136" t="s">
        <v>873</v>
      </c>
      <c r="P845" s="219"/>
      <c r="Q845" s="219"/>
      <c r="R845" s="219"/>
      <c r="S845" s="219"/>
      <c r="T845" s="1197"/>
      <c r="U845" s="220">
        <v>0</v>
      </c>
      <c r="V845" s="220"/>
      <c r="W845" s="220">
        <v>0</v>
      </c>
      <c r="X845" s="1141">
        <v>0</v>
      </c>
      <c r="Y845" s="220">
        <v>0</v>
      </c>
      <c r="Z845" s="220">
        <v>0</v>
      </c>
      <c r="AA845" s="1141">
        <v>0</v>
      </c>
      <c r="AB845" s="220">
        <v>0</v>
      </c>
      <c r="AC845" s="220">
        <v>0</v>
      </c>
      <c r="AD845" s="1141">
        <v>0</v>
      </c>
      <c r="AE845" s="220">
        <v>0</v>
      </c>
      <c r="AF845" s="220">
        <v>0</v>
      </c>
      <c r="AG845" s="1141">
        <v>0</v>
      </c>
      <c r="AH845" s="505">
        <f t="shared" si="196"/>
        <v>0</v>
      </c>
      <c r="AI845" s="132"/>
      <c r="AJ845" s="75">
        <f t="shared" si="195"/>
        <v>0</v>
      </c>
      <c r="AK845" s="75"/>
      <c r="AL845" s="75"/>
      <c r="AM845" s="75"/>
      <c r="AN845" s="788" t="s">
        <v>39</v>
      </c>
      <c r="AO845" s="221"/>
      <c r="AP845" s="221"/>
      <c r="AQ845" s="221"/>
      <c r="AR845" s="221"/>
      <c r="AS845" s="221"/>
      <c r="AT845" s="221"/>
      <c r="AU845" s="654"/>
      <c r="AV845" s="361"/>
      <c r="AW845" s="1324"/>
    </row>
    <row r="846" spans="1:49" s="212" customFormat="1" ht="48" hidden="1" customHeight="1" outlineLevel="2" x14ac:dyDescent="0.25">
      <c r="A846" s="746" t="str">
        <f t="shared" si="100"/>
        <v>1.6.1.2.10.62</v>
      </c>
      <c r="B846" s="136">
        <v>1</v>
      </c>
      <c r="C846" s="136">
        <v>6</v>
      </c>
      <c r="D846" s="136">
        <v>1</v>
      </c>
      <c r="E846" s="136">
        <v>2</v>
      </c>
      <c r="F846" s="136">
        <v>10</v>
      </c>
      <c r="G846" s="136">
        <v>62</v>
      </c>
      <c r="H846" s="753"/>
      <c r="I846" s="753"/>
      <c r="J846" s="753"/>
      <c r="K846" s="754" t="s">
        <v>877</v>
      </c>
      <c r="L846" s="136" t="s">
        <v>830</v>
      </c>
      <c r="M846" s="136" t="s">
        <v>73</v>
      </c>
      <c r="N846" s="136" t="s">
        <v>2627</v>
      </c>
      <c r="O846" s="136" t="s">
        <v>873</v>
      </c>
      <c r="P846" s="219"/>
      <c r="Q846" s="219"/>
      <c r="R846" s="219"/>
      <c r="S846" s="219"/>
      <c r="T846" s="1197"/>
      <c r="U846" s="220">
        <v>0</v>
      </c>
      <c r="V846" s="220"/>
      <c r="W846" s="220">
        <v>0</v>
      </c>
      <c r="X846" s="1141">
        <v>0</v>
      </c>
      <c r="Y846" s="220">
        <v>0</v>
      </c>
      <c r="Z846" s="220">
        <v>0</v>
      </c>
      <c r="AA846" s="1141">
        <v>0</v>
      </c>
      <c r="AB846" s="220">
        <v>0</v>
      </c>
      <c r="AC846" s="220">
        <v>0</v>
      </c>
      <c r="AD846" s="1141">
        <v>0</v>
      </c>
      <c r="AE846" s="220">
        <v>0</v>
      </c>
      <c r="AF846" s="220">
        <v>0</v>
      </c>
      <c r="AG846" s="1141">
        <v>0</v>
      </c>
      <c r="AH846" s="505">
        <f t="shared" si="196"/>
        <v>0</v>
      </c>
      <c r="AI846" s="132"/>
      <c r="AJ846" s="75">
        <f t="shared" si="195"/>
        <v>0</v>
      </c>
      <c r="AK846" s="75"/>
      <c r="AL846" s="75"/>
      <c r="AM846" s="75"/>
      <c r="AN846" s="788" t="s">
        <v>39</v>
      </c>
      <c r="AO846" s="221"/>
      <c r="AP846" s="221"/>
      <c r="AQ846" s="221"/>
      <c r="AR846" s="221"/>
      <c r="AS846" s="221"/>
      <c r="AT846" s="221"/>
      <c r="AU846" s="654"/>
      <c r="AV846" s="361"/>
      <c r="AW846" s="1324"/>
    </row>
    <row r="847" spans="1:49" s="212" customFormat="1" ht="48" hidden="1" customHeight="1" outlineLevel="2" x14ac:dyDescent="0.25">
      <c r="A847" s="746" t="str">
        <f t="shared" si="100"/>
        <v>1.6.1.2.10.63</v>
      </c>
      <c r="B847" s="136">
        <v>1</v>
      </c>
      <c r="C847" s="136">
        <v>6</v>
      </c>
      <c r="D847" s="136">
        <v>1</v>
      </c>
      <c r="E847" s="136">
        <v>2</v>
      </c>
      <c r="F847" s="136">
        <v>10</v>
      </c>
      <c r="G847" s="136">
        <v>63</v>
      </c>
      <c r="H847" s="753"/>
      <c r="I847" s="753"/>
      <c r="J847" s="753"/>
      <c r="K847" s="754" t="s">
        <v>1763</v>
      </c>
      <c r="L847" s="136" t="s">
        <v>830</v>
      </c>
      <c r="M847" s="136" t="s">
        <v>73</v>
      </c>
      <c r="N847" s="136" t="s">
        <v>2627</v>
      </c>
      <c r="O847" s="136" t="s">
        <v>873</v>
      </c>
      <c r="P847" s="219"/>
      <c r="Q847" s="219"/>
      <c r="R847" s="219"/>
      <c r="S847" s="219"/>
      <c r="T847" s="1197"/>
      <c r="U847" s="220">
        <v>0</v>
      </c>
      <c r="V847" s="220"/>
      <c r="W847" s="220">
        <v>0</v>
      </c>
      <c r="X847" s="1141">
        <v>0</v>
      </c>
      <c r="Y847" s="220">
        <v>0</v>
      </c>
      <c r="Z847" s="220">
        <v>0</v>
      </c>
      <c r="AA847" s="1141">
        <v>0</v>
      </c>
      <c r="AB847" s="220">
        <v>0</v>
      </c>
      <c r="AC847" s="220">
        <v>0</v>
      </c>
      <c r="AD847" s="1141">
        <v>0</v>
      </c>
      <c r="AE847" s="220">
        <v>0</v>
      </c>
      <c r="AF847" s="220">
        <v>0</v>
      </c>
      <c r="AG847" s="1141">
        <v>0</v>
      </c>
      <c r="AH847" s="505">
        <f t="shared" si="196"/>
        <v>0</v>
      </c>
      <c r="AI847" s="132"/>
      <c r="AJ847" s="75">
        <f t="shared" si="195"/>
        <v>0</v>
      </c>
      <c r="AK847" s="75"/>
      <c r="AL847" s="75"/>
      <c r="AM847" s="75"/>
      <c r="AN847" s="788" t="s">
        <v>39</v>
      </c>
      <c r="AO847" s="221"/>
      <c r="AP847" s="221"/>
      <c r="AQ847" s="221"/>
      <c r="AR847" s="221"/>
      <c r="AS847" s="221"/>
      <c r="AT847" s="221"/>
      <c r="AU847" s="654"/>
      <c r="AV847" s="361"/>
      <c r="AW847" s="1324"/>
    </row>
    <row r="848" spans="1:49" s="212" customFormat="1" ht="48" hidden="1" customHeight="1" outlineLevel="2" x14ac:dyDescent="0.25">
      <c r="A848" s="746" t="str">
        <f t="shared" si="100"/>
        <v>1.6.1.2.10.64</v>
      </c>
      <c r="B848" s="136">
        <v>1</v>
      </c>
      <c r="C848" s="136">
        <v>6</v>
      </c>
      <c r="D848" s="136">
        <v>1</v>
      </c>
      <c r="E848" s="136">
        <v>2</v>
      </c>
      <c r="F848" s="136">
        <v>10</v>
      </c>
      <c r="G848" s="136">
        <v>64</v>
      </c>
      <c r="H848" s="753"/>
      <c r="I848" s="753"/>
      <c r="J848" s="753"/>
      <c r="K848" s="754" t="s">
        <v>878</v>
      </c>
      <c r="L848" s="136" t="s">
        <v>830</v>
      </c>
      <c r="M848" s="136" t="s">
        <v>73</v>
      </c>
      <c r="N848" s="136" t="s">
        <v>2627</v>
      </c>
      <c r="O848" s="136" t="s">
        <v>873</v>
      </c>
      <c r="P848" s="219"/>
      <c r="Q848" s="219"/>
      <c r="R848" s="219"/>
      <c r="S848" s="219"/>
      <c r="T848" s="1197"/>
      <c r="U848" s="220">
        <v>0</v>
      </c>
      <c r="V848" s="220"/>
      <c r="W848" s="220">
        <v>0</v>
      </c>
      <c r="X848" s="1141">
        <v>0</v>
      </c>
      <c r="Y848" s="220">
        <v>0</v>
      </c>
      <c r="Z848" s="220">
        <v>0</v>
      </c>
      <c r="AA848" s="1141">
        <v>0</v>
      </c>
      <c r="AB848" s="220">
        <v>0</v>
      </c>
      <c r="AC848" s="220">
        <v>0</v>
      </c>
      <c r="AD848" s="1141">
        <v>0</v>
      </c>
      <c r="AE848" s="220">
        <v>0</v>
      </c>
      <c r="AF848" s="220">
        <v>0</v>
      </c>
      <c r="AG848" s="1141">
        <v>0</v>
      </c>
      <c r="AH848" s="505">
        <f t="shared" si="196"/>
        <v>0</v>
      </c>
      <c r="AI848" s="132"/>
      <c r="AJ848" s="75">
        <f t="shared" si="195"/>
        <v>0</v>
      </c>
      <c r="AK848" s="75"/>
      <c r="AL848" s="75"/>
      <c r="AM848" s="75"/>
      <c r="AN848" s="788" t="s">
        <v>39</v>
      </c>
      <c r="AO848" s="221"/>
      <c r="AP848" s="221"/>
      <c r="AQ848" s="221"/>
      <c r="AR848" s="221"/>
      <c r="AS848" s="221"/>
      <c r="AT848" s="221"/>
      <c r="AU848" s="654"/>
      <c r="AV848" s="361"/>
      <c r="AW848" s="1325"/>
    </row>
    <row r="849" spans="1:49" s="212" customFormat="1" ht="48" hidden="1" customHeight="1" outlineLevel="2" x14ac:dyDescent="0.25">
      <c r="A849" s="746" t="str">
        <f t="shared" si="100"/>
        <v>1.6.1.2.11.58</v>
      </c>
      <c r="B849" s="136">
        <v>1</v>
      </c>
      <c r="C849" s="136">
        <v>6</v>
      </c>
      <c r="D849" s="136">
        <v>1</v>
      </c>
      <c r="E849" s="136">
        <v>2</v>
      </c>
      <c r="F849" s="136">
        <v>11</v>
      </c>
      <c r="G849" s="136">
        <v>58</v>
      </c>
      <c r="H849" s="753"/>
      <c r="I849" s="753"/>
      <c r="J849" s="753"/>
      <c r="K849" s="754" t="s">
        <v>879</v>
      </c>
      <c r="L849" s="136" t="s">
        <v>830</v>
      </c>
      <c r="M849" s="136" t="s">
        <v>73</v>
      </c>
      <c r="N849" s="136" t="s">
        <v>2627</v>
      </c>
      <c r="O849" s="136" t="s">
        <v>737</v>
      </c>
      <c r="P849" s="227">
        <v>44927</v>
      </c>
      <c r="Q849" s="227">
        <v>45291</v>
      </c>
      <c r="R849" s="219">
        <v>1</v>
      </c>
      <c r="S849" s="219" t="s">
        <v>831</v>
      </c>
      <c r="T849" s="1197"/>
      <c r="U849" s="220">
        <v>0</v>
      </c>
      <c r="V849" s="220"/>
      <c r="W849" s="220">
        <v>0</v>
      </c>
      <c r="X849" s="1141">
        <v>0</v>
      </c>
      <c r="Y849" s="220">
        <v>0</v>
      </c>
      <c r="Z849" s="220">
        <v>0</v>
      </c>
      <c r="AA849" s="1141">
        <v>0</v>
      </c>
      <c r="AB849" s="220">
        <v>0</v>
      </c>
      <c r="AC849" s="220">
        <v>0</v>
      </c>
      <c r="AD849" s="1141">
        <v>0</v>
      </c>
      <c r="AE849" s="220">
        <v>0</v>
      </c>
      <c r="AF849" s="220">
        <v>0</v>
      </c>
      <c r="AG849" s="1141">
        <v>0</v>
      </c>
      <c r="AH849" s="505">
        <f t="shared" si="196"/>
        <v>0</v>
      </c>
      <c r="AI849" s="132"/>
      <c r="AJ849" s="75">
        <f t="shared" si="195"/>
        <v>0</v>
      </c>
      <c r="AK849" s="75"/>
      <c r="AL849" s="75"/>
      <c r="AM849" s="75"/>
      <c r="AN849" s="788" t="s">
        <v>39</v>
      </c>
      <c r="AO849" s="221"/>
      <c r="AP849" s="221"/>
      <c r="AQ849" s="221"/>
      <c r="AR849" s="221"/>
      <c r="AS849" s="221"/>
      <c r="AT849" s="221"/>
      <c r="AU849" s="654"/>
      <c r="AV849" s="360" t="s">
        <v>649</v>
      </c>
      <c r="AW849" s="451"/>
    </row>
    <row r="850" spans="1:49" s="212" customFormat="1" ht="48" hidden="1" customHeight="1" outlineLevel="2" x14ac:dyDescent="0.25">
      <c r="A850" s="746" t="str">
        <f t="shared" si="100"/>
        <v>1.6.1.2.11.59</v>
      </c>
      <c r="B850" s="136">
        <v>1</v>
      </c>
      <c r="C850" s="136">
        <v>6</v>
      </c>
      <c r="D850" s="136">
        <v>1</v>
      </c>
      <c r="E850" s="136">
        <v>2</v>
      </c>
      <c r="F850" s="136">
        <v>11</v>
      </c>
      <c r="G850" s="136">
        <v>59</v>
      </c>
      <c r="H850" s="753"/>
      <c r="I850" s="753"/>
      <c r="J850" s="753"/>
      <c r="K850" s="754" t="s">
        <v>880</v>
      </c>
      <c r="L850" s="136" t="s">
        <v>830</v>
      </c>
      <c r="M850" s="136" t="s">
        <v>73</v>
      </c>
      <c r="N850" s="136" t="s">
        <v>2627</v>
      </c>
      <c r="O850" s="136" t="s">
        <v>737</v>
      </c>
      <c r="P850" s="227">
        <v>44927</v>
      </c>
      <c r="Q850" s="227">
        <v>45291</v>
      </c>
      <c r="R850" s="219"/>
      <c r="S850" s="219"/>
      <c r="T850" s="1197"/>
      <c r="U850" s="220">
        <v>0</v>
      </c>
      <c r="V850" s="220"/>
      <c r="W850" s="220">
        <v>0</v>
      </c>
      <c r="X850" s="1141">
        <v>0</v>
      </c>
      <c r="Y850" s="220">
        <v>0</v>
      </c>
      <c r="Z850" s="220">
        <v>0</v>
      </c>
      <c r="AA850" s="1141">
        <v>0</v>
      </c>
      <c r="AB850" s="220">
        <v>0</v>
      </c>
      <c r="AC850" s="220">
        <v>0</v>
      </c>
      <c r="AD850" s="1141">
        <v>0</v>
      </c>
      <c r="AE850" s="220">
        <v>0</v>
      </c>
      <c r="AF850" s="220">
        <v>0</v>
      </c>
      <c r="AG850" s="1141">
        <v>0</v>
      </c>
      <c r="AH850" s="505">
        <f t="shared" si="196"/>
        <v>0</v>
      </c>
      <c r="AI850" s="132"/>
      <c r="AJ850" s="75">
        <f t="shared" si="195"/>
        <v>0</v>
      </c>
      <c r="AK850" s="75"/>
      <c r="AL850" s="75"/>
      <c r="AM850" s="75"/>
      <c r="AN850" s="788" t="s">
        <v>39</v>
      </c>
      <c r="AO850" s="221"/>
      <c r="AP850" s="221"/>
      <c r="AQ850" s="419"/>
      <c r="AR850" s="221"/>
      <c r="AS850" s="485"/>
      <c r="AT850" s="221"/>
      <c r="AU850" s="654"/>
      <c r="AV850" s="360"/>
      <c r="AW850" s="451"/>
    </row>
    <row r="851" spans="1:49" s="212" customFormat="1" ht="48" hidden="1" customHeight="1" outlineLevel="2" x14ac:dyDescent="0.25">
      <c r="A851" s="746" t="str">
        <f t="shared" si="100"/>
        <v>1.6.1.2.11.60</v>
      </c>
      <c r="B851" s="136">
        <v>1</v>
      </c>
      <c r="C851" s="136">
        <v>6</v>
      </c>
      <c r="D851" s="136">
        <v>1</v>
      </c>
      <c r="E851" s="136">
        <v>2</v>
      </c>
      <c r="F851" s="136">
        <v>11</v>
      </c>
      <c r="G851" s="136">
        <v>60</v>
      </c>
      <c r="H851" s="753"/>
      <c r="I851" s="753"/>
      <c r="J851" s="753"/>
      <c r="K851" s="754" t="s">
        <v>881</v>
      </c>
      <c r="L851" s="136" t="s">
        <v>830</v>
      </c>
      <c r="M851" s="136" t="s">
        <v>73</v>
      </c>
      <c r="N851" s="136" t="s">
        <v>2627</v>
      </c>
      <c r="O851" s="136" t="s">
        <v>737</v>
      </c>
      <c r="P851" s="227">
        <v>44927</v>
      </c>
      <c r="Q851" s="227">
        <v>45291</v>
      </c>
      <c r="R851" s="219"/>
      <c r="S851" s="219"/>
      <c r="T851" s="1197"/>
      <c r="U851" s="220">
        <v>0</v>
      </c>
      <c r="V851" s="220"/>
      <c r="W851" s="220">
        <v>0</v>
      </c>
      <c r="X851" s="1141">
        <v>0</v>
      </c>
      <c r="Y851" s="220">
        <v>0</v>
      </c>
      <c r="Z851" s="220">
        <v>0</v>
      </c>
      <c r="AA851" s="1141">
        <v>0</v>
      </c>
      <c r="AB851" s="220">
        <v>0</v>
      </c>
      <c r="AC851" s="220">
        <v>0</v>
      </c>
      <c r="AD851" s="1141">
        <v>0</v>
      </c>
      <c r="AE851" s="220">
        <v>0</v>
      </c>
      <c r="AF851" s="220">
        <v>0</v>
      </c>
      <c r="AG851" s="1141">
        <v>0</v>
      </c>
      <c r="AH851" s="505">
        <f t="shared" si="196"/>
        <v>0</v>
      </c>
      <c r="AI851" s="132"/>
      <c r="AJ851" s="75">
        <f t="shared" si="195"/>
        <v>0</v>
      </c>
      <c r="AK851" s="75"/>
      <c r="AL851" s="75"/>
      <c r="AM851" s="75"/>
      <c r="AN851" s="788" t="s">
        <v>39</v>
      </c>
      <c r="AO851" s="221"/>
      <c r="AP851" s="221"/>
      <c r="AQ851" s="419"/>
      <c r="AR851" s="221"/>
      <c r="AS851" s="485"/>
      <c r="AT851" s="221"/>
      <c r="AU851" s="654"/>
      <c r="AV851" s="360"/>
      <c r="AW851" s="451"/>
    </row>
    <row r="852" spans="1:49" s="212" customFormat="1" ht="48" hidden="1" customHeight="1" outlineLevel="2" x14ac:dyDescent="0.25">
      <c r="A852" s="746" t="str">
        <f t="shared" si="100"/>
        <v>1.6.1.2.11.61</v>
      </c>
      <c r="B852" s="136">
        <v>1</v>
      </c>
      <c r="C852" s="136">
        <v>6</v>
      </c>
      <c r="D852" s="136">
        <v>1</v>
      </c>
      <c r="E852" s="136">
        <v>2</v>
      </c>
      <c r="F852" s="136">
        <v>11</v>
      </c>
      <c r="G852" s="136">
        <v>61</v>
      </c>
      <c r="H852" s="753"/>
      <c r="I852" s="753"/>
      <c r="J852" s="753"/>
      <c r="K852" s="754" t="s">
        <v>882</v>
      </c>
      <c r="L852" s="136" t="s">
        <v>830</v>
      </c>
      <c r="M852" s="136" t="s">
        <v>73</v>
      </c>
      <c r="N852" s="136" t="s">
        <v>2627</v>
      </c>
      <c r="O852" s="136" t="s">
        <v>737</v>
      </c>
      <c r="P852" s="227">
        <v>44927</v>
      </c>
      <c r="Q852" s="227">
        <v>45291</v>
      </c>
      <c r="R852" s="219"/>
      <c r="S852" s="219"/>
      <c r="T852" s="1197"/>
      <c r="U852" s="220">
        <v>0</v>
      </c>
      <c r="V852" s="220"/>
      <c r="W852" s="220">
        <v>0</v>
      </c>
      <c r="X852" s="1141">
        <v>0</v>
      </c>
      <c r="Y852" s="220">
        <v>0</v>
      </c>
      <c r="Z852" s="220">
        <v>0</v>
      </c>
      <c r="AA852" s="1141">
        <v>0</v>
      </c>
      <c r="AB852" s="220">
        <v>0</v>
      </c>
      <c r="AC852" s="220">
        <v>0</v>
      </c>
      <c r="AD852" s="1141">
        <v>0</v>
      </c>
      <c r="AE852" s="220">
        <v>0</v>
      </c>
      <c r="AF852" s="220">
        <v>0</v>
      </c>
      <c r="AG852" s="1141">
        <v>0</v>
      </c>
      <c r="AH852" s="505">
        <f t="shared" si="196"/>
        <v>0</v>
      </c>
      <c r="AI852" s="132"/>
      <c r="AJ852" s="75">
        <f t="shared" si="195"/>
        <v>0</v>
      </c>
      <c r="AK852" s="75"/>
      <c r="AL852" s="75"/>
      <c r="AM852" s="75"/>
      <c r="AN852" s="788" t="s">
        <v>39</v>
      </c>
      <c r="AO852" s="221"/>
      <c r="AP852" s="221"/>
      <c r="AQ852" s="419"/>
      <c r="AR852" s="221"/>
      <c r="AS852" s="485"/>
      <c r="AT852" s="221"/>
      <c r="AU852" s="654"/>
      <c r="AV852" s="360"/>
      <c r="AW852" s="451"/>
    </row>
    <row r="853" spans="1:49" s="212" customFormat="1" ht="48" hidden="1" customHeight="1" outlineLevel="2" x14ac:dyDescent="0.25">
      <c r="A853" s="746" t="str">
        <f t="shared" si="100"/>
        <v>1.6.1.2.11.62</v>
      </c>
      <c r="B853" s="136">
        <v>1</v>
      </c>
      <c r="C853" s="136">
        <v>6</v>
      </c>
      <c r="D853" s="136">
        <v>1</v>
      </c>
      <c r="E853" s="136">
        <v>2</v>
      </c>
      <c r="F853" s="136">
        <v>11</v>
      </c>
      <c r="G853" s="136">
        <v>62</v>
      </c>
      <c r="H853" s="753"/>
      <c r="I853" s="753"/>
      <c r="J853" s="753"/>
      <c r="K853" s="754" t="s">
        <v>883</v>
      </c>
      <c r="L853" s="136" t="s">
        <v>830</v>
      </c>
      <c r="M853" s="136" t="s">
        <v>73</v>
      </c>
      <c r="N853" s="136" t="s">
        <v>2627</v>
      </c>
      <c r="O853" s="136" t="s">
        <v>737</v>
      </c>
      <c r="P853" s="227">
        <v>44927</v>
      </c>
      <c r="Q853" s="227">
        <v>45291</v>
      </c>
      <c r="R853" s="219"/>
      <c r="S853" s="219"/>
      <c r="T853" s="1197"/>
      <c r="U853" s="220">
        <v>0</v>
      </c>
      <c r="V853" s="220"/>
      <c r="W853" s="220">
        <v>0</v>
      </c>
      <c r="X853" s="1141">
        <v>0</v>
      </c>
      <c r="Y853" s="220">
        <v>0</v>
      </c>
      <c r="Z853" s="220">
        <v>0</v>
      </c>
      <c r="AA853" s="1141">
        <v>0</v>
      </c>
      <c r="AB853" s="220">
        <v>0</v>
      </c>
      <c r="AC853" s="220">
        <v>0</v>
      </c>
      <c r="AD853" s="1141">
        <v>0</v>
      </c>
      <c r="AE853" s="220">
        <v>0</v>
      </c>
      <c r="AF853" s="220">
        <v>0</v>
      </c>
      <c r="AG853" s="1141">
        <v>0</v>
      </c>
      <c r="AH853" s="505">
        <f t="shared" si="196"/>
        <v>0</v>
      </c>
      <c r="AI853" s="132"/>
      <c r="AJ853" s="75">
        <f t="shared" si="195"/>
        <v>0</v>
      </c>
      <c r="AK853" s="75"/>
      <c r="AL853" s="75"/>
      <c r="AM853" s="75"/>
      <c r="AN853" s="788" t="s">
        <v>39</v>
      </c>
      <c r="AO853" s="221"/>
      <c r="AP853" s="221"/>
      <c r="AQ853" s="419"/>
      <c r="AR853" s="221"/>
      <c r="AS853" s="485"/>
      <c r="AT853" s="221"/>
      <c r="AU853" s="654"/>
      <c r="AV853" s="360"/>
      <c r="AW853" s="451"/>
    </row>
    <row r="854" spans="1:49" s="212" customFormat="1" ht="48" hidden="1" customHeight="1" outlineLevel="2" x14ac:dyDescent="0.25">
      <c r="A854" s="746" t="str">
        <f t="shared" si="100"/>
        <v>1.6.1.2.11.63</v>
      </c>
      <c r="B854" s="136">
        <v>1</v>
      </c>
      <c r="C854" s="136">
        <v>6</v>
      </c>
      <c r="D854" s="136">
        <v>1</v>
      </c>
      <c r="E854" s="136">
        <v>2</v>
      </c>
      <c r="F854" s="136">
        <v>11</v>
      </c>
      <c r="G854" s="136">
        <v>63</v>
      </c>
      <c r="H854" s="753"/>
      <c r="I854" s="753"/>
      <c r="J854" s="753"/>
      <c r="K854" s="754" t="s">
        <v>1764</v>
      </c>
      <c r="L854" s="136" t="s">
        <v>830</v>
      </c>
      <c r="M854" s="136" t="s">
        <v>73</v>
      </c>
      <c r="N854" s="136" t="s">
        <v>2627</v>
      </c>
      <c r="O854" s="136" t="s">
        <v>737</v>
      </c>
      <c r="P854" s="227">
        <v>44927</v>
      </c>
      <c r="Q854" s="227">
        <v>45291</v>
      </c>
      <c r="R854" s="219"/>
      <c r="S854" s="219"/>
      <c r="T854" s="1197"/>
      <c r="U854" s="220">
        <v>0</v>
      </c>
      <c r="V854" s="220"/>
      <c r="W854" s="220">
        <v>0</v>
      </c>
      <c r="X854" s="1141">
        <v>0</v>
      </c>
      <c r="Y854" s="220">
        <v>0</v>
      </c>
      <c r="Z854" s="220">
        <v>0</v>
      </c>
      <c r="AA854" s="1141">
        <v>0</v>
      </c>
      <c r="AB854" s="220">
        <v>0</v>
      </c>
      <c r="AC854" s="220">
        <v>0</v>
      </c>
      <c r="AD854" s="1141">
        <v>0</v>
      </c>
      <c r="AE854" s="220">
        <v>0</v>
      </c>
      <c r="AF854" s="220">
        <v>0</v>
      </c>
      <c r="AG854" s="1141">
        <v>0</v>
      </c>
      <c r="AH854" s="505">
        <f t="shared" si="196"/>
        <v>0</v>
      </c>
      <c r="AI854" s="132"/>
      <c r="AJ854" s="75">
        <f t="shared" si="195"/>
        <v>0</v>
      </c>
      <c r="AK854" s="75"/>
      <c r="AL854" s="75"/>
      <c r="AM854" s="75"/>
      <c r="AN854" s="788" t="s">
        <v>39</v>
      </c>
      <c r="AO854" s="221"/>
      <c r="AP854" s="221"/>
      <c r="AQ854" s="419"/>
      <c r="AR854" s="221"/>
      <c r="AS854" s="485"/>
      <c r="AT854" s="221"/>
      <c r="AU854" s="654"/>
      <c r="AV854" s="360"/>
      <c r="AW854" s="451"/>
    </row>
    <row r="855" spans="1:49" s="212" customFormat="1" ht="48" hidden="1" customHeight="1" outlineLevel="2" x14ac:dyDescent="0.25">
      <c r="A855" s="746" t="str">
        <f t="shared" si="100"/>
        <v>1.6.1.2.11.64</v>
      </c>
      <c r="B855" s="136">
        <v>1</v>
      </c>
      <c r="C855" s="136">
        <v>6</v>
      </c>
      <c r="D855" s="136">
        <v>1</v>
      </c>
      <c r="E855" s="136">
        <v>2</v>
      </c>
      <c r="F855" s="136">
        <v>11</v>
      </c>
      <c r="G855" s="136">
        <v>64</v>
      </c>
      <c r="H855" s="753"/>
      <c r="I855" s="753"/>
      <c r="J855" s="753"/>
      <c r="K855" s="754" t="s">
        <v>884</v>
      </c>
      <c r="L855" s="136" t="s">
        <v>830</v>
      </c>
      <c r="M855" s="136" t="s">
        <v>73</v>
      </c>
      <c r="N855" s="136" t="s">
        <v>2627</v>
      </c>
      <c r="O855" s="136" t="s">
        <v>737</v>
      </c>
      <c r="P855" s="227">
        <v>44927</v>
      </c>
      <c r="Q855" s="227">
        <v>45291</v>
      </c>
      <c r="R855" s="219"/>
      <c r="S855" s="219"/>
      <c r="T855" s="1197"/>
      <c r="U855" s="220">
        <v>0</v>
      </c>
      <c r="V855" s="220"/>
      <c r="W855" s="220">
        <v>0</v>
      </c>
      <c r="X855" s="1141">
        <v>0</v>
      </c>
      <c r="Y855" s="220">
        <v>0</v>
      </c>
      <c r="Z855" s="220">
        <v>0</v>
      </c>
      <c r="AA855" s="1141">
        <v>0</v>
      </c>
      <c r="AB855" s="220">
        <v>0</v>
      </c>
      <c r="AC855" s="220">
        <v>0</v>
      </c>
      <c r="AD855" s="1141">
        <v>0</v>
      </c>
      <c r="AE855" s="220">
        <v>0</v>
      </c>
      <c r="AF855" s="220">
        <v>0</v>
      </c>
      <c r="AG855" s="1141">
        <v>0</v>
      </c>
      <c r="AH855" s="505">
        <f t="shared" si="196"/>
        <v>0</v>
      </c>
      <c r="AI855" s="132"/>
      <c r="AJ855" s="75">
        <f t="shared" si="195"/>
        <v>0</v>
      </c>
      <c r="AK855" s="75"/>
      <c r="AL855" s="75"/>
      <c r="AM855" s="75"/>
      <c r="AN855" s="788" t="s">
        <v>39</v>
      </c>
      <c r="AO855" s="221"/>
      <c r="AP855" s="221"/>
      <c r="AQ855" s="419"/>
      <c r="AR855" s="221"/>
      <c r="AS855" s="485"/>
      <c r="AT855" s="221"/>
      <c r="AU855" s="654"/>
      <c r="AV855" s="360"/>
      <c r="AW855" s="451"/>
    </row>
    <row r="856" spans="1:49" s="153" customFormat="1" ht="51" customHeight="1" outlineLevel="1" collapsed="1" x14ac:dyDescent="0.25">
      <c r="A856" s="744" t="str">
        <f t="shared" si="100"/>
        <v>1.6.1.3.0.0</v>
      </c>
      <c r="B856" s="82">
        <v>1</v>
      </c>
      <c r="C856" s="82">
        <v>6</v>
      </c>
      <c r="D856" s="82">
        <v>1</v>
      </c>
      <c r="E856" s="82">
        <v>3</v>
      </c>
      <c r="F856" s="82">
        <v>0</v>
      </c>
      <c r="G856" s="82">
        <v>0</v>
      </c>
      <c r="H856" s="749"/>
      <c r="I856" s="749"/>
      <c r="J856" s="1326" t="s">
        <v>885</v>
      </c>
      <c r="K856" s="1327"/>
      <c r="L856" s="82">
        <v>0</v>
      </c>
      <c r="M856" s="82">
        <v>0</v>
      </c>
      <c r="N856" s="82" t="s">
        <v>2627</v>
      </c>
      <c r="O856" s="82" t="s">
        <v>737</v>
      </c>
      <c r="P856" s="82"/>
      <c r="Q856" s="82"/>
      <c r="R856" s="82"/>
      <c r="S856" s="149"/>
      <c r="T856" s="193"/>
      <c r="U856" s="379">
        <f>+SUM(U857:U859)</f>
        <v>0</v>
      </c>
      <c r="V856" s="379"/>
      <c r="W856" s="379">
        <f t="shared" ref="W856:AH856" si="197">+SUM(W857:W859)</f>
        <v>0</v>
      </c>
      <c r="X856" s="1130">
        <f t="shared" si="197"/>
        <v>0</v>
      </c>
      <c r="Y856" s="379">
        <f t="shared" si="197"/>
        <v>0</v>
      </c>
      <c r="Z856" s="379">
        <f t="shared" si="197"/>
        <v>0</v>
      </c>
      <c r="AA856" s="1130">
        <f t="shared" si="197"/>
        <v>0</v>
      </c>
      <c r="AB856" s="379">
        <f t="shared" si="197"/>
        <v>0</v>
      </c>
      <c r="AC856" s="379">
        <f t="shared" si="197"/>
        <v>0</v>
      </c>
      <c r="AD856" s="1130">
        <f t="shared" si="197"/>
        <v>0</v>
      </c>
      <c r="AE856" s="379">
        <f t="shared" si="197"/>
        <v>0</v>
      </c>
      <c r="AF856" s="379">
        <f t="shared" si="197"/>
        <v>0</v>
      </c>
      <c r="AG856" s="1130">
        <f t="shared" si="197"/>
        <v>0</v>
      </c>
      <c r="AH856" s="379">
        <f t="shared" si="197"/>
        <v>0</v>
      </c>
      <c r="AI856" s="512">
        <f t="shared" ref="AI856:AM856" si="198">+SUM(AI857:AI859)</f>
        <v>0</v>
      </c>
      <c r="AJ856" s="772">
        <f t="shared" si="198"/>
        <v>0</v>
      </c>
      <c r="AK856" s="512">
        <f t="shared" si="198"/>
        <v>0</v>
      </c>
      <c r="AL856" s="512">
        <f t="shared" si="198"/>
        <v>0</v>
      </c>
      <c r="AM856" s="512">
        <f t="shared" si="198"/>
        <v>0</v>
      </c>
      <c r="AN856" s="786" t="s">
        <v>39</v>
      </c>
      <c r="AO856" s="82"/>
      <c r="AP856" s="82"/>
      <c r="AQ856" s="365"/>
      <c r="AR856" s="82"/>
      <c r="AS856" s="483"/>
      <c r="AT856" s="82"/>
      <c r="AU856" s="666"/>
      <c r="AV856" s="379">
        <f t="shared" ref="AV856" si="199">+SUM(AV857:AV859)</f>
        <v>0</v>
      </c>
      <c r="AW856" s="444"/>
    </row>
    <row r="857" spans="1:49" s="212" customFormat="1" ht="35.1" hidden="1" customHeight="1" outlineLevel="3" x14ac:dyDescent="0.25">
      <c r="A857" s="746" t="str">
        <f t="shared" si="100"/>
        <v>1.6.1.3.1.58-64</v>
      </c>
      <c r="B857" s="136">
        <v>1</v>
      </c>
      <c r="C857" s="136">
        <v>6</v>
      </c>
      <c r="D857" s="136">
        <v>1</v>
      </c>
      <c r="E857" s="136">
        <v>3</v>
      </c>
      <c r="F857" s="136">
        <v>1</v>
      </c>
      <c r="G857" s="136" t="s">
        <v>64</v>
      </c>
      <c r="H857" s="753"/>
      <c r="I857" s="753"/>
      <c r="J857" s="755"/>
      <c r="K857" s="753" t="s">
        <v>886</v>
      </c>
      <c r="L857" s="136" t="s">
        <v>209</v>
      </c>
      <c r="M857" s="136" t="s">
        <v>887</v>
      </c>
      <c r="N857" s="136" t="s">
        <v>2627</v>
      </c>
      <c r="O857" s="136" t="s">
        <v>737</v>
      </c>
      <c r="P857" s="214">
        <v>45261</v>
      </c>
      <c r="Q857" s="214">
        <v>44929</v>
      </c>
      <c r="R857" s="136"/>
      <c r="S857" s="125"/>
      <c r="T857" s="1195"/>
      <c r="U857" s="132">
        <v>0</v>
      </c>
      <c r="V857" s="132"/>
      <c r="W857" s="132">
        <v>0</v>
      </c>
      <c r="X857" s="1138">
        <v>0</v>
      </c>
      <c r="Y857" s="132">
        <v>0</v>
      </c>
      <c r="Z857" s="132">
        <v>0</v>
      </c>
      <c r="AA857" s="1138">
        <v>0</v>
      </c>
      <c r="AB857" s="132">
        <v>0</v>
      </c>
      <c r="AC857" s="132">
        <v>0</v>
      </c>
      <c r="AD857" s="1138">
        <v>0</v>
      </c>
      <c r="AE857" s="132">
        <v>0</v>
      </c>
      <c r="AF857" s="132">
        <v>0</v>
      </c>
      <c r="AG857" s="1138">
        <v>0</v>
      </c>
      <c r="AH857" s="505">
        <f>+U857+Y857+AB857+AE857</f>
        <v>0</v>
      </c>
      <c r="AI857" s="132"/>
      <c r="AJ857" s="75">
        <f t="shared" ref="AJ857:AJ859" si="200">+W858+Z858+AC858+AF858</f>
        <v>0</v>
      </c>
      <c r="AK857" s="75"/>
      <c r="AL857" s="75"/>
      <c r="AM857" s="75"/>
      <c r="AN857" s="789" t="s">
        <v>39</v>
      </c>
      <c r="AO857" s="136"/>
      <c r="AP857" s="136"/>
      <c r="AQ857" s="414"/>
      <c r="AR857" s="136"/>
      <c r="AS857" s="477"/>
      <c r="AT857" s="136"/>
      <c r="AU857" s="646"/>
      <c r="AV857" s="349" t="s">
        <v>1796</v>
      </c>
      <c r="AW857" s="448"/>
    </row>
    <row r="858" spans="1:49" s="212" customFormat="1" ht="35.1" hidden="1" customHeight="1" outlineLevel="3" x14ac:dyDescent="0.25">
      <c r="A858" s="746" t="str">
        <f t="shared" si="100"/>
        <v>1.6.1.3.2.58-64</v>
      </c>
      <c r="B858" s="136">
        <v>1</v>
      </c>
      <c r="C858" s="136">
        <v>6</v>
      </c>
      <c r="D858" s="136">
        <v>1</v>
      </c>
      <c r="E858" s="136">
        <v>3</v>
      </c>
      <c r="F858" s="136">
        <v>2</v>
      </c>
      <c r="G858" s="136" t="s">
        <v>64</v>
      </c>
      <c r="H858" s="753"/>
      <c r="I858" s="753"/>
      <c r="J858" s="755"/>
      <c r="K858" s="754" t="s">
        <v>888</v>
      </c>
      <c r="L858" s="136" t="s">
        <v>209</v>
      </c>
      <c r="M858" s="136" t="s">
        <v>73</v>
      </c>
      <c r="N858" s="136" t="s">
        <v>74</v>
      </c>
      <c r="O858" s="136" t="s">
        <v>737</v>
      </c>
      <c r="P858" s="214">
        <v>44927</v>
      </c>
      <c r="Q858" s="214">
        <v>45290</v>
      </c>
      <c r="R858" s="136"/>
      <c r="S858" s="125"/>
      <c r="T858" s="1195"/>
      <c r="U858" s="132">
        <v>0</v>
      </c>
      <c r="V858" s="132"/>
      <c r="W858" s="132">
        <v>0</v>
      </c>
      <c r="X858" s="1138">
        <v>0</v>
      </c>
      <c r="Y858" s="132">
        <v>0</v>
      </c>
      <c r="Z858" s="132">
        <v>0</v>
      </c>
      <c r="AA858" s="1138">
        <v>0</v>
      </c>
      <c r="AB858" s="132">
        <v>0</v>
      </c>
      <c r="AC858" s="132">
        <v>0</v>
      </c>
      <c r="AD858" s="1138">
        <v>0</v>
      </c>
      <c r="AE858" s="132">
        <v>0</v>
      </c>
      <c r="AF858" s="132">
        <v>0</v>
      </c>
      <c r="AG858" s="1138">
        <v>0</v>
      </c>
      <c r="AH858" s="505">
        <f t="shared" ref="AH858:AH859" si="201">+U858+Y858+AB858+AE858</f>
        <v>0</v>
      </c>
      <c r="AI858" s="132"/>
      <c r="AJ858" s="75">
        <f t="shared" si="200"/>
        <v>0</v>
      </c>
      <c r="AK858" s="75"/>
      <c r="AL858" s="75"/>
      <c r="AM858" s="75"/>
      <c r="AN858" s="789" t="s">
        <v>39</v>
      </c>
      <c r="AO858" s="136"/>
      <c r="AP858" s="136"/>
      <c r="AQ858" s="414"/>
      <c r="AR858" s="136"/>
      <c r="AS858" s="477"/>
      <c r="AT858" s="136"/>
      <c r="AU858" s="646"/>
      <c r="AV858" s="350" t="s">
        <v>1797</v>
      </c>
      <c r="AW858" s="448"/>
    </row>
    <row r="859" spans="1:49" s="212" customFormat="1" ht="35.1" hidden="1" customHeight="1" outlineLevel="3" x14ac:dyDescent="0.25">
      <c r="A859" s="746" t="str">
        <f t="shared" si="100"/>
        <v>1.6.1.3.3.58-64</v>
      </c>
      <c r="B859" s="136">
        <v>1</v>
      </c>
      <c r="C859" s="136">
        <v>6</v>
      </c>
      <c r="D859" s="136">
        <v>1</v>
      </c>
      <c r="E859" s="136">
        <v>3</v>
      </c>
      <c r="F859" s="136">
        <v>3</v>
      </c>
      <c r="G859" s="136" t="s">
        <v>64</v>
      </c>
      <c r="H859" s="753"/>
      <c r="I859" s="753"/>
      <c r="J859" s="755"/>
      <c r="K859" s="753" t="s">
        <v>889</v>
      </c>
      <c r="L859" s="136" t="s">
        <v>209</v>
      </c>
      <c r="M859" s="136" t="s">
        <v>817</v>
      </c>
      <c r="N859" s="136" t="s">
        <v>2627</v>
      </c>
      <c r="O859" s="136" t="s">
        <v>737</v>
      </c>
      <c r="P859" s="214">
        <v>44927</v>
      </c>
      <c r="Q859" s="214">
        <v>45290</v>
      </c>
      <c r="R859" s="136"/>
      <c r="S859" s="125"/>
      <c r="T859" s="1195"/>
      <c r="U859" s="132">
        <v>0</v>
      </c>
      <c r="V859" s="132"/>
      <c r="W859" s="132">
        <v>0</v>
      </c>
      <c r="X859" s="1138">
        <v>0</v>
      </c>
      <c r="Y859" s="132">
        <v>0</v>
      </c>
      <c r="Z859" s="132">
        <v>0</v>
      </c>
      <c r="AA859" s="1138">
        <v>0</v>
      </c>
      <c r="AB859" s="132">
        <v>0</v>
      </c>
      <c r="AC859" s="132">
        <v>0</v>
      </c>
      <c r="AD859" s="1138">
        <v>0</v>
      </c>
      <c r="AE859" s="132">
        <v>0</v>
      </c>
      <c r="AF859" s="132">
        <v>0</v>
      </c>
      <c r="AG859" s="1138">
        <v>0</v>
      </c>
      <c r="AH859" s="505">
        <f t="shared" si="201"/>
        <v>0</v>
      </c>
      <c r="AI859" s="132"/>
      <c r="AJ859" s="75">
        <f t="shared" si="200"/>
        <v>0</v>
      </c>
      <c r="AK859" s="75"/>
      <c r="AL859" s="75"/>
      <c r="AM859" s="75"/>
      <c r="AN859" s="789" t="s">
        <v>39</v>
      </c>
      <c r="AO859" s="136"/>
      <c r="AP859" s="136"/>
      <c r="AQ859" s="414"/>
      <c r="AR859" s="136"/>
      <c r="AS859" s="477"/>
      <c r="AT859" s="136"/>
      <c r="AU859" s="646"/>
      <c r="AV859" s="349" t="s">
        <v>890</v>
      </c>
      <c r="AW859" s="448"/>
    </row>
    <row r="860" spans="1:49" s="153" customFormat="1" ht="43.5" customHeight="1" outlineLevel="1" collapsed="1" x14ac:dyDescent="0.25">
      <c r="A860" s="744" t="str">
        <f t="shared" si="100"/>
        <v>1.6.1.4.0.0</v>
      </c>
      <c r="B860" s="82">
        <v>1</v>
      </c>
      <c r="C860" s="82">
        <v>6</v>
      </c>
      <c r="D860" s="82">
        <v>1</v>
      </c>
      <c r="E860" s="82">
        <v>4</v>
      </c>
      <c r="F860" s="82">
        <v>0</v>
      </c>
      <c r="G860" s="82">
        <v>0</v>
      </c>
      <c r="H860" s="749"/>
      <c r="I860" s="749"/>
      <c r="J860" s="1304" t="s">
        <v>891</v>
      </c>
      <c r="K860" s="1303"/>
      <c r="L860" s="82" t="s">
        <v>202</v>
      </c>
      <c r="M860" s="82" t="s">
        <v>76</v>
      </c>
      <c r="N860" s="82" t="s">
        <v>2625</v>
      </c>
      <c r="O860" s="82" t="s">
        <v>737</v>
      </c>
      <c r="P860" s="82"/>
      <c r="Q860" s="82"/>
      <c r="R860" s="82"/>
      <c r="S860" s="149"/>
      <c r="T860" s="193"/>
      <c r="U860" s="209">
        <f>SUM(U861:U864)</f>
        <v>97500</v>
      </c>
      <c r="V860" s="209"/>
      <c r="W860" s="209">
        <f t="shared" ref="W860:AH860" si="202">SUM(W861:W864)</f>
        <v>0</v>
      </c>
      <c r="X860" s="1133">
        <f t="shared" si="202"/>
        <v>0</v>
      </c>
      <c r="Y860" s="209">
        <f>SUM(Y861:Y864)</f>
        <v>97000</v>
      </c>
      <c r="Z860" s="209">
        <f t="shared" si="202"/>
        <v>0</v>
      </c>
      <c r="AA860" s="1133">
        <f t="shared" si="202"/>
        <v>0</v>
      </c>
      <c r="AB860" s="209">
        <f>SUM(AB861:AB864)</f>
        <v>97000</v>
      </c>
      <c r="AC860" s="209">
        <f t="shared" si="202"/>
        <v>0</v>
      </c>
      <c r="AD860" s="1133">
        <f t="shared" si="202"/>
        <v>0</v>
      </c>
      <c r="AE860" s="209">
        <f>SUM(AE861:AE864)</f>
        <v>97000</v>
      </c>
      <c r="AF860" s="209">
        <f t="shared" si="202"/>
        <v>0</v>
      </c>
      <c r="AG860" s="1133">
        <f t="shared" si="202"/>
        <v>0</v>
      </c>
      <c r="AH860" s="209">
        <f>SUM(AH861:AH864)</f>
        <v>388500</v>
      </c>
      <c r="AI860" s="512">
        <f>+SUM(AI861:AI864)</f>
        <v>0</v>
      </c>
      <c r="AJ860" s="772">
        <f>+SUM(AJ861:AJ864)</f>
        <v>0</v>
      </c>
      <c r="AK860" s="152"/>
      <c r="AL860" s="152"/>
      <c r="AM860" s="152"/>
      <c r="AN860" s="786" t="s">
        <v>39</v>
      </c>
      <c r="AO860" s="82"/>
      <c r="AP860" s="82"/>
      <c r="AQ860" s="365"/>
      <c r="AR860" s="82"/>
      <c r="AS860" s="483"/>
      <c r="AT860" s="82"/>
      <c r="AU860" s="666"/>
      <c r="AV860" s="209">
        <f t="shared" ref="AV860" si="203">SUM(AV861:AV864)</f>
        <v>0</v>
      </c>
      <c r="AW860" s="449" t="s">
        <v>1798</v>
      </c>
    </row>
    <row r="861" spans="1:49" ht="27.6" hidden="1" customHeight="1" outlineLevel="3" x14ac:dyDescent="0.25">
      <c r="A861" s="745" t="str">
        <f t="shared" si="100"/>
        <v>1.6.1.4.1.58-64</v>
      </c>
      <c r="B861" s="64">
        <v>1</v>
      </c>
      <c r="C861" s="64">
        <v>6</v>
      </c>
      <c r="D861" s="64">
        <v>1</v>
      </c>
      <c r="E861" s="64">
        <v>4</v>
      </c>
      <c r="F861" s="64">
        <v>1</v>
      </c>
      <c r="G861" s="64" t="s">
        <v>64</v>
      </c>
      <c r="H861" s="750"/>
      <c r="I861" s="750"/>
      <c r="J861" s="750"/>
      <c r="K861" s="750" t="s">
        <v>892</v>
      </c>
      <c r="L861" s="64" t="s">
        <v>209</v>
      </c>
      <c r="M861" s="64" t="s">
        <v>73</v>
      </c>
      <c r="N861" s="64" t="s">
        <v>2627</v>
      </c>
      <c r="O861" s="64" t="s">
        <v>737</v>
      </c>
      <c r="P861" s="64"/>
      <c r="Q861" s="64"/>
      <c r="R861" s="64"/>
      <c r="S861" s="65"/>
      <c r="T861" s="194"/>
      <c r="U861" s="75">
        <f>390000/4</f>
        <v>97500</v>
      </c>
      <c r="V861" s="75"/>
      <c r="W861" s="75">
        <v>0</v>
      </c>
      <c r="X861" s="1122">
        <v>0</v>
      </c>
      <c r="Y861" s="75">
        <v>97000</v>
      </c>
      <c r="Z861" s="75">
        <v>0</v>
      </c>
      <c r="AA861" s="1122">
        <v>0</v>
      </c>
      <c r="AB861" s="75">
        <v>97000</v>
      </c>
      <c r="AC861" s="75">
        <v>0</v>
      </c>
      <c r="AD861" s="1122">
        <v>0</v>
      </c>
      <c r="AE861" s="75">
        <v>97000</v>
      </c>
      <c r="AF861" s="75">
        <v>0</v>
      </c>
      <c r="AG861" s="1122">
        <v>0</v>
      </c>
      <c r="AH861" s="505">
        <f>+U861+Y861+AB861+AE861</f>
        <v>388500</v>
      </c>
      <c r="AI861" s="132"/>
      <c r="AJ861" s="75">
        <f t="shared" ref="AJ861:AJ864" si="204">+W862+Z862+AC862+AF862</f>
        <v>0</v>
      </c>
      <c r="AK861" s="75"/>
      <c r="AL861" s="75"/>
      <c r="AM861" s="75"/>
      <c r="AN861" s="787" t="s">
        <v>39</v>
      </c>
      <c r="AO861" s="64"/>
      <c r="AP861" s="64"/>
      <c r="AQ861" s="189"/>
      <c r="AR861" s="64"/>
      <c r="AS861" s="476"/>
      <c r="AT861" s="64"/>
      <c r="AU861" s="646"/>
      <c r="AV861" s="259"/>
      <c r="AW861" s="185" t="s">
        <v>2834</v>
      </c>
    </row>
    <row r="862" spans="1:49" ht="53.45" hidden="1" customHeight="1" outlineLevel="3" x14ac:dyDescent="0.25">
      <c r="A862" s="745" t="str">
        <f t="shared" si="100"/>
        <v>1.6.1.4.2.58-64</v>
      </c>
      <c r="B862" s="64">
        <v>1</v>
      </c>
      <c r="C862" s="64">
        <v>6</v>
      </c>
      <c r="D862" s="64">
        <v>1</v>
      </c>
      <c r="E862" s="64">
        <v>4</v>
      </c>
      <c r="F862" s="64">
        <v>2</v>
      </c>
      <c r="G862" s="64" t="s">
        <v>64</v>
      </c>
      <c r="H862" s="750"/>
      <c r="I862" s="750"/>
      <c r="J862" s="750"/>
      <c r="K862" s="756" t="s">
        <v>1864</v>
      </c>
      <c r="L862" s="631" t="s">
        <v>209</v>
      </c>
      <c r="M862" s="229" t="s">
        <v>893</v>
      </c>
      <c r="N862" s="229" t="s">
        <v>382</v>
      </c>
      <c r="O862" s="229" t="s">
        <v>737</v>
      </c>
      <c r="P862" s="1223">
        <v>44927</v>
      </c>
      <c r="Q862" s="1223">
        <v>45290</v>
      </c>
      <c r="R862" s="228"/>
      <c r="S862" s="231"/>
      <c r="T862" s="1198"/>
      <c r="U862" s="232">
        <v>0</v>
      </c>
      <c r="V862" s="232"/>
      <c r="W862" s="232">
        <v>0</v>
      </c>
      <c r="X862" s="1142">
        <v>0</v>
      </c>
      <c r="Y862" s="232">
        <v>0</v>
      </c>
      <c r="Z862" s="232">
        <v>0</v>
      </c>
      <c r="AA862" s="1142">
        <v>0</v>
      </c>
      <c r="AB862" s="232">
        <v>0</v>
      </c>
      <c r="AC862" s="232">
        <v>0</v>
      </c>
      <c r="AD862" s="1142">
        <v>0</v>
      </c>
      <c r="AE862" s="232">
        <v>0</v>
      </c>
      <c r="AF862" s="232">
        <v>0</v>
      </c>
      <c r="AG862" s="1142">
        <v>0</v>
      </c>
      <c r="AH862" s="505">
        <f t="shared" ref="AH862:AH864" si="205">+U862+Y862+AB862+AE862</f>
        <v>0</v>
      </c>
      <c r="AI862" s="132"/>
      <c r="AJ862" s="75">
        <f t="shared" si="204"/>
        <v>0</v>
      </c>
      <c r="AK862" s="232"/>
      <c r="AL862" s="232"/>
      <c r="AM862" s="232"/>
      <c r="AN862" s="787" t="s">
        <v>39</v>
      </c>
      <c r="AO862" s="100"/>
      <c r="AP862" s="100"/>
      <c r="AQ862" s="100"/>
      <c r="AR862" s="104"/>
      <c r="AS862" s="104"/>
      <c r="AT862" s="100"/>
      <c r="AU862" s="964"/>
      <c r="AV862" s="362"/>
      <c r="AW862" s="335"/>
    </row>
    <row r="863" spans="1:49" ht="23.1" hidden="1" customHeight="1" outlineLevel="3" x14ac:dyDescent="0.25">
      <c r="A863" s="745" t="str">
        <f t="shared" si="100"/>
        <v>1.6.1.4.3.58-64</v>
      </c>
      <c r="B863" s="64">
        <v>1</v>
      </c>
      <c r="C863" s="64">
        <v>6</v>
      </c>
      <c r="D863" s="64">
        <v>1</v>
      </c>
      <c r="E863" s="64">
        <v>4</v>
      </c>
      <c r="F863" s="64">
        <v>3</v>
      </c>
      <c r="G863" s="64" t="s">
        <v>64</v>
      </c>
      <c r="H863" s="750"/>
      <c r="I863" s="750"/>
      <c r="J863" s="751"/>
      <c r="K863" s="750" t="s">
        <v>1865</v>
      </c>
      <c r="L863" s="64" t="s">
        <v>209</v>
      </c>
      <c r="M863" s="64" t="s">
        <v>73</v>
      </c>
      <c r="N863" s="64" t="s">
        <v>2627</v>
      </c>
      <c r="O863" s="64" t="s">
        <v>737</v>
      </c>
      <c r="P863" s="69">
        <v>44927</v>
      </c>
      <c r="Q863" s="69">
        <v>45290</v>
      </c>
      <c r="R863" s="64"/>
      <c r="S863" s="65"/>
      <c r="T863" s="194"/>
      <c r="U863" s="75">
        <v>0</v>
      </c>
      <c r="V863" s="75"/>
      <c r="W863" s="75">
        <v>0</v>
      </c>
      <c r="X863" s="1122">
        <v>0</v>
      </c>
      <c r="Y863" s="75">
        <v>0</v>
      </c>
      <c r="Z863" s="75">
        <v>0</v>
      </c>
      <c r="AA863" s="1122">
        <v>0</v>
      </c>
      <c r="AB863" s="75">
        <v>0</v>
      </c>
      <c r="AC863" s="75">
        <v>0</v>
      </c>
      <c r="AD863" s="1122">
        <v>0</v>
      </c>
      <c r="AE863" s="75">
        <v>0</v>
      </c>
      <c r="AF863" s="75">
        <v>0</v>
      </c>
      <c r="AG863" s="1122">
        <v>0</v>
      </c>
      <c r="AH863" s="505">
        <f t="shared" si="205"/>
        <v>0</v>
      </c>
      <c r="AI863" s="132"/>
      <c r="AJ863" s="75">
        <f t="shared" si="204"/>
        <v>0</v>
      </c>
      <c r="AK863" s="75"/>
      <c r="AL863" s="75"/>
      <c r="AM863" s="75"/>
      <c r="AN863" s="787" t="s">
        <v>39</v>
      </c>
      <c r="AO863" s="64"/>
      <c r="AP863" s="64"/>
      <c r="AQ863" s="189"/>
      <c r="AR863" s="64"/>
      <c r="AS863" s="476"/>
      <c r="AT863" s="64"/>
      <c r="AU863" s="646"/>
      <c r="AV863" s="259"/>
      <c r="AW863" s="185"/>
    </row>
    <row r="864" spans="1:49" ht="23.1" hidden="1" customHeight="1" outlineLevel="3" x14ac:dyDescent="0.25">
      <c r="A864" s="745" t="str">
        <f t="shared" si="100"/>
        <v>1.6.1.4.4.58-64</v>
      </c>
      <c r="B864" s="64">
        <v>1</v>
      </c>
      <c r="C864" s="64">
        <v>6</v>
      </c>
      <c r="D864" s="64">
        <v>1</v>
      </c>
      <c r="E864" s="64">
        <v>4</v>
      </c>
      <c r="F864" s="64">
        <v>4</v>
      </c>
      <c r="G864" s="64" t="s">
        <v>64</v>
      </c>
      <c r="H864" s="750"/>
      <c r="I864" s="750"/>
      <c r="J864" s="751"/>
      <c r="K864" s="750" t="s">
        <v>1866</v>
      </c>
      <c r="L864" s="64" t="s">
        <v>209</v>
      </c>
      <c r="M864" s="64" t="s">
        <v>73</v>
      </c>
      <c r="N864" s="64" t="s">
        <v>2627</v>
      </c>
      <c r="O864" s="64" t="s">
        <v>737</v>
      </c>
      <c r="P864" s="69">
        <v>45261</v>
      </c>
      <c r="Q864" s="69">
        <v>45290</v>
      </c>
      <c r="R864" s="64"/>
      <c r="S864" s="65"/>
      <c r="T864" s="194"/>
      <c r="U864" s="75">
        <v>0</v>
      </c>
      <c r="V864" s="75"/>
      <c r="W864" s="75">
        <v>0</v>
      </c>
      <c r="X864" s="1122">
        <v>0</v>
      </c>
      <c r="Y864" s="75">
        <v>0</v>
      </c>
      <c r="Z864" s="75">
        <v>0</v>
      </c>
      <c r="AA864" s="1122">
        <v>0</v>
      </c>
      <c r="AB864" s="75">
        <v>0</v>
      </c>
      <c r="AC864" s="75">
        <v>0</v>
      </c>
      <c r="AD864" s="1122">
        <v>0</v>
      </c>
      <c r="AE864" s="75">
        <v>0</v>
      </c>
      <c r="AF864" s="75">
        <v>0</v>
      </c>
      <c r="AG864" s="1122">
        <v>0</v>
      </c>
      <c r="AH864" s="505">
        <f t="shared" si="205"/>
        <v>0</v>
      </c>
      <c r="AI864" s="132"/>
      <c r="AJ864" s="75">
        <f t="shared" si="204"/>
        <v>0</v>
      </c>
      <c r="AK864" s="75"/>
      <c r="AL864" s="75"/>
      <c r="AM864" s="75"/>
      <c r="AN864" s="787" t="s">
        <v>39</v>
      </c>
      <c r="AO864" s="64"/>
      <c r="AP864" s="64"/>
      <c r="AQ864" s="189"/>
      <c r="AR864" s="64"/>
      <c r="AS864" s="476"/>
      <c r="AT864" s="64"/>
      <c r="AU864" s="646"/>
      <c r="AV864" s="259"/>
      <c r="AW864" s="185"/>
    </row>
    <row r="865" spans="1:49" s="153" customFormat="1" ht="43.5" customHeight="1" outlineLevel="1" collapsed="1" x14ac:dyDescent="0.25">
      <c r="A865" s="744" t="str">
        <f t="shared" si="100"/>
        <v>1.6.1.5.0.0</v>
      </c>
      <c r="B865" s="82">
        <v>1</v>
      </c>
      <c r="C865" s="82">
        <v>6</v>
      </c>
      <c r="D865" s="82">
        <v>1</v>
      </c>
      <c r="E865" s="82">
        <v>5</v>
      </c>
      <c r="F865" s="82">
        <v>0</v>
      </c>
      <c r="G865" s="82">
        <v>0</v>
      </c>
      <c r="H865" s="749"/>
      <c r="I865" s="749"/>
      <c r="J865" s="1304" t="s">
        <v>895</v>
      </c>
      <c r="K865" s="1303"/>
      <c r="L865" s="82" t="s">
        <v>236</v>
      </c>
      <c r="M865" s="82" t="s">
        <v>73</v>
      </c>
      <c r="N865" s="82" t="s">
        <v>74</v>
      </c>
      <c r="O865" s="82" t="s">
        <v>359</v>
      </c>
      <c r="P865" s="82"/>
      <c r="Q865" s="82"/>
      <c r="R865" s="82"/>
      <c r="S865" s="149"/>
      <c r="T865" s="193"/>
      <c r="U865" s="379">
        <f>SUM(U866:U879)</f>
        <v>0</v>
      </c>
      <c r="V865" s="379"/>
      <c r="W865" s="379">
        <f t="shared" ref="W865:AH865" si="206">SUM(W866:W879)</f>
        <v>0</v>
      </c>
      <c r="X865" s="1130">
        <f t="shared" si="206"/>
        <v>0</v>
      </c>
      <c r="Y865" s="379">
        <f t="shared" si="206"/>
        <v>0</v>
      </c>
      <c r="Z865" s="379">
        <f t="shared" si="206"/>
        <v>0</v>
      </c>
      <c r="AA865" s="1130">
        <f t="shared" si="206"/>
        <v>0</v>
      </c>
      <c r="AB865" s="379">
        <f t="shared" si="206"/>
        <v>0</v>
      </c>
      <c r="AC865" s="379">
        <f t="shared" si="206"/>
        <v>0</v>
      </c>
      <c r="AD865" s="1130">
        <f t="shared" si="206"/>
        <v>0</v>
      </c>
      <c r="AE865" s="379">
        <f t="shared" si="206"/>
        <v>0</v>
      </c>
      <c r="AF865" s="379">
        <f t="shared" si="206"/>
        <v>0</v>
      </c>
      <c r="AG865" s="1130">
        <f t="shared" si="206"/>
        <v>0</v>
      </c>
      <c r="AH865" s="379">
        <f t="shared" si="206"/>
        <v>0</v>
      </c>
      <c r="AI865" s="512">
        <f>SUM(AI866:AI879)</f>
        <v>0</v>
      </c>
      <c r="AJ865" s="772">
        <f>SUM(AJ866:AJ879)</f>
        <v>0</v>
      </c>
      <c r="AK865" s="152"/>
      <c r="AL865" s="152"/>
      <c r="AM865" s="152"/>
      <c r="AN865" s="786" t="s">
        <v>39</v>
      </c>
      <c r="AO865" s="82"/>
      <c r="AP865" s="82"/>
      <c r="AQ865" s="365"/>
      <c r="AR865" s="82"/>
      <c r="AS865" s="483"/>
      <c r="AT865" s="82"/>
      <c r="AU865" s="666"/>
      <c r="AV865" s="379">
        <f t="shared" ref="AV865" si="207">SUM(AV866:AV879)</f>
        <v>0</v>
      </c>
      <c r="AW865" s="444" t="s">
        <v>896</v>
      </c>
    </row>
    <row r="866" spans="1:49" ht="53.1" hidden="1" customHeight="1" outlineLevel="2" x14ac:dyDescent="0.25">
      <c r="A866" s="745" t="str">
        <f t="shared" si="100"/>
        <v>1.6.1.5.1.58</v>
      </c>
      <c r="B866" s="64">
        <v>1</v>
      </c>
      <c r="C866" s="64">
        <v>6</v>
      </c>
      <c r="D866" s="64">
        <v>1</v>
      </c>
      <c r="E866" s="64">
        <v>5</v>
      </c>
      <c r="F866" s="64">
        <v>1</v>
      </c>
      <c r="G866" s="64">
        <v>58</v>
      </c>
      <c r="H866" s="750"/>
      <c r="I866" s="750"/>
      <c r="J866" s="750"/>
      <c r="K866" s="752" t="s">
        <v>897</v>
      </c>
      <c r="L866" s="64" t="s">
        <v>236</v>
      </c>
      <c r="M866" s="64" t="s">
        <v>73</v>
      </c>
      <c r="N866" s="68" t="s">
        <v>898</v>
      </c>
      <c r="O866" s="64" t="s">
        <v>359</v>
      </c>
      <c r="P866" s="170"/>
      <c r="Q866" s="170"/>
      <c r="R866" s="68"/>
      <c r="S866" s="65"/>
      <c r="T866" s="194"/>
      <c r="U866" s="75">
        <v>0</v>
      </c>
      <c r="V866" s="75"/>
      <c r="W866" s="75">
        <v>0</v>
      </c>
      <c r="X866" s="1122">
        <v>0</v>
      </c>
      <c r="Y866" s="75">
        <v>0</v>
      </c>
      <c r="Z866" s="75">
        <v>0</v>
      </c>
      <c r="AA866" s="1122">
        <v>0</v>
      </c>
      <c r="AB866" s="75">
        <v>0</v>
      </c>
      <c r="AC866" s="75">
        <v>0</v>
      </c>
      <c r="AD866" s="1122">
        <v>0</v>
      </c>
      <c r="AE866" s="75">
        <v>0</v>
      </c>
      <c r="AF866" s="75">
        <v>0</v>
      </c>
      <c r="AG866" s="1122">
        <v>0</v>
      </c>
      <c r="AH866" s="505">
        <f>+U866+Y866+AB866+AE866</f>
        <v>0</v>
      </c>
      <c r="AI866" s="132"/>
      <c r="AJ866" s="75">
        <f t="shared" ref="AJ866:AJ879" si="208">+W867+Z867+AC867+AF867</f>
        <v>0</v>
      </c>
      <c r="AK866" s="75"/>
      <c r="AL866" s="75"/>
      <c r="AM866" s="75"/>
      <c r="AN866" s="787" t="s">
        <v>39</v>
      </c>
      <c r="AO866" s="64"/>
      <c r="AP866" s="64"/>
      <c r="AQ866" s="189"/>
      <c r="AR866" s="64"/>
      <c r="AS866" s="476"/>
      <c r="AT866" s="64"/>
      <c r="AU866" s="646"/>
      <c r="AV866" s="259"/>
      <c r="AW866" s="335"/>
    </row>
    <row r="867" spans="1:49" ht="53.1" hidden="1" customHeight="1" outlineLevel="2" x14ac:dyDescent="0.25">
      <c r="A867" s="745" t="str">
        <f t="shared" si="100"/>
        <v>1.6.1.5.1.59</v>
      </c>
      <c r="B867" s="64">
        <v>1</v>
      </c>
      <c r="C867" s="64">
        <v>6</v>
      </c>
      <c r="D867" s="64">
        <v>1</v>
      </c>
      <c r="E867" s="64">
        <v>5</v>
      </c>
      <c r="F867" s="64">
        <v>1</v>
      </c>
      <c r="G867" s="64">
        <v>59</v>
      </c>
      <c r="H867" s="750"/>
      <c r="I867" s="750"/>
      <c r="J867" s="750"/>
      <c r="K867" s="752" t="s">
        <v>897</v>
      </c>
      <c r="L867" s="64" t="s">
        <v>236</v>
      </c>
      <c r="M867" s="64" t="s">
        <v>73</v>
      </c>
      <c r="N867" s="68" t="s">
        <v>898</v>
      </c>
      <c r="O867" s="64" t="s">
        <v>359</v>
      </c>
      <c r="P867" s="170"/>
      <c r="Q867" s="170"/>
      <c r="R867" s="68"/>
      <c r="S867" s="65"/>
      <c r="T867" s="194"/>
      <c r="U867" s="75">
        <v>0</v>
      </c>
      <c r="V867" s="75"/>
      <c r="W867" s="75">
        <v>0</v>
      </c>
      <c r="X867" s="1122">
        <v>0</v>
      </c>
      <c r="Y867" s="75">
        <v>0</v>
      </c>
      <c r="Z867" s="75">
        <v>0</v>
      </c>
      <c r="AA867" s="1122">
        <v>0</v>
      </c>
      <c r="AB867" s="75">
        <v>0</v>
      </c>
      <c r="AC867" s="75">
        <v>0</v>
      </c>
      <c r="AD867" s="1122">
        <v>0</v>
      </c>
      <c r="AE867" s="75">
        <v>0</v>
      </c>
      <c r="AF867" s="75">
        <v>0</v>
      </c>
      <c r="AG867" s="1122">
        <v>0</v>
      </c>
      <c r="AH867" s="505">
        <f t="shared" ref="AH867:AH879" si="209">+U867+Y867+AB867+AE867</f>
        <v>0</v>
      </c>
      <c r="AI867" s="132"/>
      <c r="AJ867" s="75">
        <f t="shared" si="208"/>
        <v>0</v>
      </c>
      <c r="AK867" s="75"/>
      <c r="AL867" s="75"/>
      <c r="AM867" s="75"/>
      <c r="AN867" s="787" t="s">
        <v>39</v>
      </c>
      <c r="AO867" s="64"/>
      <c r="AP867" s="64"/>
      <c r="AQ867" s="189"/>
      <c r="AR867" s="64"/>
      <c r="AS867" s="476"/>
      <c r="AT867" s="64"/>
      <c r="AU867" s="646"/>
      <c r="AV867" s="259"/>
      <c r="AW867" s="185"/>
    </row>
    <row r="868" spans="1:49" ht="53.1" hidden="1" customHeight="1" outlineLevel="2" x14ac:dyDescent="0.25">
      <c r="A868" s="745" t="str">
        <f t="shared" si="100"/>
        <v>1.6.1.5.1.60</v>
      </c>
      <c r="B868" s="64">
        <v>1</v>
      </c>
      <c r="C868" s="64">
        <v>6</v>
      </c>
      <c r="D868" s="64">
        <v>1</v>
      </c>
      <c r="E868" s="64">
        <v>5</v>
      </c>
      <c r="F868" s="64">
        <v>1</v>
      </c>
      <c r="G868" s="64">
        <v>60</v>
      </c>
      <c r="H868" s="750"/>
      <c r="I868" s="750"/>
      <c r="J868" s="750"/>
      <c r="K868" s="752" t="s">
        <v>897</v>
      </c>
      <c r="L868" s="64" t="s">
        <v>236</v>
      </c>
      <c r="M868" s="64" t="s">
        <v>73</v>
      </c>
      <c r="N868" s="68" t="s">
        <v>898</v>
      </c>
      <c r="O868" s="64" t="s">
        <v>359</v>
      </c>
      <c r="P868" s="170"/>
      <c r="Q868" s="170"/>
      <c r="R868" s="68"/>
      <c r="S868" s="65"/>
      <c r="T868" s="194"/>
      <c r="U868" s="75">
        <v>0</v>
      </c>
      <c r="V868" s="75"/>
      <c r="W868" s="75">
        <v>0</v>
      </c>
      <c r="X868" s="1122">
        <v>0</v>
      </c>
      <c r="Y868" s="75">
        <v>0</v>
      </c>
      <c r="Z868" s="75">
        <v>0</v>
      </c>
      <c r="AA868" s="1122">
        <v>0</v>
      </c>
      <c r="AB868" s="75">
        <v>0</v>
      </c>
      <c r="AC868" s="75">
        <v>0</v>
      </c>
      <c r="AD868" s="1122">
        <v>0</v>
      </c>
      <c r="AE868" s="75">
        <v>0</v>
      </c>
      <c r="AF868" s="75">
        <v>0</v>
      </c>
      <c r="AG868" s="1122">
        <v>0</v>
      </c>
      <c r="AH868" s="505">
        <f t="shared" si="209"/>
        <v>0</v>
      </c>
      <c r="AI868" s="132"/>
      <c r="AJ868" s="75">
        <f t="shared" si="208"/>
        <v>0</v>
      </c>
      <c r="AK868" s="75"/>
      <c r="AL868" s="75"/>
      <c r="AM868" s="75"/>
      <c r="AN868" s="787" t="s">
        <v>39</v>
      </c>
      <c r="AO868" s="64"/>
      <c r="AP868" s="64"/>
      <c r="AQ868" s="189"/>
      <c r="AR868" s="64"/>
      <c r="AS868" s="476"/>
      <c r="AT868" s="64"/>
      <c r="AU868" s="646"/>
      <c r="AV868" s="259"/>
      <c r="AW868" s="185"/>
    </row>
    <row r="869" spans="1:49" ht="53.1" hidden="1" customHeight="1" outlineLevel="2" x14ac:dyDescent="0.25">
      <c r="A869" s="745" t="str">
        <f t="shared" si="100"/>
        <v>1.6.1.5.1.61</v>
      </c>
      <c r="B869" s="64">
        <v>1</v>
      </c>
      <c r="C869" s="64">
        <v>6</v>
      </c>
      <c r="D869" s="64">
        <v>1</v>
      </c>
      <c r="E869" s="64">
        <v>5</v>
      </c>
      <c r="F869" s="64">
        <v>1</v>
      </c>
      <c r="G869" s="64">
        <v>61</v>
      </c>
      <c r="H869" s="750"/>
      <c r="I869" s="750"/>
      <c r="J869" s="750"/>
      <c r="K869" s="752" t="s">
        <v>897</v>
      </c>
      <c r="L869" s="64" t="s">
        <v>236</v>
      </c>
      <c r="M869" s="64" t="s">
        <v>73</v>
      </c>
      <c r="N869" s="68" t="s">
        <v>898</v>
      </c>
      <c r="O869" s="64" t="s">
        <v>359</v>
      </c>
      <c r="P869" s="170"/>
      <c r="Q869" s="170"/>
      <c r="R869" s="68"/>
      <c r="S869" s="65"/>
      <c r="T869" s="194"/>
      <c r="U869" s="75">
        <v>0</v>
      </c>
      <c r="V869" s="75"/>
      <c r="W869" s="75">
        <v>0</v>
      </c>
      <c r="X869" s="1122">
        <v>0</v>
      </c>
      <c r="Y869" s="75">
        <v>0</v>
      </c>
      <c r="Z869" s="75">
        <v>0</v>
      </c>
      <c r="AA869" s="1122">
        <v>0</v>
      </c>
      <c r="AB869" s="75">
        <v>0</v>
      </c>
      <c r="AC869" s="75">
        <v>0</v>
      </c>
      <c r="AD869" s="1122">
        <v>0</v>
      </c>
      <c r="AE869" s="75">
        <v>0</v>
      </c>
      <c r="AF869" s="75">
        <v>0</v>
      </c>
      <c r="AG869" s="1122">
        <v>0</v>
      </c>
      <c r="AH869" s="505">
        <f t="shared" si="209"/>
        <v>0</v>
      </c>
      <c r="AI869" s="132"/>
      <c r="AJ869" s="75">
        <f t="shared" si="208"/>
        <v>0</v>
      </c>
      <c r="AK869" s="75"/>
      <c r="AL869" s="75"/>
      <c r="AM869" s="75"/>
      <c r="AN869" s="787" t="s">
        <v>39</v>
      </c>
      <c r="AO869" s="64"/>
      <c r="AP869" s="64"/>
      <c r="AQ869" s="189"/>
      <c r="AR869" s="64"/>
      <c r="AS869" s="476"/>
      <c r="AT869" s="64"/>
      <c r="AU869" s="646"/>
      <c r="AV869" s="259"/>
      <c r="AW869" s="185"/>
    </row>
    <row r="870" spans="1:49" ht="53.1" hidden="1" customHeight="1" outlineLevel="2" x14ac:dyDescent="0.25">
      <c r="A870" s="745" t="str">
        <f t="shared" si="100"/>
        <v>1.6.1.5.1.62</v>
      </c>
      <c r="B870" s="64">
        <v>1</v>
      </c>
      <c r="C870" s="64">
        <v>6</v>
      </c>
      <c r="D870" s="64">
        <v>1</v>
      </c>
      <c r="E870" s="64">
        <v>5</v>
      </c>
      <c r="F870" s="64">
        <v>1</v>
      </c>
      <c r="G870" s="64">
        <v>62</v>
      </c>
      <c r="H870" s="750"/>
      <c r="I870" s="750"/>
      <c r="J870" s="750"/>
      <c r="K870" s="752" t="s">
        <v>897</v>
      </c>
      <c r="L870" s="64" t="s">
        <v>236</v>
      </c>
      <c r="M870" s="64" t="s">
        <v>73</v>
      </c>
      <c r="N870" s="68" t="s">
        <v>898</v>
      </c>
      <c r="O870" s="64" t="s">
        <v>359</v>
      </c>
      <c r="P870" s="170"/>
      <c r="Q870" s="170"/>
      <c r="R870" s="68"/>
      <c r="S870" s="65"/>
      <c r="T870" s="194"/>
      <c r="U870" s="75">
        <v>0</v>
      </c>
      <c r="V870" s="75"/>
      <c r="W870" s="75">
        <v>0</v>
      </c>
      <c r="X870" s="1122">
        <v>0</v>
      </c>
      <c r="Y870" s="75">
        <v>0</v>
      </c>
      <c r="Z870" s="75">
        <v>0</v>
      </c>
      <c r="AA870" s="1122">
        <v>0</v>
      </c>
      <c r="AB870" s="75">
        <v>0</v>
      </c>
      <c r="AC870" s="75">
        <v>0</v>
      </c>
      <c r="AD870" s="1122">
        <v>0</v>
      </c>
      <c r="AE870" s="75">
        <v>0</v>
      </c>
      <c r="AF870" s="75">
        <v>0</v>
      </c>
      <c r="AG870" s="1122">
        <v>0</v>
      </c>
      <c r="AH870" s="505">
        <f t="shared" si="209"/>
        <v>0</v>
      </c>
      <c r="AI870" s="132"/>
      <c r="AJ870" s="75">
        <f t="shared" si="208"/>
        <v>0</v>
      </c>
      <c r="AK870" s="75"/>
      <c r="AL870" s="75"/>
      <c r="AM870" s="75"/>
      <c r="AN870" s="787" t="s">
        <v>39</v>
      </c>
      <c r="AO870" s="64"/>
      <c r="AP870" s="64"/>
      <c r="AQ870" s="189"/>
      <c r="AR870" s="64"/>
      <c r="AS870" s="476"/>
      <c r="AT870" s="64"/>
      <c r="AU870" s="646"/>
      <c r="AV870" s="259"/>
      <c r="AW870" s="185"/>
    </row>
    <row r="871" spans="1:49" ht="53.1" hidden="1" customHeight="1" outlineLevel="2" x14ac:dyDescent="0.25">
      <c r="A871" s="745" t="str">
        <f t="shared" si="100"/>
        <v>1.6.1.5.1.63</v>
      </c>
      <c r="B871" s="64">
        <v>1</v>
      </c>
      <c r="C871" s="64">
        <v>6</v>
      </c>
      <c r="D871" s="64">
        <v>1</v>
      </c>
      <c r="E871" s="64">
        <v>5</v>
      </c>
      <c r="F871" s="64">
        <v>1</v>
      </c>
      <c r="G871" s="64">
        <v>63</v>
      </c>
      <c r="H871" s="750"/>
      <c r="I871" s="750"/>
      <c r="J871" s="750"/>
      <c r="K871" s="752" t="s">
        <v>897</v>
      </c>
      <c r="L871" s="64" t="s">
        <v>236</v>
      </c>
      <c r="M871" s="64" t="s">
        <v>73</v>
      </c>
      <c r="N871" s="68" t="s">
        <v>898</v>
      </c>
      <c r="O871" s="64" t="s">
        <v>359</v>
      </c>
      <c r="P871" s="170"/>
      <c r="Q871" s="170"/>
      <c r="R871" s="68"/>
      <c r="S871" s="65"/>
      <c r="T871" s="1185"/>
      <c r="U871" s="75">
        <v>0</v>
      </c>
      <c r="V871" s="75"/>
      <c r="W871" s="75">
        <v>0</v>
      </c>
      <c r="X871" s="1122">
        <v>0</v>
      </c>
      <c r="Y871" s="75">
        <v>0</v>
      </c>
      <c r="Z871" s="75">
        <v>0</v>
      </c>
      <c r="AA871" s="1122">
        <v>0</v>
      </c>
      <c r="AB871" s="75">
        <v>0</v>
      </c>
      <c r="AC871" s="75">
        <v>0</v>
      </c>
      <c r="AD871" s="1122">
        <v>0</v>
      </c>
      <c r="AE871" s="75">
        <v>0</v>
      </c>
      <c r="AF871" s="75">
        <v>0</v>
      </c>
      <c r="AG871" s="1122">
        <v>0</v>
      </c>
      <c r="AH871" s="505">
        <f t="shared" si="209"/>
        <v>0</v>
      </c>
      <c r="AI871" s="132"/>
      <c r="AJ871" s="75">
        <f t="shared" si="208"/>
        <v>0</v>
      </c>
      <c r="AK871" s="75"/>
      <c r="AL871" s="75"/>
      <c r="AM871" s="75"/>
      <c r="AN871" s="787" t="s">
        <v>39</v>
      </c>
      <c r="AO871" s="64"/>
      <c r="AP871" s="64"/>
      <c r="AQ871" s="189"/>
      <c r="AR871" s="64"/>
      <c r="AS871" s="476"/>
      <c r="AT871" s="64"/>
      <c r="AU871" s="646"/>
      <c r="AV871" s="259"/>
      <c r="AW871" s="185"/>
    </row>
    <row r="872" spans="1:49" ht="53.1" hidden="1" customHeight="1" outlineLevel="2" x14ac:dyDescent="0.25">
      <c r="A872" s="745" t="str">
        <f t="shared" si="100"/>
        <v>1.6.1.5.1.64</v>
      </c>
      <c r="B872" s="64">
        <v>1</v>
      </c>
      <c r="C872" s="64">
        <v>6</v>
      </c>
      <c r="D872" s="64">
        <v>1</v>
      </c>
      <c r="E872" s="64">
        <v>5</v>
      </c>
      <c r="F872" s="64">
        <v>1</v>
      </c>
      <c r="G872" s="64">
        <v>64</v>
      </c>
      <c r="H872" s="750"/>
      <c r="I872" s="750"/>
      <c r="J872" s="750"/>
      <c r="K872" s="752" t="s">
        <v>897</v>
      </c>
      <c r="L872" s="64" t="s">
        <v>236</v>
      </c>
      <c r="M872" s="64" t="s">
        <v>73</v>
      </c>
      <c r="N872" s="68" t="s">
        <v>898</v>
      </c>
      <c r="O872" s="64" t="s">
        <v>359</v>
      </c>
      <c r="P872" s="170"/>
      <c r="Q872" s="170"/>
      <c r="R872" s="68"/>
      <c r="S872" s="65"/>
      <c r="T872" s="194"/>
      <c r="U872" s="75">
        <v>0</v>
      </c>
      <c r="V872" s="75"/>
      <c r="W872" s="75">
        <v>0</v>
      </c>
      <c r="X872" s="1122">
        <v>0</v>
      </c>
      <c r="Y872" s="75">
        <v>0</v>
      </c>
      <c r="Z872" s="75">
        <v>0</v>
      </c>
      <c r="AA872" s="1122">
        <v>0</v>
      </c>
      <c r="AB872" s="75">
        <v>0</v>
      </c>
      <c r="AC872" s="75">
        <v>0</v>
      </c>
      <c r="AD872" s="1122">
        <v>0</v>
      </c>
      <c r="AE872" s="75">
        <v>0</v>
      </c>
      <c r="AF872" s="75">
        <v>0</v>
      </c>
      <c r="AG872" s="1122">
        <v>0</v>
      </c>
      <c r="AH872" s="505">
        <f t="shared" si="209"/>
        <v>0</v>
      </c>
      <c r="AI872" s="132"/>
      <c r="AJ872" s="75">
        <f t="shared" si="208"/>
        <v>0</v>
      </c>
      <c r="AK872" s="75"/>
      <c r="AL872" s="75"/>
      <c r="AM872" s="75"/>
      <c r="AN872" s="787" t="s">
        <v>39</v>
      </c>
      <c r="AO872" s="64"/>
      <c r="AP872" s="64"/>
      <c r="AQ872" s="189"/>
      <c r="AR872" s="64"/>
      <c r="AS872" s="476"/>
      <c r="AT872" s="64"/>
      <c r="AU872" s="646"/>
      <c r="AV872" s="259"/>
      <c r="AW872" s="185"/>
    </row>
    <row r="873" spans="1:49" ht="53.1" hidden="1" customHeight="1" outlineLevel="2" x14ac:dyDescent="0.25">
      <c r="A873" s="745" t="str">
        <f t="shared" si="100"/>
        <v>1.6.1.5.2.58</v>
      </c>
      <c r="B873" s="64">
        <v>1</v>
      </c>
      <c r="C873" s="64">
        <v>6</v>
      </c>
      <c r="D873" s="64">
        <v>1</v>
      </c>
      <c r="E873" s="64">
        <v>5</v>
      </c>
      <c r="F873" s="64">
        <v>2</v>
      </c>
      <c r="G873" s="64">
        <v>58</v>
      </c>
      <c r="H873" s="750"/>
      <c r="I873" s="750"/>
      <c r="J873" s="750"/>
      <c r="K873" s="752" t="s">
        <v>899</v>
      </c>
      <c r="L873" s="64" t="s">
        <v>236</v>
      </c>
      <c r="M873" s="64" t="s">
        <v>73</v>
      </c>
      <c r="N873" s="64" t="s">
        <v>900</v>
      </c>
      <c r="O873" s="64" t="s">
        <v>359</v>
      </c>
      <c r="P873" s="234"/>
      <c r="Q873" s="234"/>
      <c r="R873" s="90" t="s">
        <v>901</v>
      </c>
      <c r="S873" s="67" t="s">
        <v>902</v>
      </c>
      <c r="T873" s="194"/>
      <c r="U873" s="75">
        <v>0</v>
      </c>
      <c r="V873" s="75"/>
      <c r="W873" s="75">
        <v>0</v>
      </c>
      <c r="X873" s="1122">
        <v>0</v>
      </c>
      <c r="Y873" s="75">
        <v>0</v>
      </c>
      <c r="Z873" s="75">
        <v>0</v>
      </c>
      <c r="AA873" s="1122">
        <v>0</v>
      </c>
      <c r="AB873" s="75">
        <v>0</v>
      </c>
      <c r="AC873" s="75">
        <v>0</v>
      </c>
      <c r="AD873" s="1122">
        <v>0</v>
      </c>
      <c r="AE873" s="75">
        <v>0</v>
      </c>
      <c r="AF873" s="75">
        <v>0</v>
      </c>
      <c r="AG873" s="1122">
        <v>0</v>
      </c>
      <c r="AH873" s="505">
        <f t="shared" si="209"/>
        <v>0</v>
      </c>
      <c r="AI873" s="132"/>
      <c r="AJ873" s="75">
        <f t="shared" si="208"/>
        <v>0</v>
      </c>
      <c r="AK873" s="325"/>
      <c r="AL873" s="325"/>
      <c r="AM873" s="325"/>
      <c r="AN873" s="1314" t="s">
        <v>39</v>
      </c>
      <c r="AO873" s="1305" t="s">
        <v>1819</v>
      </c>
      <c r="AP873" s="1305" t="s">
        <v>2149</v>
      </c>
      <c r="AQ873" s="1305" t="s">
        <v>2150</v>
      </c>
      <c r="AR873" s="1305"/>
      <c r="AS873" s="1305"/>
      <c r="AT873" s="1305"/>
      <c r="AU873" s="1308"/>
      <c r="AV873" s="1311"/>
      <c r="AW873" s="1274" t="s">
        <v>2870</v>
      </c>
    </row>
    <row r="874" spans="1:49" ht="53.1" hidden="1" customHeight="1" outlineLevel="2" x14ac:dyDescent="0.25">
      <c r="A874" s="745" t="str">
        <f t="shared" si="100"/>
        <v>1.6.1.5.2.59</v>
      </c>
      <c r="B874" s="64">
        <v>1</v>
      </c>
      <c r="C874" s="64">
        <v>6</v>
      </c>
      <c r="D874" s="64">
        <v>1</v>
      </c>
      <c r="E874" s="64">
        <v>5</v>
      </c>
      <c r="F874" s="64">
        <v>2</v>
      </c>
      <c r="G874" s="64">
        <v>59</v>
      </c>
      <c r="H874" s="750"/>
      <c r="I874" s="750"/>
      <c r="J874" s="750"/>
      <c r="K874" s="752" t="s">
        <v>899</v>
      </c>
      <c r="L874" s="64" t="s">
        <v>236</v>
      </c>
      <c r="M874" s="64" t="s">
        <v>73</v>
      </c>
      <c r="N874" s="64" t="s">
        <v>900</v>
      </c>
      <c r="O874" s="64" t="s">
        <v>359</v>
      </c>
      <c r="P874" s="170"/>
      <c r="Q874" s="170"/>
      <c r="R874" s="170"/>
      <c r="S874" s="67"/>
      <c r="T874" s="194"/>
      <c r="U874" s="75">
        <v>0</v>
      </c>
      <c r="V874" s="75"/>
      <c r="W874" s="75">
        <v>0</v>
      </c>
      <c r="X874" s="1122">
        <v>0</v>
      </c>
      <c r="Y874" s="75">
        <v>0</v>
      </c>
      <c r="Z874" s="75">
        <v>0</v>
      </c>
      <c r="AA874" s="1122">
        <v>0</v>
      </c>
      <c r="AB874" s="75">
        <v>0</v>
      </c>
      <c r="AC874" s="75">
        <v>0</v>
      </c>
      <c r="AD874" s="1122">
        <v>0</v>
      </c>
      <c r="AE874" s="75">
        <v>0</v>
      </c>
      <c r="AF874" s="75">
        <v>0</v>
      </c>
      <c r="AG874" s="1122">
        <v>0</v>
      </c>
      <c r="AH874" s="505">
        <f t="shared" si="209"/>
        <v>0</v>
      </c>
      <c r="AI874" s="132"/>
      <c r="AJ874" s="75">
        <f t="shared" si="208"/>
        <v>0</v>
      </c>
      <c r="AK874" s="326"/>
      <c r="AL874" s="326"/>
      <c r="AM874" s="326"/>
      <c r="AN874" s="1315"/>
      <c r="AO874" s="1306"/>
      <c r="AP874" s="1306"/>
      <c r="AQ874" s="1306"/>
      <c r="AR874" s="1306"/>
      <c r="AS874" s="1306"/>
      <c r="AT874" s="1306"/>
      <c r="AU874" s="1309"/>
      <c r="AV874" s="1312"/>
      <c r="AW874" s="1275"/>
    </row>
    <row r="875" spans="1:49" ht="53.1" hidden="1" customHeight="1" outlineLevel="2" x14ac:dyDescent="0.25">
      <c r="A875" s="745" t="str">
        <f t="shared" si="100"/>
        <v>1.6.1.5.2.60</v>
      </c>
      <c r="B875" s="64">
        <v>1</v>
      </c>
      <c r="C875" s="64">
        <v>6</v>
      </c>
      <c r="D875" s="64">
        <v>1</v>
      </c>
      <c r="E875" s="64">
        <v>5</v>
      </c>
      <c r="F875" s="64">
        <v>2</v>
      </c>
      <c r="G875" s="64">
        <v>60</v>
      </c>
      <c r="H875" s="750"/>
      <c r="I875" s="750"/>
      <c r="J875" s="750"/>
      <c r="K875" s="752" t="s">
        <v>899</v>
      </c>
      <c r="L875" s="64" t="s">
        <v>236</v>
      </c>
      <c r="M875" s="64" t="s">
        <v>73</v>
      </c>
      <c r="N875" s="64" t="s">
        <v>900</v>
      </c>
      <c r="O875" s="64" t="s">
        <v>359</v>
      </c>
      <c r="P875" s="170"/>
      <c r="Q875" s="170"/>
      <c r="R875" s="170"/>
      <c r="S875" s="67"/>
      <c r="T875" s="194"/>
      <c r="U875" s="75">
        <v>0</v>
      </c>
      <c r="V875" s="75"/>
      <c r="W875" s="75">
        <v>0</v>
      </c>
      <c r="X875" s="1122">
        <v>0</v>
      </c>
      <c r="Y875" s="75">
        <v>0</v>
      </c>
      <c r="Z875" s="75">
        <v>0</v>
      </c>
      <c r="AA875" s="1122">
        <v>0</v>
      </c>
      <c r="AB875" s="75">
        <v>0</v>
      </c>
      <c r="AC875" s="75">
        <v>0</v>
      </c>
      <c r="AD875" s="1122">
        <v>0</v>
      </c>
      <c r="AE875" s="75">
        <v>0</v>
      </c>
      <c r="AF875" s="75">
        <v>0</v>
      </c>
      <c r="AG875" s="1122">
        <v>0</v>
      </c>
      <c r="AH875" s="505">
        <f t="shared" si="209"/>
        <v>0</v>
      </c>
      <c r="AI875" s="132"/>
      <c r="AJ875" s="75">
        <f t="shared" si="208"/>
        <v>0</v>
      </c>
      <c r="AK875" s="326"/>
      <c r="AL875" s="326"/>
      <c r="AM875" s="326"/>
      <c r="AN875" s="1315"/>
      <c r="AO875" s="1306"/>
      <c r="AP875" s="1306"/>
      <c r="AQ875" s="1306"/>
      <c r="AR875" s="1306"/>
      <c r="AS875" s="1306"/>
      <c r="AT875" s="1306"/>
      <c r="AU875" s="1309"/>
      <c r="AV875" s="1312"/>
      <c r="AW875" s="1275"/>
    </row>
    <row r="876" spans="1:49" ht="53.1" hidden="1" customHeight="1" outlineLevel="2" x14ac:dyDescent="0.25">
      <c r="A876" s="745" t="str">
        <f t="shared" si="100"/>
        <v>1.6.1.5.2.61</v>
      </c>
      <c r="B876" s="64">
        <v>1</v>
      </c>
      <c r="C876" s="64">
        <v>6</v>
      </c>
      <c r="D876" s="64">
        <v>1</v>
      </c>
      <c r="E876" s="64">
        <v>5</v>
      </c>
      <c r="F876" s="64">
        <v>2</v>
      </c>
      <c r="G876" s="64">
        <v>61</v>
      </c>
      <c r="H876" s="750"/>
      <c r="I876" s="750"/>
      <c r="J876" s="750"/>
      <c r="K876" s="752" t="s">
        <v>899</v>
      </c>
      <c r="L876" s="64" t="s">
        <v>236</v>
      </c>
      <c r="M876" s="64" t="s">
        <v>73</v>
      </c>
      <c r="N876" s="64" t="s">
        <v>900</v>
      </c>
      <c r="O876" s="64" t="s">
        <v>359</v>
      </c>
      <c r="P876" s="170"/>
      <c r="Q876" s="170"/>
      <c r="R876" s="170"/>
      <c r="S876" s="67"/>
      <c r="T876" s="194"/>
      <c r="U876" s="75">
        <v>0</v>
      </c>
      <c r="V876" s="75"/>
      <c r="W876" s="75">
        <v>0</v>
      </c>
      <c r="X876" s="1122">
        <v>0</v>
      </c>
      <c r="Y876" s="75">
        <v>0</v>
      </c>
      <c r="Z876" s="75">
        <v>0</v>
      </c>
      <c r="AA876" s="1122">
        <v>0</v>
      </c>
      <c r="AB876" s="75">
        <v>0</v>
      </c>
      <c r="AC876" s="75">
        <v>0</v>
      </c>
      <c r="AD876" s="1122">
        <v>0</v>
      </c>
      <c r="AE876" s="75">
        <v>0</v>
      </c>
      <c r="AF876" s="75">
        <v>0</v>
      </c>
      <c r="AG876" s="1122">
        <v>0</v>
      </c>
      <c r="AH876" s="505">
        <f t="shared" si="209"/>
        <v>0</v>
      </c>
      <c r="AI876" s="132"/>
      <c r="AJ876" s="75">
        <f t="shared" si="208"/>
        <v>0</v>
      </c>
      <c r="AK876" s="326"/>
      <c r="AL876" s="326"/>
      <c r="AM876" s="326"/>
      <c r="AN876" s="1315"/>
      <c r="AO876" s="1306"/>
      <c r="AP876" s="1306"/>
      <c r="AQ876" s="1306"/>
      <c r="AR876" s="1306"/>
      <c r="AS876" s="1306"/>
      <c r="AT876" s="1306"/>
      <c r="AU876" s="1309"/>
      <c r="AV876" s="1312"/>
      <c r="AW876" s="1275"/>
    </row>
    <row r="877" spans="1:49" ht="53.1" hidden="1" customHeight="1" outlineLevel="2" x14ac:dyDescent="0.25">
      <c r="A877" s="745" t="str">
        <f t="shared" si="100"/>
        <v>1.6.1.5.2.62</v>
      </c>
      <c r="B877" s="64">
        <v>1</v>
      </c>
      <c r="C877" s="64">
        <v>6</v>
      </c>
      <c r="D877" s="64">
        <v>1</v>
      </c>
      <c r="E877" s="64">
        <v>5</v>
      </c>
      <c r="F877" s="64">
        <v>2</v>
      </c>
      <c r="G877" s="64">
        <v>62</v>
      </c>
      <c r="H877" s="750"/>
      <c r="I877" s="750"/>
      <c r="J877" s="750"/>
      <c r="K877" s="752" t="s">
        <v>899</v>
      </c>
      <c r="L877" s="64" t="s">
        <v>236</v>
      </c>
      <c r="M877" s="64" t="s">
        <v>73</v>
      </c>
      <c r="N877" s="64" t="s">
        <v>900</v>
      </c>
      <c r="O877" s="64" t="s">
        <v>359</v>
      </c>
      <c r="P877" s="170"/>
      <c r="Q877" s="170"/>
      <c r="R877" s="170"/>
      <c r="S877" s="67"/>
      <c r="T877" s="194"/>
      <c r="U877" s="75">
        <v>0</v>
      </c>
      <c r="V877" s="75"/>
      <c r="W877" s="75">
        <v>0</v>
      </c>
      <c r="X877" s="1122">
        <v>0</v>
      </c>
      <c r="Y877" s="75">
        <v>0</v>
      </c>
      <c r="Z877" s="75">
        <v>0</v>
      </c>
      <c r="AA877" s="1122">
        <v>0</v>
      </c>
      <c r="AB877" s="75">
        <v>0</v>
      </c>
      <c r="AC877" s="75">
        <v>0</v>
      </c>
      <c r="AD877" s="1122">
        <v>0</v>
      </c>
      <c r="AE877" s="75">
        <v>0</v>
      </c>
      <c r="AF877" s="75">
        <v>0</v>
      </c>
      <c r="AG877" s="1122">
        <v>0</v>
      </c>
      <c r="AH877" s="505">
        <f t="shared" si="209"/>
        <v>0</v>
      </c>
      <c r="AI877" s="132"/>
      <c r="AJ877" s="75">
        <f t="shared" si="208"/>
        <v>0</v>
      </c>
      <c r="AK877" s="326"/>
      <c r="AL877" s="326"/>
      <c r="AM877" s="326"/>
      <c r="AN877" s="1315"/>
      <c r="AO877" s="1306"/>
      <c r="AP877" s="1306"/>
      <c r="AQ877" s="1306"/>
      <c r="AR877" s="1306"/>
      <c r="AS877" s="1306"/>
      <c r="AT877" s="1306"/>
      <c r="AU877" s="1309"/>
      <c r="AV877" s="1312"/>
      <c r="AW877" s="1275"/>
    </row>
    <row r="878" spans="1:49" ht="53.1" hidden="1" customHeight="1" outlineLevel="2" x14ac:dyDescent="0.25">
      <c r="A878" s="745" t="str">
        <f t="shared" si="100"/>
        <v>1.6.1.5.2.63</v>
      </c>
      <c r="B878" s="64">
        <v>1</v>
      </c>
      <c r="C878" s="64">
        <v>6</v>
      </c>
      <c r="D878" s="64">
        <v>1</v>
      </c>
      <c r="E878" s="64">
        <v>5</v>
      </c>
      <c r="F878" s="64">
        <v>2</v>
      </c>
      <c r="G878" s="64">
        <v>63</v>
      </c>
      <c r="H878" s="750"/>
      <c r="I878" s="750"/>
      <c r="J878" s="750"/>
      <c r="K878" s="752" t="s">
        <v>899</v>
      </c>
      <c r="L878" s="64" t="s">
        <v>236</v>
      </c>
      <c r="M878" s="64" t="s">
        <v>73</v>
      </c>
      <c r="N878" s="64" t="s">
        <v>900</v>
      </c>
      <c r="O878" s="64" t="s">
        <v>359</v>
      </c>
      <c r="P878" s="170"/>
      <c r="Q878" s="170"/>
      <c r="R878" s="170"/>
      <c r="S878" s="67"/>
      <c r="T878" s="194"/>
      <c r="U878" s="75">
        <v>0</v>
      </c>
      <c r="V878" s="75"/>
      <c r="W878" s="75">
        <v>0</v>
      </c>
      <c r="X878" s="1122">
        <v>0</v>
      </c>
      <c r="Y878" s="75">
        <v>0</v>
      </c>
      <c r="Z878" s="75">
        <v>0</v>
      </c>
      <c r="AA878" s="1122">
        <v>0</v>
      </c>
      <c r="AB878" s="75">
        <v>0</v>
      </c>
      <c r="AC878" s="75">
        <v>0</v>
      </c>
      <c r="AD878" s="1122">
        <v>0</v>
      </c>
      <c r="AE878" s="75">
        <v>0</v>
      </c>
      <c r="AF878" s="75">
        <v>0</v>
      </c>
      <c r="AG878" s="1122">
        <v>0</v>
      </c>
      <c r="AH878" s="505">
        <f t="shared" si="209"/>
        <v>0</v>
      </c>
      <c r="AI878" s="132"/>
      <c r="AJ878" s="75">
        <f t="shared" si="208"/>
        <v>0</v>
      </c>
      <c r="AK878" s="326"/>
      <c r="AL878" s="326"/>
      <c r="AM878" s="326"/>
      <c r="AN878" s="1315"/>
      <c r="AO878" s="1306"/>
      <c r="AP878" s="1306"/>
      <c r="AQ878" s="1306"/>
      <c r="AR878" s="1306"/>
      <c r="AS878" s="1306"/>
      <c r="AT878" s="1306"/>
      <c r="AU878" s="1309"/>
      <c r="AV878" s="1312"/>
      <c r="AW878" s="1275"/>
    </row>
    <row r="879" spans="1:49" ht="53.1" hidden="1" customHeight="1" outlineLevel="2" x14ac:dyDescent="0.25">
      <c r="A879" s="745" t="str">
        <f t="shared" si="100"/>
        <v>1.6.1.5.2.64</v>
      </c>
      <c r="B879" s="64">
        <v>1</v>
      </c>
      <c r="C879" s="64">
        <v>6</v>
      </c>
      <c r="D879" s="64">
        <v>1</v>
      </c>
      <c r="E879" s="64">
        <v>5</v>
      </c>
      <c r="F879" s="64">
        <v>2</v>
      </c>
      <c r="G879" s="64">
        <v>64</v>
      </c>
      <c r="H879" s="750"/>
      <c r="I879" s="750"/>
      <c r="J879" s="750"/>
      <c r="K879" s="752" t="s">
        <v>899</v>
      </c>
      <c r="L879" s="64" t="s">
        <v>236</v>
      </c>
      <c r="M879" s="64" t="s">
        <v>73</v>
      </c>
      <c r="N879" s="64" t="s">
        <v>900</v>
      </c>
      <c r="O879" s="64" t="s">
        <v>359</v>
      </c>
      <c r="P879" s="170"/>
      <c r="Q879" s="170"/>
      <c r="R879" s="170"/>
      <c r="S879" s="67"/>
      <c r="T879" s="194"/>
      <c r="U879" s="75">
        <v>0</v>
      </c>
      <c r="V879" s="75"/>
      <c r="W879" s="75">
        <v>0</v>
      </c>
      <c r="X879" s="1122">
        <v>0</v>
      </c>
      <c r="Y879" s="75">
        <v>0</v>
      </c>
      <c r="Z879" s="75">
        <v>0</v>
      </c>
      <c r="AA879" s="1122">
        <v>0</v>
      </c>
      <c r="AB879" s="75">
        <v>0</v>
      </c>
      <c r="AC879" s="75">
        <v>0</v>
      </c>
      <c r="AD879" s="1122">
        <v>0</v>
      </c>
      <c r="AE879" s="75">
        <v>0</v>
      </c>
      <c r="AF879" s="75">
        <v>0</v>
      </c>
      <c r="AG879" s="1122">
        <v>0</v>
      </c>
      <c r="AH879" s="505">
        <f t="shared" si="209"/>
        <v>0</v>
      </c>
      <c r="AI879" s="132"/>
      <c r="AJ879" s="75">
        <f t="shared" si="208"/>
        <v>0</v>
      </c>
      <c r="AK879" s="327"/>
      <c r="AL879" s="327"/>
      <c r="AM879" s="327"/>
      <c r="AN879" s="1316"/>
      <c r="AO879" s="1307"/>
      <c r="AP879" s="1307"/>
      <c r="AQ879" s="1307"/>
      <c r="AR879" s="1307"/>
      <c r="AS879" s="1307"/>
      <c r="AT879" s="1307"/>
      <c r="AU879" s="1310"/>
      <c r="AV879" s="1313"/>
      <c r="AW879" s="1276"/>
    </row>
    <row r="880" spans="1:49" s="153" customFormat="1" ht="30" outlineLevel="1" x14ac:dyDescent="0.25">
      <c r="A880" s="743" t="str">
        <f t="shared" si="100"/>
        <v>1.7.1.0.0.0</v>
      </c>
      <c r="B880" s="109">
        <v>1</v>
      </c>
      <c r="C880" s="109">
        <v>7</v>
      </c>
      <c r="D880" s="109">
        <v>1</v>
      </c>
      <c r="E880" s="109">
        <v>0</v>
      </c>
      <c r="F880" s="109">
        <v>0</v>
      </c>
      <c r="G880" s="109">
        <v>0</v>
      </c>
      <c r="H880" s="748"/>
      <c r="I880" s="1302" t="s">
        <v>903</v>
      </c>
      <c r="J880" s="1303"/>
      <c r="K880" s="1303"/>
      <c r="L880" s="109" t="s">
        <v>816</v>
      </c>
      <c r="M880" s="109" t="s">
        <v>904</v>
      </c>
      <c r="N880" s="109" t="s">
        <v>2627</v>
      </c>
      <c r="O880" s="109" t="s">
        <v>905</v>
      </c>
      <c r="P880" s="109"/>
      <c r="Q880" s="109"/>
      <c r="R880" s="109">
        <v>1700</v>
      </c>
      <c r="S880" s="110" t="s">
        <v>906</v>
      </c>
      <c r="T880" s="1183"/>
      <c r="U880" s="112">
        <f>+U881+U900+U905+U907+U917</f>
        <v>5100000</v>
      </c>
      <c r="V880" s="1231">
        <f>+U880/56</f>
        <v>91071.428571428565</v>
      </c>
      <c r="W880" s="112">
        <f t="shared" ref="W880:AH880" si="210">+W881+W900+W905+W907+W917</f>
        <v>0</v>
      </c>
      <c r="X880" s="1116">
        <f t="shared" si="210"/>
        <v>0</v>
      </c>
      <c r="Y880" s="112">
        <f>+Y881+Y900+Y905+Y907+Y917</f>
        <v>5100000</v>
      </c>
      <c r="Z880" s="112">
        <f t="shared" si="210"/>
        <v>0</v>
      </c>
      <c r="AA880" s="1116">
        <f t="shared" si="210"/>
        <v>0</v>
      </c>
      <c r="AB880" s="112">
        <f>+AB881+AB900+AB905+AB907+AB917</f>
        <v>3100000</v>
      </c>
      <c r="AC880" s="112">
        <f t="shared" si="210"/>
        <v>0</v>
      </c>
      <c r="AD880" s="1116">
        <f t="shared" si="210"/>
        <v>0</v>
      </c>
      <c r="AE880" s="112">
        <f>+AE881+AE900+AE905+AE907+AE917</f>
        <v>3100000</v>
      </c>
      <c r="AF880" s="112">
        <f t="shared" si="210"/>
        <v>0</v>
      </c>
      <c r="AG880" s="1116">
        <f t="shared" si="210"/>
        <v>0</v>
      </c>
      <c r="AH880" s="112">
        <f>+AH881+AH900+AH905+AH907+AH917</f>
        <v>15200000</v>
      </c>
      <c r="AI880" s="514">
        <f t="shared" ref="AI880:AM880" si="211">+SUM(AI905+AI900+AI881+AI907+AI917)</f>
        <v>0</v>
      </c>
      <c r="AJ880" s="770">
        <f>+SUM(AJ905+AJ900+AJ881+AJ907+AJ917)</f>
        <v>0</v>
      </c>
      <c r="AK880" s="514">
        <f t="shared" si="211"/>
        <v>0</v>
      </c>
      <c r="AL880" s="514">
        <f t="shared" si="211"/>
        <v>0</v>
      </c>
      <c r="AM880" s="514">
        <f t="shared" si="211"/>
        <v>0</v>
      </c>
      <c r="AN880" s="785" t="s">
        <v>39</v>
      </c>
      <c r="AO880" s="109"/>
      <c r="AP880" s="109"/>
      <c r="AQ880" s="411"/>
      <c r="AR880" s="109"/>
      <c r="AS880" s="473"/>
      <c r="AT880" s="109"/>
      <c r="AU880" s="659"/>
      <c r="AV880" s="333"/>
      <c r="AW880" s="429" t="s">
        <v>907</v>
      </c>
    </row>
    <row r="881" spans="1:49" s="153" customFormat="1" ht="24.75" customHeight="1" outlineLevel="1" collapsed="1" x14ac:dyDescent="0.25">
      <c r="A881" s="744" t="str">
        <f t="shared" si="100"/>
        <v>1.7.1.1.0.0</v>
      </c>
      <c r="B881" s="82">
        <v>1</v>
      </c>
      <c r="C881" s="82">
        <v>7</v>
      </c>
      <c r="D881" s="82">
        <v>1</v>
      </c>
      <c r="E881" s="82">
        <v>1</v>
      </c>
      <c r="F881" s="82">
        <v>0</v>
      </c>
      <c r="G881" s="82">
        <v>0</v>
      </c>
      <c r="H881" s="749"/>
      <c r="I881" s="749"/>
      <c r="J881" s="1304" t="s">
        <v>908</v>
      </c>
      <c r="K881" s="1303"/>
      <c r="L881" s="82" t="s">
        <v>209</v>
      </c>
      <c r="M881" s="82">
        <v>0</v>
      </c>
      <c r="N881" s="82" t="s">
        <v>2627</v>
      </c>
      <c r="O881" s="82">
        <v>0</v>
      </c>
      <c r="P881" s="82"/>
      <c r="Q881" s="82"/>
      <c r="R881" s="82"/>
      <c r="S881" s="149"/>
      <c r="T881" s="193"/>
      <c r="U881" s="209">
        <f>SUM(U882:U899)</f>
        <v>0</v>
      </c>
      <c r="V881" s="209"/>
      <c r="W881" s="209">
        <f t="shared" ref="W881:AH881" si="212">SUM(W882:W899)</f>
        <v>0</v>
      </c>
      <c r="X881" s="1133">
        <f t="shared" si="212"/>
        <v>0</v>
      </c>
      <c r="Y881" s="209">
        <f t="shared" si="212"/>
        <v>0</v>
      </c>
      <c r="Z881" s="209">
        <f t="shared" si="212"/>
        <v>0</v>
      </c>
      <c r="AA881" s="1133">
        <f t="shared" si="212"/>
        <v>0</v>
      </c>
      <c r="AB881" s="209">
        <f t="shared" si="212"/>
        <v>0</v>
      </c>
      <c r="AC881" s="209">
        <f t="shared" si="212"/>
        <v>0</v>
      </c>
      <c r="AD881" s="1133">
        <f t="shared" si="212"/>
        <v>0</v>
      </c>
      <c r="AE881" s="209">
        <f t="shared" si="212"/>
        <v>0</v>
      </c>
      <c r="AF881" s="209">
        <f t="shared" si="212"/>
        <v>0</v>
      </c>
      <c r="AG881" s="1133">
        <f t="shared" si="212"/>
        <v>0</v>
      </c>
      <c r="AH881" s="209">
        <f t="shared" si="212"/>
        <v>0</v>
      </c>
      <c r="AI881" s="512">
        <f>+SUM(AI882:AI899)</f>
        <v>0</v>
      </c>
      <c r="AJ881" s="772">
        <f>+SUM(AJ882:AJ899)</f>
        <v>0</v>
      </c>
      <c r="AK881" s="152"/>
      <c r="AL881" s="152"/>
      <c r="AM881" s="152"/>
      <c r="AN881" s="786" t="s">
        <v>39</v>
      </c>
      <c r="AO881" s="82"/>
      <c r="AP881" s="82"/>
      <c r="AQ881" s="365"/>
      <c r="AR881" s="82"/>
      <c r="AS881" s="483"/>
      <c r="AT881" s="82"/>
      <c r="AU881" s="666"/>
      <c r="AV881" s="358"/>
      <c r="AW881" s="444"/>
    </row>
    <row r="882" spans="1:49" ht="34.35" hidden="1" customHeight="1" outlineLevel="3" x14ac:dyDescent="0.25">
      <c r="A882" s="745" t="str">
        <f t="shared" si="100"/>
        <v>1.7.1.1.1.58-64</v>
      </c>
      <c r="B882" s="64">
        <v>1</v>
      </c>
      <c r="C882" s="64">
        <v>7</v>
      </c>
      <c r="D882" s="64">
        <v>1</v>
      </c>
      <c r="E882" s="64">
        <v>1</v>
      </c>
      <c r="F882" s="64">
        <v>1</v>
      </c>
      <c r="G882" s="64" t="s">
        <v>64</v>
      </c>
      <c r="H882" s="750"/>
      <c r="I882" s="750"/>
      <c r="J882" s="751"/>
      <c r="K882" s="750" t="s">
        <v>909</v>
      </c>
      <c r="L882" s="64" t="s">
        <v>910</v>
      </c>
      <c r="M882" s="64" t="s">
        <v>911</v>
      </c>
      <c r="N882" s="64" t="s">
        <v>910</v>
      </c>
      <c r="O882" s="64" t="s">
        <v>819</v>
      </c>
      <c r="P882" s="69">
        <v>44927</v>
      </c>
      <c r="Q882" s="69">
        <v>45078</v>
      </c>
      <c r="R882" s="64">
        <v>7</v>
      </c>
      <c r="S882" s="65" t="s">
        <v>912</v>
      </c>
      <c r="T882" s="194">
        <v>2</v>
      </c>
      <c r="U882" s="75">
        <v>0</v>
      </c>
      <c r="V882" s="75"/>
      <c r="W882" s="75">
        <v>0</v>
      </c>
      <c r="X882" s="1122">
        <v>0</v>
      </c>
      <c r="Y882" s="75">
        <v>0</v>
      </c>
      <c r="Z882" s="75">
        <v>0</v>
      </c>
      <c r="AA882" s="1122">
        <v>0</v>
      </c>
      <c r="AB882" s="75">
        <v>0</v>
      </c>
      <c r="AC882" s="75">
        <v>0</v>
      </c>
      <c r="AD882" s="1122">
        <v>0</v>
      </c>
      <c r="AE882" s="75">
        <v>0</v>
      </c>
      <c r="AF882" s="75">
        <v>0</v>
      </c>
      <c r="AG882" s="1122">
        <v>0</v>
      </c>
      <c r="AH882" s="505">
        <f>+U882+Y882+AB882+AE882</f>
        <v>0</v>
      </c>
      <c r="AI882" s="132"/>
      <c r="AJ882" s="75">
        <f t="shared" ref="AJ882:AJ899" si="213">+W883+Z883+AC883+AF883</f>
        <v>0</v>
      </c>
      <c r="AK882" s="75"/>
      <c r="AL882" s="75"/>
      <c r="AM882" s="75"/>
      <c r="AN882" s="787" t="s">
        <v>39</v>
      </c>
      <c r="AO882" s="100"/>
      <c r="AP882" s="960"/>
      <c r="AQ882" s="993"/>
      <c r="AR882" s="1054"/>
      <c r="AS882" s="1224"/>
      <c r="AT882" s="1054"/>
      <c r="AU882" s="964"/>
      <c r="AV882" s="259" t="s">
        <v>913</v>
      </c>
      <c r="AW882" s="185"/>
    </row>
    <row r="883" spans="1:49" ht="51" hidden="1" customHeight="1" outlineLevel="3" x14ac:dyDescent="0.25">
      <c r="A883" s="745" t="str">
        <f t="shared" si="100"/>
        <v>1.7.1.1.2.58</v>
      </c>
      <c r="B883" s="64">
        <v>1</v>
      </c>
      <c r="C883" s="64">
        <v>7</v>
      </c>
      <c r="D883" s="64">
        <v>1</v>
      </c>
      <c r="E883" s="64">
        <v>1</v>
      </c>
      <c r="F883" s="64">
        <v>2</v>
      </c>
      <c r="G883" s="64">
        <v>58</v>
      </c>
      <c r="H883" s="750"/>
      <c r="I883" s="750"/>
      <c r="J883" s="751"/>
      <c r="K883" s="752" t="s">
        <v>914</v>
      </c>
      <c r="L883" s="64" t="s">
        <v>915</v>
      </c>
      <c r="M883" s="64" t="s">
        <v>916</v>
      </c>
      <c r="N883" s="64" t="s">
        <v>917</v>
      </c>
      <c r="O883" s="64" t="s">
        <v>918</v>
      </c>
      <c r="P883" s="69">
        <v>44927</v>
      </c>
      <c r="Q883" s="69">
        <v>45290</v>
      </c>
      <c r="R883" s="64">
        <v>1</v>
      </c>
      <c r="S883" s="65" t="s">
        <v>919</v>
      </c>
      <c r="T883" s="194"/>
      <c r="U883" s="75">
        <v>0</v>
      </c>
      <c r="V883" s="75"/>
      <c r="W883" s="75">
        <v>0</v>
      </c>
      <c r="X883" s="1122">
        <v>0</v>
      </c>
      <c r="Y883" s="75">
        <v>0</v>
      </c>
      <c r="Z883" s="75">
        <v>0</v>
      </c>
      <c r="AA883" s="1122">
        <v>0</v>
      </c>
      <c r="AB883" s="75">
        <v>0</v>
      </c>
      <c r="AC883" s="75">
        <v>0</v>
      </c>
      <c r="AD883" s="1122">
        <v>0</v>
      </c>
      <c r="AE883" s="75">
        <v>0</v>
      </c>
      <c r="AF883" s="75">
        <v>0</v>
      </c>
      <c r="AG883" s="1122">
        <v>0</v>
      </c>
      <c r="AH883" s="505">
        <f t="shared" ref="AH883:AH899" si="214">+U883+Y883+AB883+AE883</f>
        <v>0</v>
      </c>
      <c r="AI883" s="132"/>
      <c r="AJ883" s="75">
        <f t="shared" si="213"/>
        <v>0</v>
      </c>
      <c r="AK883" s="75"/>
      <c r="AL883" s="75"/>
      <c r="AM883" s="75"/>
      <c r="AN883" s="787" t="s">
        <v>39</v>
      </c>
      <c r="AO883" s="100"/>
      <c r="AP883" s="100"/>
      <c r="AQ883" s="993"/>
      <c r="AR883" s="100"/>
      <c r="AS883" s="994"/>
      <c r="AT883" s="100"/>
      <c r="AU883" s="983"/>
      <c r="AV883" s="343" t="s">
        <v>1799</v>
      </c>
      <c r="AW883" s="185"/>
    </row>
    <row r="884" spans="1:49" ht="51" hidden="1" customHeight="1" outlineLevel="3" x14ac:dyDescent="0.25">
      <c r="A884" s="745" t="str">
        <f t="shared" si="100"/>
        <v>1.7.1.1.2.59</v>
      </c>
      <c r="B884" s="64">
        <v>1</v>
      </c>
      <c r="C884" s="64">
        <v>7</v>
      </c>
      <c r="D884" s="64">
        <v>1</v>
      </c>
      <c r="E884" s="64">
        <v>1</v>
      </c>
      <c r="F884" s="64">
        <v>2</v>
      </c>
      <c r="G884" s="64">
        <v>59</v>
      </c>
      <c r="H884" s="750"/>
      <c r="I884" s="750"/>
      <c r="J884" s="751"/>
      <c r="K884" s="752" t="s">
        <v>920</v>
      </c>
      <c r="L884" s="64" t="s">
        <v>915</v>
      </c>
      <c r="M884" s="64" t="s">
        <v>916</v>
      </c>
      <c r="N884" s="64" t="s">
        <v>917</v>
      </c>
      <c r="O884" s="64" t="s">
        <v>918</v>
      </c>
      <c r="P884" s="69"/>
      <c r="Q884" s="69"/>
      <c r="R884" s="64"/>
      <c r="S884" s="65"/>
      <c r="T884" s="194"/>
      <c r="U884" s="75">
        <v>0</v>
      </c>
      <c r="V884" s="75"/>
      <c r="W884" s="75">
        <v>0</v>
      </c>
      <c r="X884" s="1122">
        <v>0</v>
      </c>
      <c r="Y884" s="75">
        <v>0</v>
      </c>
      <c r="Z884" s="75">
        <v>0</v>
      </c>
      <c r="AA884" s="1122">
        <v>0</v>
      </c>
      <c r="AB884" s="75">
        <v>0</v>
      </c>
      <c r="AC884" s="75">
        <v>0</v>
      </c>
      <c r="AD884" s="1122">
        <v>0</v>
      </c>
      <c r="AE884" s="75">
        <v>0</v>
      </c>
      <c r="AF884" s="75">
        <v>0</v>
      </c>
      <c r="AG884" s="1122">
        <v>0</v>
      </c>
      <c r="AH884" s="505">
        <f t="shared" si="214"/>
        <v>0</v>
      </c>
      <c r="AI884" s="132"/>
      <c r="AJ884" s="75">
        <f t="shared" si="213"/>
        <v>0</v>
      </c>
      <c r="AK884" s="75"/>
      <c r="AL884" s="75"/>
      <c r="AM884" s="75"/>
      <c r="AN884" s="787" t="s">
        <v>39</v>
      </c>
      <c r="AO884" s="100"/>
      <c r="AP884" s="100"/>
      <c r="AQ884" s="993"/>
      <c r="AR884" s="100"/>
      <c r="AS884" s="994"/>
      <c r="AT884" s="100"/>
      <c r="AU884" s="983"/>
      <c r="AV884" s="343"/>
      <c r="AW884" s="185"/>
    </row>
    <row r="885" spans="1:49" ht="51" hidden="1" customHeight="1" outlineLevel="3" x14ac:dyDescent="0.25">
      <c r="A885" s="745" t="str">
        <f t="shared" si="100"/>
        <v>1.7.1.1.2.60</v>
      </c>
      <c r="B885" s="64">
        <v>1</v>
      </c>
      <c r="C885" s="64">
        <v>7</v>
      </c>
      <c r="D885" s="64">
        <v>1</v>
      </c>
      <c r="E885" s="64">
        <v>1</v>
      </c>
      <c r="F885" s="64">
        <v>2</v>
      </c>
      <c r="G885" s="64">
        <v>60</v>
      </c>
      <c r="H885" s="750"/>
      <c r="I885" s="750"/>
      <c r="J885" s="751"/>
      <c r="K885" s="752" t="s">
        <v>921</v>
      </c>
      <c r="L885" s="64" t="s">
        <v>915</v>
      </c>
      <c r="M885" s="64" t="s">
        <v>916</v>
      </c>
      <c r="N885" s="64" t="s">
        <v>917</v>
      </c>
      <c r="O885" s="64" t="s">
        <v>918</v>
      </c>
      <c r="P885" s="69"/>
      <c r="Q885" s="69"/>
      <c r="R885" s="64"/>
      <c r="S885" s="65"/>
      <c r="T885" s="194"/>
      <c r="U885" s="75">
        <v>0</v>
      </c>
      <c r="V885" s="75"/>
      <c r="W885" s="75">
        <v>0</v>
      </c>
      <c r="X885" s="1122">
        <v>0</v>
      </c>
      <c r="Y885" s="75">
        <v>0</v>
      </c>
      <c r="Z885" s="75">
        <v>0</v>
      </c>
      <c r="AA885" s="1122">
        <v>0</v>
      </c>
      <c r="AB885" s="75">
        <v>0</v>
      </c>
      <c r="AC885" s="75">
        <v>0</v>
      </c>
      <c r="AD885" s="1122">
        <v>0</v>
      </c>
      <c r="AE885" s="75">
        <v>0</v>
      </c>
      <c r="AF885" s="75">
        <v>0</v>
      </c>
      <c r="AG885" s="1122">
        <v>0</v>
      </c>
      <c r="AH885" s="505">
        <f t="shared" si="214"/>
        <v>0</v>
      </c>
      <c r="AI885" s="132"/>
      <c r="AJ885" s="75">
        <f t="shared" si="213"/>
        <v>0</v>
      </c>
      <c r="AK885" s="75"/>
      <c r="AL885" s="75"/>
      <c r="AM885" s="75"/>
      <c r="AN885" s="787" t="s">
        <v>39</v>
      </c>
      <c r="AO885" s="100"/>
      <c r="AP885" s="100"/>
      <c r="AQ885" s="993"/>
      <c r="AR885" s="100"/>
      <c r="AS885" s="994"/>
      <c r="AT885" s="100"/>
      <c r="AU885" s="983"/>
      <c r="AV885" s="343"/>
      <c r="AW885" s="185"/>
    </row>
    <row r="886" spans="1:49" ht="51" hidden="1" customHeight="1" outlineLevel="3" x14ac:dyDescent="0.25">
      <c r="A886" s="745" t="str">
        <f t="shared" ref="A886:A1144" si="215">CONCATENATE(B886,".",C886,".",D886,".",E886,".",F886,".",G886)</f>
        <v>1.7.1.1.2.61</v>
      </c>
      <c r="B886" s="64">
        <v>1</v>
      </c>
      <c r="C886" s="64">
        <v>7</v>
      </c>
      <c r="D886" s="64">
        <v>1</v>
      </c>
      <c r="E886" s="64">
        <v>1</v>
      </c>
      <c r="F886" s="64">
        <v>2</v>
      </c>
      <c r="G886" s="64">
        <v>61</v>
      </c>
      <c r="H886" s="750"/>
      <c r="I886" s="750"/>
      <c r="J886" s="751"/>
      <c r="K886" s="752" t="s">
        <v>922</v>
      </c>
      <c r="L886" s="64" t="s">
        <v>915</v>
      </c>
      <c r="M886" s="64" t="s">
        <v>916</v>
      </c>
      <c r="N886" s="64" t="s">
        <v>917</v>
      </c>
      <c r="O886" s="64" t="s">
        <v>918</v>
      </c>
      <c r="P886" s="69"/>
      <c r="Q886" s="69"/>
      <c r="R886" s="64"/>
      <c r="S886" s="65"/>
      <c r="T886" s="194"/>
      <c r="U886" s="75">
        <v>0</v>
      </c>
      <c r="V886" s="75"/>
      <c r="W886" s="75">
        <v>0</v>
      </c>
      <c r="X886" s="1122">
        <v>0</v>
      </c>
      <c r="Y886" s="75">
        <v>0</v>
      </c>
      <c r="Z886" s="75">
        <v>0</v>
      </c>
      <c r="AA886" s="1122">
        <v>0</v>
      </c>
      <c r="AB886" s="75">
        <v>0</v>
      </c>
      <c r="AC886" s="75">
        <v>0</v>
      </c>
      <c r="AD886" s="1122">
        <v>0</v>
      </c>
      <c r="AE886" s="75">
        <v>0</v>
      </c>
      <c r="AF886" s="75">
        <v>0</v>
      </c>
      <c r="AG886" s="1122">
        <v>0</v>
      </c>
      <c r="AH886" s="505">
        <f t="shared" si="214"/>
        <v>0</v>
      </c>
      <c r="AI886" s="132"/>
      <c r="AJ886" s="75">
        <f t="shared" si="213"/>
        <v>0</v>
      </c>
      <c r="AK886" s="75"/>
      <c r="AL886" s="75"/>
      <c r="AM886" s="75"/>
      <c r="AN886" s="787" t="s">
        <v>39</v>
      </c>
      <c r="AO886" s="100"/>
      <c r="AP886" s="100"/>
      <c r="AQ886" s="993"/>
      <c r="AR886" s="100"/>
      <c r="AS886" s="994"/>
      <c r="AT886" s="100"/>
      <c r="AU886" s="983"/>
      <c r="AV886" s="343"/>
      <c r="AW886" s="185"/>
    </row>
    <row r="887" spans="1:49" ht="51" hidden="1" customHeight="1" outlineLevel="3" x14ac:dyDescent="0.25">
      <c r="A887" s="745" t="str">
        <f t="shared" si="215"/>
        <v>1.7.1.1.2.62</v>
      </c>
      <c r="B887" s="64">
        <v>1</v>
      </c>
      <c r="C887" s="64">
        <v>7</v>
      </c>
      <c r="D887" s="64">
        <v>1</v>
      </c>
      <c r="E887" s="64">
        <v>1</v>
      </c>
      <c r="F887" s="64">
        <v>2</v>
      </c>
      <c r="G887" s="64">
        <v>62</v>
      </c>
      <c r="H887" s="750"/>
      <c r="I887" s="750"/>
      <c r="J887" s="751"/>
      <c r="K887" s="752" t="s">
        <v>923</v>
      </c>
      <c r="L887" s="64" t="s">
        <v>915</v>
      </c>
      <c r="M887" s="64" t="s">
        <v>916</v>
      </c>
      <c r="N887" s="64" t="s">
        <v>917</v>
      </c>
      <c r="O887" s="64" t="s">
        <v>918</v>
      </c>
      <c r="P887" s="69"/>
      <c r="Q887" s="69"/>
      <c r="R887" s="64"/>
      <c r="S887" s="65"/>
      <c r="T887" s="194"/>
      <c r="U887" s="75">
        <v>0</v>
      </c>
      <c r="V887" s="75"/>
      <c r="W887" s="75">
        <v>0</v>
      </c>
      <c r="X887" s="1122">
        <v>0</v>
      </c>
      <c r="Y887" s="75">
        <v>0</v>
      </c>
      <c r="Z887" s="75">
        <v>0</v>
      </c>
      <c r="AA887" s="1122">
        <v>0</v>
      </c>
      <c r="AB887" s="75">
        <v>0</v>
      </c>
      <c r="AC887" s="75">
        <v>0</v>
      </c>
      <c r="AD887" s="1122">
        <v>0</v>
      </c>
      <c r="AE887" s="75">
        <v>0</v>
      </c>
      <c r="AF887" s="75">
        <v>0</v>
      </c>
      <c r="AG887" s="1122">
        <v>0</v>
      </c>
      <c r="AH887" s="505">
        <f t="shared" si="214"/>
        <v>0</v>
      </c>
      <c r="AI887" s="132"/>
      <c r="AJ887" s="75">
        <f t="shared" si="213"/>
        <v>0</v>
      </c>
      <c r="AK887" s="75"/>
      <c r="AL887" s="75"/>
      <c r="AM887" s="75"/>
      <c r="AN887" s="787" t="s">
        <v>39</v>
      </c>
      <c r="AO887" s="100"/>
      <c r="AP887" s="100"/>
      <c r="AQ887" s="993"/>
      <c r="AR887" s="100"/>
      <c r="AS887" s="994"/>
      <c r="AT887" s="100"/>
      <c r="AU887" s="983"/>
      <c r="AV887" s="343"/>
      <c r="AW887" s="185"/>
    </row>
    <row r="888" spans="1:49" ht="51" hidden="1" customHeight="1" outlineLevel="3" x14ac:dyDescent="0.25">
      <c r="A888" s="745" t="str">
        <f t="shared" si="215"/>
        <v>1.7.1.1.2.63</v>
      </c>
      <c r="B888" s="64">
        <v>1</v>
      </c>
      <c r="C888" s="64">
        <v>7</v>
      </c>
      <c r="D888" s="64">
        <v>1</v>
      </c>
      <c r="E888" s="64">
        <v>1</v>
      </c>
      <c r="F888" s="64">
        <v>2</v>
      </c>
      <c r="G888" s="64">
        <v>63</v>
      </c>
      <c r="H888" s="750"/>
      <c r="I888" s="750"/>
      <c r="J888" s="751"/>
      <c r="K888" s="752" t="s">
        <v>1765</v>
      </c>
      <c r="L888" s="64" t="s">
        <v>915</v>
      </c>
      <c r="M888" s="64" t="s">
        <v>916</v>
      </c>
      <c r="N888" s="64" t="s">
        <v>917</v>
      </c>
      <c r="O888" s="64" t="s">
        <v>918</v>
      </c>
      <c r="P888" s="69"/>
      <c r="Q888" s="69"/>
      <c r="R888" s="64"/>
      <c r="S888" s="65"/>
      <c r="T888" s="194"/>
      <c r="U888" s="75">
        <v>0</v>
      </c>
      <c r="V888" s="75"/>
      <c r="W888" s="75">
        <v>0</v>
      </c>
      <c r="X888" s="1122">
        <v>0</v>
      </c>
      <c r="Y888" s="75">
        <v>0</v>
      </c>
      <c r="Z888" s="75">
        <v>0</v>
      </c>
      <c r="AA888" s="1122">
        <v>0</v>
      </c>
      <c r="AB888" s="75">
        <v>0</v>
      </c>
      <c r="AC888" s="75">
        <v>0</v>
      </c>
      <c r="AD888" s="1122">
        <v>0</v>
      </c>
      <c r="AE888" s="75">
        <v>0</v>
      </c>
      <c r="AF888" s="75">
        <v>0</v>
      </c>
      <c r="AG888" s="1122">
        <v>0</v>
      </c>
      <c r="AH888" s="505">
        <f t="shared" si="214"/>
        <v>0</v>
      </c>
      <c r="AI888" s="132"/>
      <c r="AJ888" s="75">
        <f t="shared" si="213"/>
        <v>0</v>
      </c>
      <c r="AK888" s="75"/>
      <c r="AL888" s="75"/>
      <c r="AM888" s="75"/>
      <c r="AN888" s="787" t="s">
        <v>39</v>
      </c>
      <c r="AO888" s="100"/>
      <c r="AP888" s="100"/>
      <c r="AQ888" s="993"/>
      <c r="AR888" s="100"/>
      <c r="AS888" s="994"/>
      <c r="AT888" s="100"/>
      <c r="AU888" s="983"/>
      <c r="AV888" s="343"/>
      <c r="AW888" s="185"/>
    </row>
    <row r="889" spans="1:49" ht="51" hidden="1" customHeight="1" outlineLevel="3" x14ac:dyDescent="0.25">
      <c r="A889" s="745" t="str">
        <f t="shared" si="215"/>
        <v>1.7.1.1.2.64</v>
      </c>
      <c r="B889" s="64">
        <v>1</v>
      </c>
      <c r="C889" s="64">
        <v>7</v>
      </c>
      <c r="D889" s="64">
        <v>1</v>
      </c>
      <c r="E889" s="64">
        <v>1</v>
      </c>
      <c r="F889" s="64">
        <v>2</v>
      </c>
      <c r="G889" s="64">
        <v>64</v>
      </c>
      <c r="H889" s="750"/>
      <c r="I889" s="750"/>
      <c r="J889" s="751"/>
      <c r="K889" s="752" t="s">
        <v>924</v>
      </c>
      <c r="L889" s="64" t="s">
        <v>915</v>
      </c>
      <c r="M889" s="64" t="s">
        <v>916</v>
      </c>
      <c r="N889" s="64" t="s">
        <v>917</v>
      </c>
      <c r="O889" s="64" t="s">
        <v>918</v>
      </c>
      <c r="P889" s="69"/>
      <c r="Q889" s="69"/>
      <c r="R889" s="64"/>
      <c r="S889" s="65"/>
      <c r="T889" s="194"/>
      <c r="U889" s="75">
        <v>0</v>
      </c>
      <c r="V889" s="75"/>
      <c r="W889" s="75">
        <v>0</v>
      </c>
      <c r="X889" s="1122">
        <v>0</v>
      </c>
      <c r="Y889" s="75">
        <v>0</v>
      </c>
      <c r="Z889" s="75">
        <v>0</v>
      </c>
      <c r="AA889" s="1122">
        <v>0</v>
      </c>
      <c r="AB889" s="75">
        <v>0</v>
      </c>
      <c r="AC889" s="75">
        <v>0</v>
      </c>
      <c r="AD889" s="1122">
        <v>0</v>
      </c>
      <c r="AE889" s="75">
        <v>0</v>
      </c>
      <c r="AF889" s="75">
        <v>0</v>
      </c>
      <c r="AG889" s="1122">
        <v>0</v>
      </c>
      <c r="AH889" s="505">
        <f t="shared" si="214"/>
        <v>0</v>
      </c>
      <c r="AI889" s="132"/>
      <c r="AJ889" s="75">
        <f t="shared" si="213"/>
        <v>0</v>
      </c>
      <c r="AK889" s="75"/>
      <c r="AL889" s="75"/>
      <c r="AM889" s="75"/>
      <c r="AN889" s="787" t="s">
        <v>39</v>
      </c>
      <c r="AO889" s="100"/>
      <c r="AP889" s="100"/>
      <c r="AQ889" s="993"/>
      <c r="AR889" s="100"/>
      <c r="AS889" s="994"/>
      <c r="AT889" s="100"/>
      <c r="AU889" s="983"/>
      <c r="AV889" s="343"/>
      <c r="AW889" s="185"/>
    </row>
    <row r="890" spans="1:49" ht="45" hidden="1" customHeight="1" outlineLevel="3" x14ac:dyDescent="0.25">
      <c r="A890" s="745" t="str">
        <f t="shared" si="215"/>
        <v>1.7.1.1.3.58-64</v>
      </c>
      <c r="B890" s="64">
        <v>1</v>
      </c>
      <c r="C890" s="64">
        <v>7</v>
      </c>
      <c r="D890" s="64">
        <v>1</v>
      </c>
      <c r="E890" s="64">
        <v>1</v>
      </c>
      <c r="F890" s="64">
        <v>3</v>
      </c>
      <c r="G890" s="64" t="s">
        <v>64</v>
      </c>
      <c r="H890" s="750"/>
      <c r="I890" s="750"/>
      <c r="J890" s="751"/>
      <c r="K890" s="752" t="s">
        <v>925</v>
      </c>
      <c r="L890" s="64" t="s">
        <v>209</v>
      </c>
      <c r="M890" s="64" t="s">
        <v>926</v>
      </c>
      <c r="N890" s="64" t="s">
        <v>2627</v>
      </c>
      <c r="O890" s="64" t="s">
        <v>819</v>
      </c>
      <c r="P890" s="69">
        <v>44927</v>
      </c>
      <c r="Q890" s="69">
        <v>45290</v>
      </c>
      <c r="R890" s="64" t="s">
        <v>887</v>
      </c>
      <c r="S890" s="65" t="s">
        <v>299</v>
      </c>
      <c r="T890" s="194"/>
      <c r="U890" s="75">
        <v>0</v>
      </c>
      <c r="V890" s="75"/>
      <c r="W890" s="75">
        <v>0</v>
      </c>
      <c r="X890" s="1122">
        <v>0</v>
      </c>
      <c r="Y890" s="75">
        <v>0</v>
      </c>
      <c r="Z890" s="75">
        <v>0</v>
      </c>
      <c r="AA890" s="1122">
        <v>0</v>
      </c>
      <c r="AB890" s="75">
        <v>0</v>
      </c>
      <c r="AC890" s="75">
        <v>0</v>
      </c>
      <c r="AD890" s="1122">
        <v>0</v>
      </c>
      <c r="AE890" s="75">
        <v>0</v>
      </c>
      <c r="AF890" s="75">
        <v>0</v>
      </c>
      <c r="AG890" s="1122">
        <v>0</v>
      </c>
      <c r="AH890" s="505">
        <f t="shared" si="214"/>
        <v>0</v>
      </c>
      <c r="AI890" s="132"/>
      <c r="AJ890" s="75">
        <f t="shared" si="213"/>
        <v>0</v>
      </c>
      <c r="AK890" s="75"/>
      <c r="AL890" s="75"/>
      <c r="AM890" s="75"/>
      <c r="AN890" s="787" t="s">
        <v>39</v>
      </c>
      <c r="AO890" s="100"/>
      <c r="AP890" s="100"/>
      <c r="AQ890" s="993"/>
      <c r="AR890" s="100"/>
      <c r="AS890" s="994"/>
      <c r="AT890" s="100"/>
      <c r="AU890" s="983"/>
      <c r="AV890" s="343" t="s">
        <v>1799</v>
      </c>
      <c r="AW890" s="185"/>
    </row>
    <row r="891" spans="1:49" ht="47.25" hidden="1" customHeight="1" outlineLevel="3" x14ac:dyDescent="0.25">
      <c r="A891" s="745" t="str">
        <f t="shared" si="215"/>
        <v>1.7.1.1.4.58-64</v>
      </c>
      <c r="B891" s="64">
        <v>1</v>
      </c>
      <c r="C891" s="64">
        <v>7</v>
      </c>
      <c r="D891" s="64">
        <v>1</v>
      </c>
      <c r="E891" s="64">
        <v>1</v>
      </c>
      <c r="F891" s="64">
        <v>4</v>
      </c>
      <c r="G891" s="64" t="s">
        <v>64</v>
      </c>
      <c r="H891" s="750"/>
      <c r="I891" s="750"/>
      <c r="J891" s="750"/>
      <c r="K891" s="750" t="s">
        <v>927</v>
      </c>
      <c r="L891" s="64" t="s">
        <v>209</v>
      </c>
      <c r="M891" s="68" t="s">
        <v>928</v>
      </c>
      <c r="N891" s="64" t="s">
        <v>2627</v>
      </c>
      <c r="O891" s="64" t="s">
        <v>819</v>
      </c>
      <c r="P891" s="69">
        <v>44927</v>
      </c>
      <c r="Q891" s="69">
        <v>45290</v>
      </c>
      <c r="R891" s="64">
        <v>1700</v>
      </c>
      <c r="S891" s="65" t="s">
        <v>646</v>
      </c>
      <c r="T891" s="194"/>
      <c r="U891" s="75">
        <v>0</v>
      </c>
      <c r="V891" s="75"/>
      <c r="W891" s="75">
        <v>0</v>
      </c>
      <c r="X891" s="1122">
        <v>0</v>
      </c>
      <c r="Y891" s="75">
        <v>0</v>
      </c>
      <c r="Z891" s="75">
        <v>0</v>
      </c>
      <c r="AA891" s="1122">
        <v>0</v>
      </c>
      <c r="AB891" s="75">
        <v>0</v>
      </c>
      <c r="AC891" s="75">
        <v>0</v>
      </c>
      <c r="AD891" s="1122">
        <v>0</v>
      </c>
      <c r="AE891" s="75">
        <v>0</v>
      </c>
      <c r="AF891" s="75">
        <v>0</v>
      </c>
      <c r="AG891" s="1122">
        <v>0</v>
      </c>
      <c r="AH891" s="505">
        <f t="shared" si="214"/>
        <v>0</v>
      </c>
      <c r="AI891" s="132"/>
      <c r="AJ891" s="75">
        <f t="shared" si="213"/>
        <v>0</v>
      </c>
      <c r="AK891" s="75"/>
      <c r="AL891" s="75"/>
      <c r="AM891" s="75"/>
      <c r="AN891" s="787" t="s">
        <v>39</v>
      </c>
      <c r="AO891" s="100"/>
      <c r="AP891" s="960"/>
      <c r="AQ891" s="1225"/>
      <c r="AR891" s="1054"/>
      <c r="AS891" s="1224"/>
      <c r="AT891" s="1054"/>
      <c r="AU891" s="964"/>
      <c r="AV891" s="343" t="s">
        <v>1799</v>
      </c>
      <c r="AW891" s="335" t="s">
        <v>2117</v>
      </c>
    </row>
    <row r="892" spans="1:49" ht="28.5" hidden="1" customHeight="1" outlineLevel="3" x14ac:dyDescent="0.25">
      <c r="A892" s="745" t="str">
        <f t="shared" si="215"/>
        <v>1.7.1.1.5.58-64</v>
      </c>
      <c r="B892" s="64">
        <v>1</v>
      </c>
      <c r="C892" s="64">
        <v>7</v>
      </c>
      <c r="D892" s="64">
        <v>1</v>
      </c>
      <c r="E892" s="64">
        <v>1</v>
      </c>
      <c r="F892" s="64">
        <v>5</v>
      </c>
      <c r="G892" s="64" t="s">
        <v>64</v>
      </c>
      <c r="H892" s="750"/>
      <c r="I892" s="750"/>
      <c r="J892" s="751"/>
      <c r="K892" s="750" t="s">
        <v>929</v>
      </c>
      <c r="L892" s="64" t="s">
        <v>209</v>
      </c>
      <c r="M892" s="64" t="s">
        <v>930</v>
      </c>
      <c r="N892" s="64" t="s">
        <v>2627</v>
      </c>
      <c r="O892" s="64" t="s">
        <v>819</v>
      </c>
      <c r="P892" s="69">
        <v>44927</v>
      </c>
      <c r="Q892" s="69">
        <v>45290</v>
      </c>
      <c r="R892" s="64" t="s">
        <v>887</v>
      </c>
      <c r="S892" s="65"/>
      <c r="T892" s="194"/>
      <c r="U892" s="75">
        <v>0</v>
      </c>
      <c r="V892" s="75"/>
      <c r="W892" s="75">
        <v>0</v>
      </c>
      <c r="X892" s="1122">
        <v>0</v>
      </c>
      <c r="Y892" s="75">
        <v>0</v>
      </c>
      <c r="Z892" s="75">
        <v>0</v>
      </c>
      <c r="AA892" s="1122">
        <v>0</v>
      </c>
      <c r="AB892" s="75">
        <v>0</v>
      </c>
      <c r="AC892" s="75">
        <v>0</v>
      </c>
      <c r="AD892" s="1122">
        <v>0</v>
      </c>
      <c r="AE892" s="75">
        <v>0</v>
      </c>
      <c r="AF892" s="75">
        <v>0</v>
      </c>
      <c r="AG892" s="1122">
        <v>0</v>
      </c>
      <c r="AH892" s="505">
        <f t="shared" si="214"/>
        <v>0</v>
      </c>
      <c r="AI892" s="132"/>
      <c r="AJ892" s="75">
        <f t="shared" si="213"/>
        <v>0</v>
      </c>
      <c r="AK892" s="75"/>
      <c r="AL892" s="75"/>
      <c r="AM892" s="75"/>
      <c r="AN892" s="787" t="s">
        <v>39</v>
      </c>
      <c r="AO892" s="64"/>
      <c r="AP892" s="64"/>
      <c r="AQ892" s="189"/>
      <c r="AR892" s="64"/>
      <c r="AS892" s="476"/>
      <c r="AT892" s="64"/>
      <c r="AU892" s="646"/>
      <c r="AV892" s="343" t="s">
        <v>1799</v>
      </c>
      <c r="AW892" s="185"/>
    </row>
    <row r="893" spans="1:49" ht="48.75" hidden="1" customHeight="1" outlineLevel="3" x14ac:dyDescent="0.25">
      <c r="A893" s="745" t="str">
        <f t="shared" si="215"/>
        <v>1.7.1.1.6.58-64</v>
      </c>
      <c r="B893" s="64">
        <v>1</v>
      </c>
      <c r="C893" s="64">
        <v>7</v>
      </c>
      <c r="D893" s="64">
        <v>1</v>
      </c>
      <c r="E893" s="64">
        <v>1</v>
      </c>
      <c r="F893" s="64">
        <v>6</v>
      </c>
      <c r="G893" s="64" t="s">
        <v>64</v>
      </c>
      <c r="H893" s="750"/>
      <c r="I893" s="750"/>
      <c r="J893" s="751"/>
      <c r="K893" s="750" t="s">
        <v>931</v>
      </c>
      <c r="L893" s="64" t="s">
        <v>209</v>
      </c>
      <c r="M893" s="68" t="s">
        <v>932</v>
      </c>
      <c r="N893" s="64" t="s">
        <v>2627</v>
      </c>
      <c r="O893" s="64" t="s">
        <v>819</v>
      </c>
      <c r="P893" s="69">
        <v>44927</v>
      </c>
      <c r="Q893" s="69">
        <v>45290</v>
      </c>
      <c r="R893" s="64">
        <v>1700</v>
      </c>
      <c r="S893" s="65" t="s">
        <v>933</v>
      </c>
      <c r="T893" s="194"/>
      <c r="U893" s="75">
        <v>0</v>
      </c>
      <c r="V893" s="75"/>
      <c r="W893" s="75">
        <v>0</v>
      </c>
      <c r="X893" s="1122">
        <v>0</v>
      </c>
      <c r="Y893" s="75">
        <v>0</v>
      </c>
      <c r="Z893" s="75">
        <v>0</v>
      </c>
      <c r="AA893" s="1122">
        <v>0</v>
      </c>
      <c r="AB893" s="75">
        <v>0</v>
      </c>
      <c r="AC893" s="75">
        <v>0</v>
      </c>
      <c r="AD893" s="1122">
        <v>0</v>
      </c>
      <c r="AE893" s="75">
        <v>0</v>
      </c>
      <c r="AF893" s="75">
        <v>0</v>
      </c>
      <c r="AG893" s="1122">
        <v>0</v>
      </c>
      <c r="AH893" s="505">
        <f t="shared" si="214"/>
        <v>0</v>
      </c>
      <c r="AI893" s="132"/>
      <c r="AJ893" s="75">
        <f t="shared" si="213"/>
        <v>0</v>
      </c>
      <c r="AK893" s="75"/>
      <c r="AL893" s="75"/>
      <c r="AM893" s="75"/>
      <c r="AN893" s="787" t="s">
        <v>39</v>
      </c>
      <c r="AO893" s="64"/>
      <c r="AP893" s="64"/>
      <c r="AQ893" s="189"/>
      <c r="AR893" s="64"/>
      <c r="AS893" s="476"/>
      <c r="AT893" s="64"/>
      <c r="AU893" s="646"/>
      <c r="AV893" s="343" t="s">
        <v>1799</v>
      </c>
      <c r="AW893" s="185"/>
    </row>
    <row r="894" spans="1:49" ht="37.5" hidden="1" customHeight="1" outlineLevel="3" x14ac:dyDescent="0.25">
      <c r="A894" s="745" t="str">
        <f t="shared" si="215"/>
        <v>1.7.1.1.7.58-64</v>
      </c>
      <c r="B894" s="64">
        <v>1</v>
      </c>
      <c r="C894" s="64">
        <v>7</v>
      </c>
      <c r="D894" s="64">
        <v>1</v>
      </c>
      <c r="E894" s="64">
        <v>1</v>
      </c>
      <c r="F894" s="64">
        <v>7</v>
      </c>
      <c r="G894" s="64" t="s">
        <v>64</v>
      </c>
      <c r="H894" s="750"/>
      <c r="I894" s="750"/>
      <c r="J894" s="751"/>
      <c r="K894" s="750" t="s">
        <v>934</v>
      </c>
      <c r="L894" s="64" t="s">
        <v>209</v>
      </c>
      <c r="M894" s="68" t="s">
        <v>935</v>
      </c>
      <c r="N894" s="64" t="s">
        <v>2627</v>
      </c>
      <c r="O894" s="64" t="s">
        <v>819</v>
      </c>
      <c r="P894" s="69">
        <v>44927</v>
      </c>
      <c r="Q894" s="69">
        <v>45290</v>
      </c>
      <c r="R894" s="64" t="s">
        <v>887</v>
      </c>
      <c r="S894" s="65"/>
      <c r="T894" s="194"/>
      <c r="U894" s="75">
        <v>0</v>
      </c>
      <c r="V894" s="75"/>
      <c r="W894" s="75">
        <v>0</v>
      </c>
      <c r="X894" s="1122">
        <v>0</v>
      </c>
      <c r="Y894" s="75">
        <v>0</v>
      </c>
      <c r="Z894" s="75">
        <v>0</v>
      </c>
      <c r="AA894" s="1122">
        <v>0</v>
      </c>
      <c r="AB894" s="75">
        <v>0</v>
      </c>
      <c r="AC894" s="75">
        <v>0</v>
      </c>
      <c r="AD894" s="1122">
        <v>0</v>
      </c>
      <c r="AE894" s="75">
        <v>0</v>
      </c>
      <c r="AF894" s="75">
        <v>0</v>
      </c>
      <c r="AG894" s="1122">
        <v>0</v>
      </c>
      <c r="AH894" s="505">
        <f t="shared" si="214"/>
        <v>0</v>
      </c>
      <c r="AI894" s="132"/>
      <c r="AJ894" s="75">
        <f t="shared" si="213"/>
        <v>0</v>
      </c>
      <c r="AK894" s="75"/>
      <c r="AL894" s="75"/>
      <c r="AM894" s="75"/>
      <c r="AN894" s="787" t="s">
        <v>39</v>
      </c>
      <c r="AO894" s="64"/>
      <c r="AP894" s="64"/>
      <c r="AQ894" s="189"/>
      <c r="AR894" s="64"/>
      <c r="AS894" s="476"/>
      <c r="AT894" s="64"/>
      <c r="AU894" s="646"/>
      <c r="AV894" s="343" t="s">
        <v>936</v>
      </c>
      <c r="AW894" s="185" t="s">
        <v>589</v>
      </c>
    </row>
    <row r="895" spans="1:49" ht="23.25" hidden="1" customHeight="1" outlineLevel="3" x14ac:dyDescent="0.25">
      <c r="A895" s="745" t="str">
        <f t="shared" si="215"/>
        <v>1.7.1.1.8.58-64</v>
      </c>
      <c r="B895" s="64">
        <v>1</v>
      </c>
      <c r="C895" s="64">
        <v>7</v>
      </c>
      <c r="D895" s="64">
        <v>1</v>
      </c>
      <c r="E895" s="64">
        <v>1</v>
      </c>
      <c r="F895" s="64">
        <v>8</v>
      </c>
      <c r="G895" s="64" t="s">
        <v>64</v>
      </c>
      <c r="H895" s="750"/>
      <c r="I895" s="750"/>
      <c r="J895" s="750"/>
      <c r="K895" s="750" t="s">
        <v>937</v>
      </c>
      <c r="L895" s="64" t="s">
        <v>209</v>
      </c>
      <c r="M895" s="64" t="s">
        <v>73</v>
      </c>
      <c r="N895" s="64" t="s">
        <v>74</v>
      </c>
      <c r="O895" s="64" t="s">
        <v>819</v>
      </c>
      <c r="P895" s="69">
        <v>44927</v>
      </c>
      <c r="Q895" s="69">
        <v>45290</v>
      </c>
      <c r="R895" s="64">
        <v>1700</v>
      </c>
      <c r="S895" s="65" t="s">
        <v>938</v>
      </c>
      <c r="T895" s="194"/>
      <c r="U895" s="75">
        <v>0</v>
      </c>
      <c r="V895" s="75"/>
      <c r="W895" s="75">
        <v>0</v>
      </c>
      <c r="X895" s="1122">
        <v>0</v>
      </c>
      <c r="Y895" s="75">
        <v>0</v>
      </c>
      <c r="Z895" s="75">
        <v>0</v>
      </c>
      <c r="AA895" s="1122">
        <v>0</v>
      </c>
      <c r="AB895" s="75">
        <v>0</v>
      </c>
      <c r="AC895" s="75">
        <v>0</v>
      </c>
      <c r="AD895" s="1122">
        <v>0</v>
      </c>
      <c r="AE895" s="75">
        <v>0</v>
      </c>
      <c r="AF895" s="75">
        <v>0</v>
      </c>
      <c r="AG895" s="1122">
        <v>0</v>
      </c>
      <c r="AH895" s="505">
        <f t="shared" si="214"/>
        <v>0</v>
      </c>
      <c r="AI895" s="132"/>
      <c r="AJ895" s="75">
        <f t="shared" si="213"/>
        <v>0</v>
      </c>
      <c r="AK895" s="75"/>
      <c r="AL895" s="75"/>
      <c r="AM895" s="75"/>
      <c r="AN895" s="787" t="s">
        <v>39</v>
      </c>
      <c r="AO895" s="64"/>
      <c r="AP895" s="64"/>
      <c r="AQ895" s="189"/>
      <c r="AR895" s="64"/>
      <c r="AS895" s="476"/>
      <c r="AT895" s="64"/>
      <c r="AU895" s="646"/>
      <c r="AV895" s="259" t="s">
        <v>939</v>
      </c>
      <c r="AW895" s="185" t="s">
        <v>589</v>
      </c>
    </row>
    <row r="896" spans="1:49" ht="43.35" hidden="1" customHeight="1" outlineLevel="3" x14ac:dyDescent="0.25">
      <c r="A896" s="745" t="str">
        <f t="shared" si="215"/>
        <v>1.7.1.1.9.58-64</v>
      </c>
      <c r="B896" s="64">
        <v>1</v>
      </c>
      <c r="C896" s="64">
        <v>7</v>
      </c>
      <c r="D896" s="64">
        <v>1</v>
      </c>
      <c r="E896" s="64">
        <v>1</v>
      </c>
      <c r="F896" s="64">
        <v>9</v>
      </c>
      <c r="G896" s="64" t="s">
        <v>64</v>
      </c>
      <c r="H896" s="750"/>
      <c r="I896" s="750"/>
      <c r="J896" s="751"/>
      <c r="K896" s="752" t="s">
        <v>940</v>
      </c>
      <c r="L896" s="64" t="s">
        <v>209</v>
      </c>
      <c r="M896" s="64" t="s">
        <v>941</v>
      </c>
      <c r="N896" s="64" t="s">
        <v>2627</v>
      </c>
      <c r="O896" s="64" t="s">
        <v>819</v>
      </c>
      <c r="P896" s="69">
        <v>44927</v>
      </c>
      <c r="Q896" s="69">
        <v>45290</v>
      </c>
      <c r="R896" s="64">
        <v>1700</v>
      </c>
      <c r="S896" s="65" t="s">
        <v>942</v>
      </c>
      <c r="T896" s="194"/>
      <c r="U896" s="75">
        <v>0</v>
      </c>
      <c r="V896" s="75"/>
      <c r="W896" s="75">
        <v>0</v>
      </c>
      <c r="X896" s="1122">
        <v>0</v>
      </c>
      <c r="Y896" s="75">
        <v>0</v>
      </c>
      <c r="Z896" s="75">
        <v>0</v>
      </c>
      <c r="AA896" s="1122">
        <v>0</v>
      </c>
      <c r="AB896" s="75">
        <v>0</v>
      </c>
      <c r="AC896" s="75">
        <v>0</v>
      </c>
      <c r="AD896" s="1122">
        <v>0</v>
      </c>
      <c r="AE896" s="75">
        <v>0</v>
      </c>
      <c r="AF896" s="75">
        <v>0</v>
      </c>
      <c r="AG896" s="1122">
        <v>0</v>
      </c>
      <c r="AH896" s="505">
        <f t="shared" si="214"/>
        <v>0</v>
      </c>
      <c r="AI896" s="132"/>
      <c r="AJ896" s="75">
        <f t="shared" si="213"/>
        <v>0</v>
      </c>
      <c r="AK896" s="75"/>
      <c r="AL896" s="75"/>
      <c r="AM896" s="75"/>
      <c r="AN896" s="787" t="s">
        <v>39</v>
      </c>
      <c r="AO896" s="64"/>
      <c r="AP896" s="64"/>
      <c r="AQ896" s="189"/>
      <c r="AR896" s="64"/>
      <c r="AS896" s="476"/>
      <c r="AT896" s="64"/>
      <c r="AU896" s="646"/>
      <c r="AV896" s="343" t="s">
        <v>1799</v>
      </c>
      <c r="AW896" s="185"/>
    </row>
    <row r="897" spans="1:49" ht="28.5" hidden="1" customHeight="1" outlineLevel="3" x14ac:dyDescent="0.25">
      <c r="A897" s="745" t="str">
        <f t="shared" si="215"/>
        <v>1.7.1.1.10.58-64</v>
      </c>
      <c r="B897" s="64">
        <v>1</v>
      </c>
      <c r="C897" s="64">
        <v>7</v>
      </c>
      <c r="D897" s="64">
        <v>1</v>
      </c>
      <c r="E897" s="64">
        <v>1</v>
      </c>
      <c r="F897" s="64">
        <v>10</v>
      </c>
      <c r="G897" s="64" t="s">
        <v>64</v>
      </c>
      <c r="H897" s="750"/>
      <c r="I897" s="750"/>
      <c r="J897" s="751"/>
      <c r="K897" s="752" t="s">
        <v>943</v>
      </c>
      <c r="L897" s="64"/>
      <c r="M897" s="64"/>
      <c r="N897" s="64"/>
      <c r="O897" s="64"/>
      <c r="P897" s="69"/>
      <c r="Q897" s="69"/>
      <c r="R897" s="64"/>
      <c r="S897" s="65"/>
      <c r="T897" s="194"/>
      <c r="U897" s="75">
        <v>0</v>
      </c>
      <c r="V897" s="75"/>
      <c r="W897" s="75">
        <v>0</v>
      </c>
      <c r="X897" s="1122">
        <v>0</v>
      </c>
      <c r="Y897" s="75">
        <v>0</v>
      </c>
      <c r="Z897" s="75">
        <v>0</v>
      </c>
      <c r="AA897" s="1122">
        <v>0</v>
      </c>
      <c r="AB897" s="75">
        <v>0</v>
      </c>
      <c r="AC897" s="75">
        <v>0</v>
      </c>
      <c r="AD897" s="1122">
        <v>0</v>
      </c>
      <c r="AE897" s="75">
        <v>0</v>
      </c>
      <c r="AF897" s="75">
        <v>0</v>
      </c>
      <c r="AG897" s="1122">
        <v>0</v>
      </c>
      <c r="AH897" s="505">
        <f t="shared" si="214"/>
        <v>0</v>
      </c>
      <c r="AI897" s="132"/>
      <c r="AJ897" s="75">
        <f t="shared" si="213"/>
        <v>0</v>
      </c>
      <c r="AK897" s="75"/>
      <c r="AL897" s="75"/>
      <c r="AM897" s="75"/>
      <c r="AN897" s="787" t="s">
        <v>39</v>
      </c>
      <c r="AO897" s="64"/>
      <c r="AP897" s="64"/>
      <c r="AQ897" s="189"/>
      <c r="AR897" s="64"/>
      <c r="AS897" s="476"/>
      <c r="AT897" s="64"/>
      <c r="AU897" s="646"/>
      <c r="AV897" s="343" t="s">
        <v>944</v>
      </c>
      <c r="AW897" s="185" t="s">
        <v>589</v>
      </c>
    </row>
    <row r="898" spans="1:49" ht="125.45" hidden="1" customHeight="1" outlineLevel="3" x14ac:dyDescent="0.25">
      <c r="A898" s="745" t="str">
        <f t="shared" si="215"/>
        <v>1.7.1.1.11.58-64</v>
      </c>
      <c r="B898" s="64">
        <v>1</v>
      </c>
      <c r="C898" s="64">
        <v>7</v>
      </c>
      <c r="D898" s="64">
        <v>1</v>
      </c>
      <c r="E898" s="64">
        <v>1</v>
      </c>
      <c r="F898" s="64">
        <v>11</v>
      </c>
      <c r="G898" s="64" t="s">
        <v>64</v>
      </c>
      <c r="H898" s="750"/>
      <c r="I898" s="750"/>
      <c r="J898" s="751"/>
      <c r="K898" s="752" t="s">
        <v>1867</v>
      </c>
      <c r="L898" s="64"/>
      <c r="M898" s="64"/>
      <c r="N898" s="64"/>
      <c r="O898" s="64"/>
      <c r="P898" s="69"/>
      <c r="Q898" s="69"/>
      <c r="R898" s="64"/>
      <c r="S898" s="65" t="s">
        <v>2710</v>
      </c>
      <c r="T898" s="194"/>
      <c r="U898" s="75">
        <v>0</v>
      </c>
      <c r="V898" s="75"/>
      <c r="W898" s="75">
        <v>0</v>
      </c>
      <c r="X898" s="1122">
        <v>0</v>
      </c>
      <c r="Y898" s="75">
        <v>0</v>
      </c>
      <c r="Z898" s="75">
        <v>0</v>
      </c>
      <c r="AA898" s="1122">
        <v>0</v>
      </c>
      <c r="AB898" s="75">
        <v>0</v>
      </c>
      <c r="AC898" s="75">
        <v>0</v>
      </c>
      <c r="AD898" s="1122">
        <v>0</v>
      </c>
      <c r="AE898" s="75">
        <v>0</v>
      </c>
      <c r="AF898" s="75">
        <v>0</v>
      </c>
      <c r="AG898" s="1122">
        <v>0</v>
      </c>
      <c r="AH898" s="505">
        <f t="shared" si="214"/>
        <v>0</v>
      </c>
      <c r="AI898" s="132"/>
      <c r="AJ898" s="75">
        <f t="shared" si="213"/>
        <v>0</v>
      </c>
      <c r="AK898" s="75"/>
      <c r="AL898" s="75"/>
      <c r="AM898" s="75"/>
      <c r="AN898" s="787" t="s">
        <v>39</v>
      </c>
      <c r="AO898" s="64"/>
      <c r="AP898" s="64"/>
      <c r="AQ898" s="189"/>
      <c r="AR898" s="64"/>
      <c r="AS898" s="476"/>
      <c r="AT898" s="64"/>
      <c r="AU898" s="646"/>
      <c r="AV898" s="90" t="s">
        <v>945</v>
      </c>
      <c r="AW898" s="63" t="s">
        <v>589</v>
      </c>
    </row>
    <row r="899" spans="1:49" ht="28.5" hidden="1" customHeight="1" outlineLevel="3" x14ac:dyDescent="0.25">
      <c r="A899" s="745" t="str">
        <f t="shared" si="215"/>
        <v>1.7.1.1.12.58-64</v>
      </c>
      <c r="B899" s="64">
        <v>1</v>
      </c>
      <c r="C899" s="64">
        <v>7</v>
      </c>
      <c r="D899" s="64">
        <v>1</v>
      </c>
      <c r="E899" s="64">
        <v>1</v>
      </c>
      <c r="F899" s="64">
        <v>12</v>
      </c>
      <c r="G899" s="64" t="s">
        <v>64</v>
      </c>
      <c r="H899" s="750"/>
      <c r="I899" s="750"/>
      <c r="J899" s="751"/>
      <c r="K899" s="752" t="s">
        <v>947</v>
      </c>
      <c r="L899" s="64"/>
      <c r="M899" s="64"/>
      <c r="N899" s="64"/>
      <c r="O899" s="64"/>
      <c r="P899" s="69"/>
      <c r="Q899" s="69"/>
      <c r="R899" s="64"/>
      <c r="S899" s="65"/>
      <c r="T899" s="194"/>
      <c r="U899" s="75">
        <v>0</v>
      </c>
      <c r="V899" s="75"/>
      <c r="W899" s="75">
        <v>0</v>
      </c>
      <c r="X899" s="1122">
        <v>0</v>
      </c>
      <c r="Y899" s="75">
        <v>0</v>
      </c>
      <c r="Z899" s="75">
        <v>0</v>
      </c>
      <c r="AA899" s="1122">
        <v>0</v>
      </c>
      <c r="AB899" s="75">
        <v>0</v>
      </c>
      <c r="AC899" s="75">
        <v>0</v>
      </c>
      <c r="AD899" s="1122">
        <v>0</v>
      </c>
      <c r="AE899" s="75">
        <v>0</v>
      </c>
      <c r="AF899" s="75">
        <v>0</v>
      </c>
      <c r="AG899" s="1122">
        <v>0</v>
      </c>
      <c r="AH899" s="505">
        <f t="shared" si="214"/>
        <v>0</v>
      </c>
      <c r="AI899" s="132"/>
      <c r="AJ899" s="75">
        <f t="shared" si="213"/>
        <v>0</v>
      </c>
      <c r="AK899" s="75"/>
      <c r="AL899" s="75"/>
      <c r="AM899" s="75"/>
      <c r="AN899" s="787" t="s">
        <v>39</v>
      </c>
      <c r="AO899" s="64"/>
      <c r="AP899" s="64"/>
      <c r="AQ899" s="189"/>
      <c r="AR899" s="64"/>
      <c r="AS899" s="476"/>
      <c r="AT899" s="64"/>
      <c r="AU899" s="646"/>
      <c r="AV899" s="343"/>
      <c r="AW899" s="335" t="s">
        <v>949</v>
      </c>
    </row>
    <row r="900" spans="1:49" s="153" customFormat="1" ht="31.5" customHeight="1" outlineLevel="1" collapsed="1" x14ac:dyDescent="0.25">
      <c r="A900" s="744" t="str">
        <f t="shared" si="215"/>
        <v>1.7.1.2.0.0</v>
      </c>
      <c r="B900" s="82">
        <v>1</v>
      </c>
      <c r="C900" s="82">
        <v>7</v>
      </c>
      <c r="D900" s="82">
        <v>1</v>
      </c>
      <c r="E900" s="82">
        <v>2</v>
      </c>
      <c r="F900" s="82">
        <v>0</v>
      </c>
      <c r="G900" s="82">
        <v>0</v>
      </c>
      <c r="H900" s="749"/>
      <c r="I900" s="749"/>
      <c r="J900" s="1304" t="s">
        <v>950</v>
      </c>
      <c r="K900" s="1303"/>
      <c r="L900" s="82" t="s">
        <v>209</v>
      </c>
      <c r="M900" s="83" t="s">
        <v>951</v>
      </c>
      <c r="N900" s="82" t="s">
        <v>2627</v>
      </c>
      <c r="O900" s="82" t="s">
        <v>819</v>
      </c>
      <c r="P900" s="82"/>
      <c r="Q900" s="82"/>
      <c r="R900" s="82"/>
      <c r="S900" s="149"/>
      <c r="T900" s="193"/>
      <c r="U900" s="209">
        <f>SUM(U901:U904)</f>
        <v>600000</v>
      </c>
      <c r="V900" s="209"/>
      <c r="W900" s="209">
        <f t="shared" ref="W900:AI900" si="216">SUM(W901:W904)</f>
        <v>0</v>
      </c>
      <c r="X900" s="1133">
        <f t="shared" si="216"/>
        <v>0</v>
      </c>
      <c r="Y900" s="209">
        <f>SUM(Y901:Y904)</f>
        <v>600000</v>
      </c>
      <c r="Z900" s="209">
        <f t="shared" si="216"/>
        <v>0</v>
      </c>
      <c r="AA900" s="1133">
        <f t="shared" si="216"/>
        <v>0</v>
      </c>
      <c r="AB900" s="209">
        <f>SUM(AB901:AB904)</f>
        <v>600000</v>
      </c>
      <c r="AC900" s="209">
        <f t="shared" si="216"/>
        <v>0</v>
      </c>
      <c r="AD900" s="1133">
        <f t="shared" si="216"/>
        <v>0</v>
      </c>
      <c r="AE900" s="209">
        <f>SUM(AE901:AE904)</f>
        <v>600000</v>
      </c>
      <c r="AF900" s="209">
        <f t="shared" si="216"/>
        <v>0</v>
      </c>
      <c r="AG900" s="1133">
        <f t="shared" si="216"/>
        <v>0</v>
      </c>
      <c r="AH900" s="209">
        <f>SUM(AH901:AH904)</f>
        <v>1200000</v>
      </c>
      <c r="AI900" s="209">
        <f t="shared" si="216"/>
        <v>0</v>
      </c>
      <c r="AJ900" s="851">
        <f>+SUM(AJ901:AJ904)</f>
        <v>0</v>
      </c>
      <c r="AK900" s="852"/>
      <c r="AL900" s="852"/>
      <c r="AM900" s="852"/>
      <c r="AN900" s="853" t="s">
        <v>39</v>
      </c>
      <c r="AO900" s="82"/>
      <c r="AP900" s="82"/>
      <c r="AQ900" s="365"/>
      <c r="AR900" s="82"/>
      <c r="AS900" s="483"/>
      <c r="AT900" s="82"/>
      <c r="AU900" s="666"/>
      <c r="AV900" s="848">
        <f t="shared" ref="AV900" si="217">+SUM(AV901:AV904)</f>
        <v>0</v>
      </c>
      <c r="AW900" s="444" t="s">
        <v>952</v>
      </c>
    </row>
    <row r="901" spans="1:49" ht="36" hidden="1" customHeight="1" outlineLevel="3" x14ac:dyDescent="0.25">
      <c r="A901" s="745" t="str">
        <f t="shared" si="215"/>
        <v>1.7.1.2.1.58-64</v>
      </c>
      <c r="B901" s="64">
        <v>1</v>
      </c>
      <c r="C901" s="64">
        <v>7</v>
      </c>
      <c r="D901" s="64">
        <v>1</v>
      </c>
      <c r="E901" s="64">
        <v>2</v>
      </c>
      <c r="F901" s="64">
        <v>1</v>
      </c>
      <c r="G901" s="64" t="s">
        <v>64</v>
      </c>
      <c r="H901" s="750"/>
      <c r="I901" s="750"/>
      <c r="J901" s="751"/>
      <c r="K901" s="750" t="s">
        <v>953</v>
      </c>
      <c r="L901" s="64" t="s">
        <v>209</v>
      </c>
      <c r="M901" s="64" t="s">
        <v>954</v>
      </c>
      <c r="N901" s="64" t="s">
        <v>2627</v>
      </c>
      <c r="O901" s="64" t="s">
        <v>819</v>
      </c>
      <c r="P901" s="69">
        <v>44562</v>
      </c>
      <c r="Q901" s="69">
        <v>44925</v>
      </c>
      <c r="R901" s="64">
        <v>1700</v>
      </c>
      <c r="S901" s="65" t="s">
        <v>955</v>
      </c>
      <c r="T901" s="194"/>
      <c r="U901" s="79">
        <v>100000</v>
      </c>
      <c r="V901" s="79"/>
      <c r="W901" s="79">
        <v>0</v>
      </c>
      <c r="X901" s="1143">
        <v>0</v>
      </c>
      <c r="Y901" s="79">
        <v>100000</v>
      </c>
      <c r="Z901" s="79">
        <v>0</v>
      </c>
      <c r="AA901" s="1143">
        <v>0</v>
      </c>
      <c r="AB901" s="79">
        <v>100000</v>
      </c>
      <c r="AC901" s="79">
        <v>0</v>
      </c>
      <c r="AD901" s="1143">
        <v>0</v>
      </c>
      <c r="AE901" s="79">
        <v>100000</v>
      </c>
      <c r="AF901" s="79">
        <v>0</v>
      </c>
      <c r="AG901" s="1143">
        <v>0</v>
      </c>
      <c r="AH901" s="505">
        <f>+U901+Y901+AC901+AF901</f>
        <v>200000</v>
      </c>
      <c r="AI901" s="132"/>
      <c r="AJ901" s="75">
        <f t="shared" ref="AJ901:AJ904" si="218">+W902+Z902+AC902+AF902</f>
        <v>0</v>
      </c>
      <c r="AK901" s="75"/>
      <c r="AL901" s="75"/>
      <c r="AM901" s="75"/>
      <c r="AN901" s="787" t="s">
        <v>39</v>
      </c>
      <c r="AO901" s="64"/>
      <c r="AP901" s="64"/>
      <c r="AQ901" s="189"/>
      <c r="AR901" s="64"/>
      <c r="AS901" s="476"/>
      <c r="AT901" s="64"/>
      <c r="AU901" s="646"/>
      <c r="AV901" s="343" t="s">
        <v>956</v>
      </c>
      <c r="AW901" s="185" t="s">
        <v>589</v>
      </c>
    </row>
    <row r="902" spans="1:49" ht="30" hidden="1" customHeight="1" outlineLevel="3" x14ac:dyDescent="0.25">
      <c r="A902" s="745" t="str">
        <f t="shared" si="215"/>
        <v>1.7.1.2.2.58-64</v>
      </c>
      <c r="B902" s="64">
        <v>1</v>
      </c>
      <c r="C902" s="64">
        <v>7</v>
      </c>
      <c r="D902" s="64">
        <v>1</v>
      </c>
      <c r="E902" s="64">
        <v>2</v>
      </c>
      <c r="F902" s="64">
        <v>2</v>
      </c>
      <c r="G902" s="64" t="s">
        <v>64</v>
      </c>
      <c r="H902" s="750"/>
      <c r="I902" s="750"/>
      <c r="J902" s="751"/>
      <c r="K902" s="750" t="s">
        <v>957</v>
      </c>
      <c r="L902" s="64" t="s">
        <v>209</v>
      </c>
      <c r="M902" s="64" t="s">
        <v>958</v>
      </c>
      <c r="N902" s="64" t="s">
        <v>2627</v>
      </c>
      <c r="O902" s="64" t="s">
        <v>819</v>
      </c>
      <c r="P902" s="69">
        <v>44927</v>
      </c>
      <c r="Q902" s="69">
        <v>45290</v>
      </c>
      <c r="R902" s="64">
        <v>2</v>
      </c>
      <c r="S902" s="65" t="s">
        <v>959</v>
      </c>
      <c r="T902" s="194">
        <v>1</v>
      </c>
      <c r="U902" s="79">
        <v>250000</v>
      </c>
      <c r="V902" s="79"/>
      <c r="W902" s="79">
        <v>0</v>
      </c>
      <c r="X902" s="1143">
        <v>0</v>
      </c>
      <c r="Y902" s="79">
        <v>250000</v>
      </c>
      <c r="Z902" s="79">
        <v>0</v>
      </c>
      <c r="AA902" s="1143">
        <v>0</v>
      </c>
      <c r="AB902" s="79">
        <v>250000</v>
      </c>
      <c r="AC902" s="79">
        <v>0</v>
      </c>
      <c r="AD902" s="1143">
        <v>0</v>
      </c>
      <c r="AE902" s="79">
        <v>250000</v>
      </c>
      <c r="AF902" s="79">
        <v>0</v>
      </c>
      <c r="AG902" s="1143">
        <v>0</v>
      </c>
      <c r="AH902" s="505">
        <f t="shared" ref="AH902:AH904" si="219">+U902+Y902+AC902+AF902</f>
        <v>500000</v>
      </c>
      <c r="AI902" s="132"/>
      <c r="AJ902" s="75">
        <f t="shared" si="218"/>
        <v>0</v>
      </c>
      <c r="AK902" s="75"/>
      <c r="AL902" s="75"/>
      <c r="AM902" s="75"/>
      <c r="AN902" s="787" t="s">
        <v>39</v>
      </c>
      <c r="AO902" s="64"/>
      <c r="AP902" s="64"/>
      <c r="AQ902" s="189"/>
      <c r="AR902" s="64"/>
      <c r="AS902" s="476"/>
      <c r="AT902" s="64"/>
      <c r="AU902" s="646"/>
      <c r="AV902" s="343" t="s">
        <v>1799</v>
      </c>
      <c r="AW902" s="185"/>
    </row>
    <row r="903" spans="1:49" ht="30.75" hidden="1" customHeight="1" outlineLevel="3" x14ac:dyDescent="0.25">
      <c r="A903" s="745" t="str">
        <f t="shared" si="215"/>
        <v>1.7.1.2.3.58-64</v>
      </c>
      <c r="B903" s="64">
        <v>1</v>
      </c>
      <c r="C903" s="64">
        <v>7</v>
      </c>
      <c r="D903" s="64">
        <v>1</v>
      </c>
      <c r="E903" s="64">
        <v>2</v>
      </c>
      <c r="F903" s="64">
        <v>3</v>
      </c>
      <c r="G903" s="64" t="s">
        <v>64</v>
      </c>
      <c r="H903" s="750"/>
      <c r="I903" s="750"/>
      <c r="J903" s="751"/>
      <c r="K903" s="750" t="s">
        <v>960</v>
      </c>
      <c r="L903" s="64" t="s">
        <v>209</v>
      </c>
      <c r="M903" s="64" t="s">
        <v>961</v>
      </c>
      <c r="N903" s="64" t="s">
        <v>2627</v>
      </c>
      <c r="O903" s="64" t="s">
        <v>819</v>
      </c>
      <c r="P903" s="69">
        <v>44927</v>
      </c>
      <c r="Q903" s="69">
        <v>45290</v>
      </c>
      <c r="R903" s="64"/>
      <c r="S903" s="65"/>
      <c r="T903" s="194"/>
      <c r="U903" s="79">
        <v>250000</v>
      </c>
      <c r="V903" s="79"/>
      <c r="W903" s="79">
        <v>0</v>
      </c>
      <c r="X903" s="1143">
        <v>0</v>
      </c>
      <c r="Y903" s="79">
        <v>250000</v>
      </c>
      <c r="Z903" s="79">
        <v>0</v>
      </c>
      <c r="AA903" s="1143">
        <v>0</v>
      </c>
      <c r="AB903" s="79">
        <v>250000</v>
      </c>
      <c r="AC903" s="79">
        <v>0</v>
      </c>
      <c r="AD903" s="1143">
        <v>0</v>
      </c>
      <c r="AE903" s="79">
        <v>250000</v>
      </c>
      <c r="AF903" s="79">
        <v>0</v>
      </c>
      <c r="AG903" s="1143">
        <v>0</v>
      </c>
      <c r="AH903" s="505">
        <f t="shared" si="219"/>
        <v>500000</v>
      </c>
      <c r="AI903" s="132"/>
      <c r="AJ903" s="75">
        <f t="shared" si="218"/>
        <v>0</v>
      </c>
      <c r="AK903" s="75"/>
      <c r="AL903" s="75"/>
      <c r="AM903" s="75"/>
      <c r="AN903" s="787" t="s">
        <v>39</v>
      </c>
      <c r="AO903" s="64"/>
      <c r="AP903" s="64"/>
      <c r="AQ903" s="189"/>
      <c r="AR903" s="64"/>
      <c r="AS903" s="476"/>
      <c r="AT903" s="64"/>
      <c r="AU903" s="646"/>
      <c r="AV903" s="343" t="s">
        <v>1799</v>
      </c>
      <c r="AW903" s="185"/>
    </row>
    <row r="904" spans="1:49" ht="48" hidden="1" customHeight="1" outlineLevel="3" x14ac:dyDescent="0.25">
      <c r="A904" s="745" t="str">
        <f t="shared" si="215"/>
        <v>1.7.1.2.4.58-64</v>
      </c>
      <c r="B904" s="64">
        <v>1</v>
      </c>
      <c r="C904" s="64">
        <v>7</v>
      </c>
      <c r="D904" s="64">
        <v>1</v>
      </c>
      <c r="E904" s="64">
        <v>2</v>
      </c>
      <c r="F904" s="64">
        <v>4</v>
      </c>
      <c r="G904" s="64" t="s">
        <v>64</v>
      </c>
      <c r="H904" s="750"/>
      <c r="I904" s="750"/>
      <c r="J904" s="751"/>
      <c r="K904" s="752" t="s">
        <v>962</v>
      </c>
      <c r="L904" s="64"/>
      <c r="M904" s="64"/>
      <c r="N904" s="64"/>
      <c r="O904" s="64"/>
      <c r="P904" s="69">
        <v>44927</v>
      </c>
      <c r="Q904" s="69">
        <v>45290</v>
      </c>
      <c r="R904" s="64"/>
      <c r="S904" s="65"/>
      <c r="T904" s="194"/>
      <c r="U904" s="79">
        <v>0</v>
      </c>
      <c r="V904" s="79"/>
      <c r="W904" s="79">
        <v>0</v>
      </c>
      <c r="X904" s="1143">
        <v>0</v>
      </c>
      <c r="Y904" s="79">
        <v>0</v>
      </c>
      <c r="Z904" s="79">
        <v>0</v>
      </c>
      <c r="AA904" s="1143">
        <v>0</v>
      </c>
      <c r="AB904" s="79">
        <v>0</v>
      </c>
      <c r="AC904" s="79">
        <v>0</v>
      </c>
      <c r="AD904" s="1143">
        <v>0</v>
      </c>
      <c r="AE904" s="79">
        <v>0</v>
      </c>
      <c r="AF904" s="79">
        <v>0</v>
      </c>
      <c r="AG904" s="1143">
        <v>0</v>
      </c>
      <c r="AH904" s="505">
        <f t="shared" si="219"/>
        <v>0</v>
      </c>
      <c r="AI904" s="132"/>
      <c r="AJ904" s="75">
        <f t="shared" si="218"/>
        <v>0</v>
      </c>
      <c r="AK904" s="75"/>
      <c r="AL904" s="75"/>
      <c r="AM904" s="75"/>
      <c r="AN904" s="787" t="s">
        <v>39</v>
      </c>
      <c r="AO904" s="64"/>
      <c r="AP904" s="64"/>
      <c r="AQ904" s="189"/>
      <c r="AR904" s="64"/>
      <c r="AS904" s="476"/>
      <c r="AT904" s="64"/>
      <c r="AU904" s="646"/>
      <c r="AV904" s="343" t="s">
        <v>963</v>
      </c>
      <c r="AW904" s="185"/>
    </row>
    <row r="905" spans="1:49" s="153" customFormat="1" ht="37.5" customHeight="1" outlineLevel="1" collapsed="1" x14ac:dyDescent="0.25">
      <c r="A905" s="744" t="str">
        <f t="shared" si="215"/>
        <v>1.7.1.3.0.0</v>
      </c>
      <c r="B905" s="82">
        <v>1</v>
      </c>
      <c r="C905" s="82">
        <v>7</v>
      </c>
      <c r="D905" s="82">
        <v>1</v>
      </c>
      <c r="E905" s="82">
        <v>3</v>
      </c>
      <c r="F905" s="82">
        <v>0</v>
      </c>
      <c r="G905" s="82">
        <v>0</v>
      </c>
      <c r="H905" s="749"/>
      <c r="I905" s="749"/>
      <c r="J905" s="1304" t="s">
        <v>964</v>
      </c>
      <c r="K905" s="1303"/>
      <c r="L905" s="82" t="s">
        <v>209</v>
      </c>
      <c r="M905" s="83" t="s">
        <v>965</v>
      </c>
      <c r="N905" s="82" t="s">
        <v>2627</v>
      </c>
      <c r="O905" s="82" t="s">
        <v>819</v>
      </c>
      <c r="P905" s="82"/>
      <c r="Q905" s="82"/>
      <c r="R905" s="82">
        <v>3</v>
      </c>
      <c r="S905" s="149" t="s">
        <v>966</v>
      </c>
      <c r="T905" s="193"/>
      <c r="U905" s="209">
        <f>SUM(U906)</f>
        <v>0</v>
      </c>
      <c r="V905" s="209"/>
      <c r="W905" s="209">
        <f t="shared" ref="W905:AH905" si="220">SUM(W906)</f>
        <v>0</v>
      </c>
      <c r="X905" s="1133">
        <f t="shared" si="220"/>
        <v>0</v>
      </c>
      <c r="Y905" s="209">
        <f t="shared" si="220"/>
        <v>0</v>
      </c>
      <c r="Z905" s="209">
        <f t="shared" si="220"/>
        <v>0</v>
      </c>
      <c r="AA905" s="1133">
        <f t="shared" si="220"/>
        <v>0</v>
      </c>
      <c r="AB905" s="209">
        <f t="shared" si="220"/>
        <v>0</v>
      </c>
      <c r="AC905" s="209">
        <f t="shared" si="220"/>
        <v>0</v>
      </c>
      <c r="AD905" s="1133">
        <f t="shared" si="220"/>
        <v>0</v>
      </c>
      <c r="AE905" s="209">
        <f t="shared" si="220"/>
        <v>0</v>
      </c>
      <c r="AF905" s="209">
        <f t="shared" si="220"/>
        <v>0</v>
      </c>
      <c r="AG905" s="1133">
        <f t="shared" si="220"/>
        <v>0</v>
      </c>
      <c r="AH905" s="209">
        <f t="shared" si="220"/>
        <v>0</v>
      </c>
      <c r="AI905" s="522">
        <f>+SUM(AI906)</f>
        <v>0</v>
      </c>
      <c r="AJ905" s="765">
        <f>+SUM(AJ906)</f>
        <v>0</v>
      </c>
      <c r="AK905" s="218"/>
      <c r="AL905" s="218"/>
      <c r="AM905" s="218"/>
      <c r="AN905" s="786" t="s">
        <v>39</v>
      </c>
      <c r="AO905" s="82"/>
      <c r="AP905" s="82"/>
      <c r="AQ905" s="365"/>
      <c r="AR905" s="82"/>
      <c r="AS905" s="483"/>
      <c r="AT905" s="82"/>
      <c r="AU905" s="666"/>
      <c r="AV905" s="209">
        <f t="shared" ref="AV905" si="221">SUM(AV906)</f>
        <v>0</v>
      </c>
      <c r="AW905" s="444" t="s">
        <v>967</v>
      </c>
    </row>
    <row r="906" spans="1:49" ht="49.5" hidden="1" customHeight="1" outlineLevel="2" x14ac:dyDescent="0.25">
      <c r="A906" s="745" t="str">
        <f t="shared" si="215"/>
        <v>1.7.1.3.1.58-64</v>
      </c>
      <c r="B906" s="64">
        <v>1</v>
      </c>
      <c r="C906" s="64">
        <v>7</v>
      </c>
      <c r="D906" s="64">
        <v>1</v>
      </c>
      <c r="E906" s="64">
        <v>3</v>
      </c>
      <c r="F906" s="64">
        <v>1</v>
      </c>
      <c r="G906" s="64" t="s">
        <v>64</v>
      </c>
      <c r="H906" s="750"/>
      <c r="I906" s="750"/>
      <c r="J906" s="750"/>
      <c r="K906" s="750" t="s">
        <v>968</v>
      </c>
      <c r="L906" s="64" t="s">
        <v>209</v>
      </c>
      <c r="M906" s="68" t="s">
        <v>969</v>
      </c>
      <c r="N906" s="64" t="s">
        <v>2627</v>
      </c>
      <c r="O906" s="64" t="s">
        <v>819</v>
      </c>
      <c r="P906" s="69">
        <v>44986</v>
      </c>
      <c r="Q906" s="69">
        <v>45290</v>
      </c>
      <c r="R906" s="64"/>
      <c r="S906" s="65"/>
      <c r="T906" s="194"/>
      <c r="U906" s="75">
        <v>0</v>
      </c>
      <c r="V906" s="75"/>
      <c r="W906" s="75">
        <v>0</v>
      </c>
      <c r="X906" s="1122">
        <v>0</v>
      </c>
      <c r="Y906" s="75">
        <v>0</v>
      </c>
      <c r="Z906" s="75">
        <v>0</v>
      </c>
      <c r="AA906" s="1122">
        <v>0</v>
      </c>
      <c r="AB906" s="75">
        <v>0</v>
      </c>
      <c r="AC906" s="75">
        <v>0</v>
      </c>
      <c r="AD906" s="1122">
        <v>0</v>
      </c>
      <c r="AE906" s="75">
        <v>0</v>
      </c>
      <c r="AF906" s="75">
        <v>0</v>
      </c>
      <c r="AG906" s="1122">
        <v>0</v>
      </c>
      <c r="AH906" s="505">
        <f>+U906+Y906+AB906+AE906</f>
        <v>0</v>
      </c>
      <c r="AI906" s="132"/>
      <c r="AJ906" s="75">
        <f t="shared" ref="AJ906" si="222">+W907+Z907+AC907+AF907</f>
        <v>0</v>
      </c>
      <c r="AK906" s="75"/>
      <c r="AL906" s="75"/>
      <c r="AM906" s="75"/>
      <c r="AN906" s="787"/>
      <c r="AO906" s="64"/>
      <c r="AP906" s="64"/>
      <c r="AQ906" s="189"/>
      <c r="AR906" s="64"/>
      <c r="AS906" s="476"/>
      <c r="AT906" s="64"/>
      <c r="AU906" s="646"/>
      <c r="AV906" s="259"/>
      <c r="AW906" s="185" t="s">
        <v>589</v>
      </c>
    </row>
    <row r="907" spans="1:49" s="153" customFormat="1" ht="30.75" customHeight="1" outlineLevel="1" collapsed="1" x14ac:dyDescent="0.25">
      <c r="A907" s="744" t="str">
        <f t="shared" si="215"/>
        <v>1.7.1.4.0.0</v>
      </c>
      <c r="B907" s="82">
        <v>1</v>
      </c>
      <c r="C907" s="82">
        <v>7</v>
      </c>
      <c r="D907" s="82">
        <v>1</v>
      </c>
      <c r="E907" s="82">
        <v>4</v>
      </c>
      <c r="F907" s="82">
        <v>0</v>
      </c>
      <c r="G907" s="82">
        <v>0</v>
      </c>
      <c r="H907" s="749"/>
      <c r="I907" s="749"/>
      <c r="J907" s="1304" t="s">
        <v>891</v>
      </c>
      <c r="K907" s="1303"/>
      <c r="L907" s="82" t="s">
        <v>209</v>
      </c>
      <c r="M907" s="82" t="s">
        <v>73</v>
      </c>
      <c r="N907" s="83" t="s">
        <v>2628</v>
      </c>
      <c r="O907" s="82" t="s">
        <v>737</v>
      </c>
      <c r="P907" s="82"/>
      <c r="Q907" s="82"/>
      <c r="R907" s="82"/>
      <c r="S907" s="149"/>
      <c r="T907" s="193"/>
      <c r="U907" s="379">
        <f>+SUM(U908:U916)</f>
        <v>0</v>
      </c>
      <c r="V907" s="379"/>
      <c r="W907" s="379">
        <f t="shared" ref="W907:AH907" si="223">+SUM(W908:W916)</f>
        <v>0</v>
      </c>
      <c r="X907" s="1130">
        <f t="shared" si="223"/>
        <v>0</v>
      </c>
      <c r="Y907" s="379">
        <f t="shared" si="223"/>
        <v>0</v>
      </c>
      <c r="Z907" s="379">
        <f t="shared" si="223"/>
        <v>0</v>
      </c>
      <c r="AA907" s="1130">
        <f t="shared" si="223"/>
        <v>0</v>
      </c>
      <c r="AB907" s="379">
        <f t="shared" si="223"/>
        <v>0</v>
      </c>
      <c r="AC907" s="379">
        <f t="shared" si="223"/>
        <v>0</v>
      </c>
      <c r="AD907" s="1130">
        <f t="shared" si="223"/>
        <v>0</v>
      </c>
      <c r="AE907" s="379">
        <f t="shared" si="223"/>
        <v>0</v>
      </c>
      <c r="AF907" s="379">
        <f t="shared" si="223"/>
        <v>0</v>
      </c>
      <c r="AG907" s="1130">
        <f t="shared" si="223"/>
        <v>0</v>
      </c>
      <c r="AH907" s="379">
        <f t="shared" si="223"/>
        <v>0</v>
      </c>
      <c r="AI907" s="512">
        <f>+SUM(AI908:AI916)</f>
        <v>0</v>
      </c>
      <c r="AJ907" s="772">
        <f>+SUM(AJ908:AJ916)</f>
        <v>0</v>
      </c>
      <c r="AK907" s="152"/>
      <c r="AL907" s="152"/>
      <c r="AM907" s="152"/>
      <c r="AN907" s="786" t="s">
        <v>39</v>
      </c>
      <c r="AO907" s="82"/>
      <c r="AP907" s="82"/>
      <c r="AQ907" s="365"/>
      <c r="AR907" s="82"/>
      <c r="AS907" s="483"/>
      <c r="AT907" s="82"/>
      <c r="AU907" s="666"/>
      <c r="AV907" s="379">
        <f t="shared" ref="AV907" si="224">+SUM(AV908:AV916)</f>
        <v>0</v>
      </c>
      <c r="AW907" s="444"/>
    </row>
    <row r="908" spans="1:49" s="212" customFormat="1" ht="21" hidden="1" customHeight="1" outlineLevel="2" x14ac:dyDescent="0.25">
      <c r="A908" s="746" t="str">
        <f t="shared" si="215"/>
        <v>1.7.1.4.1.58-64</v>
      </c>
      <c r="B908" s="136">
        <v>1</v>
      </c>
      <c r="C908" s="136">
        <v>7</v>
      </c>
      <c r="D908" s="136">
        <v>1</v>
      </c>
      <c r="E908" s="136">
        <v>4</v>
      </c>
      <c r="F908" s="136">
        <v>1</v>
      </c>
      <c r="G908" s="136" t="s">
        <v>64</v>
      </c>
      <c r="H908" s="753"/>
      <c r="I908" s="753"/>
      <c r="J908" s="755"/>
      <c r="K908" s="753" t="s">
        <v>892</v>
      </c>
      <c r="L908" s="136" t="s">
        <v>209</v>
      </c>
      <c r="M908" s="136" t="s">
        <v>73</v>
      </c>
      <c r="N908" s="136" t="s">
        <v>2627</v>
      </c>
      <c r="O908" s="136" t="s">
        <v>737</v>
      </c>
      <c r="P908" s="136"/>
      <c r="Q908" s="136"/>
      <c r="R908" s="136"/>
      <c r="S908" s="125"/>
      <c r="T908" s="1195"/>
      <c r="U908" s="132">
        <v>0</v>
      </c>
      <c r="V908" s="132"/>
      <c r="W908" s="132">
        <v>0</v>
      </c>
      <c r="X908" s="1138">
        <v>0</v>
      </c>
      <c r="Y908" s="132">
        <v>0</v>
      </c>
      <c r="Z908" s="132">
        <v>0</v>
      </c>
      <c r="AA908" s="1138">
        <v>0</v>
      </c>
      <c r="AB908" s="132">
        <v>0</v>
      </c>
      <c r="AC908" s="132">
        <v>0</v>
      </c>
      <c r="AD908" s="1138">
        <v>0</v>
      </c>
      <c r="AE908" s="132">
        <v>0</v>
      </c>
      <c r="AF908" s="132">
        <v>0</v>
      </c>
      <c r="AG908" s="1138">
        <v>0</v>
      </c>
      <c r="AH908" s="505">
        <f>+U908+Y908+AB908+AE908</f>
        <v>0</v>
      </c>
      <c r="AI908" s="132"/>
      <c r="AJ908" s="75">
        <f t="shared" ref="AJ908:AJ916" si="225">+W909+Z909+AC909+AF909</f>
        <v>0</v>
      </c>
      <c r="AK908" s="154"/>
      <c r="AL908" s="154"/>
      <c r="AM908" s="154"/>
      <c r="AN908" s="789"/>
      <c r="AO908" s="136"/>
      <c r="AP908" s="136"/>
      <c r="AQ908" s="414"/>
      <c r="AR908" s="136"/>
      <c r="AS908" s="477"/>
      <c r="AT908" s="136"/>
      <c r="AU908" s="646"/>
      <c r="AV908" s="349"/>
      <c r="AW908" s="448"/>
    </row>
    <row r="909" spans="1:49" s="212" customFormat="1" ht="33.6" hidden="1" customHeight="1" outlineLevel="2" x14ac:dyDescent="0.25">
      <c r="A909" s="746" t="str">
        <f t="shared" si="215"/>
        <v>1.7.1.4.3.58</v>
      </c>
      <c r="B909" s="136">
        <v>1</v>
      </c>
      <c r="C909" s="136">
        <v>7</v>
      </c>
      <c r="D909" s="136">
        <v>1</v>
      </c>
      <c r="E909" s="136">
        <v>4</v>
      </c>
      <c r="F909" s="136">
        <v>3</v>
      </c>
      <c r="G909" s="136">
        <v>58</v>
      </c>
      <c r="H909" s="753"/>
      <c r="I909" s="753"/>
      <c r="J909" s="753"/>
      <c r="K909" s="754" t="s">
        <v>971</v>
      </c>
      <c r="L909" s="136" t="s">
        <v>209</v>
      </c>
      <c r="M909" s="136" t="s">
        <v>73</v>
      </c>
      <c r="N909" s="136" t="s">
        <v>2627</v>
      </c>
      <c r="O909" s="136" t="s">
        <v>737</v>
      </c>
      <c r="P909" s="136"/>
      <c r="Q909" s="136"/>
      <c r="R909" s="136"/>
      <c r="S909" s="125"/>
      <c r="T909" s="1195"/>
      <c r="U909" s="132">
        <v>0</v>
      </c>
      <c r="V909" s="132"/>
      <c r="W909" s="132">
        <v>0</v>
      </c>
      <c r="X909" s="1138">
        <v>0</v>
      </c>
      <c r="Y909" s="132">
        <v>0</v>
      </c>
      <c r="Z909" s="132">
        <v>0</v>
      </c>
      <c r="AA909" s="1138">
        <v>0</v>
      </c>
      <c r="AB909" s="132">
        <v>0</v>
      </c>
      <c r="AC909" s="132">
        <v>0</v>
      </c>
      <c r="AD909" s="1138">
        <v>0</v>
      </c>
      <c r="AE909" s="132">
        <v>0</v>
      </c>
      <c r="AF909" s="132">
        <v>0</v>
      </c>
      <c r="AG909" s="1138">
        <v>0</v>
      </c>
      <c r="AH909" s="505">
        <f t="shared" ref="AH909:AH916" si="226">+U909+Y909+AB909+AE909</f>
        <v>0</v>
      </c>
      <c r="AI909" s="132"/>
      <c r="AJ909" s="75">
        <f t="shared" si="225"/>
        <v>0</v>
      </c>
      <c r="AK909" s="154"/>
      <c r="AL909" s="154"/>
      <c r="AM909" s="154"/>
      <c r="AN909" s="789"/>
      <c r="AO909" s="136"/>
      <c r="AP909" s="136"/>
      <c r="AQ909" s="414"/>
      <c r="AR909" s="136"/>
      <c r="AS909" s="477"/>
      <c r="AT909" s="136"/>
      <c r="AU909" s="646"/>
      <c r="AV909" s="349"/>
      <c r="AW909" s="448"/>
    </row>
    <row r="910" spans="1:49" s="212" customFormat="1" ht="21" hidden="1" customHeight="1" outlineLevel="2" x14ac:dyDescent="0.25">
      <c r="A910" s="746" t="str">
        <f t="shared" si="215"/>
        <v>1.7.1.4.3.59</v>
      </c>
      <c r="B910" s="136">
        <v>1</v>
      </c>
      <c r="C910" s="136">
        <v>7</v>
      </c>
      <c r="D910" s="136">
        <v>1</v>
      </c>
      <c r="E910" s="136">
        <v>4</v>
      </c>
      <c r="F910" s="136">
        <v>3</v>
      </c>
      <c r="G910" s="136">
        <v>59</v>
      </c>
      <c r="H910" s="753"/>
      <c r="I910" s="753"/>
      <c r="J910" s="753"/>
      <c r="K910" s="753" t="s">
        <v>972</v>
      </c>
      <c r="L910" s="136" t="s">
        <v>209</v>
      </c>
      <c r="M910" s="136" t="s">
        <v>73</v>
      </c>
      <c r="N910" s="136" t="s">
        <v>2627</v>
      </c>
      <c r="O910" s="136" t="s">
        <v>737</v>
      </c>
      <c r="P910" s="136"/>
      <c r="Q910" s="136"/>
      <c r="R910" s="136"/>
      <c r="S910" s="125"/>
      <c r="T910" s="1195"/>
      <c r="U910" s="132">
        <v>0</v>
      </c>
      <c r="V910" s="132"/>
      <c r="W910" s="132">
        <v>0</v>
      </c>
      <c r="X910" s="1138">
        <v>0</v>
      </c>
      <c r="Y910" s="132">
        <v>0</v>
      </c>
      <c r="Z910" s="132">
        <v>0</v>
      </c>
      <c r="AA910" s="1138">
        <v>0</v>
      </c>
      <c r="AB910" s="132">
        <v>0</v>
      </c>
      <c r="AC910" s="132">
        <v>0</v>
      </c>
      <c r="AD910" s="1138">
        <v>0</v>
      </c>
      <c r="AE910" s="132">
        <v>0</v>
      </c>
      <c r="AF910" s="132">
        <v>0</v>
      </c>
      <c r="AG910" s="1138">
        <v>0</v>
      </c>
      <c r="AH910" s="505">
        <f t="shared" si="226"/>
        <v>0</v>
      </c>
      <c r="AI910" s="132"/>
      <c r="AJ910" s="75">
        <f t="shared" si="225"/>
        <v>0</v>
      </c>
      <c r="AK910" s="154"/>
      <c r="AL910" s="154"/>
      <c r="AM910" s="154"/>
      <c r="AN910" s="789"/>
      <c r="AO910" s="136"/>
      <c r="AP910" s="136"/>
      <c r="AQ910" s="414"/>
      <c r="AR910" s="136"/>
      <c r="AS910" s="477"/>
      <c r="AT910" s="136"/>
      <c r="AU910" s="646"/>
      <c r="AV910" s="349"/>
      <c r="AW910" s="448"/>
    </row>
    <row r="911" spans="1:49" s="212" customFormat="1" ht="21" hidden="1" customHeight="1" outlineLevel="2" x14ac:dyDescent="0.25">
      <c r="A911" s="746" t="str">
        <f t="shared" si="215"/>
        <v>1.7.1.4.3.60</v>
      </c>
      <c r="B911" s="136">
        <v>1</v>
      </c>
      <c r="C911" s="136">
        <v>7</v>
      </c>
      <c r="D911" s="136">
        <v>1</v>
      </c>
      <c r="E911" s="136">
        <v>4</v>
      </c>
      <c r="F911" s="136">
        <v>3</v>
      </c>
      <c r="G911" s="136">
        <v>60</v>
      </c>
      <c r="H911" s="753"/>
      <c r="I911" s="753"/>
      <c r="J911" s="753"/>
      <c r="K911" s="753" t="s">
        <v>973</v>
      </c>
      <c r="L911" s="136" t="s">
        <v>209</v>
      </c>
      <c r="M911" s="136" t="s">
        <v>73</v>
      </c>
      <c r="N911" s="136" t="s">
        <v>2627</v>
      </c>
      <c r="O911" s="136" t="s">
        <v>737</v>
      </c>
      <c r="P911" s="136"/>
      <c r="Q911" s="136"/>
      <c r="R911" s="136"/>
      <c r="S911" s="125"/>
      <c r="T911" s="1195"/>
      <c r="U911" s="132">
        <v>0</v>
      </c>
      <c r="V911" s="132"/>
      <c r="W911" s="132">
        <v>0</v>
      </c>
      <c r="X911" s="1138">
        <v>0</v>
      </c>
      <c r="Y911" s="132">
        <v>0</v>
      </c>
      <c r="Z911" s="132">
        <v>0</v>
      </c>
      <c r="AA911" s="1138">
        <v>0</v>
      </c>
      <c r="AB911" s="132">
        <v>0</v>
      </c>
      <c r="AC911" s="132">
        <v>0</v>
      </c>
      <c r="AD911" s="1138">
        <v>0</v>
      </c>
      <c r="AE911" s="132">
        <v>0</v>
      </c>
      <c r="AF911" s="132">
        <v>0</v>
      </c>
      <c r="AG911" s="1138">
        <v>0</v>
      </c>
      <c r="AH911" s="505">
        <f t="shared" si="226"/>
        <v>0</v>
      </c>
      <c r="AI911" s="132"/>
      <c r="AJ911" s="75">
        <f t="shared" si="225"/>
        <v>0</v>
      </c>
      <c r="AK911" s="154"/>
      <c r="AL911" s="154"/>
      <c r="AM911" s="154"/>
      <c r="AN911" s="789"/>
      <c r="AO911" s="136"/>
      <c r="AP911" s="136"/>
      <c r="AQ911" s="414"/>
      <c r="AR911" s="136"/>
      <c r="AS911" s="477"/>
      <c r="AT911" s="136"/>
      <c r="AU911" s="646"/>
      <c r="AV911" s="349"/>
      <c r="AW911" s="448"/>
    </row>
    <row r="912" spans="1:49" s="212" customFormat="1" ht="21" hidden="1" customHeight="1" outlineLevel="2" x14ac:dyDescent="0.25">
      <c r="A912" s="746" t="str">
        <f t="shared" si="215"/>
        <v>1.7.1.4.3.61</v>
      </c>
      <c r="B912" s="136">
        <v>1</v>
      </c>
      <c r="C912" s="136">
        <v>7</v>
      </c>
      <c r="D912" s="136">
        <v>1</v>
      </c>
      <c r="E912" s="136">
        <v>4</v>
      </c>
      <c r="F912" s="136">
        <v>3</v>
      </c>
      <c r="G912" s="136">
        <v>61</v>
      </c>
      <c r="H912" s="753"/>
      <c r="I912" s="753"/>
      <c r="J912" s="753"/>
      <c r="K912" s="753" t="s">
        <v>974</v>
      </c>
      <c r="L912" s="136" t="s">
        <v>209</v>
      </c>
      <c r="M912" s="136" t="s">
        <v>73</v>
      </c>
      <c r="N912" s="136" t="s">
        <v>2627</v>
      </c>
      <c r="O912" s="136" t="s">
        <v>737</v>
      </c>
      <c r="P912" s="136"/>
      <c r="Q912" s="136"/>
      <c r="R912" s="136"/>
      <c r="S912" s="125"/>
      <c r="T912" s="1195"/>
      <c r="U912" s="132">
        <v>0</v>
      </c>
      <c r="V912" s="132"/>
      <c r="W912" s="132">
        <v>0</v>
      </c>
      <c r="X912" s="1138">
        <v>0</v>
      </c>
      <c r="Y912" s="132">
        <v>0</v>
      </c>
      <c r="Z912" s="132">
        <v>0</v>
      </c>
      <c r="AA912" s="1138">
        <v>0</v>
      </c>
      <c r="AB912" s="132">
        <v>0</v>
      </c>
      <c r="AC912" s="132">
        <v>0</v>
      </c>
      <c r="AD912" s="1138">
        <v>0</v>
      </c>
      <c r="AE912" s="132">
        <v>0</v>
      </c>
      <c r="AF912" s="132">
        <v>0</v>
      </c>
      <c r="AG912" s="1138">
        <v>0</v>
      </c>
      <c r="AH912" s="505">
        <f t="shared" si="226"/>
        <v>0</v>
      </c>
      <c r="AI912" s="132"/>
      <c r="AJ912" s="75">
        <f t="shared" si="225"/>
        <v>0</v>
      </c>
      <c r="AK912" s="154"/>
      <c r="AL912" s="154"/>
      <c r="AM912" s="154"/>
      <c r="AN912" s="789"/>
      <c r="AO912" s="136"/>
      <c r="AP912" s="136"/>
      <c r="AQ912" s="414"/>
      <c r="AR912" s="136"/>
      <c r="AS912" s="477"/>
      <c r="AT912" s="136"/>
      <c r="AU912" s="646"/>
      <c r="AV912" s="349"/>
      <c r="AW912" s="448"/>
    </row>
    <row r="913" spans="1:49" s="212" customFormat="1" ht="21" hidden="1" customHeight="1" outlineLevel="2" x14ac:dyDescent="0.25">
      <c r="A913" s="746" t="str">
        <f t="shared" si="215"/>
        <v>1.7.1.4.3.62</v>
      </c>
      <c r="B913" s="136">
        <v>1</v>
      </c>
      <c r="C913" s="136">
        <v>7</v>
      </c>
      <c r="D913" s="136">
        <v>1</v>
      </c>
      <c r="E913" s="136">
        <v>4</v>
      </c>
      <c r="F913" s="136">
        <v>3</v>
      </c>
      <c r="G913" s="136">
        <v>62</v>
      </c>
      <c r="H913" s="753"/>
      <c r="I913" s="753"/>
      <c r="J913" s="753"/>
      <c r="K913" s="753" t="s">
        <v>975</v>
      </c>
      <c r="L913" s="136" t="s">
        <v>209</v>
      </c>
      <c r="M913" s="136" t="s">
        <v>73</v>
      </c>
      <c r="N913" s="136" t="s">
        <v>2627</v>
      </c>
      <c r="O913" s="136" t="s">
        <v>737</v>
      </c>
      <c r="P913" s="136"/>
      <c r="Q913" s="136"/>
      <c r="R913" s="136"/>
      <c r="S913" s="125"/>
      <c r="T913" s="1195"/>
      <c r="U913" s="132">
        <v>0</v>
      </c>
      <c r="V913" s="132"/>
      <c r="W913" s="132">
        <v>0</v>
      </c>
      <c r="X913" s="1138">
        <v>0</v>
      </c>
      <c r="Y913" s="132">
        <v>0</v>
      </c>
      <c r="Z913" s="132">
        <v>0</v>
      </c>
      <c r="AA913" s="1138">
        <v>0</v>
      </c>
      <c r="AB913" s="132">
        <v>0</v>
      </c>
      <c r="AC913" s="132">
        <v>0</v>
      </c>
      <c r="AD913" s="1138">
        <v>0</v>
      </c>
      <c r="AE913" s="132">
        <v>0</v>
      </c>
      <c r="AF913" s="132">
        <v>0</v>
      </c>
      <c r="AG913" s="1138">
        <v>0</v>
      </c>
      <c r="AH913" s="505">
        <f t="shared" si="226"/>
        <v>0</v>
      </c>
      <c r="AI913" s="132"/>
      <c r="AJ913" s="75">
        <f t="shared" si="225"/>
        <v>0</v>
      </c>
      <c r="AK913" s="154"/>
      <c r="AL913" s="154"/>
      <c r="AM913" s="154"/>
      <c r="AN913" s="789"/>
      <c r="AO913" s="136"/>
      <c r="AP913" s="136"/>
      <c r="AQ913" s="414"/>
      <c r="AR913" s="136"/>
      <c r="AS913" s="477"/>
      <c r="AT913" s="136"/>
      <c r="AU913" s="646"/>
      <c r="AV913" s="349"/>
      <c r="AW913" s="448"/>
    </row>
    <row r="914" spans="1:49" s="212" customFormat="1" ht="21" hidden="1" customHeight="1" outlineLevel="2" x14ac:dyDescent="0.25">
      <c r="A914" s="746" t="str">
        <f t="shared" si="215"/>
        <v>1.7.1.4.3.63</v>
      </c>
      <c r="B914" s="136">
        <v>1</v>
      </c>
      <c r="C914" s="136">
        <v>7</v>
      </c>
      <c r="D914" s="136">
        <v>1</v>
      </c>
      <c r="E914" s="136">
        <v>4</v>
      </c>
      <c r="F914" s="136">
        <v>3</v>
      </c>
      <c r="G914" s="136">
        <v>63</v>
      </c>
      <c r="H914" s="753"/>
      <c r="I914" s="753"/>
      <c r="J914" s="753"/>
      <c r="K914" s="753" t="s">
        <v>1766</v>
      </c>
      <c r="L914" s="136" t="s">
        <v>209</v>
      </c>
      <c r="M914" s="136" t="s">
        <v>73</v>
      </c>
      <c r="N914" s="136" t="s">
        <v>2627</v>
      </c>
      <c r="O914" s="136" t="s">
        <v>737</v>
      </c>
      <c r="P914" s="136"/>
      <c r="Q914" s="136"/>
      <c r="R914" s="136"/>
      <c r="S914" s="125"/>
      <c r="T914" s="1195"/>
      <c r="U914" s="132">
        <v>0</v>
      </c>
      <c r="V914" s="132"/>
      <c r="W914" s="132">
        <v>0</v>
      </c>
      <c r="X914" s="1138">
        <v>0</v>
      </c>
      <c r="Y914" s="132">
        <v>0</v>
      </c>
      <c r="Z914" s="132">
        <v>0</v>
      </c>
      <c r="AA914" s="1138">
        <v>0</v>
      </c>
      <c r="AB914" s="132">
        <v>0</v>
      </c>
      <c r="AC914" s="132">
        <v>0</v>
      </c>
      <c r="AD914" s="1138">
        <v>0</v>
      </c>
      <c r="AE914" s="132">
        <v>0</v>
      </c>
      <c r="AF914" s="132">
        <v>0</v>
      </c>
      <c r="AG914" s="1138">
        <v>0</v>
      </c>
      <c r="AH914" s="505">
        <f t="shared" si="226"/>
        <v>0</v>
      </c>
      <c r="AI914" s="132"/>
      <c r="AJ914" s="75">
        <f t="shared" si="225"/>
        <v>0</v>
      </c>
      <c r="AK914" s="154"/>
      <c r="AL914" s="154"/>
      <c r="AM914" s="154"/>
      <c r="AN914" s="789"/>
      <c r="AO914" s="136"/>
      <c r="AP914" s="136"/>
      <c r="AQ914" s="414"/>
      <c r="AR914" s="136"/>
      <c r="AS914" s="477"/>
      <c r="AT914" s="136"/>
      <c r="AU914" s="646"/>
      <c r="AV914" s="349"/>
      <c r="AW914" s="448"/>
    </row>
    <row r="915" spans="1:49" s="212" customFormat="1" ht="21" hidden="1" customHeight="1" outlineLevel="2" x14ac:dyDescent="0.25">
      <c r="A915" s="746" t="str">
        <f t="shared" si="215"/>
        <v>1.7.1.4.3.64</v>
      </c>
      <c r="B915" s="136">
        <v>1</v>
      </c>
      <c r="C915" s="136">
        <v>7</v>
      </c>
      <c r="D915" s="136">
        <v>1</v>
      </c>
      <c r="E915" s="136">
        <v>4</v>
      </c>
      <c r="F915" s="136">
        <v>3</v>
      </c>
      <c r="G915" s="136">
        <v>64</v>
      </c>
      <c r="H915" s="753"/>
      <c r="I915" s="753"/>
      <c r="J915" s="753"/>
      <c r="K915" s="753" t="s">
        <v>976</v>
      </c>
      <c r="L915" s="136" t="s">
        <v>209</v>
      </c>
      <c r="M915" s="136" t="s">
        <v>73</v>
      </c>
      <c r="N915" s="136" t="s">
        <v>2627</v>
      </c>
      <c r="O915" s="136" t="s">
        <v>737</v>
      </c>
      <c r="P915" s="136"/>
      <c r="Q915" s="136"/>
      <c r="R915" s="136"/>
      <c r="S915" s="125"/>
      <c r="T915" s="1195"/>
      <c r="U915" s="132">
        <v>0</v>
      </c>
      <c r="V915" s="132"/>
      <c r="W915" s="132">
        <v>0</v>
      </c>
      <c r="X915" s="1138">
        <v>0</v>
      </c>
      <c r="Y915" s="132">
        <v>0</v>
      </c>
      <c r="Z915" s="132">
        <v>0</v>
      </c>
      <c r="AA915" s="1138">
        <v>0</v>
      </c>
      <c r="AB915" s="132">
        <v>0</v>
      </c>
      <c r="AC915" s="132">
        <v>0</v>
      </c>
      <c r="AD915" s="1138">
        <v>0</v>
      </c>
      <c r="AE915" s="132">
        <v>0</v>
      </c>
      <c r="AF915" s="132">
        <v>0</v>
      </c>
      <c r="AG915" s="1138">
        <v>0</v>
      </c>
      <c r="AH915" s="505">
        <f t="shared" si="226"/>
        <v>0</v>
      </c>
      <c r="AI915" s="132"/>
      <c r="AJ915" s="75">
        <f t="shared" si="225"/>
        <v>0</v>
      </c>
      <c r="AK915" s="154"/>
      <c r="AL915" s="154"/>
      <c r="AM915" s="154"/>
      <c r="AN915" s="789"/>
      <c r="AO915" s="136"/>
      <c r="AP915" s="136"/>
      <c r="AQ915" s="414"/>
      <c r="AR915" s="136"/>
      <c r="AS915" s="477"/>
      <c r="AT915" s="136"/>
      <c r="AU915" s="646"/>
      <c r="AV915" s="349"/>
      <c r="AW915" s="448"/>
    </row>
    <row r="916" spans="1:49" s="212" customFormat="1" ht="38.1" hidden="1" customHeight="1" outlineLevel="2" x14ac:dyDescent="0.25">
      <c r="A916" s="747" t="str">
        <f t="shared" si="215"/>
        <v>1.7.1.4.4.58-64</v>
      </c>
      <c r="B916" s="235">
        <v>1</v>
      </c>
      <c r="C916" s="235">
        <v>7</v>
      </c>
      <c r="D916" s="235">
        <v>1</v>
      </c>
      <c r="E916" s="235">
        <v>4</v>
      </c>
      <c r="F916" s="235">
        <v>4</v>
      </c>
      <c r="G916" s="235" t="s">
        <v>64</v>
      </c>
      <c r="H916" s="757"/>
      <c r="I916" s="758"/>
      <c r="J916" s="753"/>
      <c r="K916" s="759" t="s">
        <v>263</v>
      </c>
      <c r="L916" s="235" t="s">
        <v>209</v>
      </c>
      <c r="M916" s="235" t="s">
        <v>73</v>
      </c>
      <c r="N916" s="235" t="s">
        <v>2627</v>
      </c>
      <c r="O916" s="235" t="s">
        <v>737</v>
      </c>
      <c r="P916" s="236"/>
      <c r="Q916" s="236"/>
      <c r="R916" s="236"/>
      <c r="S916" s="236"/>
      <c r="T916" s="1199"/>
      <c r="U916" s="132">
        <v>0</v>
      </c>
      <c r="V916" s="132"/>
      <c r="W916" s="132">
        <v>0</v>
      </c>
      <c r="X916" s="1138">
        <v>0</v>
      </c>
      <c r="Y916" s="132">
        <v>0</v>
      </c>
      <c r="Z916" s="132">
        <v>0</v>
      </c>
      <c r="AA916" s="1138">
        <v>0</v>
      </c>
      <c r="AB916" s="132">
        <v>0</v>
      </c>
      <c r="AC916" s="132">
        <v>0</v>
      </c>
      <c r="AD916" s="1138">
        <v>0</v>
      </c>
      <c r="AE916" s="132">
        <v>0</v>
      </c>
      <c r="AF916" s="132">
        <v>0</v>
      </c>
      <c r="AG916" s="1138">
        <v>0</v>
      </c>
      <c r="AH916" s="505">
        <f t="shared" si="226"/>
        <v>0</v>
      </c>
      <c r="AI916" s="132"/>
      <c r="AJ916" s="75">
        <f t="shared" si="225"/>
        <v>0</v>
      </c>
      <c r="AK916" s="328"/>
      <c r="AL916" s="328"/>
      <c r="AM916" s="328"/>
      <c r="AN916" s="790"/>
      <c r="AO916" s="221"/>
      <c r="AP916" s="221"/>
      <c r="AQ916" s="221"/>
      <c r="AR916" s="221"/>
      <c r="AS916" s="240"/>
      <c r="AT916" s="221"/>
      <c r="AU916" s="654"/>
      <c r="AV916" s="363"/>
    </row>
    <row r="917" spans="1:49" s="153" customFormat="1" ht="27" customHeight="1" outlineLevel="1" collapsed="1" x14ac:dyDescent="0.25">
      <c r="A917" s="744" t="str">
        <f t="shared" si="215"/>
        <v>1.7.1.5.0.0</v>
      </c>
      <c r="B917" s="82">
        <v>1</v>
      </c>
      <c r="C917" s="82">
        <v>7</v>
      </c>
      <c r="D917" s="82">
        <v>1</v>
      </c>
      <c r="E917" s="82">
        <v>5</v>
      </c>
      <c r="F917" s="82">
        <v>0</v>
      </c>
      <c r="G917" s="82">
        <v>0</v>
      </c>
      <c r="H917" s="749"/>
      <c r="I917" s="749"/>
      <c r="J917" s="1304" t="s">
        <v>687</v>
      </c>
      <c r="K917" s="1303"/>
      <c r="L917" s="82" t="s">
        <v>72</v>
      </c>
      <c r="M917" s="82" t="s">
        <v>977</v>
      </c>
      <c r="N917" s="83" t="s">
        <v>978</v>
      </c>
      <c r="O917" s="82" t="s">
        <v>737</v>
      </c>
      <c r="P917" s="82"/>
      <c r="Q917" s="82"/>
      <c r="R917" s="82"/>
      <c r="S917" s="149"/>
      <c r="T917" s="193"/>
      <c r="U917" s="379">
        <f>+SUM(U918:U920)</f>
        <v>4500000</v>
      </c>
      <c r="V917" s="379"/>
      <c r="W917" s="379">
        <f t="shared" ref="W917:AG917" si="227">+SUM(W918:W920)</f>
        <v>0</v>
      </c>
      <c r="X917" s="1130">
        <f t="shared" si="227"/>
        <v>0</v>
      </c>
      <c r="Y917" s="379">
        <f>+SUM(Y918:Y920)</f>
        <v>4500000</v>
      </c>
      <c r="Z917" s="379">
        <f t="shared" si="227"/>
        <v>0</v>
      </c>
      <c r="AA917" s="1130">
        <f t="shared" si="227"/>
        <v>0</v>
      </c>
      <c r="AB917" s="379">
        <f>+SUM(AB918:AB920)</f>
        <v>2500000</v>
      </c>
      <c r="AC917" s="379">
        <f t="shared" si="227"/>
        <v>0</v>
      </c>
      <c r="AD917" s="1130">
        <f t="shared" si="227"/>
        <v>0</v>
      </c>
      <c r="AE917" s="379">
        <f>+SUM(AE918:AE920)</f>
        <v>2500000</v>
      </c>
      <c r="AF917" s="379">
        <f t="shared" si="227"/>
        <v>0</v>
      </c>
      <c r="AG917" s="1130">
        <f t="shared" si="227"/>
        <v>0</v>
      </c>
      <c r="AH917" s="379">
        <f>+SUM(AH918:AH920)</f>
        <v>14000000</v>
      </c>
      <c r="AI917" s="512">
        <f>+SUM(AI918:AI920)</f>
        <v>0</v>
      </c>
      <c r="AJ917" s="772">
        <f>+SUM(AJ918:AJ920)</f>
        <v>0</v>
      </c>
      <c r="AK917" s="152"/>
      <c r="AL917" s="152"/>
      <c r="AM917" s="152"/>
      <c r="AN917" s="786" t="s">
        <v>39</v>
      </c>
      <c r="AO917" s="82"/>
      <c r="AP917" s="82"/>
      <c r="AQ917" s="365"/>
      <c r="AR917" s="82"/>
      <c r="AS917" s="483"/>
      <c r="AT917" s="82"/>
      <c r="AU917" s="666"/>
      <c r="AV917" s="379">
        <f t="shared" ref="AV917" si="228">+SUM(AV918:AV920)</f>
        <v>0</v>
      </c>
      <c r="AW917" s="444"/>
    </row>
    <row r="918" spans="1:49" ht="33" hidden="1" customHeight="1" outlineLevel="2" x14ac:dyDescent="0.25">
      <c r="A918" s="745" t="str">
        <f t="shared" si="215"/>
        <v>1.7.1.5.1.58-64</v>
      </c>
      <c r="B918" s="64">
        <v>1</v>
      </c>
      <c r="C918" s="64">
        <v>7</v>
      </c>
      <c r="D918" s="64">
        <v>1</v>
      </c>
      <c r="E918" s="64">
        <v>5</v>
      </c>
      <c r="F918" s="64">
        <v>1</v>
      </c>
      <c r="G918" s="64" t="s">
        <v>64</v>
      </c>
      <c r="H918" s="750"/>
      <c r="I918" s="750"/>
      <c r="J918" s="751"/>
      <c r="K918" s="750" t="s">
        <v>869</v>
      </c>
      <c r="L918" s="64" t="s">
        <v>72</v>
      </c>
      <c r="M918" s="64" t="s">
        <v>73</v>
      </c>
      <c r="N918" s="64" t="s">
        <v>74</v>
      </c>
      <c r="O918" s="64" t="s">
        <v>737</v>
      </c>
      <c r="P918" s="64"/>
      <c r="Q918" s="64"/>
      <c r="R918" s="64"/>
      <c r="S918" s="65"/>
      <c r="T918" s="194"/>
      <c r="U918" s="75">
        <v>500000</v>
      </c>
      <c r="V918" s="75"/>
      <c r="W918" s="75">
        <v>0</v>
      </c>
      <c r="X918" s="1122">
        <v>0</v>
      </c>
      <c r="Y918" s="75">
        <v>500000</v>
      </c>
      <c r="Z918" s="75">
        <v>0</v>
      </c>
      <c r="AA918" s="1122">
        <v>0</v>
      </c>
      <c r="AB918" s="75">
        <v>500000</v>
      </c>
      <c r="AC918" s="75">
        <v>0</v>
      </c>
      <c r="AD918" s="1122">
        <v>0</v>
      </c>
      <c r="AE918" s="75">
        <v>500000</v>
      </c>
      <c r="AF918" s="75">
        <v>0</v>
      </c>
      <c r="AG918" s="1122">
        <v>0</v>
      </c>
      <c r="AH918" s="505">
        <f>+U918+Y918+AB918+AE918</f>
        <v>2000000</v>
      </c>
      <c r="AI918" s="132"/>
      <c r="AJ918" s="75">
        <f t="shared" ref="AJ918:AJ920" si="229">+W919+Z919+AC919+AF919</f>
        <v>0</v>
      </c>
      <c r="AK918" s="75"/>
      <c r="AL918" s="75"/>
      <c r="AM918" s="75"/>
      <c r="AN918" s="787"/>
      <c r="AO918" s="995"/>
      <c r="AP918" s="995"/>
      <c r="AQ918" s="996"/>
      <c r="AR918" s="104"/>
      <c r="AS918" s="997"/>
      <c r="AT918" s="998"/>
      <c r="AU918" s="981"/>
      <c r="AV918" s="259"/>
      <c r="AW918" s="335" t="s">
        <v>2861</v>
      </c>
    </row>
    <row r="919" spans="1:49" s="212" customFormat="1" ht="26.25" hidden="1" customHeight="1" outlineLevel="2" x14ac:dyDescent="0.25">
      <c r="A919" s="746" t="str">
        <f t="shared" si="215"/>
        <v>1.7.1.5.2.58-64</v>
      </c>
      <c r="B919" s="136">
        <v>1</v>
      </c>
      <c r="C919" s="136">
        <v>7</v>
      </c>
      <c r="D919" s="136">
        <v>1</v>
      </c>
      <c r="E919" s="136">
        <v>5</v>
      </c>
      <c r="F919" s="136">
        <v>2</v>
      </c>
      <c r="G919" s="136" t="s">
        <v>64</v>
      </c>
      <c r="H919" s="753"/>
      <c r="I919" s="753"/>
      <c r="J919" s="753"/>
      <c r="K919" s="753" t="s">
        <v>628</v>
      </c>
      <c r="L919" s="136" t="s">
        <v>72</v>
      </c>
      <c r="M919" s="64" t="s">
        <v>73</v>
      </c>
      <c r="N919" s="64" t="s">
        <v>834</v>
      </c>
      <c r="O919" s="64" t="s">
        <v>737</v>
      </c>
      <c r="P919" s="64"/>
      <c r="Q919" s="64"/>
      <c r="R919" s="136"/>
      <c r="S919" s="65"/>
      <c r="T919" s="194"/>
      <c r="U919" s="75">
        <v>4000000</v>
      </c>
      <c r="V919" s="75"/>
      <c r="W919" s="75">
        <v>0</v>
      </c>
      <c r="X919" s="1122">
        <v>0</v>
      </c>
      <c r="Y919" s="75">
        <v>4000000</v>
      </c>
      <c r="Z919" s="75">
        <v>0</v>
      </c>
      <c r="AA919" s="1122">
        <v>0</v>
      </c>
      <c r="AB919" s="75">
        <v>2000000</v>
      </c>
      <c r="AC919" s="75">
        <v>0</v>
      </c>
      <c r="AD919" s="1122">
        <v>0</v>
      </c>
      <c r="AE919" s="75">
        <v>2000000</v>
      </c>
      <c r="AF919" s="75">
        <v>0</v>
      </c>
      <c r="AG919" s="1122">
        <v>0</v>
      </c>
      <c r="AH919" s="505">
        <f t="shared" ref="AH919:AH920" si="230">+U919+Y919+AB919+AE919</f>
        <v>12000000</v>
      </c>
      <c r="AI919" s="132"/>
      <c r="AJ919" s="75">
        <f t="shared" si="229"/>
        <v>0</v>
      </c>
      <c r="AK919" s="132"/>
      <c r="AL919" s="132"/>
      <c r="AM919" s="132"/>
      <c r="AN919" s="789"/>
      <c r="AO919" s="631"/>
      <c r="AP919" s="631"/>
      <c r="AQ919" s="631"/>
      <c r="AR919" s="631"/>
      <c r="AS919" s="631"/>
      <c r="AT919" s="631"/>
      <c r="AU919" s="983"/>
      <c r="AV919" s="259"/>
      <c r="AW919" s="448" t="s">
        <v>2862</v>
      </c>
    </row>
    <row r="920" spans="1:49" ht="21.75" hidden="1" customHeight="1" outlineLevel="2" x14ac:dyDescent="0.25">
      <c r="A920" s="745" t="str">
        <f t="shared" si="215"/>
        <v>1.7.1.5.3.58-64</v>
      </c>
      <c r="B920" s="64">
        <v>1</v>
      </c>
      <c r="C920" s="64">
        <v>7</v>
      </c>
      <c r="D920" s="64">
        <v>1</v>
      </c>
      <c r="E920" s="64">
        <v>5</v>
      </c>
      <c r="F920" s="64">
        <v>3</v>
      </c>
      <c r="G920" s="64" t="s">
        <v>64</v>
      </c>
      <c r="H920" s="750"/>
      <c r="I920" s="750"/>
      <c r="J920" s="751"/>
      <c r="K920" s="750" t="s">
        <v>980</v>
      </c>
      <c r="L920" s="64" t="s">
        <v>72</v>
      </c>
      <c r="M920" s="64" t="s">
        <v>73</v>
      </c>
      <c r="N920" s="64" t="s">
        <v>74</v>
      </c>
      <c r="O920" s="64" t="s">
        <v>737</v>
      </c>
      <c r="P920" s="64"/>
      <c r="Q920" s="64"/>
      <c r="R920" s="64"/>
      <c r="S920" s="65"/>
      <c r="T920" s="194"/>
      <c r="U920" s="75">
        <v>0</v>
      </c>
      <c r="V920" s="75"/>
      <c r="W920" s="75">
        <v>0</v>
      </c>
      <c r="X920" s="1122">
        <v>0</v>
      </c>
      <c r="Y920" s="75">
        <v>0</v>
      </c>
      <c r="Z920" s="75">
        <v>0</v>
      </c>
      <c r="AA920" s="1122">
        <v>0</v>
      </c>
      <c r="AB920" s="75">
        <v>0</v>
      </c>
      <c r="AC920" s="75">
        <v>0</v>
      </c>
      <c r="AD920" s="1122">
        <v>0</v>
      </c>
      <c r="AE920" s="75">
        <v>0</v>
      </c>
      <c r="AF920" s="75">
        <v>0</v>
      </c>
      <c r="AG920" s="1122">
        <v>0</v>
      </c>
      <c r="AH920" s="505">
        <f t="shared" si="230"/>
        <v>0</v>
      </c>
      <c r="AI920" s="132"/>
      <c r="AJ920" s="75">
        <f t="shared" si="229"/>
        <v>0</v>
      </c>
      <c r="AK920" s="75"/>
      <c r="AL920" s="75"/>
      <c r="AM920" s="75"/>
      <c r="AN920" s="787"/>
      <c r="AO920" s="64"/>
      <c r="AP920" s="64"/>
      <c r="AQ920" s="189"/>
      <c r="AR920" s="64"/>
      <c r="AS920" s="476"/>
      <c r="AT920" s="64"/>
      <c r="AU920" s="646"/>
      <c r="AV920" s="259"/>
      <c r="AW920" s="185"/>
    </row>
    <row r="921" spans="1:49" s="153" customFormat="1" ht="33.75" customHeight="1" outlineLevel="1" x14ac:dyDescent="0.25">
      <c r="A921" s="108" t="str">
        <f t="shared" si="215"/>
        <v>1.8.1.0.0.0</v>
      </c>
      <c r="B921" s="109">
        <v>1</v>
      </c>
      <c r="C921" s="109">
        <v>8</v>
      </c>
      <c r="D921" s="109">
        <v>1</v>
      </c>
      <c r="E921" s="109">
        <v>0</v>
      </c>
      <c r="F921" s="109">
        <v>0</v>
      </c>
      <c r="G921" s="109">
        <v>0</v>
      </c>
      <c r="H921" s="110"/>
      <c r="I921" s="1258" t="s">
        <v>981</v>
      </c>
      <c r="J921" s="1259"/>
      <c r="K921" s="1259"/>
      <c r="L921" s="109" t="s">
        <v>982</v>
      </c>
      <c r="M921" s="113" t="s">
        <v>983</v>
      </c>
      <c r="N921" s="109" t="s">
        <v>226</v>
      </c>
      <c r="O921" s="109" t="s">
        <v>984</v>
      </c>
      <c r="P921" s="109"/>
      <c r="Q921" s="109"/>
      <c r="R921" s="109"/>
      <c r="S921" s="110"/>
      <c r="T921" s="1183"/>
      <c r="U921" s="374">
        <f t="shared" ref="U921:AH921" si="231">+U922+U931+U954</f>
        <v>266133.33</v>
      </c>
      <c r="V921" s="1231">
        <f>+U921/56</f>
        <v>4752.3808928571434</v>
      </c>
      <c r="W921" s="374">
        <f t="shared" si="231"/>
        <v>0</v>
      </c>
      <c r="X921" s="1144">
        <f t="shared" si="231"/>
        <v>0</v>
      </c>
      <c r="Y921" s="374">
        <f t="shared" si="231"/>
        <v>1581133.33</v>
      </c>
      <c r="Z921" s="374">
        <f t="shared" si="231"/>
        <v>0</v>
      </c>
      <c r="AA921" s="1144">
        <f t="shared" si="231"/>
        <v>0</v>
      </c>
      <c r="AB921" s="374">
        <f t="shared" si="231"/>
        <v>376033.32</v>
      </c>
      <c r="AC921" s="374">
        <f t="shared" si="231"/>
        <v>0</v>
      </c>
      <c r="AD921" s="1144">
        <f t="shared" si="231"/>
        <v>0</v>
      </c>
      <c r="AE921" s="374">
        <f t="shared" si="231"/>
        <v>376033.32</v>
      </c>
      <c r="AF921" s="374">
        <f t="shared" si="231"/>
        <v>0</v>
      </c>
      <c r="AG921" s="1144">
        <f t="shared" si="231"/>
        <v>0</v>
      </c>
      <c r="AH921" s="374">
        <f>+AH922+AH931+AH954</f>
        <v>2599333.2999999998</v>
      </c>
      <c r="AI921" s="514">
        <f>+AI922+AI931+AI954</f>
        <v>0</v>
      </c>
      <c r="AJ921" s="514">
        <f>+AJ922+AJ931+AJ954</f>
        <v>0</v>
      </c>
      <c r="AK921" s="112"/>
      <c r="AL921" s="112"/>
      <c r="AM921" s="112"/>
      <c r="AN921" s="109" t="s">
        <v>39</v>
      </c>
      <c r="AO921" s="109"/>
      <c r="AP921" s="109"/>
      <c r="AQ921" s="411"/>
      <c r="AR921" s="109"/>
      <c r="AS921" s="473"/>
      <c r="AT921" s="109"/>
      <c r="AU921" s="659"/>
      <c r="AV921" s="374">
        <f t="shared" ref="AV921" si="232">+AV922+AV931+AV954</f>
        <v>0</v>
      </c>
      <c r="AW921" s="445"/>
    </row>
    <row r="922" spans="1:49" s="153" customFormat="1" ht="24.75" customHeight="1" outlineLevel="1" collapsed="1" x14ac:dyDescent="0.25">
      <c r="A922" s="148" t="str">
        <f t="shared" si="215"/>
        <v>1.8.1.1.0.0</v>
      </c>
      <c r="B922" s="82">
        <v>1</v>
      </c>
      <c r="C922" s="82">
        <v>8</v>
      </c>
      <c r="D922" s="82">
        <v>1</v>
      </c>
      <c r="E922" s="82">
        <v>1</v>
      </c>
      <c r="F922" s="82">
        <v>0</v>
      </c>
      <c r="G922" s="82">
        <v>0</v>
      </c>
      <c r="H922" s="149"/>
      <c r="I922" s="149"/>
      <c r="J922" s="1260" t="s">
        <v>985</v>
      </c>
      <c r="K922" s="1259"/>
      <c r="L922" s="82" t="s">
        <v>986</v>
      </c>
      <c r="M922" s="83" t="s">
        <v>987</v>
      </c>
      <c r="N922" s="82" t="s">
        <v>988</v>
      </c>
      <c r="O922" s="82" t="s">
        <v>359</v>
      </c>
      <c r="P922" s="82"/>
      <c r="Q922" s="82"/>
      <c r="R922" s="82"/>
      <c r="S922" s="149"/>
      <c r="T922" s="193"/>
      <c r="U922" s="379">
        <f>SUM(U923:U930)</f>
        <v>0</v>
      </c>
      <c r="V922" s="379"/>
      <c r="W922" s="379">
        <f t="shared" ref="W922:AH922" si="233">SUM(W923:W930)</f>
        <v>0</v>
      </c>
      <c r="X922" s="1130">
        <f t="shared" si="233"/>
        <v>0</v>
      </c>
      <c r="Y922" s="379">
        <f t="shared" si="233"/>
        <v>0</v>
      </c>
      <c r="Z922" s="379">
        <f t="shared" si="233"/>
        <v>0</v>
      </c>
      <c r="AA922" s="1130">
        <f t="shared" si="233"/>
        <v>0</v>
      </c>
      <c r="AB922" s="379">
        <f t="shared" si="233"/>
        <v>0</v>
      </c>
      <c r="AC922" s="379">
        <f t="shared" si="233"/>
        <v>0</v>
      </c>
      <c r="AD922" s="1130">
        <f t="shared" si="233"/>
        <v>0</v>
      </c>
      <c r="AE922" s="379">
        <f t="shared" si="233"/>
        <v>0</v>
      </c>
      <c r="AF922" s="379">
        <f t="shared" si="233"/>
        <v>0</v>
      </c>
      <c r="AG922" s="1130">
        <f t="shared" si="233"/>
        <v>0</v>
      </c>
      <c r="AH922" s="379">
        <f t="shared" si="233"/>
        <v>0</v>
      </c>
      <c r="AI922" s="512">
        <f>SUM(AI923:AI930)</f>
        <v>0</v>
      </c>
      <c r="AJ922" s="512">
        <f>SUM(AJ923:AJ930)</f>
        <v>0</v>
      </c>
      <c r="AK922" s="152"/>
      <c r="AL922" s="152"/>
      <c r="AM922" s="152"/>
      <c r="AN922" s="82" t="s">
        <v>39</v>
      </c>
      <c r="AO922" s="82"/>
      <c r="AP922" s="82"/>
      <c r="AQ922" s="365"/>
      <c r="AR922" s="82"/>
      <c r="AS922" s="483"/>
      <c r="AT922" s="82"/>
      <c r="AU922" s="666"/>
      <c r="AV922" s="379">
        <f t="shared" ref="AV922" si="234">SUM(AV923:AV930)</f>
        <v>0</v>
      </c>
      <c r="AW922" s="444"/>
    </row>
    <row r="923" spans="1:49" ht="40.5" hidden="1" customHeight="1" outlineLevel="3" x14ac:dyDescent="0.25">
      <c r="A923" s="63" t="str">
        <f t="shared" si="215"/>
        <v>1.8.1.1.1.58-64</v>
      </c>
      <c r="B923" s="64">
        <v>1</v>
      </c>
      <c r="C923" s="64">
        <v>8</v>
      </c>
      <c r="D923" s="64">
        <v>1</v>
      </c>
      <c r="E923" s="64">
        <v>1</v>
      </c>
      <c r="F923" s="64">
        <v>1</v>
      </c>
      <c r="G923" s="64" t="s">
        <v>64</v>
      </c>
      <c r="H923" s="65"/>
      <c r="I923" s="65"/>
      <c r="J923" s="66"/>
      <c r="K923" s="67" t="s">
        <v>989</v>
      </c>
      <c r="L923" s="64" t="s">
        <v>986</v>
      </c>
      <c r="M923" s="64" t="s">
        <v>990</v>
      </c>
      <c r="N923" s="64" t="s">
        <v>988</v>
      </c>
      <c r="O923" s="64" t="s">
        <v>359</v>
      </c>
      <c r="P923" s="69">
        <v>44927</v>
      </c>
      <c r="Q923" s="69">
        <v>45015</v>
      </c>
      <c r="R923" s="64">
        <v>7</v>
      </c>
      <c r="S923" s="65"/>
      <c r="T923" s="194"/>
      <c r="U923" s="75">
        <v>0</v>
      </c>
      <c r="V923" s="75"/>
      <c r="W923" s="75">
        <v>0</v>
      </c>
      <c r="X923" s="1122">
        <v>0</v>
      </c>
      <c r="Y923" s="75">
        <v>0</v>
      </c>
      <c r="Z923" s="75">
        <v>0</v>
      </c>
      <c r="AA923" s="1122">
        <v>0</v>
      </c>
      <c r="AB923" s="75">
        <v>0</v>
      </c>
      <c r="AC923" s="75">
        <v>0</v>
      </c>
      <c r="AD923" s="1122">
        <v>0</v>
      </c>
      <c r="AE923" s="75">
        <v>0</v>
      </c>
      <c r="AF923" s="75">
        <v>0</v>
      </c>
      <c r="AG923" s="1122">
        <v>0</v>
      </c>
      <c r="AH923" s="505">
        <f>+U923+Y923+AB923+AE923</f>
        <v>0</v>
      </c>
      <c r="AI923" s="132"/>
      <c r="AJ923" s="75">
        <f t="shared" ref="AJ923:AJ930" si="235">+W924+Z924+AC924+AF924</f>
        <v>0</v>
      </c>
      <c r="AK923" s="154"/>
      <c r="AL923" s="154"/>
      <c r="AM923" s="154"/>
      <c r="AN923" s="64" t="s">
        <v>39</v>
      </c>
      <c r="AO923" s="64"/>
      <c r="AP923" s="64"/>
      <c r="AQ923" s="189"/>
      <c r="AR923" s="64"/>
      <c r="AS923" s="476"/>
      <c r="AT923" s="64"/>
      <c r="AU923" s="646"/>
      <c r="AV923" s="259"/>
      <c r="AW923" s="185"/>
    </row>
    <row r="924" spans="1:49" ht="39" hidden="1" customHeight="1" outlineLevel="3" x14ac:dyDescent="0.25">
      <c r="A924" s="63" t="str">
        <f t="shared" si="215"/>
        <v>1.8.1.1.2.58</v>
      </c>
      <c r="B924" s="64">
        <v>1</v>
      </c>
      <c r="C924" s="64">
        <v>8</v>
      </c>
      <c r="D924" s="64">
        <v>1</v>
      </c>
      <c r="E924" s="64">
        <v>1</v>
      </c>
      <c r="F924" s="64">
        <v>2</v>
      </c>
      <c r="G924" s="64">
        <v>58</v>
      </c>
      <c r="H924" s="65"/>
      <c r="I924" s="65"/>
      <c r="J924" s="65"/>
      <c r="K924" s="67" t="s">
        <v>991</v>
      </c>
      <c r="L924" s="64" t="s">
        <v>986</v>
      </c>
      <c r="M924" s="64" t="s">
        <v>992</v>
      </c>
      <c r="N924" s="64" t="s">
        <v>993</v>
      </c>
      <c r="O924" s="64" t="s">
        <v>994</v>
      </c>
      <c r="P924" s="69">
        <v>44927</v>
      </c>
      <c r="Q924" s="69">
        <v>45015</v>
      </c>
      <c r="R924" s="64"/>
      <c r="S924" s="65"/>
      <c r="T924" s="194"/>
      <c r="U924" s="75">
        <v>0</v>
      </c>
      <c r="V924" s="75"/>
      <c r="W924" s="75">
        <v>0</v>
      </c>
      <c r="X924" s="1122">
        <v>0</v>
      </c>
      <c r="Y924" s="75">
        <v>0</v>
      </c>
      <c r="Z924" s="75">
        <v>0</v>
      </c>
      <c r="AA924" s="1122">
        <v>0</v>
      </c>
      <c r="AB924" s="75">
        <v>0</v>
      </c>
      <c r="AC924" s="75">
        <v>0</v>
      </c>
      <c r="AD924" s="1122">
        <v>0</v>
      </c>
      <c r="AE924" s="75">
        <v>0</v>
      </c>
      <c r="AF924" s="75">
        <v>0</v>
      </c>
      <c r="AG924" s="1122">
        <v>0</v>
      </c>
      <c r="AH924" s="505">
        <f t="shared" ref="AH924:AH930" si="236">+U924+Y924+AB924+AE924</f>
        <v>0</v>
      </c>
      <c r="AI924" s="132"/>
      <c r="AJ924" s="75">
        <f t="shared" si="235"/>
        <v>0</v>
      </c>
      <c r="AK924" s="154"/>
      <c r="AL924" s="154"/>
      <c r="AM924" s="154"/>
      <c r="AN924" s="64" t="s">
        <v>39</v>
      </c>
      <c r="AO924" s="64"/>
      <c r="AP924" s="64"/>
      <c r="AQ924" s="189"/>
      <c r="AR924" s="64"/>
      <c r="AS924" s="476"/>
      <c r="AT924" s="64"/>
      <c r="AU924" s="646"/>
      <c r="AV924" s="259"/>
      <c r="AW924" s="185"/>
    </row>
    <row r="925" spans="1:49" ht="39" hidden="1" customHeight="1" outlineLevel="3" x14ac:dyDescent="0.25">
      <c r="A925" s="63" t="str">
        <f t="shared" si="215"/>
        <v>1.8.1.1.2.59</v>
      </c>
      <c r="B925" s="64">
        <v>1</v>
      </c>
      <c r="C925" s="64">
        <v>8</v>
      </c>
      <c r="D925" s="64">
        <v>1</v>
      </c>
      <c r="E925" s="64">
        <v>1</v>
      </c>
      <c r="F925" s="64">
        <v>2</v>
      </c>
      <c r="G925" s="64">
        <v>59</v>
      </c>
      <c r="H925" s="65"/>
      <c r="I925" s="65"/>
      <c r="J925" s="65"/>
      <c r="K925" s="67" t="s">
        <v>995</v>
      </c>
      <c r="L925" s="64" t="s">
        <v>986</v>
      </c>
      <c r="M925" s="64" t="s">
        <v>992</v>
      </c>
      <c r="N925" s="64" t="s">
        <v>993</v>
      </c>
      <c r="O925" s="64" t="s">
        <v>994</v>
      </c>
      <c r="P925" s="69"/>
      <c r="Q925" s="69"/>
      <c r="R925" s="64"/>
      <c r="S925" s="65"/>
      <c r="T925" s="194"/>
      <c r="U925" s="75">
        <v>0</v>
      </c>
      <c r="V925" s="75"/>
      <c r="W925" s="75">
        <v>0</v>
      </c>
      <c r="X925" s="1122">
        <v>0</v>
      </c>
      <c r="Y925" s="75">
        <v>0</v>
      </c>
      <c r="Z925" s="75">
        <v>0</v>
      </c>
      <c r="AA925" s="1122">
        <v>0</v>
      </c>
      <c r="AB925" s="75">
        <v>0</v>
      </c>
      <c r="AC925" s="75">
        <v>0</v>
      </c>
      <c r="AD925" s="1122">
        <v>0</v>
      </c>
      <c r="AE925" s="75">
        <v>0</v>
      </c>
      <c r="AF925" s="75">
        <v>0</v>
      </c>
      <c r="AG925" s="1122">
        <v>0</v>
      </c>
      <c r="AH925" s="505">
        <f t="shared" si="236"/>
        <v>0</v>
      </c>
      <c r="AI925" s="132"/>
      <c r="AJ925" s="75">
        <f t="shared" si="235"/>
        <v>0</v>
      </c>
      <c r="AK925" s="154"/>
      <c r="AL925" s="154"/>
      <c r="AM925" s="154"/>
      <c r="AN925" s="64" t="s">
        <v>39</v>
      </c>
      <c r="AO925" s="64"/>
      <c r="AP925" s="64"/>
      <c r="AQ925" s="189"/>
      <c r="AR925" s="64"/>
      <c r="AS925" s="476"/>
      <c r="AT925" s="64"/>
      <c r="AU925" s="646"/>
      <c r="AV925" s="259"/>
      <c r="AW925" s="185"/>
    </row>
    <row r="926" spans="1:49" ht="39" hidden="1" customHeight="1" outlineLevel="3" x14ac:dyDescent="0.25">
      <c r="A926" s="63" t="str">
        <f t="shared" si="215"/>
        <v>1.8.1.1.2.60</v>
      </c>
      <c r="B926" s="64">
        <v>1</v>
      </c>
      <c r="C926" s="64">
        <v>8</v>
      </c>
      <c r="D926" s="64">
        <v>1</v>
      </c>
      <c r="E926" s="64">
        <v>1</v>
      </c>
      <c r="F926" s="64">
        <v>2</v>
      </c>
      <c r="G926" s="64">
        <v>60</v>
      </c>
      <c r="H926" s="65"/>
      <c r="I926" s="65"/>
      <c r="J926" s="65"/>
      <c r="K926" s="67" t="s">
        <v>996</v>
      </c>
      <c r="L926" s="64" t="s">
        <v>986</v>
      </c>
      <c r="M926" s="64" t="s">
        <v>992</v>
      </c>
      <c r="N926" s="64" t="s">
        <v>993</v>
      </c>
      <c r="O926" s="64" t="s">
        <v>994</v>
      </c>
      <c r="P926" s="69"/>
      <c r="Q926" s="69"/>
      <c r="R926" s="64"/>
      <c r="S926" s="65"/>
      <c r="T926" s="194"/>
      <c r="U926" s="75">
        <v>0</v>
      </c>
      <c r="V926" s="75"/>
      <c r="W926" s="75">
        <v>0</v>
      </c>
      <c r="X926" s="1122">
        <v>0</v>
      </c>
      <c r="Y926" s="75">
        <v>0</v>
      </c>
      <c r="Z926" s="75">
        <v>0</v>
      </c>
      <c r="AA926" s="1122">
        <v>0</v>
      </c>
      <c r="AB926" s="75">
        <v>0</v>
      </c>
      <c r="AC926" s="75">
        <v>0</v>
      </c>
      <c r="AD926" s="1122">
        <v>0</v>
      </c>
      <c r="AE926" s="75">
        <v>0</v>
      </c>
      <c r="AF926" s="75">
        <v>0</v>
      </c>
      <c r="AG926" s="1122">
        <v>0</v>
      </c>
      <c r="AH926" s="505">
        <f t="shared" si="236"/>
        <v>0</v>
      </c>
      <c r="AI926" s="132"/>
      <c r="AJ926" s="75">
        <f t="shared" si="235"/>
        <v>0</v>
      </c>
      <c r="AK926" s="154"/>
      <c r="AL926" s="154"/>
      <c r="AM926" s="154"/>
      <c r="AN926" s="64" t="s">
        <v>39</v>
      </c>
      <c r="AO926" s="64"/>
      <c r="AP926" s="64"/>
      <c r="AQ926" s="189"/>
      <c r="AR926" s="64"/>
      <c r="AS926" s="476"/>
      <c r="AT926" s="64"/>
      <c r="AU926" s="646"/>
      <c r="AV926" s="259"/>
      <c r="AW926" s="185"/>
    </row>
    <row r="927" spans="1:49" ht="39" hidden="1" customHeight="1" outlineLevel="3" x14ac:dyDescent="0.25">
      <c r="A927" s="63" t="str">
        <f t="shared" si="215"/>
        <v>1.8.1.1.2.61</v>
      </c>
      <c r="B927" s="64">
        <v>1</v>
      </c>
      <c r="C927" s="64">
        <v>8</v>
      </c>
      <c r="D927" s="64">
        <v>1</v>
      </c>
      <c r="E927" s="64">
        <v>1</v>
      </c>
      <c r="F927" s="64">
        <v>2</v>
      </c>
      <c r="G927" s="64">
        <v>61</v>
      </c>
      <c r="H927" s="65"/>
      <c r="I927" s="65"/>
      <c r="J927" s="65"/>
      <c r="K927" s="67" t="s">
        <v>997</v>
      </c>
      <c r="L927" s="64" t="s">
        <v>986</v>
      </c>
      <c r="M927" s="64" t="s">
        <v>992</v>
      </c>
      <c r="N927" s="64" t="s">
        <v>993</v>
      </c>
      <c r="O927" s="64" t="s">
        <v>994</v>
      </c>
      <c r="P927" s="69"/>
      <c r="Q927" s="69"/>
      <c r="R927" s="64"/>
      <c r="S927" s="65"/>
      <c r="T927" s="194"/>
      <c r="U927" s="75">
        <v>0</v>
      </c>
      <c r="V927" s="75"/>
      <c r="W927" s="75">
        <v>0</v>
      </c>
      <c r="X927" s="1122">
        <v>0</v>
      </c>
      <c r="Y927" s="75">
        <v>0</v>
      </c>
      <c r="Z927" s="75">
        <v>0</v>
      </c>
      <c r="AA927" s="1122">
        <v>0</v>
      </c>
      <c r="AB927" s="75">
        <v>0</v>
      </c>
      <c r="AC927" s="75">
        <v>0</v>
      </c>
      <c r="AD927" s="1122">
        <v>0</v>
      </c>
      <c r="AE927" s="75">
        <v>0</v>
      </c>
      <c r="AF927" s="75">
        <v>0</v>
      </c>
      <c r="AG927" s="1122">
        <v>0</v>
      </c>
      <c r="AH927" s="505">
        <f t="shared" si="236"/>
        <v>0</v>
      </c>
      <c r="AI927" s="132"/>
      <c r="AJ927" s="75">
        <f t="shared" si="235"/>
        <v>0</v>
      </c>
      <c r="AK927" s="154"/>
      <c r="AL927" s="154"/>
      <c r="AM927" s="154"/>
      <c r="AN927" s="64" t="s">
        <v>39</v>
      </c>
      <c r="AO927" s="64"/>
      <c r="AP927" s="64"/>
      <c r="AQ927" s="189"/>
      <c r="AR927" s="64"/>
      <c r="AS927" s="476"/>
      <c r="AT927" s="64"/>
      <c r="AU927" s="646"/>
      <c r="AV927" s="259"/>
      <c r="AW927" s="185"/>
    </row>
    <row r="928" spans="1:49" ht="39" hidden="1" customHeight="1" outlineLevel="3" x14ac:dyDescent="0.25">
      <c r="A928" s="63" t="str">
        <f t="shared" si="215"/>
        <v>1.8.1.1.2.62</v>
      </c>
      <c r="B928" s="64">
        <v>1</v>
      </c>
      <c r="C928" s="64">
        <v>8</v>
      </c>
      <c r="D928" s="64">
        <v>1</v>
      </c>
      <c r="E928" s="64">
        <v>1</v>
      </c>
      <c r="F928" s="64">
        <v>2</v>
      </c>
      <c r="G928" s="64">
        <v>62</v>
      </c>
      <c r="H928" s="65"/>
      <c r="I928" s="65"/>
      <c r="J928" s="65"/>
      <c r="K928" s="67" t="s">
        <v>998</v>
      </c>
      <c r="L928" s="64" t="s">
        <v>986</v>
      </c>
      <c r="M928" s="64" t="s">
        <v>992</v>
      </c>
      <c r="N928" s="64" t="s">
        <v>993</v>
      </c>
      <c r="O928" s="64" t="s">
        <v>994</v>
      </c>
      <c r="P928" s="69"/>
      <c r="Q928" s="69"/>
      <c r="R928" s="64"/>
      <c r="S928" s="65"/>
      <c r="T928" s="194"/>
      <c r="U928" s="75">
        <v>0</v>
      </c>
      <c r="V928" s="75"/>
      <c r="W928" s="75">
        <v>0</v>
      </c>
      <c r="X928" s="1122">
        <v>0</v>
      </c>
      <c r="Y928" s="75">
        <v>0</v>
      </c>
      <c r="Z928" s="75">
        <v>0</v>
      </c>
      <c r="AA928" s="1122">
        <v>0</v>
      </c>
      <c r="AB928" s="75">
        <v>0</v>
      </c>
      <c r="AC928" s="75">
        <v>0</v>
      </c>
      <c r="AD928" s="1122">
        <v>0</v>
      </c>
      <c r="AE928" s="75">
        <v>0</v>
      </c>
      <c r="AF928" s="75">
        <v>0</v>
      </c>
      <c r="AG928" s="1122">
        <v>0</v>
      </c>
      <c r="AH928" s="505">
        <f t="shared" si="236"/>
        <v>0</v>
      </c>
      <c r="AI928" s="132"/>
      <c r="AJ928" s="75">
        <f t="shared" si="235"/>
        <v>0</v>
      </c>
      <c r="AK928" s="154"/>
      <c r="AL928" s="154"/>
      <c r="AM928" s="154"/>
      <c r="AN928" s="64" t="s">
        <v>39</v>
      </c>
      <c r="AO928" s="64"/>
      <c r="AP928" s="64"/>
      <c r="AQ928" s="189"/>
      <c r="AR928" s="64"/>
      <c r="AS928" s="476"/>
      <c r="AT928" s="64"/>
      <c r="AU928" s="646"/>
      <c r="AV928" s="259"/>
      <c r="AW928" s="185"/>
    </row>
    <row r="929" spans="1:49" ht="39" hidden="1" customHeight="1" outlineLevel="3" x14ac:dyDescent="0.25">
      <c r="A929" s="63" t="str">
        <f t="shared" si="215"/>
        <v>1.8.1.1.2.63</v>
      </c>
      <c r="B929" s="64">
        <v>1</v>
      </c>
      <c r="C929" s="64">
        <v>8</v>
      </c>
      <c r="D929" s="64">
        <v>1</v>
      </c>
      <c r="E929" s="64">
        <v>1</v>
      </c>
      <c r="F929" s="64">
        <v>2</v>
      </c>
      <c r="G929" s="64">
        <v>63</v>
      </c>
      <c r="H929" s="65"/>
      <c r="I929" s="65"/>
      <c r="J929" s="65"/>
      <c r="K929" s="67" t="s">
        <v>1767</v>
      </c>
      <c r="L929" s="64" t="s">
        <v>986</v>
      </c>
      <c r="M929" s="64" t="s">
        <v>992</v>
      </c>
      <c r="N929" s="64" t="s">
        <v>993</v>
      </c>
      <c r="O929" s="64" t="s">
        <v>994</v>
      </c>
      <c r="P929" s="69"/>
      <c r="Q929" s="69"/>
      <c r="R929" s="64"/>
      <c r="S929" s="65"/>
      <c r="T929" s="194"/>
      <c r="U929" s="75">
        <v>0</v>
      </c>
      <c r="V929" s="75"/>
      <c r="W929" s="75">
        <v>0</v>
      </c>
      <c r="X929" s="1122">
        <v>0</v>
      </c>
      <c r="Y929" s="75">
        <v>0</v>
      </c>
      <c r="Z929" s="75">
        <v>0</v>
      </c>
      <c r="AA929" s="1122">
        <v>0</v>
      </c>
      <c r="AB929" s="75">
        <v>0</v>
      </c>
      <c r="AC929" s="75">
        <v>0</v>
      </c>
      <c r="AD929" s="1122">
        <v>0</v>
      </c>
      <c r="AE929" s="75">
        <v>0</v>
      </c>
      <c r="AF929" s="75">
        <v>0</v>
      </c>
      <c r="AG929" s="1122">
        <v>0</v>
      </c>
      <c r="AH929" s="505">
        <f t="shared" si="236"/>
        <v>0</v>
      </c>
      <c r="AI929" s="132"/>
      <c r="AJ929" s="75">
        <f t="shared" si="235"/>
        <v>0</v>
      </c>
      <c r="AK929" s="154"/>
      <c r="AL929" s="154"/>
      <c r="AM929" s="154"/>
      <c r="AN929" s="64" t="s">
        <v>39</v>
      </c>
      <c r="AO929" s="64"/>
      <c r="AP929" s="64"/>
      <c r="AQ929" s="189"/>
      <c r="AR929" s="64"/>
      <c r="AS929" s="476"/>
      <c r="AT929" s="64"/>
      <c r="AU929" s="646"/>
      <c r="AV929" s="259"/>
      <c r="AW929" s="185"/>
    </row>
    <row r="930" spans="1:49" ht="39" hidden="1" customHeight="1" outlineLevel="3" x14ac:dyDescent="0.25">
      <c r="A930" s="63" t="str">
        <f t="shared" si="215"/>
        <v>1.8.1.1.2.64</v>
      </c>
      <c r="B930" s="64">
        <v>1</v>
      </c>
      <c r="C930" s="64">
        <v>8</v>
      </c>
      <c r="D930" s="64">
        <v>1</v>
      </c>
      <c r="E930" s="64">
        <v>1</v>
      </c>
      <c r="F930" s="64">
        <v>2</v>
      </c>
      <c r="G930" s="64">
        <v>64</v>
      </c>
      <c r="H930" s="65"/>
      <c r="I930" s="65"/>
      <c r="J930" s="65"/>
      <c r="K930" s="67" t="s">
        <v>999</v>
      </c>
      <c r="L930" s="64" t="s">
        <v>986</v>
      </c>
      <c r="M930" s="64" t="s">
        <v>992</v>
      </c>
      <c r="N930" s="64" t="s">
        <v>993</v>
      </c>
      <c r="O930" s="64" t="s">
        <v>994</v>
      </c>
      <c r="P930" s="69"/>
      <c r="Q930" s="69"/>
      <c r="R930" s="64"/>
      <c r="S930" s="65"/>
      <c r="T930" s="194"/>
      <c r="U930" s="75">
        <v>0</v>
      </c>
      <c r="V930" s="75"/>
      <c r="W930" s="75">
        <v>0</v>
      </c>
      <c r="X930" s="1122">
        <v>0</v>
      </c>
      <c r="Y930" s="75">
        <v>0</v>
      </c>
      <c r="Z930" s="75">
        <v>0</v>
      </c>
      <c r="AA930" s="1122">
        <v>0</v>
      </c>
      <c r="AB930" s="75">
        <v>0</v>
      </c>
      <c r="AC930" s="75">
        <v>0</v>
      </c>
      <c r="AD930" s="1122">
        <v>0</v>
      </c>
      <c r="AE930" s="75">
        <v>0</v>
      </c>
      <c r="AF930" s="75">
        <v>0</v>
      </c>
      <c r="AG930" s="1122">
        <v>0</v>
      </c>
      <c r="AH930" s="505">
        <f t="shared" si="236"/>
        <v>0</v>
      </c>
      <c r="AI930" s="132"/>
      <c r="AJ930" s="75">
        <f t="shared" si="235"/>
        <v>0</v>
      </c>
      <c r="AK930" s="154"/>
      <c r="AL930" s="154"/>
      <c r="AM930" s="154"/>
      <c r="AN930" s="64" t="s">
        <v>39</v>
      </c>
      <c r="AO930" s="64"/>
      <c r="AP930" s="64"/>
      <c r="AQ930" s="189"/>
      <c r="AR930" s="64"/>
      <c r="AS930" s="476"/>
      <c r="AT930" s="64"/>
      <c r="AU930" s="646"/>
      <c r="AV930" s="259"/>
      <c r="AW930" s="185"/>
    </row>
    <row r="931" spans="1:49" s="153" customFormat="1" ht="29.25" customHeight="1" outlineLevel="1" collapsed="1" x14ac:dyDescent="0.25">
      <c r="A931" s="148" t="str">
        <f t="shared" si="215"/>
        <v>1.8.1.2.0.0</v>
      </c>
      <c r="B931" s="82">
        <v>1</v>
      </c>
      <c r="C931" s="82">
        <v>8</v>
      </c>
      <c r="D931" s="82">
        <v>1</v>
      </c>
      <c r="E931" s="82">
        <v>2</v>
      </c>
      <c r="F931" s="82">
        <v>0</v>
      </c>
      <c r="G931" s="82">
        <v>0</v>
      </c>
      <c r="H931" s="149"/>
      <c r="I931" s="149"/>
      <c r="J931" s="1260" t="s">
        <v>1000</v>
      </c>
      <c r="K931" s="1259"/>
      <c r="L931" s="82" t="s">
        <v>1001</v>
      </c>
      <c r="M931" s="83" t="s">
        <v>1002</v>
      </c>
      <c r="N931" s="83" t="s">
        <v>1003</v>
      </c>
      <c r="O931" s="82" t="s">
        <v>1004</v>
      </c>
      <c r="P931" s="82"/>
      <c r="Q931" s="82"/>
      <c r="R931" s="82"/>
      <c r="S931" s="149"/>
      <c r="T931" s="193"/>
      <c r="U931" s="379">
        <f>+SUM(U932:U953)</f>
        <v>266133.33</v>
      </c>
      <c r="V931" s="379"/>
      <c r="W931" s="379">
        <f t="shared" ref="W931:AH931" si="237">+SUM(W932:W953)</f>
        <v>0</v>
      </c>
      <c r="X931" s="1130">
        <f t="shared" si="237"/>
        <v>0</v>
      </c>
      <c r="Y931" s="379">
        <f t="shared" si="237"/>
        <v>1581133.33</v>
      </c>
      <c r="Z931" s="379">
        <f t="shared" si="237"/>
        <v>0</v>
      </c>
      <c r="AA931" s="1130">
        <f t="shared" si="237"/>
        <v>0</v>
      </c>
      <c r="AB931" s="379">
        <f t="shared" si="237"/>
        <v>376033.32</v>
      </c>
      <c r="AC931" s="379">
        <f t="shared" si="237"/>
        <v>0</v>
      </c>
      <c r="AD931" s="1130">
        <f t="shared" si="237"/>
        <v>0</v>
      </c>
      <c r="AE931" s="379">
        <f t="shared" si="237"/>
        <v>376033.32</v>
      </c>
      <c r="AF931" s="379">
        <f t="shared" si="237"/>
        <v>0</v>
      </c>
      <c r="AG931" s="1130">
        <f t="shared" si="237"/>
        <v>0</v>
      </c>
      <c r="AH931" s="379">
        <f>+SUM(AH932:AH953)</f>
        <v>2599333.2999999998</v>
      </c>
      <c r="AI931" s="512">
        <f>+SUM(AI932:AI947)</f>
        <v>0</v>
      </c>
      <c r="AJ931" s="512">
        <f>+SUM(AJ932:AJ947)</f>
        <v>0</v>
      </c>
      <c r="AK931" s="152"/>
      <c r="AL931" s="152"/>
      <c r="AM931" s="152"/>
      <c r="AN931" s="82" t="s">
        <v>39</v>
      </c>
      <c r="AO931" s="82"/>
      <c r="AP931" s="82"/>
      <c r="AQ931" s="365"/>
      <c r="AR931" s="82"/>
      <c r="AS931" s="483"/>
      <c r="AT931" s="82"/>
      <c r="AU931" s="666"/>
      <c r="AV931" s="379">
        <f t="shared" ref="AV931" si="238">+SUM(AV932:AV947)</f>
        <v>0</v>
      </c>
      <c r="AW931" s="444"/>
    </row>
    <row r="932" spans="1:49" ht="33.75" hidden="1" customHeight="1" outlineLevel="2" x14ac:dyDescent="0.25">
      <c r="A932" s="63" t="str">
        <f t="shared" si="215"/>
        <v>1.8.1.2.1.58</v>
      </c>
      <c r="B932" s="64">
        <v>1</v>
      </c>
      <c r="C932" s="64">
        <v>8</v>
      </c>
      <c r="D932" s="64">
        <v>1</v>
      </c>
      <c r="E932" s="64">
        <v>2</v>
      </c>
      <c r="F932" s="64">
        <v>1</v>
      </c>
      <c r="G932" s="64">
        <v>58</v>
      </c>
      <c r="H932" s="65"/>
      <c r="I932" s="65"/>
      <c r="J932" s="66"/>
      <c r="K932" s="67" t="s">
        <v>1005</v>
      </c>
      <c r="L932" s="64" t="s">
        <v>75</v>
      </c>
      <c r="M932" s="68" t="s">
        <v>1006</v>
      </c>
      <c r="N932" s="64" t="s">
        <v>47</v>
      </c>
      <c r="O932" s="64" t="s">
        <v>1007</v>
      </c>
      <c r="P932" s="69">
        <v>44958</v>
      </c>
      <c r="Q932" s="69">
        <v>45290</v>
      </c>
      <c r="R932" s="124">
        <v>15000</v>
      </c>
      <c r="S932" s="170" t="s">
        <v>1008</v>
      </c>
      <c r="T932" s="194">
        <v>5000</v>
      </c>
      <c r="U932" s="75">
        <v>0</v>
      </c>
      <c r="V932" s="75"/>
      <c r="W932" s="75">
        <v>0</v>
      </c>
      <c r="X932" s="1122">
        <v>0</v>
      </c>
      <c r="Y932" s="75">
        <v>0</v>
      </c>
      <c r="Z932" s="75">
        <v>0</v>
      </c>
      <c r="AA932" s="1122">
        <v>0</v>
      </c>
      <c r="AB932" s="75">
        <v>0</v>
      </c>
      <c r="AC932" s="75">
        <v>0</v>
      </c>
      <c r="AD932" s="1122">
        <v>0</v>
      </c>
      <c r="AE932" s="75">
        <v>0</v>
      </c>
      <c r="AF932" s="75">
        <v>0</v>
      </c>
      <c r="AG932" s="1122">
        <v>0</v>
      </c>
      <c r="AH932" s="505">
        <f>+U932+Y932+AB932+AE932</f>
        <v>0</v>
      </c>
      <c r="AI932" s="132"/>
      <c r="AJ932" s="75">
        <f t="shared" ref="AJ932:AJ946" si="239">+W933+Z933+AC933+AF933</f>
        <v>0</v>
      </c>
      <c r="AK932" s="154"/>
      <c r="AL932" s="154"/>
      <c r="AM932" s="154"/>
      <c r="AN932" s="64" t="s">
        <v>39</v>
      </c>
      <c r="AO932" s="64"/>
      <c r="AP932" s="64"/>
      <c r="AQ932" s="189"/>
      <c r="AR932" s="64"/>
      <c r="AS932" s="476"/>
      <c r="AT932" s="64"/>
      <c r="AU932" s="646"/>
      <c r="AV932" s="259"/>
      <c r="AW932" s="185"/>
    </row>
    <row r="933" spans="1:49" ht="31.5" hidden="1" customHeight="1" outlineLevel="2" x14ac:dyDescent="0.25">
      <c r="A933" s="63" t="str">
        <f t="shared" si="215"/>
        <v>1.8.1.2.1.59</v>
      </c>
      <c r="B933" s="64">
        <v>1</v>
      </c>
      <c r="C933" s="64">
        <v>8</v>
      </c>
      <c r="D933" s="64">
        <v>1</v>
      </c>
      <c r="E933" s="64">
        <v>2</v>
      </c>
      <c r="F933" s="64">
        <v>1</v>
      </c>
      <c r="G933" s="64">
        <v>59</v>
      </c>
      <c r="H933" s="65"/>
      <c r="I933" s="65"/>
      <c r="J933" s="66"/>
      <c r="K933" s="67" t="s">
        <v>1009</v>
      </c>
      <c r="L933" s="64" t="s">
        <v>75</v>
      </c>
      <c r="M933" s="68" t="s">
        <v>1006</v>
      </c>
      <c r="N933" s="64" t="s">
        <v>47</v>
      </c>
      <c r="O933" s="64" t="s">
        <v>1007</v>
      </c>
      <c r="P933" s="69"/>
      <c r="Q933" s="69"/>
      <c r="R933" s="124"/>
      <c r="S933" s="170"/>
      <c r="T933" s="194"/>
      <c r="U933" s="75">
        <v>0</v>
      </c>
      <c r="V933" s="75"/>
      <c r="W933" s="75">
        <v>0</v>
      </c>
      <c r="X933" s="1122">
        <v>0</v>
      </c>
      <c r="Y933" s="75">
        <v>0</v>
      </c>
      <c r="Z933" s="75">
        <v>0</v>
      </c>
      <c r="AA933" s="1122">
        <v>0</v>
      </c>
      <c r="AB933" s="75">
        <v>0</v>
      </c>
      <c r="AC933" s="75">
        <v>0</v>
      </c>
      <c r="AD933" s="1122">
        <v>0</v>
      </c>
      <c r="AE933" s="75">
        <v>0</v>
      </c>
      <c r="AF933" s="75">
        <v>0</v>
      </c>
      <c r="AG933" s="1122">
        <v>0</v>
      </c>
      <c r="AH933" s="505">
        <f t="shared" ref="AH933:AH953" si="240">+U933+Y933+AB933+AE933</f>
        <v>0</v>
      </c>
      <c r="AI933" s="132"/>
      <c r="AJ933" s="75">
        <f t="shared" si="239"/>
        <v>0</v>
      </c>
      <c r="AK933" s="154"/>
      <c r="AL933" s="154"/>
      <c r="AM933" s="154"/>
      <c r="AN933" s="64" t="s">
        <v>39</v>
      </c>
      <c r="AO933" s="64"/>
      <c r="AP933" s="64"/>
      <c r="AQ933" s="189"/>
      <c r="AR933" s="64"/>
      <c r="AS933" s="476"/>
      <c r="AT933" s="64"/>
      <c r="AU933" s="646"/>
      <c r="AV933" s="259"/>
      <c r="AW933" s="185"/>
    </row>
    <row r="934" spans="1:49" ht="31.5" hidden="1" customHeight="1" outlineLevel="2" x14ac:dyDescent="0.25">
      <c r="A934" s="63" t="str">
        <f t="shared" si="215"/>
        <v>1.8.1.2.1.60</v>
      </c>
      <c r="B934" s="64">
        <v>1</v>
      </c>
      <c r="C934" s="64">
        <v>8</v>
      </c>
      <c r="D934" s="64">
        <v>1</v>
      </c>
      <c r="E934" s="64">
        <v>2</v>
      </c>
      <c r="F934" s="64">
        <v>1</v>
      </c>
      <c r="G934" s="64">
        <v>60</v>
      </c>
      <c r="H934" s="65"/>
      <c r="I934" s="65"/>
      <c r="J934" s="66"/>
      <c r="K934" s="67" t="s">
        <v>1010</v>
      </c>
      <c r="L934" s="64" t="s">
        <v>75</v>
      </c>
      <c r="M934" s="68" t="s">
        <v>1006</v>
      </c>
      <c r="N934" s="64" t="s">
        <v>47</v>
      </c>
      <c r="O934" s="64" t="s">
        <v>1007</v>
      </c>
      <c r="P934" s="69"/>
      <c r="Q934" s="69"/>
      <c r="R934" s="124"/>
      <c r="S934" s="170"/>
      <c r="T934" s="194"/>
      <c r="U934" s="75">
        <v>0</v>
      </c>
      <c r="V934" s="75"/>
      <c r="W934" s="75">
        <v>0</v>
      </c>
      <c r="X934" s="1122">
        <v>0</v>
      </c>
      <c r="Y934" s="75">
        <v>0</v>
      </c>
      <c r="Z934" s="75">
        <v>0</v>
      </c>
      <c r="AA934" s="1122">
        <v>0</v>
      </c>
      <c r="AB934" s="75">
        <v>0</v>
      </c>
      <c r="AC934" s="75">
        <v>0</v>
      </c>
      <c r="AD934" s="1122">
        <v>0</v>
      </c>
      <c r="AE934" s="75">
        <v>0</v>
      </c>
      <c r="AF934" s="75">
        <v>0</v>
      </c>
      <c r="AG934" s="1122">
        <v>0</v>
      </c>
      <c r="AH934" s="505">
        <f t="shared" si="240"/>
        <v>0</v>
      </c>
      <c r="AI934" s="132"/>
      <c r="AJ934" s="75">
        <f t="shared" si="239"/>
        <v>0</v>
      </c>
      <c r="AK934" s="154"/>
      <c r="AL934" s="154"/>
      <c r="AM934" s="154"/>
      <c r="AN934" s="64" t="s">
        <v>39</v>
      </c>
      <c r="AO934" s="64"/>
      <c r="AP934" s="64"/>
      <c r="AQ934" s="189"/>
      <c r="AR934" s="64"/>
      <c r="AS934" s="476"/>
      <c r="AT934" s="64"/>
      <c r="AU934" s="646"/>
      <c r="AV934" s="259"/>
      <c r="AW934" s="185"/>
    </row>
    <row r="935" spans="1:49" ht="31.5" hidden="1" customHeight="1" outlineLevel="2" x14ac:dyDescent="0.25">
      <c r="A935" s="63" t="str">
        <f t="shared" si="215"/>
        <v>1.8.1.2.1.61</v>
      </c>
      <c r="B935" s="64">
        <v>1</v>
      </c>
      <c r="C935" s="64">
        <v>8</v>
      </c>
      <c r="D935" s="64">
        <v>1</v>
      </c>
      <c r="E935" s="64">
        <v>2</v>
      </c>
      <c r="F935" s="64">
        <v>1</v>
      </c>
      <c r="G935" s="64">
        <v>61</v>
      </c>
      <c r="H935" s="65"/>
      <c r="I935" s="65"/>
      <c r="J935" s="66"/>
      <c r="K935" s="67" t="s">
        <v>1011</v>
      </c>
      <c r="L935" s="64" t="s">
        <v>75</v>
      </c>
      <c r="M935" s="68" t="s">
        <v>1006</v>
      </c>
      <c r="N935" s="64" t="s">
        <v>47</v>
      </c>
      <c r="O935" s="64" t="s">
        <v>1007</v>
      </c>
      <c r="P935" s="69"/>
      <c r="Q935" s="69"/>
      <c r="R935" s="124"/>
      <c r="S935" s="170"/>
      <c r="T935" s="194"/>
      <c r="U935" s="75">
        <v>0</v>
      </c>
      <c r="V935" s="75"/>
      <c r="W935" s="75">
        <v>0</v>
      </c>
      <c r="X935" s="1122">
        <v>0</v>
      </c>
      <c r="Y935" s="75">
        <v>0</v>
      </c>
      <c r="Z935" s="75">
        <v>0</v>
      </c>
      <c r="AA935" s="1122">
        <v>0</v>
      </c>
      <c r="AB935" s="75">
        <v>0</v>
      </c>
      <c r="AC935" s="75">
        <v>0</v>
      </c>
      <c r="AD935" s="1122">
        <v>0</v>
      </c>
      <c r="AE935" s="75">
        <v>0</v>
      </c>
      <c r="AF935" s="75">
        <v>0</v>
      </c>
      <c r="AG935" s="1122">
        <v>0</v>
      </c>
      <c r="AH935" s="505">
        <f t="shared" si="240"/>
        <v>0</v>
      </c>
      <c r="AI935" s="132"/>
      <c r="AJ935" s="75">
        <f t="shared" si="239"/>
        <v>0</v>
      </c>
      <c r="AK935" s="154"/>
      <c r="AL935" s="154"/>
      <c r="AM935" s="154"/>
      <c r="AN935" s="64" t="s">
        <v>39</v>
      </c>
      <c r="AO935" s="64"/>
      <c r="AP935" s="64"/>
      <c r="AQ935" s="189"/>
      <c r="AR935" s="64"/>
      <c r="AS935" s="476"/>
      <c r="AT935" s="64"/>
      <c r="AU935" s="646"/>
      <c r="AV935" s="259"/>
      <c r="AW935" s="185"/>
    </row>
    <row r="936" spans="1:49" ht="31.5" hidden="1" customHeight="1" outlineLevel="2" x14ac:dyDescent="0.25">
      <c r="A936" s="63" t="str">
        <f t="shared" si="215"/>
        <v>1.8.1.2.1.62</v>
      </c>
      <c r="B936" s="64">
        <v>1</v>
      </c>
      <c r="C936" s="64">
        <v>8</v>
      </c>
      <c r="D936" s="64">
        <v>1</v>
      </c>
      <c r="E936" s="64">
        <v>2</v>
      </c>
      <c r="F936" s="64">
        <v>1</v>
      </c>
      <c r="G936" s="64">
        <v>62</v>
      </c>
      <c r="H936" s="65"/>
      <c r="I936" s="65"/>
      <c r="J936" s="66"/>
      <c r="K936" s="67" t="s">
        <v>1012</v>
      </c>
      <c r="L936" s="64" t="s">
        <v>75</v>
      </c>
      <c r="M936" s="68" t="s">
        <v>1006</v>
      </c>
      <c r="N936" s="64" t="s">
        <v>47</v>
      </c>
      <c r="O936" s="64" t="s">
        <v>1007</v>
      </c>
      <c r="P936" s="69"/>
      <c r="Q936" s="69"/>
      <c r="R936" s="124"/>
      <c r="S936" s="170"/>
      <c r="T936" s="194"/>
      <c r="U936" s="75">
        <v>0</v>
      </c>
      <c r="V936" s="75"/>
      <c r="W936" s="75">
        <v>0</v>
      </c>
      <c r="X936" s="1122">
        <v>0</v>
      </c>
      <c r="Y936" s="75">
        <v>0</v>
      </c>
      <c r="Z936" s="75">
        <v>0</v>
      </c>
      <c r="AA936" s="1122">
        <v>0</v>
      </c>
      <c r="AB936" s="75">
        <v>0</v>
      </c>
      <c r="AC936" s="75">
        <v>0</v>
      </c>
      <c r="AD936" s="1122">
        <v>0</v>
      </c>
      <c r="AE936" s="75">
        <v>0</v>
      </c>
      <c r="AF936" s="75">
        <v>0</v>
      </c>
      <c r="AG936" s="1122">
        <v>0</v>
      </c>
      <c r="AH936" s="505">
        <f t="shared" si="240"/>
        <v>0</v>
      </c>
      <c r="AI936" s="132"/>
      <c r="AJ936" s="75">
        <f t="shared" si="239"/>
        <v>0</v>
      </c>
      <c r="AK936" s="154"/>
      <c r="AL936" s="154"/>
      <c r="AM936" s="154"/>
      <c r="AN936" s="64" t="s">
        <v>39</v>
      </c>
      <c r="AO936" s="64"/>
      <c r="AP936" s="64"/>
      <c r="AQ936" s="189"/>
      <c r="AR936" s="64"/>
      <c r="AS936" s="476"/>
      <c r="AT936" s="64"/>
      <c r="AU936" s="646"/>
      <c r="AV936" s="259"/>
      <c r="AW936" s="185"/>
    </row>
    <row r="937" spans="1:49" ht="31.5" hidden="1" customHeight="1" outlineLevel="2" x14ac:dyDescent="0.25">
      <c r="A937" s="63" t="str">
        <f t="shared" si="215"/>
        <v>1.8.1.2.1.63</v>
      </c>
      <c r="B937" s="64">
        <v>1</v>
      </c>
      <c r="C937" s="64">
        <v>8</v>
      </c>
      <c r="D937" s="64">
        <v>1</v>
      </c>
      <c r="E937" s="64">
        <v>2</v>
      </c>
      <c r="F937" s="64">
        <v>1</v>
      </c>
      <c r="G937" s="64">
        <v>63</v>
      </c>
      <c r="H937" s="65"/>
      <c r="I937" s="65"/>
      <c r="J937" s="66"/>
      <c r="K937" s="67" t="s">
        <v>1768</v>
      </c>
      <c r="L937" s="64" t="s">
        <v>75</v>
      </c>
      <c r="M937" s="68" t="s">
        <v>1006</v>
      </c>
      <c r="N937" s="64" t="s">
        <v>47</v>
      </c>
      <c r="O937" s="64" t="s">
        <v>1007</v>
      </c>
      <c r="P937" s="69"/>
      <c r="Q937" s="69"/>
      <c r="R937" s="124"/>
      <c r="S937" s="170"/>
      <c r="T937" s="194"/>
      <c r="U937" s="75">
        <v>0</v>
      </c>
      <c r="V937" s="75"/>
      <c r="W937" s="75">
        <v>0</v>
      </c>
      <c r="X937" s="1122">
        <v>0</v>
      </c>
      <c r="Y937" s="75">
        <v>0</v>
      </c>
      <c r="Z937" s="75">
        <v>0</v>
      </c>
      <c r="AA937" s="1122">
        <v>0</v>
      </c>
      <c r="AB937" s="75">
        <v>0</v>
      </c>
      <c r="AC937" s="75">
        <v>0</v>
      </c>
      <c r="AD937" s="1122">
        <v>0</v>
      </c>
      <c r="AE937" s="75">
        <v>0</v>
      </c>
      <c r="AF937" s="75">
        <v>0</v>
      </c>
      <c r="AG937" s="1122">
        <v>0</v>
      </c>
      <c r="AH937" s="505">
        <f t="shared" si="240"/>
        <v>0</v>
      </c>
      <c r="AI937" s="132"/>
      <c r="AJ937" s="75">
        <f t="shared" si="239"/>
        <v>0</v>
      </c>
      <c r="AK937" s="154"/>
      <c r="AL937" s="154"/>
      <c r="AM937" s="154"/>
      <c r="AN937" s="64" t="s">
        <v>39</v>
      </c>
      <c r="AO937" s="64"/>
      <c r="AP937" s="64"/>
      <c r="AQ937" s="189"/>
      <c r="AR937" s="64"/>
      <c r="AS937" s="476"/>
      <c r="AT937" s="64"/>
      <c r="AU937" s="646"/>
      <c r="AV937" s="259"/>
      <c r="AW937" s="185"/>
    </row>
    <row r="938" spans="1:49" ht="31.5" hidden="1" customHeight="1" outlineLevel="2" x14ac:dyDescent="0.25">
      <c r="A938" s="63" t="str">
        <f t="shared" si="215"/>
        <v>1.8.1.2.1.64</v>
      </c>
      <c r="B938" s="64">
        <v>1</v>
      </c>
      <c r="C938" s="64">
        <v>8</v>
      </c>
      <c r="D938" s="64">
        <v>1</v>
      </c>
      <c r="E938" s="64">
        <v>2</v>
      </c>
      <c r="F938" s="64">
        <v>1</v>
      </c>
      <c r="G938" s="64">
        <v>64</v>
      </c>
      <c r="H938" s="65"/>
      <c r="I938" s="65"/>
      <c r="J938" s="66"/>
      <c r="K938" s="67" t="s">
        <v>1013</v>
      </c>
      <c r="L938" s="64" t="s">
        <v>75</v>
      </c>
      <c r="M938" s="68" t="s">
        <v>1006</v>
      </c>
      <c r="N938" s="64" t="s">
        <v>47</v>
      </c>
      <c r="O938" s="64" t="s">
        <v>1007</v>
      </c>
      <c r="P938" s="69"/>
      <c r="Q938" s="69"/>
      <c r="R938" s="124"/>
      <c r="S938" s="170"/>
      <c r="T938" s="194"/>
      <c r="U938" s="75">
        <v>0</v>
      </c>
      <c r="V938" s="75"/>
      <c r="W938" s="75">
        <v>0</v>
      </c>
      <c r="X938" s="1122">
        <v>0</v>
      </c>
      <c r="Y938" s="75">
        <v>0</v>
      </c>
      <c r="Z938" s="75">
        <v>0</v>
      </c>
      <c r="AA938" s="1122">
        <v>0</v>
      </c>
      <c r="AB938" s="75">
        <v>0</v>
      </c>
      <c r="AC938" s="75">
        <v>0</v>
      </c>
      <c r="AD938" s="1122">
        <v>0</v>
      </c>
      <c r="AE938" s="75">
        <v>0</v>
      </c>
      <c r="AF938" s="75">
        <v>0</v>
      </c>
      <c r="AG938" s="1122">
        <v>0</v>
      </c>
      <c r="AH938" s="505">
        <f t="shared" si="240"/>
        <v>0</v>
      </c>
      <c r="AI938" s="132"/>
      <c r="AJ938" s="75">
        <f t="shared" si="239"/>
        <v>0</v>
      </c>
      <c r="AK938" s="154"/>
      <c r="AL938" s="154"/>
      <c r="AM938" s="154"/>
      <c r="AN938" s="64" t="s">
        <v>39</v>
      </c>
      <c r="AO938" s="64"/>
      <c r="AP938" s="64"/>
      <c r="AQ938" s="189"/>
      <c r="AR938" s="64"/>
      <c r="AS938" s="476"/>
      <c r="AT938" s="64"/>
      <c r="AU938" s="646"/>
      <c r="AV938" s="65"/>
      <c r="AW938" s="65"/>
    </row>
    <row r="939" spans="1:49" ht="33.75" hidden="1" customHeight="1" outlineLevel="2" x14ac:dyDescent="0.25">
      <c r="A939" s="63" t="str">
        <f t="shared" si="215"/>
        <v>1.8.1.2.2.58-64</v>
      </c>
      <c r="B939" s="64">
        <v>1</v>
      </c>
      <c r="C939" s="64">
        <v>8</v>
      </c>
      <c r="D939" s="64">
        <v>1</v>
      </c>
      <c r="E939" s="64">
        <v>2</v>
      </c>
      <c r="F939" s="64">
        <v>2</v>
      </c>
      <c r="G939" s="64" t="s">
        <v>64</v>
      </c>
      <c r="H939" s="65"/>
      <c r="I939" s="65"/>
      <c r="J939" s="66"/>
      <c r="K939" s="67" t="s">
        <v>1014</v>
      </c>
      <c r="L939" s="64" t="s">
        <v>72</v>
      </c>
      <c r="M939" s="64" t="s">
        <v>73</v>
      </c>
      <c r="N939" s="64" t="s">
        <v>74</v>
      </c>
      <c r="O939" s="64" t="s">
        <v>75</v>
      </c>
      <c r="P939" s="69">
        <v>44958</v>
      </c>
      <c r="Q939" s="69">
        <v>45107</v>
      </c>
      <c r="R939" s="64">
        <v>1</v>
      </c>
      <c r="S939" s="65" t="s">
        <v>73</v>
      </c>
      <c r="T939" s="194">
        <v>1</v>
      </c>
      <c r="U939" s="75">
        <v>0</v>
      </c>
      <c r="V939" s="75"/>
      <c r="W939" s="75">
        <v>0</v>
      </c>
      <c r="X939" s="1122">
        <v>0</v>
      </c>
      <c r="Y939" s="75">
        <v>196000</v>
      </c>
      <c r="Z939" s="75">
        <v>0</v>
      </c>
      <c r="AA939" s="1122">
        <v>0</v>
      </c>
      <c r="AB939" s="75">
        <v>0</v>
      </c>
      <c r="AC939" s="75">
        <v>0</v>
      </c>
      <c r="AD939" s="1122">
        <v>0</v>
      </c>
      <c r="AE939" s="75">
        <v>0</v>
      </c>
      <c r="AF939" s="75">
        <v>0</v>
      </c>
      <c r="AG939" s="1122">
        <v>0</v>
      </c>
      <c r="AH939" s="505">
        <f t="shared" si="240"/>
        <v>196000</v>
      </c>
      <c r="AI939" s="132"/>
      <c r="AJ939" s="75">
        <f t="shared" si="239"/>
        <v>0</v>
      </c>
      <c r="AK939" s="154"/>
      <c r="AL939" s="154"/>
      <c r="AM939" s="154"/>
      <c r="AN939" s="64" t="s">
        <v>39</v>
      </c>
      <c r="AO939" s="64"/>
      <c r="AP939" s="64"/>
      <c r="AQ939" s="189"/>
      <c r="AR939" s="64"/>
      <c r="AS939" s="476"/>
      <c r="AT939" s="64"/>
      <c r="AU939" s="646"/>
      <c r="AV939" s="65"/>
      <c r="AW939" s="63" t="s">
        <v>2743</v>
      </c>
    </row>
    <row r="940" spans="1:49" ht="38.25" hidden="1" customHeight="1" outlineLevel="2" x14ac:dyDescent="0.25">
      <c r="A940" s="63" t="str">
        <f t="shared" si="215"/>
        <v>1.8.1.2.3.58</v>
      </c>
      <c r="B940" s="64">
        <v>1</v>
      </c>
      <c r="C940" s="64">
        <v>8</v>
      </c>
      <c r="D940" s="64">
        <v>1</v>
      </c>
      <c r="E940" s="64">
        <v>2</v>
      </c>
      <c r="F940" s="64">
        <v>3</v>
      </c>
      <c r="G940" s="64">
        <v>58</v>
      </c>
      <c r="H940" s="65"/>
      <c r="I940" s="65"/>
      <c r="J940" s="65"/>
      <c r="K940" s="67" t="s">
        <v>1016</v>
      </c>
      <c r="L940" s="64" t="s">
        <v>72</v>
      </c>
      <c r="M940" s="64" t="s">
        <v>73</v>
      </c>
      <c r="N940" s="64" t="s">
        <v>74</v>
      </c>
      <c r="O940" s="64" t="s">
        <v>75</v>
      </c>
      <c r="P940" s="69">
        <v>44958</v>
      </c>
      <c r="Q940" s="69">
        <v>45290</v>
      </c>
      <c r="R940" s="64">
        <v>1</v>
      </c>
      <c r="S940" s="65" t="s">
        <v>73</v>
      </c>
      <c r="T940" s="194">
        <v>1</v>
      </c>
      <c r="U940" s="75">
        <v>0</v>
      </c>
      <c r="V940" s="75"/>
      <c r="W940" s="75">
        <v>0</v>
      </c>
      <c r="X940" s="1122">
        <v>0</v>
      </c>
      <c r="Y940" s="75">
        <v>0</v>
      </c>
      <c r="Z940" s="75">
        <v>0</v>
      </c>
      <c r="AA940" s="1122">
        <v>0</v>
      </c>
      <c r="AB940" s="75">
        <v>0</v>
      </c>
      <c r="AC940" s="75">
        <v>0</v>
      </c>
      <c r="AD940" s="1122">
        <v>0</v>
      </c>
      <c r="AE940" s="75">
        <v>0</v>
      </c>
      <c r="AF940" s="75">
        <v>0</v>
      </c>
      <c r="AG940" s="1122">
        <v>0</v>
      </c>
      <c r="AH940" s="505">
        <f t="shared" si="240"/>
        <v>0</v>
      </c>
      <c r="AI940" s="132"/>
      <c r="AJ940" s="75">
        <f t="shared" si="239"/>
        <v>0</v>
      </c>
      <c r="AK940" s="154"/>
      <c r="AL940" s="154"/>
      <c r="AM940" s="154"/>
      <c r="AN940" s="64" t="s">
        <v>39</v>
      </c>
      <c r="AO940" s="64"/>
      <c r="AP940" s="64"/>
      <c r="AQ940" s="189"/>
      <c r="AR940" s="64"/>
      <c r="AS940" s="476"/>
      <c r="AT940" s="64"/>
      <c r="AU940" s="646"/>
      <c r="AV940" s="65"/>
      <c r="AW940" s="67"/>
    </row>
    <row r="941" spans="1:49" ht="38.25" hidden="1" customHeight="1" outlineLevel="2" x14ac:dyDescent="0.25">
      <c r="A941" s="63" t="str">
        <f t="shared" si="215"/>
        <v>1.8.1.2.3.59</v>
      </c>
      <c r="B941" s="64">
        <v>1</v>
      </c>
      <c r="C941" s="64">
        <v>8</v>
      </c>
      <c r="D941" s="64">
        <v>1</v>
      </c>
      <c r="E941" s="64">
        <v>2</v>
      </c>
      <c r="F941" s="64">
        <v>3</v>
      </c>
      <c r="G941" s="64">
        <v>59</v>
      </c>
      <c r="H941" s="65"/>
      <c r="I941" s="65"/>
      <c r="J941" s="65"/>
      <c r="K941" s="67" t="s">
        <v>1017</v>
      </c>
      <c r="L941" s="64" t="s">
        <v>72</v>
      </c>
      <c r="M941" s="64" t="s">
        <v>73</v>
      </c>
      <c r="N941" s="64" t="s">
        <v>74</v>
      </c>
      <c r="O941" s="64" t="s">
        <v>75</v>
      </c>
      <c r="P941" s="69">
        <v>44958</v>
      </c>
      <c r="Q941" s="69">
        <v>45290</v>
      </c>
      <c r="R941" s="64">
        <v>1</v>
      </c>
      <c r="S941" s="65"/>
      <c r="T941" s="194"/>
      <c r="U941" s="75">
        <v>0</v>
      </c>
      <c r="V941" s="75"/>
      <c r="W941" s="75">
        <v>0</v>
      </c>
      <c r="X941" s="1122">
        <v>0</v>
      </c>
      <c r="Y941" s="75">
        <v>0</v>
      </c>
      <c r="Z941" s="75">
        <v>0</v>
      </c>
      <c r="AA941" s="1122">
        <v>0</v>
      </c>
      <c r="AB941" s="75">
        <v>0</v>
      </c>
      <c r="AC941" s="75">
        <v>0</v>
      </c>
      <c r="AD941" s="1122">
        <v>0</v>
      </c>
      <c r="AE941" s="75">
        <v>0</v>
      </c>
      <c r="AF941" s="75">
        <v>0</v>
      </c>
      <c r="AG941" s="1122">
        <v>0</v>
      </c>
      <c r="AH941" s="505">
        <f t="shared" si="240"/>
        <v>0</v>
      </c>
      <c r="AI941" s="132"/>
      <c r="AJ941" s="75">
        <f t="shared" si="239"/>
        <v>0</v>
      </c>
      <c r="AK941" s="154"/>
      <c r="AL941" s="154"/>
      <c r="AM941" s="154"/>
      <c r="AN941" s="64" t="s">
        <v>39</v>
      </c>
      <c r="AO941" s="64"/>
      <c r="AP941" s="64"/>
      <c r="AQ941" s="189"/>
      <c r="AR941" s="64"/>
      <c r="AS941" s="476"/>
      <c r="AT941" s="64"/>
      <c r="AU941" s="646"/>
      <c r="AV941" s="65"/>
      <c r="AW941" s="67"/>
    </row>
    <row r="942" spans="1:49" ht="38.25" hidden="1" customHeight="1" outlineLevel="2" x14ac:dyDescent="0.25">
      <c r="A942" s="63" t="str">
        <f t="shared" si="215"/>
        <v>1.8.1.2.3.60</v>
      </c>
      <c r="B942" s="64">
        <v>1</v>
      </c>
      <c r="C942" s="64">
        <v>8</v>
      </c>
      <c r="D942" s="64">
        <v>1</v>
      </c>
      <c r="E942" s="64">
        <v>2</v>
      </c>
      <c r="F942" s="64">
        <v>3</v>
      </c>
      <c r="G942" s="64">
        <v>60</v>
      </c>
      <c r="H942" s="65"/>
      <c r="I942" s="65"/>
      <c r="J942" s="65"/>
      <c r="K942" s="67" t="s">
        <v>1018</v>
      </c>
      <c r="L942" s="64" t="s">
        <v>72</v>
      </c>
      <c r="M942" s="64" t="s">
        <v>73</v>
      </c>
      <c r="N942" s="64" t="s">
        <v>74</v>
      </c>
      <c r="O942" s="64" t="s">
        <v>75</v>
      </c>
      <c r="P942" s="69">
        <v>44958</v>
      </c>
      <c r="Q942" s="69">
        <v>45290</v>
      </c>
      <c r="R942" s="64">
        <v>1</v>
      </c>
      <c r="S942" s="65"/>
      <c r="T942" s="194"/>
      <c r="U942" s="75">
        <v>0</v>
      </c>
      <c r="V942" s="75"/>
      <c r="W942" s="75">
        <v>0</v>
      </c>
      <c r="X942" s="1122">
        <v>0</v>
      </c>
      <c r="Y942" s="75">
        <v>0</v>
      </c>
      <c r="Z942" s="75">
        <v>0</v>
      </c>
      <c r="AA942" s="1122">
        <v>0</v>
      </c>
      <c r="AB942" s="75">
        <v>0</v>
      </c>
      <c r="AC942" s="75">
        <v>0</v>
      </c>
      <c r="AD942" s="1122">
        <v>0</v>
      </c>
      <c r="AE942" s="75">
        <v>0</v>
      </c>
      <c r="AF942" s="75">
        <v>0</v>
      </c>
      <c r="AG942" s="1122">
        <v>0</v>
      </c>
      <c r="AH942" s="505">
        <f t="shared" si="240"/>
        <v>0</v>
      </c>
      <c r="AI942" s="132"/>
      <c r="AJ942" s="75">
        <f t="shared" si="239"/>
        <v>0</v>
      </c>
      <c r="AK942" s="154"/>
      <c r="AL942" s="154"/>
      <c r="AM942" s="154"/>
      <c r="AN942" s="64" t="s">
        <v>39</v>
      </c>
      <c r="AO942" s="64"/>
      <c r="AP942" s="64"/>
      <c r="AQ942" s="189"/>
      <c r="AR942" s="64"/>
      <c r="AS942" s="476"/>
      <c r="AT942" s="64"/>
      <c r="AU942" s="646"/>
      <c r="AV942" s="65"/>
      <c r="AW942" s="67"/>
    </row>
    <row r="943" spans="1:49" ht="38.25" hidden="1" customHeight="1" outlineLevel="2" x14ac:dyDescent="0.25">
      <c r="A943" s="63" t="str">
        <f t="shared" si="215"/>
        <v>1.8.1.2.3.61</v>
      </c>
      <c r="B943" s="64">
        <v>1</v>
      </c>
      <c r="C943" s="64">
        <v>8</v>
      </c>
      <c r="D943" s="64">
        <v>1</v>
      </c>
      <c r="E943" s="64">
        <v>2</v>
      </c>
      <c r="F943" s="64">
        <v>3</v>
      </c>
      <c r="G943" s="64">
        <v>61</v>
      </c>
      <c r="H943" s="65"/>
      <c r="I943" s="65"/>
      <c r="J943" s="65"/>
      <c r="K943" s="67" t="s">
        <v>1019</v>
      </c>
      <c r="L943" s="64" t="s">
        <v>72</v>
      </c>
      <c r="M943" s="64" t="s">
        <v>73</v>
      </c>
      <c r="N943" s="64" t="s">
        <v>74</v>
      </c>
      <c r="O943" s="64" t="s">
        <v>75</v>
      </c>
      <c r="P943" s="69">
        <v>44958</v>
      </c>
      <c r="Q943" s="69">
        <v>45290</v>
      </c>
      <c r="R943" s="64">
        <v>1</v>
      </c>
      <c r="S943" s="65"/>
      <c r="T943" s="194"/>
      <c r="U943" s="75">
        <v>0</v>
      </c>
      <c r="V943" s="75"/>
      <c r="W943" s="75">
        <v>0</v>
      </c>
      <c r="X943" s="1122">
        <v>0</v>
      </c>
      <c r="Y943" s="75">
        <v>0</v>
      </c>
      <c r="Z943" s="75">
        <v>0</v>
      </c>
      <c r="AA943" s="1122">
        <v>0</v>
      </c>
      <c r="AB943" s="75">
        <v>0</v>
      </c>
      <c r="AC943" s="75">
        <v>0</v>
      </c>
      <c r="AD943" s="1122">
        <v>0</v>
      </c>
      <c r="AE943" s="75">
        <v>0</v>
      </c>
      <c r="AF943" s="75">
        <v>0</v>
      </c>
      <c r="AG943" s="1122">
        <v>0</v>
      </c>
      <c r="AH943" s="505">
        <f t="shared" si="240"/>
        <v>0</v>
      </c>
      <c r="AI943" s="132"/>
      <c r="AJ943" s="75">
        <f t="shared" si="239"/>
        <v>0</v>
      </c>
      <c r="AK943" s="154"/>
      <c r="AL943" s="154"/>
      <c r="AM943" s="154"/>
      <c r="AN943" s="64" t="s">
        <v>39</v>
      </c>
      <c r="AO943" s="64"/>
      <c r="AP943" s="64"/>
      <c r="AQ943" s="189"/>
      <c r="AR943" s="64"/>
      <c r="AS943" s="476"/>
      <c r="AT943" s="64"/>
      <c r="AU943" s="646"/>
      <c r="AV943" s="65"/>
      <c r="AW943" s="67"/>
    </row>
    <row r="944" spans="1:49" ht="38.25" hidden="1" customHeight="1" outlineLevel="2" x14ac:dyDescent="0.25">
      <c r="A944" s="63" t="str">
        <f t="shared" si="215"/>
        <v>1.8.1.2.3.62</v>
      </c>
      <c r="B944" s="64">
        <v>1</v>
      </c>
      <c r="C944" s="64">
        <v>8</v>
      </c>
      <c r="D944" s="64">
        <v>1</v>
      </c>
      <c r="E944" s="64">
        <v>2</v>
      </c>
      <c r="F944" s="64">
        <v>3</v>
      </c>
      <c r="G944" s="64">
        <v>62</v>
      </c>
      <c r="H944" s="65"/>
      <c r="I944" s="65"/>
      <c r="J944" s="65"/>
      <c r="K944" s="67" t="s">
        <v>1020</v>
      </c>
      <c r="L944" s="64" t="s">
        <v>72</v>
      </c>
      <c r="M944" s="64" t="s">
        <v>73</v>
      </c>
      <c r="N944" s="64" t="s">
        <v>74</v>
      </c>
      <c r="O944" s="64" t="s">
        <v>75</v>
      </c>
      <c r="P944" s="69">
        <v>44958</v>
      </c>
      <c r="Q944" s="69">
        <v>45290</v>
      </c>
      <c r="R944" s="64">
        <v>1</v>
      </c>
      <c r="S944" s="65"/>
      <c r="T944" s="194"/>
      <c r="U944" s="75">
        <v>0</v>
      </c>
      <c r="V944" s="75"/>
      <c r="W944" s="75">
        <v>0</v>
      </c>
      <c r="X944" s="1122">
        <v>0</v>
      </c>
      <c r="Y944" s="75">
        <v>0</v>
      </c>
      <c r="Z944" s="75">
        <v>0</v>
      </c>
      <c r="AA944" s="1122">
        <v>0</v>
      </c>
      <c r="AB944" s="75">
        <v>0</v>
      </c>
      <c r="AC944" s="75">
        <v>0</v>
      </c>
      <c r="AD944" s="1122">
        <v>0</v>
      </c>
      <c r="AE944" s="75">
        <v>0</v>
      </c>
      <c r="AF944" s="75">
        <v>0</v>
      </c>
      <c r="AG944" s="1122">
        <v>0</v>
      </c>
      <c r="AH944" s="505">
        <f t="shared" si="240"/>
        <v>0</v>
      </c>
      <c r="AI944" s="132"/>
      <c r="AJ944" s="75">
        <f t="shared" si="239"/>
        <v>0</v>
      </c>
      <c r="AK944" s="154"/>
      <c r="AL944" s="154"/>
      <c r="AM944" s="154"/>
      <c r="AN944" s="64" t="s">
        <v>39</v>
      </c>
      <c r="AO944" s="64"/>
      <c r="AP944" s="64"/>
      <c r="AQ944" s="189"/>
      <c r="AR944" s="64"/>
      <c r="AS944" s="476"/>
      <c r="AT944" s="64"/>
      <c r="AU944" s="646"/>
      <c r="AV944" s="65"/>
      <c r="AW944" s="67"/>
    </row>
    <row r="945" spans="1:49" ht="38.25" hidden="1" customHeight="1" outlineLevel="2" x14ac:dyDescent="0.25">
      <c r="A945" s="63" t="str">
        <f t="shared" si="215"/>
        <v>1.8.1.2.3.63</v>
      </c>
      <c r="B945" s="64">
        <v>1</v>
      </c>
      <c r="C945" s="64">
        <v>8</v>
      </c>
      <c r="D945" s="64">
        <v>1</v>
      </c>
      <c r="E945" s="64">
        <v>2</v>
      </c>
      <c r="F945" s="64">
        <v>3</v>
      </c>
      <c r="G945" s="64">
        <v>63</v>
      </c>
      <c r="H945" s="65"/>
      <c r="I945" s="65"/>
      <c r="J945" s="65"/>
      <c r="K945" s="67" t="s">
        <v>1769</v>
      </c>
      <c r="L945" s="64" t="s">
        <v>72</v>
      </c>
      <c r="M945" s="64" t="s">
        <v>73</v>
      </c>
      <c r="N945" s="64" t="s">
        <v>74</v>
      </c>
      <c r="O945" s="64" t="s">
        <v>75</v>
      </c>
      <c r="P945" s="69">
        <v>44958</v>
      </c>
      <c r="Q945" s="69">
        <v>45290</v>
      </c>
      <c r="R945" s="64">
        <v>1</v>
      </c>
      <c r="S945" s="65"/>
      <c r="T945" s="194"/>
      <c r="U945" s="75">
        <v>0</v>
      </c>
      <c r="V945" s="75"/>
      <c r="W945" s="75">
        <v>0</v>
      </c>
      <c r="X945" s="1122">
        <v>0</v>
      </c>
      <c r="Y945" s="75">
        <v>0</v>
      </c>
      <c r="Z945" s="75">
        <v>0</v>
      </c>
      <c r="AA945" s="1122">
        <v>0</v>
      </c>
      <c r="AB945" s="75">
        <v>0</v>
      </c>
      <c r="AC945" s="75">
        <v>0</v>
      </c>
      <c r="AD945" s="1122">
        <v>0</v>
      </c>
      <c r="AE945" s="75">
        <v>0</v>
      </c>
      <c r="AF945" s="75">
        <v>0</v>
      </c>
      <c r="AG945" s="1122">
        <v>0</v>
      </c>
      <c r="AH945" s="505">
        <f t="shared" si="240"/>
        <v>0</v>
      </c>
      <c r="AI945" s="132"/>
      <c r="AJ945" s="75">
        <f t="shared" si="239"/>
        <v>0</v>
      </c>
      <c r="AK945" s="154"/>
      <c r="AL945" s="154"/>
      <c r="AM945" s="154"/>
      <c r="AN945" s="64" t="s">
        <v>39</v>
      </c>
      <c r="AO945" s="64"/>
      <c r="AP945" s="64"/>
      <c r="AQ945" s="189"/>
      <c r="AR945" s="64"/>
      <c r="AS945" s="476"/>
      <c r="AT945" s="64"/>
      <c r="AU945" s="646"/>
      <c r="AV945" s="65"/>
      <c r="AW945" s="67"/>
    </row>
    <row r="946" spans="1:49" ht="38.25" hidden="1" customHeight="1" outlineLevel="2" x14ac:dyDescent="0.25">
      <c r="A946" s="63" t="str">
        <f t="shared" si="215"/>
        <v>1.8.1.2.3.64</v>
      </c>
      <c r="B946" s="64">
        <v>1</v>
      </c>
      <c r="C946" s="64">
        <v>8</v>
      </c>
      <c r="D946" s="64">
        <v>1</v>
      </c>
      <c r="E946" s="64">
        <v>2</v>
      </c>
      <c r="F946" s="64">
        <v>3</v>
      </c>
      <c r="G946" s="64">
        <v>64</v>
      </c>
      <c r="H946" s="65"/>
      <c r="I946" s="65"/>
      <c r="J946" s="65"/>
      <c r="K946" s="67" t="s">
        <v>1021</v>
      </c>
      <c r="L946" s="64" t="s">
        <v>72</v>
      </c>
      <c r="M946" s="64" t="s">
        <v>73</v>
      </c>
      <c r="N946" s="64" t="s">
        <v>74</v>
      </c>
      <c r="O946" s="64" t="s">
        <v>75</v>
      </c>
      <c r="P946" s="69">
        <v>44958</v>
      </c>
      <c r="Q946" s="69">
        <v>45290</v>
      </c>
      <c r="R946" s="64">
        <v>1</v>
      </c>
      <c r="S946" s="65"/>
      <c r="T946" s="194"/>
      <c r="U946" s="75">
        <v>0</v>
      </c>
      <c r="V946" s="75"/>
      <c r="W946" s="75">
        <v>0</v>
      </c>
      <c r="X946" s="1122">
        <v>0</v>
      </c>
      <c r="Y946" s="75">
        <v>0</v>
      </c>
      <c r="Z946" s="75">
        <v>0</v>
      </c>
      <c r="AA946" s="1122">
        <v>0</v>
      </c>
      <c r="AB946" s="75">
        <v>0</v>
      </c>
      <c r="AC946" s="75">
        <v>0</v>
      </c>
      <c r="AD946" s="1122">
        <v>0</v>
      </c>
      <c r="AE946" s="75">
        <v>0</v>
      </c>
      <c r="AF946" s="75">
        <v>0</v>
      </c>
      <c r="AG946" s="1122">
        <v>0</v>
      </c>
      <c r="AH946" s="505">
        <f t="shared" si="240"/>
        <v>0</v>
      </c>
      <c r="AI946" s="132"/>
      <c r="AJ946" s="75">
        <f t="shared" si="239"/>
        <v>0</v>
      </c>
      <c r="AK946" s="154"/>
      <c r="AL946" s="154"/>
      <c r="AM946" s="154"/>
      <c r="AN946" s="64" t="s">
        <v>39</v>
      </c>
      <c r="AO946" s="64"/>
      <c r="AP946" s="64"/>
      <c r="AQ946" s="189"/>
      <c r="AR946" s="64"/>
      <c r="AS946" s="476"/>
      <c r="AT946" s="64"/>
      <c r="AU946" s="646"/>
      <c r="AV946" s="65"/>
      <c r="AW946" s="67"/>
    </row>
    <row r="947" spans="1:49" ht="43.35" hidden="1" customHeight="1" outlineLevel="2" x14ac:dyDescent="0.25">
      <c r="A947" s="63" t="str">
        <f t="shared" si="215"/>
        <v>1.8.1.2.4.58-64</v>
      </c>
      <c r="B947" s="64">
        <v>1</v>
      </c>
      <c r="C947" s="64">
        <v>8</v>
      </c>
      <c r="D947" s="64">
        <v>1</v>
      </c>
      <c r="E947" s="64">
        <v>2</v>
      </c>
      <c r="F947" s="64">
        <v>4</v>
      </c>
      <c r="G947" s="64" t="s">
        <v>64</v>
      </c>
      <c r="H947" s="65"/>
      <c r="I947" s="65"/>
      <c r="J947" s="66"/>
      <c r="K947" s="67" t="s">
        <v>1022</v>
      </c>
      <c r="L947" s="64" t="s">
        <v>72</v>
      </c>
      <c r="M947" s="64" t="s">
        <v>73</v>
      </c>
      <c r="N947" s="64" t="s">
        <v>74</v>
      </c>
      <c r="O947" s="64" t="s">
        <v>75</v>
      </c>
      <c r="P947" s="69">
        <v>44958</v>
      </c>
      <c r="Q947" s="69">
        <v>45107</v>
      </c>
      <c r="R947" s="64">
        <v>1</v>
      </c>
      <c r="S947" s="65" t="s">
        <v>73</v>
      </c>
      <c r="T947" s="194">
        <v>1</v>
      </c>
      <c r="U947" s="75">
        <v>0</v>
      </c>
      <c r="V947" s="75"/>
      <c r="W947" s="75">
        <v>0</v>
      </c>
      <c r="X947" s="1122">
        <v>0</v>
      </c>
      <c r="Y947" s="75">
        <v>0</v>
      </c>
      <c r="Z947" s="75">
        <v>0</v>
      </c>
      <c r="AA947" s="1122">
        <v>0</v>
      </c>
      <c r="AB947" s="75">
        <v>0</v>
      </c>
      <c r="AC947" s="75">
        <v>0</v>
      </c>
      <c r="AD947" s="1122">
        <v>0</v>
      </c>
      <c r="AE947" s="75">
        <v>0</v>
      </c>
      <c r="AF947" s="75">
        <v>0</v>
      </c>
      <c r="AG947" s="1122">
        <v>0</v>
      </c>
      <c r="AH947" s="505">
        <f t="shared" si="240"/>
        <v>0</v>
      </c>
      <c r="AI947" s="132"/>
      <c r="AJ947" s="75">
        <f t="shared" ref="AJ947:AJ953" si="241">+W954+Z954+AC954+AF954</f>
        <v>0</v>
      </c>
      <c r="AK947" s="154"/>
      <c r="AL947" s="154"/>
      <c r="AM947" s="154"/>
      <c r="AN947" s="64" t="s">
        <v>39</v>
      </c>
      <c r="AO947" s="64"/>
      <c r="AP947" s="64"/>
      <c r="AQ947" s="189"/>
      <c r="AR947" s="64"/>
      <c r="AS947" s="476"/>
      <c r="AT947" s="64"/>
      <c r="AU947" s="646"/>
      <c r="AV947" s="65"/>
      <c r="AW947" s="65"/>
    </row>
    <row r="948" spans="1:49" ht="43.35" hidden="1" customHeight="1" outlineLevel="2" x14ac:dyDescent="0.25">
      <c r="A948" s="63" t="str">
        <f t="shared" si="215"/>
        <v>1.8.1.2.5.58-64</v>
      </c>
      <c r="B948" s="64">
        <v>1</v>
      </c>
      <c r="C948" s="64">
        <v>8</v>
      </c>
      <c r="D948" s="64">
        <v>1</v>
      </c>
      <c r="E948" s="64">
        <v>2</v>
      </c>
      <c r="F948" s="64">
        <v>5</v>
      </c>
      <c r="G948" s="64" t="s">
        <v>64</v>
      </c>
      <c r="H948" s="65"/>
      <c r="I948" s="65"/>
      <c r="J948" s="66"/>
      <c r="K948" s="67" t="s">
        <v>2737</v>
      </c>
      <c r="L948" s="64" t="s">
        <v>72</v>
      </c>
      <c r="M948" s="64" t="s">
        <v>73</v>
      </c>
      <c r="N948" s="64" t="s">
        <v>74</v>
      </c>
      <c r="O948" s="64" t="s">
        <v>75</v>
      </c>
      <c r="P948" s="69"/>
      <c r="Q948" s="69"/>
      <c r="R948" s="64"/>
      <c r="S948" s="65"/>
      <c r="T948" s="194"/>
      <c r="U948" s="75">
        <v>36633.33</v>
      </c>
      <c r="V948" s="75"/>
      <c r="W948" s="75">
        <v>0</v>
      </c>
      <c r="X948" s="1122">
        <v>0</v>
      </c>
      <c r="Y948" s="75">
        <v>36633.33</v>
      </c>
      <c r="Z948" s="75">
        <v>0</v>
      </c>
      <c r="AA948" s="1122">
        <v>0</v>
      </c>
      <c r="AB948" s="75">
        <v>36633.33</v>
      </c>
      <c r="AC948" s="75">
        <v>0</v>
      </c>
      <c r="AD948" s="1122">
        <v>0</v>
      </c>
      <c r="AE948" s="75">
        <v>36633.33</v>
      </c>
      <c r="AF948" s="75">
        <v>0</v>
      </c>
      <c r="AG948" s="1122">
        <v>0</v>
      </c>
      <c r="AH948" s="505">
        <f t="shared" si="240"/>
        <v>146533.32</v>
      </c>
      <c r="AI948" s="132"/>
      <c r="AJ948" s="75">
        <f t="shared" si="241"/>
        <v>0</v>
      </c>
      <c r="AK948" s="154"/>
      <c r="AL948" s="154"/>
      <c r="AM948" s="154"/>
      <c r="AN948" s="64" t="s">
        <v>39</v>
      </c>
      <c r="AO948" s="64"/>
      <c r="AP948" s="64"/>
      <c r="AQ948" s="189"/>
      <c r="AR948" s="64"/>
      <c r="AS948" s="476"/>
      <c r="AT948" s="64"/>
      <c r="AU948" s="646"/>
      <c r="AV948" s="65"/>
      <c r="AW948" s="65" t="s">
        <v>2738</v>
      </c>
    </row>
    <row r="949" spans="1:49" ht="43.35" hidden="1" customHeight="1" outlineLevel="2" x14ac:dyDescent="0.25">
      <c r="A949" s="63" t="str">
        <f t="shared" si="215"/>
        <v>1.8.1.2.6.58-65</v>
      </c>
      <c r="B949" s="64">
        <v>1</v>
      </c>
      <c r="C949" s="64">
        <v>8</v>
      </c>
      <c r="D949" s="64">
        <v>1</v>
      </c>
      <c r="E949" s="64">
        <v>2</v>
      </c>
      <c r="F949" s="64">
        <v>6</v>
      </c>
      <c r="G949" s="64" t="s">
        <v>946</v>
      </c>
      <c r="H949" s="65"/>
      <c r="I949" s="65"/>
      <c r="J949" s="66"/>
      <c r="K949" s="67" t="s">
        <v>2740</v>
      </c>
      <c r="L949" s="64" t="s">
        <v>72</v>
      </c>
      <c r="M949" s="64" t="s">
        <v>73</v>
      </c>
      <c r="N949" s="64" t="s">
        <v>74</v>
      </c>
      <c r="O949" s="64" t="s">
        <v>75</v>
      </c>
      <c r="P949" s="69"/>
      <c r="Q949" s="69"/>
      <c r="R949" s="64"/>
      <c r="S949" s="65"/>
      <c r="T949" s="194"/>
      <c r="U949" s="75">
        <v>0</v>
      </c>
      <c r="V949" s="75"/>
      <c r="W949" s="75">
        <v>0</v>
      </c>
      <c r="X949" s="1122">
        <v>0</v>
      </c>
      <c r="Y949" s="75">
        <v>423000</v>
      </c>
      <c r="Z949" s="75">
        <v>0</v>
      </c>
      <c r="AA949" s="1122">
        <v>0</v>
      </c>
      <c r="AB949" s="75">
        <v>36633.33</v>
      </c>
      <c r="AC949" s="75">
        <v>0</v>
      </c>
      <c r="AD949" s="1122">
        <v>0</v>
      </c>
      <c r="AE949" s="75">
        <v>36633.33</v>
      </c>
      <c r="AF949" s="75">
        <v>0</v>
      </c>
      <c r="AG949" s="1122">
        <v>0</v>
      </c>
      <c r="AH949" s="505">
        <f t="shared" si="240"/>
        <v>496266.66000000003</v>
      </c>
      <c r="AI949" s="132"/>
      <c r="AJ949" s="75">
        <f t="shared" si="241"/>
        <v>0</v>
      </c>
      <c r="AK949" s="154"/>
      <c r="AL949" s="154"/>
      <c r="AM949" s="154"/>
      <c r="AN949" s="64" t="s">
        <v>39</v>
      </c>
      <c r="AO949" s="64"/>
      <c r="AP949" s="64"/>
      <c r="AQ949" s="189"/>
      <c r="AR949" s="64"/>
      <c r="AS949" s="476"/>
      <c r="AT949" s="64"/>
      <c r="AU949" s="646"/>
      <c r="AV949" s="65"/>
      <c r="AW949" s="65" t="s">
        <v>2738</v>
      </c>
    </row>
    <row r="950" spans="1:49" ht="43.35" hidden="1" customHeight="1" outlineLevel="2" x14ac:dyDescent="0.25">
      <c r="A950" s="63" t="str">
        <f t="shared" si="215"/>
        <v>1.8.1.2.7.58-66</v>
      </c>
      <c r="B950" s="64">
        <v>1</v>
      </c>
      <c r="C950" s="64">
        <v>8</v>
      </c>
      <c r="D950" s="64">
        <v>1</v>
      </c>
      <c r="E950" s="64">
        <v>2</v>
      </c>
      <c r="F950" s="64">
        <v>7</v>
      </c>
      <c r="G950" s="64" t="s">
        <v>2741</v>
      </c>
      <c r="H950" s="65"/>
      <c r="I950" s="65"/>
      <c r="J950" s="66"/>
      <c r="K950" s="67" t="s">
        <v>2742</v>
      </c>
      <c r="L950" s="64" t="s">
        <v>72</v>
      </c>
      <c r="M950" s="64" t="s">
        <v>73</v>
      </c>
      <c r="N950" s="64" t="s">
        <v>74</v>
      </c>
      <c r="O950" s="64" t="s">
        <v>75</v>
      </c>
      <c r="P950" s="69"/>
      <c r="Q950" s="69"/>
      <c r="R950" s="64"/>
      <c r="S950" s="65"/>
      <c r="T950" s="194"/>
      <c r="U950" s="75">
        <v>0</v>
      </c>
      <c r="V950" s="75"/>
      <c r="W950" s="75">
        <v>0</v>
      </c>
      <c r="X950" s="1122">
        <v>0</v>
      </c>
      <c r="Y950" s="75">
        <f>52000+452000</f>
        <v>504000</v>
      </c>
      <c r="Z950" s="75">
        <v>0</v>
      </c>
      <c r="AA950" s="1122">
        <v>0</v>
      </c>
      <c r="AB950" s="75">
        <v>36633.33</v>
      </c>
      <c r="AC950" s="75">
        <v>0</v>
      </c>
      <c r="AD950" s="1122">
        <v>0</v>
      </c>
      <c r="AE950" s="75">
        <v>36633.33</v>
      </c>
      <c r="AF950" s="75">
        <v>0</v>
      </c>
      <c r="AG950" s="1122">
        <v>0</v>
      </c>
      <c r="AH950" s="505">
        <f t="shared" si="240"/>
        <v>577266.65999999992</v>
      </c>
      <c r="AI950" s="132"/>
      <c r="AJ950" s="75">
        <f t="shared" si="241"/>
        <v>0</v>
      </c>
      <c r="AK950" s="154"/>
      <c r="AL950" s="154"/>
      <c r="AM950" s="154"/>
      <c r="AN950" s="64" t="s">
        <v>39</v>
      </c>
      <c r="AO950" s="64"/>
      <c r="AP950" s="64"/>
      <c r="AQ950" s="189"/>
      <c r="AR950" s="64"/>
      <c r="AS950" s="476"/>
      <c r="AT950" s="64"/>
      <c r="AU950" s="983"/>
      <c r="AV950" s="65"/>
      <c r="AW950" s="65" t="s">
        <v>2821</v>
      </c>
    </row>
    <row r="951" spans="1:49" ht="43.35" hidden="1" customHeight="1" outlineLevel="2" x14ac:dyDescent="0.25">
      <c r="A951" s="63" t="str">
        <f t="shared" si="215"/>
        <v>1.8.1.2.7.58-67</v>
      </c>
      <c r="B951" s="64">
        <v>1</v>
      </c>
      <c r="C951" s="64">
        <v>8</v>
      </c>
      <c r="D951" s="64">
        <v>1</v>
      </c>
      <c r="E951" s="64">
        <v>2</v>
      </c>
      <c r="F951" s="64">
        <v>7</v>
      </c>
      <c r="G951" s="64" t="s">
        <v>2744</v>
      </c>
      <c r="H951" s="65"/>
      <c r="I951" s="65"/>
      <c r="J951" s="66"/>
      <c r="K951" s="67" t="s">
        <v>2745</v>
      </c>
      <c r="L951" s="64" t="s">
        <v>72</v>
      </c>
      <c r="M951" s="64" t="s">
        <v>73</v>
      </c>
      <c r="N951" s="64" t="s">
        <v>74</v>
      </c>
      <c r="O951" s="64" t="s">
        <v>75</v>
      </c>
      <c r="P951" s="69"/>
      <c r="Q951" s="69"/>
      <c r="R951" s="64"/>
      <c r="S951" s="65"/>
      <c r="T951" s="194"/>
      <c r="U951" s="75">
        <v>0</v>
      </c>
      <c r="V951" s="75"/>
      <c r="W951" s="75">
        <v>0</v>
      </c>
      <c r="X951" s="1122">
        <v>0</v>
      </c>
      <c r="Y951" s="75">
        <v>142000</v>
      </c>
      <c r="Z951" s="75">
        <v>0</v>
      </c>
      <c r="AA951" s="1122">
        <v>0</v>
      </c>
      <c r="AB951" s="75">
        <v>36633.33</v>
      </c>
      <c r="AC951" s="75">
        <v>0</v>
      </c>
      <c r="AD951" s="1122">
        <v>0</v>
      </c>
      <c r="AE951" s="75">
        <v>36633.33</v>
      </c>
      <c r="AF951" s="75">
        <v>0</v>
      </c>
      <c r="AG951" s="1122">
        <v>0</v>
      </c>
      <c r="AH951" s="505">
        <f t="shared" si="240"/>
        <v>215266.66000000003</v>
      </c>
      <c r="AI951" s="132"/>
      <c r="AJ951" s="75">
        <f t="shared" si="241"/>
        <v>0</v>
      </c>
      <c r="AK951" s="154"/>
      <c r="AL951" s="154"/>
      <c r="AM951" s="154"/>
      <c r="AN951" s="64" t="s">
        <v>39</v>
      </c>
      <c r="AO951" s="64"/>
      <c r="AP951" s="64"/>
      <c r="AQ951" s="189"/>
      <c r="AR951" s="64"/>
      <c r="AS951" s="476"/>
      <c r="AT951" s="64"/>
      <c r="AU951" s="646"/>
      <c r="AV951" s="185"/>
      <c r="AW951" s="65" t="s">
        <v>2738</v>
      </c>
    </row>
    <row r="952" spans="1:49" ht="43.35" hidden="1" customHeight="1" outlineLevel="2" x14ac:dyDescent="0.25">
      <c r="A952" s="63" t="str">
        <f t="shared" si="215"/>
        <v>1.8.1.2.7.58-68</v>
      </c>
      <c r="B952" s="64">
        <v>1</v>
      </c>
      <c r="C952" s="64">
        <v>8</v>
      </c>
      <c r="D952" s="64">
        <v>1</v>
      </c>
      <c r="E952" s="64">
        <v>2</v>
      </c>
      <c r="F952" s="64">
        <v>7</v>
      </c>
      <c r="G952" s="64" t="s">
        <v>2749</v>
      </c>
      <c r="H952" s="65"/>
      <c r="I952" s="65"/>
      <c r="J952" s="66"/>
      <c r="K952" s="67" t="s">
        <v>2748</v>
      </c>
      <c r="L952" s="64" t="s">
        <v>72</v>
      </c>
      <c r="M952" s="64" t="s">
        <v>73</v>
      </c>
      <c r="N952" s="64" t="s">
        <v>74</v>
      </c>
      <c r="O952" s="64" t="s">
        <v>75</v>
      </c>
      <c r="P952" s="69"/>
      <c r="Q952" s="69"/>
      <c r="R952" s="64"/>
      <c r="S952" s="65"/>
      <c r="T952" s="194"/>
      <c r="U952" s="75">
        <v>0</v>
      </c>
      <c r="V952" s="75"/>
      <c r="W952" s="75">
        <v>0</v>
      </c>
      <c r="X952" s="1122">
        <v>0</v>
      </c>
      <c r="Y952" s="75">
        <v>50000</v>
      </c>
      <c r="Z952" s="75">
        <v>0</v>
      </c>
      <c r="AA952" s="1122">
        <v>0</v>
      </c>
      <c r="AB952" s="75">
        <v>0</v>
      </c>
      <c r="AC952" s="75">
        <v>0</v>
      </c>
      <c r="AD952" s="1122">
        <v>0</v>
      </c>
      <c r="AE952" s="75">
        <v>0</v>
      </c>
      <c r="AF952" s="75">
        <v>0</v>
      </c>
      <c r="AG952" s="1122">
        <v>0</v>
      </c>
      <c r="AH952" s="505">
        <f t="shared" si="240"/>
        <v>50000</v>
      </c>
      <c r="AI952" s="132"/>
      <c r="AJ952" s="75">
        <f t="shared" si="241"/>
        <v>0</v>
      </c>
      <c r="AK952" s="154"/>
      <c r="AL952" s="154"/>
      <c r="AM952" s="154"/>
      <c r="AN952" s="64" t="s">
        <v>39</v>
      </c>
      <c r="AO952" s="64"/>
      <c r="AP952" s="64"/>
      <c r="AQ952" s="189"/>
      <c r="AR952" s="64"/>
      <c r="AS952" s="476"/>
      <c r="AT952" s="64"/>
      <c r="AU952" s="646"/>
      <c r="AV952" s="185"/>
      <c r="AW952" s="65" t="s">
        <v>2750</v>
      </c>
    </row>
    <row r="953" spans="1:49" ht="43.35" hidden="1" customHeight="1" outlineLevel="2" x14ac:dyDescent="0.25">
      <c r="A953" s="63" t="str">
        <f t="shared" si="215"/>
        <v>1.8.1.2.7.58-69</v>
      </c>
      <c r="B953" s="64">
        <v>1</v>
      </c>
      <c r="C953" s="64">
        <v>8</v>
      </c>
      <c r="D953" s="64">
        <v>1</v>
      </c>
      <c r="E953" s="64">
        <v>2</v>
      </c>
      <c r="F953" s="64">
        <v>7</v>
      </c>
      <c r="G953" s="64" t="s">
        <v>2751</v>
      </c>
      <c r="H953" s="65"/>
      <c r="I953" s="65"/>
      <c r="J953" s="66"/>
      <c r="K953" s="67" t="s">
        <v>2752</v>
      </c>
      <c r="L953" s="64" t="s">
        <v>72</v>
      </c>
      <c r="M953" s="64" t="s">
        <v>73</v>
      </c>
      <c r="N953" s="64" t="s">
        <v>74</v>
      </c>
      <c r="O953" s="64" t="s">
        <v>75</v>
      </c>
      <c r="P953" s="69"/>
      <c r="Q953" s="69"/>
      <c r="R953" s="64"/>
      <c r="S953" s="65"/>
      <c r="T953" s="194"/>
      <c r="U953" s="75">
        <f>229500</f>
        <v>229500</v>
      </c>
      <c r="V953" s="75"/>
      <c r="W953" s="75">
        <v>0</v>
      </c>
      <c r="X953" s="1122">
        <v>0</v>
      </c>
      <c r="Y953" s="75">
        <f>229500</f>
        <v>229500</v>
      </c>
      <c r="Z953" s="75">
        <v>0</v>
      </c>
      <c r="AA953" s="1122">
        <v>0</v>
      </c>
      <c r="AB953" s="75">
        <f>229500</f>
        <v>229500</v>
      </c>
      <c r="AC953" s="75">
        <v>0</v>
      </c>
      <c r="AD953" s="1122">
        <v>0</v>
      </c>
      <c r="AE953" s="75">
        <f>229500</f>
        <v>229500</v>
      </c>
      <c r="AF953" s="75">
        <v>0</v>
      </c>
      <c r="AG953" s="1122">
        <v>0</v>
      </c>
      <c r="AH953" s="505">
        <f t="shared" si="240"/>
        <v>918000</v>
      </c>
      <c r="AI953" s="132"/>
      <c r="AJ953" s="75">
        <f t="shared" si="241"/>
        <v>0</v>
      </c>
      <c r="AK953" s="154"/>
      <c r="AL953" s="154"/>
      <c r="AM953" s="154"/>
      <c r="AN953" s="64" t="s">
        <v>39</v>
      </c>
      <c r="AO953" s="64"/>
      <c r="AP953" s="64"/>
      <c r="AQ953" s="189"/>
      <c r="AR953" s="64"/>
      <c r="AS953" s="476"/>
      <c r="AT953" s="64"/>
      <c r="AU953" s="646"/>
      <c r="AV953" s="185"/>
      <c r="AW953" s="65" t="s">
        <v>2738</v>
      </c>
    </row>
    <row r="954" spans="1:49" s="153" customFormat="1" ht="24" customHeight="1" outlineLevel="1" collapsed="1" x14ac:dyDescent="0.25">
      <c r="A954" s="148" t="str">
        <f t="shared" si="215"/>
        <v>1.8.1.3.0.0</v>
      </c>
      <c r="B954" s="82">
        <v>1</v>
      </c>
      <c r="C954" s="82">
        <v>8</v>
      </c>
      <c r="D954" s="82">
        <v>1</v>
      </c>
      <c r="E954" s="82">
        <v>3</v>
      </c>
      <c r="F954" s="82">
        <v>0</v>
      </c>
      <c r="G954" s="82">
        <v>0</v>
      </c>
      <c r="H954" s="149"/>
      <c r="I954" s="149"/>
      <c r="J954" s="1260" t="s">
        <v>1023</v>
      </c>
      <c r="K954" s="1259"/>
      <c r="L954" s="82" t="s">
        <v>359</v>
      </c>
      <c r="M954" s="82" t="s">
        <v>1024</v>
      </c>
      <c r="N954" s="82" t="s">
        <v>1025</v>
      </c>
      <c r="O954" s="82" t="s">
        <v>1026</v>
      </c>
      <c r="P954" s="82"/>
      <c r="Q954" s="82"/>
      <c r="R954" s="82"/>
      <c r="S954" s="149"/>
      <c r="T954" s="193"/>
      <c r="U954" s="379">
        <f>+SUM(U955:U959)</f>
        <v>0</v>
      </c>
      <c r="V954" s="379"/>
      <c r="W954" s="379">
        <f t="shared" ref="W954:AH954" si="242">+SUM(W955:W959)</f>
        <v>0</v>
      </c>
      <c r="X954" s="1130">
        <f t="shared" si="242"/>
        <v>0</v>
      </c>
      <c r="Y954" s="379">
        <f t="shared" si="242"/>
        <v>0</v>
      </c>
      <c r="Z954" s="379">
        <f t="shared" si="242"/>
        <v>0</v>
      </c>
      <c r="AA954" s="1130">
        <f t="shared" si="242"/>
        <v>0</v>
      </c>
      <c r="AB954" s="379">
        <f t="shared" si="242"/>
        <v>0</v>
      </c>
      <c r="AC954" s="379">
        <f t="shared" si="242"/>
        <v>0</v>
      </c>
      <c r="AD954" s="1130">
        <f t="shared" si="242"/>
        <v>0</v>
      </c>
      <c r="AE954" s="379">
        <f t="shared" si="242"/>
        <v>0</v>
      </c>
      <c r="AF954" s="379">
        <f t="shared" si="242"/>
        <v>0</v>
      </c>
      <c r="AG954" s="1130">
        <f t="shared" si="242"/>
        <v>0</v>
      </c>
      <c r="AH954" s="379">
        <f t="shared" si="242"/>
        <v>0</v>
      </c>
      <c r="AI954" s="512">
        <f>+SUM(AI955:AI959)</f>
        <v>0</v>
      </c>
      <c r="AJ954" s="512">
        <f>+SUM(AJ955:AJ959)</f>
        <v>0</v>
      </c>
      <c r="AK954" s="152"/>
      <c r="AL954" s="152"/>
      <c r="AM954" s="152"/>
      <c r="AN954" s="82" t="s">
        <v>39</v>
      </c>
      <c r="AO954" s="82"/>
      <c r="AP954" s="82"/>
      <c r="AQ954" s="365"/>
      <c r="AR954" s="82"/>
      <c r="AS954" s="483"/>
      <c r="AT954" s="82"/>
      <c r="AU954" s="666"/>
      <c r="AV954" s="379">
        <f t="shared" ref="AV954" si="243">+SUM(AV955:AV959)</f>
        <v>0</v>
      </c>
      <c r="AW954" s="444"/>
    </row>
    <row r="955" spans="1:49" ht="24.75" hidden="1" customHeight="1" outlineLevel="3" x14ac:dyDescent="0.25">
      <c r="A955" s="63" t="str">
        <f t="shared" si="215"/>
        <v>1.8.1.3.1.0</v>
      </c>
      <c r="B955" s="64">
        <v>1</v>
      </c>
      <c r="C955" s="64">
        <v>8</v>
      </c>
      <c r="D955" s="64">
        <v>1</v>
      </c>
      <c r="E955" s="64">
        <v>3</v>
      </c>
      <c r="F955" s="64">
        <v>1</v>
      </c>
      <c r="G955" s="64">
        <v>0</v>
      </c>
      <c r="H955" s="65"/>
      <c r="I955" s="65"/>
      <c r="J955" s="65"/>
      <c r="K955" s="65" t="s">
        <v>1027</v>
      </c>
      <c r="L955" s="64" t="s">
        <v>359</v>
      </c>
      <c r="M955" s="64" t="s">
        <v>1028</v>
      </c>
      <c r="N955" s="64" t="s">
        <v>1025</v>
      </c>
      <c r="O955" s="64" t="s">
        <v>1026</v>
      </c>
      <c r="P955" s="64"/>
      <c r="Q955" s="64"/>
      <c r="R955" s="64"/>
      <c r="S955" s="65"/>
      <c r="T955" s="194"/>
      <c r="U955" s="75">
        <v>0</v>
      </c>
      <c r="V955" s="75"/>
      <c r="W955" s="75">
        <v>0</v>
      </c>
      <c r="X955" s="1122">
        <v>0</v>
      </c>
      <c r="Y955" s="75">
        <v>0</v>
      </c>
      <c r="Z955" s="75">
        <v>0</v>
      </c>
      <c r="AA955" s="1122">
        <v>0</v>
      </c>
      <c r="AB955" s="75">
        <v>0</v>
      </c>
      <c r="AC955" s="75">
        <v>0</v>
      </c>
      <c r="AD955" s="1122">
        <v>0</v>
      </c>
      <c r="AE955" s="75">
        <v>0</v>
      </c>
      <c r="AF955" s="75">
        <v>0</v>
      </c>
      <c r="AG955" s="1122">
        <v>0</v>
      </c>
      <c r="AH955" s="505">
        <f>+U955+Y955+AB955+AE955</f>
        <v>0</v>
      </c>
      <c r="AI955" s="132"/>
      <c r="AJ955" s="75">
        <f t="shared" ref="AJ955:AJ959" si="244">+W956+Z956+AC956+AF956</f>
        <v>0</v>
      </c>
      <c r="AK955" s="75"/>
      <c r="AL955" s="75"/>
      <c r="AM955" s="75"/>
      <c r="AN955" s="64" t="s">
        <v>39</v>
      </c>
      <c r="AO955" s="64"/>
      <c r="AP955" s="64"/>
      <c r="AQ955" s="189"/>
      <c r="AR955" s="64"/>
      <c r="AS955" s="476"/>
      <c r="AT955" s="64"/>
      <c r="AU955" s="646"/>
      <c r="AV955" s="259"/>
      <c r="AW955" s="185" t="s">
        <v>1029</v>
      </c>
    </row>
    <row r="956" spans="1:49" ht="27" hidden="1" customHeight="1" outlineLevel="3" x14ac:dyDescent="0.25">
      <c r="A956" s="63" t="str">
        <f t="shared" si="215"/>
        <v>1.8.1.3.2.58-64</v>
      </c>
      <c r="B956" s="64">
        <v>1</v>
      </c>
      <c r="C956" s="64">
        <v>8</v>
      </c>
      <c r="D956" s="64">
        <v>1</v>
      </c>
      <c r="E956" s="64">
        <v>3</v>
      </c>
      <c r="F956" s="64">
        <v>2</v>
      </c>
      <c r="G956" s="64" t="s">
        <v>64</v>
      </c>
      <c r="H956" s="65"/>
      <c r="I956" s="65"/>
      <c r="J956" s="66"/>
      <c r="K956" s="65" t="s">
        <v>1030</v>
      </c>
      <c r="L956" s="64" t="s">
        <v>359</v>
      </c>
      <c r="M956" s="64" t="s">
        <v>1031</v>
      </c>
      <c r="N956" s="64" t="s">
        <v>1025</v>
      </c>
      <c r="O956" s="64" t="s">
        <v>1026</v>
      </c>
      <c r="P956" s="64"/>
      <c r="Q956" s="64"/>
      <c r="R956" s="64"/>
      <c r="S956" s="65"/>
      <c r="T956" s="194"/>
      <c r="U956" s="75">
        <v>0</v>
      </c>
      <c r="V956" s="75"/>
      <c r="W956" s="75">
        <v>0</v>
      </c>
      <c r="X956" s="1122">
        <v>0</v>
      </c>
      <c r="Y956" s="75">
        <v>0</v>
      </c>
      <c r="Z956" s="75">
        <v>0</v>
      </c>
      <c r="AA956" s="1122">
        <v>0</v>
      </c>
      <c r="AB956" s="75">
        <v>0</v>
      </c>
      <c r="AC956" s="75">
        <v>0</v>
      </c>
      <c r="AD956" s="1122">
        <v>0</v>
      </c>
      <c r="AE956" s="75">
        <v>0</v>
      </c>
      <c r="AF956" s="75">
        <v>0</v>
      </c>
      <c r="AG956" s="1122">
        <v>0</v>
      </c>
      <c r="AH956" s="505">
        <f t="shared" ref="AH956:AH959" si="245">+U956+Y956+AB956+AE956</f>
        <v>0</v>
      </c>
      <c r="AI956" s="132"/>
      <c r="AJ956" s="75">
        <f t="shared" si="244"/>
        <v>0</v>
      </c>
      <c r="AK956" s="75"/>
      <c r="AL956" s="75"/>
      <c r="AM956" s="75"/>
      <c r="AN956" s="64" t="s">
        <v>39</v>
      </c>
      <c r="AO956" s="64"/>
      <c r="AP956" s="64"/>
      <c r="AQ956" s="189"/>
      <c r="AR956" s="64"/>
      <c r="AS956" s="476"/>
      <c r="AT956" s="64"/>
      <c r="AU956" s="646"/>
      <c r="AV956" s="259"/>
      <c r="AW956" s="185" t="s">
        <v>1029</v>
      </c>
    </row>
    <row r="957" spans="1:49" ht="27" hidden="1" customHeight="1" outlineLevel="3" x14ac:dyDescent="0.25">
      <c r="A957" s="63" t="str">
        <f t="shared" si="215"/>
        <v>1.8.1.3.3.58-64</v>
      </c>
      <c r="B957" s="64">
        <v>1</v>
      </c>
      <c r="C957" s="64">
        <v>8</v>
      </c>
      <c r="D957" s="64">
        <v>1</v>
      </c>
      <c r="E957" s="64">
        <v>3</v>
      </c>
      <c r="F957" s="64">
        <v>3</v>
      </c>
      <c r="G957" s="64" t="s">
        <v>64</v>
      </c>
      <c r="H957" s="65"/>
      <c r="I957" s="65"/>
      <c r="J957" s="66"/>
      <c r="K957" s="65" t="s">
        <v>1032</v>
      </c>
      <c r="L957" s="64" t="s">
        <v>359</v>
      </c>
      <c r="M957" s="64" t="s">
        <v>1033</v>
      </c>
      <c r="N957" s="64" t="s">
        <v>1025</v>
      </c>
      <c r="O957" s="64" t="s">
        <v>1026</v>
      </c>
      <c r="P957" s="64"/>
      <c r="Q957" s="64"/>
      <c r="R957" s="64"/>
      <c r="S957" s="65"/>
      <c r="T957" s="194"/>
      <c r="U957" s="75">
        <v>0</v>
      </c>
      <c r="V957" s="75"/>
      <c r="W957" s="75">
        <v>0</v>
      </c>
      <c r="X957" s="1122">
        <v>0</v>
      </c>
      <c r="Y957" s="75">
        <v>0</v>
      </c>
      <c r="Z957" s="75">
        <v>0</v>
      </c>
      <c r="AA957" s="1122">
        <v>0</v>
      </c>
      <c r="AB957" s="75">
        <v>0</v>
      </c>
      <c r="AC957" s="75">
        <v>0</v>
      </c>
      <c r="AD957" s="1122">
        <v>0</v>
      </c>
      <c r="AE957" s="75">
        <v>0</v>
      </c>
      <c r="AF957" s="75">
        <v>0</v>
      </c>
      <c r="AG957" s="1122">
        <v>0</v>
      </c>
      <c r="AH957" s="505">
        <f t="shared" si="245"/>
        <v>0</v>
      </c>
      <c r="AI957" s="132"/>
      <c r="AJ957" s="75">
        <f t="shared" si="244"/>
        <v>0</v>
      </c>
      <c r="AK957" s="75"/>
      <c r="AL957" s="75"/>
      <c r="AM957" s="75"/>
      <c r="AN957" s="64" t="s">
        <v>39</v>
      </c>
      <c r="AO957" s="64"/>
      <c r="AP957" s="64"/>
      <c r="AQ957" s="189"/>
      <c r="AR957" s="64"/>
      <c r="AS957" s="476"/>
      <c r="AT957" s="64"/>
      <c r="AU957" s="646"/>
      <c r="AV957" s="259"/>
      <c r="AW957" s="185" t="s">
        <v>1029</v>
      </c>
    </row>
    <row r="958" spans="1:49" ht="39" hidden="1" customHeight="1" outlineLevel="3" x14ac:dyDescent="0.25">
      <c r="A958" s="63" t="str">
        <f t="shared" si="215"/>
        <v>1.8.1.3.4.58-64</v>
      </c>
      <c r="B958" s="64">
        <v>1</v>
      </c>
      <c r="C958" s="64">
        <v>8</v>
      </c>
      <c r="D958" s="64">
        <v>1</v>
      </c>
      <c r="E958" s="64">
        <v>3</v>
      </c>
      <c r="F958" s="64">
        <v>4</v>
      </c>
      <c r="G958" s="64" t="s">
        <v>64</v>
      </c>
      <c r="H958" s="65"/>
      <c r="I958" s="65"/>
      <c r="J958" s="65"/>
      <c r="K958" s="67" t="s">
        <v>1034</v>
      </c>
      <c r="L958" s="64" t="s">
        <v>359</v>
      </c>
      <c r="M958" s="64" t="s">
        <v>930</v>
      </c>
      <c r="N958" s="64" t="s">
        <v>1025</v>
      </c>
      <c r="O958" s="64" t="s">
        <v>1026</v>
      </c>
      <c r="P958" s="64"/>
      <c r="Q958" s="64"/>
      <c r="R958" s="64"/>
      <c r="S958" s="65"/>
      <c r="T958" s="194"/>
      <c r="U958" s="75">
        <v>0</v>
      </c>
      <c r="V958" s="75"/>
      <c r="W958" s="75">
        <v>0</v>
      </c>
      <c r="X958" s="1122">
        <v>0</v>
      </c>
      <c r="Y958" s="75">
        <v>0</v>
      </c>
      <c r="Z958" s="75">
        <v>0</v>
      </c>
      <c r="AA958" s="1122">
        <v>0</v>
      </c>
      <c r="AB958" s="75">
        <v>0</v>
      </c>
      <c r="AC958" s="75">
        <v>0</v>
      </c>
      <c r="AD958" s="1122">
        <v>0</v>
      </c>
      <c r="AE958" s="75">
        <v>0</v>
      </c>
      <c r="AF958" s="75">
        <v>0</v>
      </c>
      <c r="AG958" s="1122">
        <v>0</v>
      </c>
      <c r="AH958" s="505">
        <f t="shared" si="245"/>
        <v>0</v>
      </c>
      <c r="AI958" s="132"/>
      <c r="AJ958" s="75">
        <f t="shared" si="244"/>
        <v>0</v>
      </c>
      <c r="AK958" s="75"/>
      <c r="AL958" s="75"/>
      <c r="AM958" s="75"/>
      <c r="AN958" s="64" t="s">
        <v>39</v>
      </c>
      <c r="AO958" s="64"/>
      <c r="AP958" s="64"/>
      <c r="AQ958" s="189"/>
      <c r="AR958" s="64"/>
      <c r="AS958" s="476"/>
      <c r="AT958" s="64"/>
      <c r="AU958" s="646"/>
      <c r="AV958" s="259"/>
      <c r="AW958" s="185" t="s">
        <v>1029</v>
      </c>
    </row>
    <row r="959" spans="1:49" ht="29.25" hidden="1" customHeight="1" outlineLevel="3" x14ac:dyDescent="0.25">
      <c r="A959" s="63" t="str">
        <f t="shared" si="215"/>
        <v>1.8.1.3.5.58-64</v>
      </c>
      <c r="B959" s="64">
        <v>1</v>
      </c>
      <c r="C959" s="64">
        <v>8</v>
      </c>
      <c r="D959" s="64">
        <v>1</v>
      </c>
      <c r="E959" s="64">
        <v>3</v>
      </c>
      <c r="F959" s="64">
        <v>5</v>
      </c>
      <c r="G959" s="64" t="s">
        <v>64</v>
      </c>
      <c r="H959" s="65"/>
      <c r="I959" s="65"/>
      <c r="J959" s="65"/>
      <c r="K959" s="65" t="s">
        <v>1035</v>
      </c>
      <c r="L959" s="64" t="s">
        <v>359</v>
      </c>
      <c r="M959" s="64" t="s">
        <v>1036</v>
      </c>
      <c r="N959" s="64" t="s">
        <v>1025</v>
      </c>
      <c r="O959" s="64" t="s">
        <v>1026</v>
      </c>
      <c r="P959" s="64"/>
      <c r="Q959" s="64"/>
      <c r="R959" s="64"/>
      <c r="S959" s="65"/>
      <c r="T959" s="194"/>
      <c r="U959" s="75">
        <v>0</v>
      </c>
      <c r="V959" s="75"/>
      <c r="W959" s="75">
        <v>0</v>
      </c>
      <c r="X959" s="1122">
        <v>0</v>
      </c>
      <c r="Y959" s="75">
        <v>0</v>
      </c>
      <c r="Z959" s="75">
        <v>0</v>
      </c>
      <c r="AA959" s="1122">
        <v>0</v>
      </c>
      <c r="AB959" s="75">
        <v>0</v>
      </c>
      <c r="AC959" s="75">
        <v>0</v>
      </c>
      <c r="AD959" s="1122">
        <v>0</v>
      </c>
      <c r="AE959" s="75">
        <v>0</v>
      </c>
      <c r="AF959" s="75">
        <v>0</v>
      </c>
      <c r="AG959" s="1122">
        <v>0</v>
      </c>
      <c r="AH959" s="505">
        <f t="shared" si="245"/>
        <v>0</v>
      </c>
      <c r="AI959" s="132"/>
      <c r="AJ959" s="75">
        <f t="shared" si="244"/>
        <v>0</v>
      </c>
      <c r="AK959" s="75"/>
      <c r="AL959" s="75"/>
      <c r="AM959" s="75"/>
      <c r="AN959" s="64" t="s">
        <v>39</v>
      </c>
      <c r="AO959" s="64"/>
      <c r="AP959" s="64"/>
      <c r="AQ959" s="189"/>
      <c r="AR959" s="64"/>
      <c r="AS959" s="476"/>
      <c r="AT959" s="64"/>
      <c r="AU959" s="646"/>
      <c r="AV959" s="259"/>
      <c r="AW959" s="185" t="s">
        <v>1029</v>
      </c>
    </row>
    <row r="960" spans="1:49" s="153" customFormat="1" ht="36" customHeight="1" outlineLevel="1" x14ac:dyDescent="0.25">
      <c r="A960" s="108" t="str">
        <f t="shared" si="215"/>
        <v>1.9.1.0.0.0</v>
      </c>
      <c r="B960" s="109">
        <v>1</v>
      </c>
      <c r="C960" s="109">
        <v>9</v>
      </c>
      <c r="D960" s="109">
        <v>1</v>
      </c>
      <c r="E960" s="109">
        <v>0</v>
      </c>
      <c r="F960" s="109">
        <v>0</v>
      </c>
      <c r="G960" s="109">
        <v>0</v>
      </c>
      <c r="H960" s="110"/>
      <c r="I960" s="1258" t="s">
        <v>1037</v>
      </c>
      <c r="J960" s="1259"/>
      <c r="K960" s="1259"/>
      <c r="L960" s="109" t="s">
        <v>359</v>
      </c>
      <c r="M960" s="113" t="s">
        <v>1038</v>
      </c>
      <c r="N960" s="109" t="s">
        <v>226</v>
      </c>
      <c r="O960" s="109" t="s">
        <v>1039</v>
      </c>
      <c r="P960" s="109"/>
      <c r="Q960" s="109"/>
      <c r="R960" s="109"/>
      <c r="S960" s="110"/>
      <c r="T960" s="1183"/>
      <c r="U960" s="374">
        <f t="shared" ref="U960:AH960" si="246">+U961</f>
        <v>0</v>
      </c>
      <c r="V960" s="1231">
        <f>+U960/56</f>
        <v>0</v>
      </c>
      <c r="W960" s="374">
        <f t="shared" si="246"/>
        <v>0</v>
      </c>
      <c r="X960" s="1144">
        <f t="shared" si="246"/>
        <v>0</v>
      </c>
      <c r="Y960" s="374">
        <f t="shared" si="246"/>
        <v>0</v>
      </c>
      <c r="Z960" s="374">
        <f t="shared" si="246"/>
        <v>0</v>
      </c>
      <c r="AA960" s="1144">
        <f t="shared" si="246"/>
        <v>0</v>
      </c>
      <c r="AB960" s="374">
        <f t="shared" si="246"/>
        <v>0</v>
      </c>
      <c r="AC960" s="374">
        <f t="shared" si="246"/>
        <v>0</v>
      </c>
      <c r="AD960" s="1144">
        <f t="shared" si="246"/>
        <v>0</v>
      </c>
      <c r="AE960" s="374">
        <f t="shared" si="246"/>
        <v>0</v>
      </c>
      <c r="AF960" s="374">
        <f t="shared" si="246"/>
        <v>0</v>
      </c>
      <c r="AG960" s="1144">
        <f t="shared" si="246"/>
        <v>0</v>
      </c>
      <c r="AH960" s="374">
        <f t="shared" si="246"/>
        <v>0</v>
      </c>
      <c r="AI960" s="514">
        <f>+AI961</f>
        <v>0</v>
      </c>
      <c r="AJ960" s="514">
        <f>+AJ961</f>
        <v>0</v>
      </c>
      <c r="AK960" s="112"/>
      <c r="AL960" s="112"/>
      <c r="AM960" s="112"/>
      <c r="AN960" s="109" t="s">
        <v>39</v>
      </c>
      <c r="AO960" s="109"/>
      <c r="AP960" s="109"/>
      <c r="AQ960" s="411"/>
      <c r="AR960" s="109"/>
      <c r="AS960" s="473"/>
      <c r="AT960" s="109"/>
      <c r="AU960" s="659"/>
      <c r="AV960" s="374">
        <f t="shared" ref="AV960" si="247">+AV961</f>
        <v>0</v>
      </c>
      <c r="AW960" s="445"/>
    </row>
    <row r="961" spans="1:49" s="153" customFormat="1" ht="31.5" customHeight="1" outlineLevel="1" collapsed="1" x14ac:dyDescent="0.25">
      <c r="A961" s="148" t="str">
        <f t="shared" si="215"/>
        <v>1.9.1.1.0.0</v>
      </c>
      <c r="B961" s="82">
        <v>1</v>
      </c>
      <c r="C961" s="82">
        <v>9</v>
      </c>
      <c r="D961" s="82">
        <v>1</v>
      </c>
      <c r="E961" s="82">
        <v>1</v>
      </c>
      <c r="F961" s="82">
        <v>0</v>
      </c>
      <c r="G961" s="82">
        <v>0</v>
      </c>
      <c r="H961" s="149"/>
      <c r="I961" s="149"/>
      <c r="J961" s="1260" t="s">
        <v>1038</v>
      </c>
      <c r="K961" s="1259"/>
      <c r="L961" s="82">
        <v>0</v>
      </c>
      <c r="M961" s="83" t="s">
        <v>1038</v>
      </c>
      <c r="N961" s="82" t="s">
        <v>226</v>
      </c>
      <c r="O961" s="82" t="s">
        <v>1039</v>
      </c>
      <c r="P961" s="82"/>
      <c r="Q961" s="82"/>
      <c r="R961" s="82"/>
      <c r="S961" s="149"/>
      <c r="T961" s="193"/>
      <c r="U961" s="379">
        <f>SUM(U962:U963)</f>
        <v>0</v>
      </c>
      <c r="V961" s="379"/>
      <c r="W961" s="379">
        <f t="shared" ref="W961:AM961" si="248">SUM(W962:W963)</f>
        <v>0</v>
      </c>
      <c r="X961" s="1130">
        <f t="shared" si="248"/>
        <v>0</v>
      </c>
      <c r="Y961" s="379">
        <f t="shared" si="248"/>
        <v>0</v>
      </c>
      <c r="Z961" s="379">
        <f t="shared" si="248"/>
        <v>0</v>
      </c>
      <c r="AA961" s="1130">
        <f t="shared" si="248"/>
        <v>0</v>
      </c>
      <c r="AB961" s="379">
        <f t="shared" si="248"/>
        <v>0</v>
      </c>
      <c r="AC961" s="379">
        <f t="shared" si="248"/>
        <v>0</v>
      </c>
      <c r="AD961" s="1130">
        <f t="shared" si="248"/>
        <v>0</v>
      </c>
      <c r="AE961" s="379">
        <f t="shared" si="248"/>
        <v>0</v>
      </c>
      <c r="AF961" s="379">
        <f t="shared" si="248"/>
        <v>0</v>
      </c>
      <c r="AG961" s="1130">
        <f t="shared" si="248"/>
        <v>0</v>
      </c>
      <c r="AH961" s="379">
        <f t="shared" si="248"/>
        <v>0</v>
      </c>
      <c r="AI961" s="512">
        <f t="shared" si="248"/>
        <v>0</v>
      </c>
      <c r="AJ961" s="512">
        <f>SUM(AJ962:AJ963)</f>
        <v>0</v>
      </c>
      <c r="AK961" s="512">
        <f t="shared" si="248"/>
        <v>0</v>
      </c>
      <c r="AL961" s="512">
        <f t="shared" si="248"/>
        <v>0</v>
      </c>
      <c r="AM961" s="512">
        <f t="shared" si="248"/>
        <v>0</v>
      </c>
      <c r="AN961" s="82" t="s">
        <v>39</v>
      </c>
      <c r="AO961" s="82"/>
      <c r="AP961" s="82"/>
      <c r="AQ961" s="365"/>
      <c r="AR961" s="82"/>
      <c r="AS961" s="483"/>
      <c r="AT961" s="82"/>
      <c r="AU961" s="666"/>
      <c r="AV961" s="379">
        <f t="shared" ref="AV961" si="249">SUM(AV962:AV963)</f>
        <v>0</v>
      </c>
      <c r="AW961" s="444"/>
    </row>
    <row r="962" spans="1:49" ht="30.75" hidden="1" customHeight="1" outlineLevel="2" x14ac:dyDescent="0.25">
      <c r="A962" s="63" t="str">
        <f t="shared" si="215"/>
        <v>1.9.1.1.1.58-64</v>
      </c>
      <c r="B962" s="64">
        <v>1</v>
      </c>
      <c r="C962" s="64">
        <v>9</v>
      </c>
      <c r="D962" s="64">
        <v>1</v>
      </c>
      <c r="E962" s="64">
        <v>1</v>
      </c>
      <c r="F962" s="64">
        <v>1</v>
      </c>
      <c r="G962" s="64" t="s">
        <v>64</v>
      </c>
      <c r="H962" s="65"/>
      <c r="I962" s="65"/>
      <c r="J962" s="66"/>
      <c r="K962" s="65" t="s">
        <v>1040</v>
      </c>
      <c r="L962" s="64" t="s">
        <v>910</v>
      </c>
      <c r="M962" s="68" t="s">
        <v>1038</v>
      </c>
      <c r="N962" s="64" t="s">
        <v>1041</v>
      </c>
      <c r="O962" s="64" t="s">
        <v>72</v>
      </c>
      <c r="P962" s="64"/>
      <c r="Q962" s="64"/>
      <c r="R962" s="64"/>
      <c r="S962" s="65"/>
      <c r="T962" s="194"/>
      <c r="U962" s="75">
        <v>0</v>
      </c>
      <c r="V962" s="75"/>
      <c r="W962" s="75">
        <v>0</v>
      </c>
      <c r="X962" s="1122">
        <v>0</v>
      </c>
      <c r="Y962" s="75">
        <v>0</v>
      </c>
      <c r="Z962" s="75">
        <v>0</v>
      </c>
      <c r="AA962" s="1122">
        <v>0</v>
      </c>
      <c r="AB962" s="75">
        <v>0</v>
      </c>
      <c r="AC962" s="75">
        <v>0</v>
      </c>
      <c r="AD962" s="1122">
        <v>0</v>
      </c>
      <c r="AE962" s="75">
        <v>0</v>
      </c>
      <c r="AF962" s="75">
        <v>0</v>
      </c>
      <c r="AG962" s="1122">
        <v>0</v>
      </c>
      <c r="AH962" s="505">
        <f>+U962+Y962+AB962+AE962</f>
        <v>0</v>
      </c>
      <c r="AI962" s="132"/>
      <c r="AJ962" s="75">
        <f t="shared" ref="AJ962:AJ963" si="250">+W963+Z963+AC963+AF963</f>
        <v>0</v>
      </c>
      <c r="AK962" s="75"/>
      <c r="AL962" s="75"/>
      <c r="AM962" s="75"/>
      <c r="AN962" s="64" t="s">
        <v>39</v>
      </c>
      <c r="AO962" s="64"/>
      <c r="AP962" s="64"/>
      <c r="AQ962" s="189"/>
      <c r="AR962" s="64"/>
      <c r="AS962" s="476"/>
      <c r="AT962" s="64"/>
      <c r="AU962" s="646"/>
      <c r="AV962" s="259"/>
      <c r="AW962" s="335" t="s">
        <v>2739</v>
      </c>
    </row>
    <row r="963" spans="1:49" ht="33" hidden="1" customHeight="1" outlineLevel="2" x14ac:dyDescent="0.25">
      <c r="A963" s="63" t="str">
        <f t="shared" si="215"/>
        <v>1.9.1.1.2.58-64</v>
      </c>
      <c r="B963" s="64">
        <v>1</v>
      </c>
      <c r="C963" s="64">
        <v>9</v>
      </c>
      <c r="D963" s="64">
        <v>1</v>
      </c>
      <c r="E963" s="64">
        <v>1</v>
      </c>
      <c r="F963" s="64">
        <v>2</v>
      </c>
      <c r="G963" s="64" t="s">
        <v>64</v>
      </c>
      <c r="H963" s="65"/>
      <c r="I963" s="65"/>
      <c r="J963" s="66"/>
      <c r="K963" s="65" t="s">
        <v>1042</v>
      </c>
      <c r="L963" s="68" t="s">
        <v>622</v>
      </c>
      <c r="M963" s="64" t="s">
        <v>359</v>
      </c>
      <c r="N963" s="64" t="s">
        <v>1043</v>
      </c>
      <c r="O963" s="64" t="s">
        <v>72</v>
      </c>
      <c r="P963" s="64"/>
      <c r="Q963" s="64"/>
      <c r="R963" s="64"/>
      <c r="S963" s="65"/>
      <c r="T963" s="194"/>
      <c r="U963" s="75">
        <v>0</v>
      </c>
      <c r="V963" s="75"/>
      <c r="W963" s="75">
        <v>0</v>
      </c>
      <c r="X963" s="1122">
        <v>0</v>
      </c>
      <c r="Y963" s="75">
        <v>0</v>
      </c>
      <c r="Z963" s="75">
        <v>0</v>
      </c>
      <c r="AA963" s="1122">
        <v>0</v>
      </c>
      <c r="AB963" s="75">
        <v>0</v>
      </c>
      <c r="AC963" s="75">
        <v>0</v>
      </c>
      <c r="AD963" s="1122">
        <v>0</v>
      </c>
      <c r="AE963" s="75">
        <v>0</v>
      </c>
      <c r="AF963" s="75">
        <v>0</v>
      </c>
      <c r="AG963" s="1122">
        <v>0</v>
      </c>
      <c r="AH963" s="505">
        <f>+U963+Y963+AB963+AE963</f>
        <v>0</v>
      </c>
      <c r="AI963" s="132"/>
      <c r="AJ963" s="75">
        <f t="shared" si="250"/>
        <v>0</v>
      </c>
      <c r="AK963" s="75"/>
      <c r="AL963" s="75"/>
      <c r="AM963" s="75"/>
      <c r="AN963" s="64" t="s">
        <v>39</v>
      </c>
      <c r="AO963" s="64"/>
      <c r="AP963" s="64"/>
      <c r="AQ963" s="189"/>
      <c r="AR963" s="64"/>
      <c r="AS963" s="476"/>
      <c r="AT963" s="64"/>
      <c r="AU963" s="646"/>
      <c r="AV963" s="259"/>
      <c r="AW963" s="185"/>
    </row>
    <row r="964" spans="1:49" s="153" customFormat="1" ht="69" customHeight="1" outlineLevel="1" x14ac:dyDescent="0.25">
      <c r="A964" s="108" t="str">
        <f t="shared" si="215"/>
        <v>1.10.2.0.0.0</v>
      </c>
      <c r="B964" s="109">
        <v>1</v>
      </c>
      <c r="C964" s="109">
        <v>10</v>
      </c>
      <c r="D964" s="109">
        <v>2</v>
      </c>
      <c r="E964" s="109">
        <v>0</v>
      </c>
      <c r="F964" s="109">
        <v>0</v>
      </c>
      <c r="G964" s="109">
        <v>0</v>
      </c>
      <c r="H964" s="110"/>
      <c r="I964" s="1258" t="s">
        <v>1044</v>
      </c>
      <c r="J964" s="1259"/>
      <c r="K964" s="1259"/>
      <c r="L964" s="699" t="s">
        <v>236</v>
      </c>
      <c r="M964" s="112" t="s">
        <v>1045</v>
      </c>
      <c r="N964" s="112" t="s">
        <v>1046</v>
      </c>
      <c r="O964" s="112" t="s">
        <v>1047</v>
      </c>
      <c r="P964" s="112"/>
      <c r="Q964" s="112"/>
      <c r="R964" s="112"/>
      <c r="S964" s="241"/>
      <c r="T964" s="1183"/>
      <c r="U964" s="112">
        <f>+U965+U981+U992</f>
        <v>23072738.82</v>
      </c>
      <c r="V964" s="1231">
        <f>+U964/56</f>
        <v>412013.19321428571</v>
      </c>
      <c r="W964" s="112">
        <f t="shared" ref="W964:AH964" si="251">+W965+W981+W992</f>
        <v>0</v>
      </c>
      <c r="X964" s="1116">
        <f t="shared" si="251"/>
        <v>0</v>
      </c>
      <c r="Y964" s="112">
        <f t="shared" si="251"/>
        <v>0</v>
      </c>
      <c r="Z964" s="112">
        <f t="shared" si="251"/>
        <v>0</v>
      </c>
      <c r="AA964" s="1116">
        <f t="shared" si="251"/>
        <v>0</v>
      </c>
      <c r="AB964" s="112">
        <f t="shared" si="251"/>
        <v>0</v>
      </c>
      <c r="AC964" s="112">
        <f t="shared" si="251"/>
        <v>0</v>
      </c>
      <c r="AD964" s="1116">
        <f t="shared" si="251"/>
        <v>0</v>
      </c>
      <c r="AE964" s="112">
        <f t="shared" si="251"/>
        <v>0</v>
      </c>
      <c r="AF964" s="112">
        <f t="shared" si="251"/>
        <v>0</v>
      </c>
      <c r="AG964" s="1116">
        <f t="shared" si="251"/>
        <v>0</v>
      </c>
      <c r="AH964" s="112">
        <f t="shared" si="251"/>
        <v>23072738.82</v>
      </c>
      <c r="AI964" s="514">
        <f>+AI965+AI981+AI992</f>
        <v>0</v>
      </c>
      <c r="AJ964" s="514">
        <f>+AJ965+AJ981+AJ992</f>
        <v>0</v>
      </c>
      <c r="AK964" s="112"/>
      <c r="AL964" s="112"/>
      <c r="AM964" s="112"/>
      <c r="AN964" s="109" t="s">
        <v>39</v>
      </c>
      <c r="AO964" s="109"/>
      <c r="AP964" s="109"/>
      <c r="AQ964" s="411"/>
      <c r="AR964" s="109"/>
      <c r="AS964" s="473"/>
      <c r="AT964" s="109"/>
      <c r="AU964" s="659"/>
      <c r="AV964" s="374">
        <f t="shared" ref="AV964" si="252">+AV965+AV981+AV992</f>
        <v>0</v>
      </c>
      <c r="AW964" s="429" t="s">
        <v>1048</v>
      </c>
    </row>
    <row r="965" spans="1:49" s="153" customFormat="1" ht="30" outlineLevel="1" collapsed="1" x14ac:dyDescent="0.25">
      <c r="A965" s="148" t="str">
        <f t="shared" si="215"/>
        <v>1.10.2.1.0.0</v>
      </c>
      <c r="B965" s="82">
        <v>1</v>
      </c>
      <c r="C965" s="82">
        <v>10</v>
      </c>
      <c r="D965" s="82">
        <v>2</v>
      </c>
      <c r="E965" s="82">
        <v>1</v>
      </c>
      <c r="F965" s="82">
        <v>0</v>
      </c>
      <c r="G965" s="82">
        <v>0</v>
      </c>
      <c r="H965" s="149"/>
      <c r="I965" s="149"/>
      <c r="J965" s="1260" t="s">
        <v>1049</v>
      </c>
      <c r="K965" s="1259"/>
      <c r="L965" s="82" t="s">
        <v>1050</v>
      </c>
      <c r="M965" s="83" t="s">
        <v>1051</v>
      </c>
      <c r="N965" s="82" t="s">
        <v>1046</v>
      </c>
      <c r="O965" s="82" t="s">
        <v>1052</v>
      </c>
      <c r="P965" s="82"/>
      <c r="Q965" s="82"/>
      <c r="R965" s="82"/>
      <c r="S965" s="149"/>
      <c r="T965" s="193"/>
      <c r="U965" s="209">
        <f>SUM(U966:U980)</f>
        <v>23072738.82</v>
      </c>
      <c r="V965" s="209"/>
      <c r="W965" s="209">
        <f t="shared" ref="W965:AG965" si="253">SUM(W966:W980)</f>
        <v>0</v>
      </c>
      <c r="X965" s="1133">
        <f t="shared" si="253"/>
        <v>0</v>
      </c>
      <c r="Y965" s="209">
        <f t="shared" si="253"/>
        <v>0</v>
      </c>
      <c r="Z965" s="209">
        <f t="shared" si="253"/>
        <v>0</v>
      </c>
      <c r="AA965" s="1133">
        <f t="shared" si="253"/>
        <v>0</v>
      </c>
      <c r="AB965" s="209">
        <f t="shared" si="253"/>
        <v>0</v>
      </c>
      <c r="AC965" s="209">
        <f t="shared" si="253"/>
        <v>0</v>
      </c>
      <c r="AD965" s="1133">
        <f t="shared" si="253"/>
        <v>0</v>
      </c>
      <c r="AE965" s="209">
        <f t="shared" si="253"/>
        <v>0</v>
      </c>
      <c r="AF965" s="209">
        <f t="shared" si="253"/>
        <v>0</v>
      </c>
      <c r="AG965" s="1133">
        <f t="shared" si="253"/>
        <v>0</v>
      </c>
      <c r="AH965" s="209">
        <f>SUM(AH966:AH980)</f>
        <v>23072738.82</v>
      </c>
      <c r="AI965" s="512">
        <f>+SUM(AI966:AI980)</f>
        <v>0</v>
      </c>
      <c r="AJ965" s="512">
        <f>+SUM(AJ966:AJ980)</f>
        <v>0</v>
      </c>
      <c r="AK965" s="152"/>
      <c r="AL965" s="152"/>
      <c r="AM965" s="152"/>
      <c r="AN965" s="82" t="s">
        <v>39</v>
      </c>
      <c r="AO965" s="82"/>
      <c r="AP965" s="82"/>
      <c r="AQ965" s="365"/>
      <c r="AR965" s="82"/>
      <c r="AS965" s="483"/>
      <c r="AT965" s="82"/>
      <c r="AU965" s="666"/>
      <c r="AV965" s="379">
        <f t="shared" ref="AV965" si="254">+SUM(AV966:AV980)</f>
        <v>0</v>
      </c>
      <c r="AW965" s="449" t="s">
        <v>1053</v>
      </c>
    </row>
    <row r="966" spans="1:49" ht="48" hidden="1" customHeight="1" outlineLevel="2" x14ac:dyDescent="0.25">
      <c r="A966" s="63" t="str">
        <f t="shared" si="215"/>
        <v>1.10.2.1.1.58</v>
      </c>
      <c r="B966" s="64">
        <v>1</v>
      </c>
      <c r="C966" s="64">
        <v>10</v>
      </c>
      <c r="D966" s="64">
        <v>2</v>
      </c>
      <c r="E966" s="64">
        <v>1</v>
      </c>
      <c r="F966" s="64">
        <v>1</v>
      </c>
      <c r="G966" s="64">
        <v>58</v>
      </c>
      <c r="H966" s="65"/>
      <c r="I966" s="65"/>
      <c r="J966" s="65"/>
      <c r="K966" s="67" t="s">
        <v>1054</v>
      </c>
      <c r="L966" s="64" t="s">
        <v>1050</v>
      </c>
      <c r="M966" s="64" t="s">
        <v>1051</v>
      </c>
      <c r="N966" s="64" t="s">
        <v>1046</v>
      </c>
      <c r="O966" s="64" t="s">
        <v>1047</v>
      </c>
      <c r="P966" s="170" t="s">
        <v>1055</v>
      </c>
      <c r="Q966" s="170"/>
      <c r="R966" s="170"/>
      <c r="S966" s="170"/>
      <c r="T966" s="1188"/>
      <c r="U966" s="97">
        <v>0</v>
      </c>
      <c r="V966" s="97"/>
      <c r="W966" s="97">
        <v>0</v>
      </c>
      <c r="X966" s="1134">
        <v>0</v>
      </c>
      <c r="Y966" s="97">
        <v>0</v>
      </c>
      <c r="Z966" s="97">
        <v>0</v>
      </c>
      <c r="AA966" s="1134">
        <v>0</v>
      </c>
      <c r="AB966" s="97">
        <v>0</v>
      </c>
      <c r="AC966" s="97">
        <v>0</v>
      </c>
      <c r="AD966" s="1134">
        <v>0</v>
      </c>
      <c r="AE966" s="97">
        <v>0</v>
      </c>
      <c r="AF966" s="97">
        <v>0</v>
      </c>
      <c r="AG966" s="1134">
        <v>0</v>
      </c>
      <c r="AH966" s="505">
        <f>+U966+Y966+AB966+AE966</f>
        <v>0</v>
      </c>
      <c r="AI966" s="132"/>
      <c r="AJ966" s="75">
        <f t="shared" ref="AJ966:AJ980" si="255">+W967+Z967+AC967+AF967</f>
        <v>0</v>
      </c>
      <c r="AK966" s="75"/>
      <c r="AL966" s="75"/>
      <c r="AM966" s="75"/>
      <c r="AN966" s="171" t="s">
        <v>39</v>
      </c>
      <c r="AO966" s="171"/>
      <c r="AP966" s="171"/>
      <c r="AQ966" s="418"/>
      <c r="AS966" s="484"/>
      <c r="AV966" s="353"/>
      <c r="AW966" s="185"/>
    </row>
    <row r="967" spans="1:49" ht="48" hidden="1" customHeight="1" outlineLevel="2" x14ac:dyDescent="0.25">
      <c r="A967" s="63" t="str">
        <f t="shared" si="215"/>
        <v>1.10.2.1.1.62</v>
      </c>
      <c r="B967" s="64">
        <v>1</v>
      </c>
      <c r="C967" s="64">
        <v>10</v>
      </c>
      <c r="D967" s="64">
        <v>2</v>
      </c>
      <c r="E967" s="64">
        <v>1</v>
      </c>
      <c r="F967" s="64">
        <v>1</v>
      </c>
      <c r="G967" s="64">
        <v>62</v>
      </c>
      <c r="H967" s="65"/>
      <c r="I967" s="65"/>
      <c r="J967" s="65"/>
      <c r="K967" s="67" t="s">
        <v>1056</v>
      </c>
      <c r="L967" s="64" t="s">
        <v>1050</v>
      </c>
      <c r="M967" s="64" t="s">
        <v>1051</v>
      </c>
      <c r="N967" s="64" t="s">
        <v>1046</v>
      </c>
      <c r="O967" s="64" t="s">
        <v>1047</v>
      </c>
      <c r="P967" s="170"/>
      <c r="Q967" s="170"/>
      <c r="R967" s="170"/>
      <c r="S967" s="170"/>
      <c r="T967" s="1188"/>
      <c r="U967" s="97">
        <v>0</v>
      </c>
      <c r="V967" s="97"/>
      <c r="W967" s="97">
        <v>0</v>
      </c>
      <c r="X967" s="1134">
        <v>0</v>
      </c>
      <c r="Y967" s="97">
        <v>0</v>
      </c>
      <c r="Z967" s="97">
        <v>0</v>
      </c>
      <c r="AA967" s="1134">
        <v>0</v>
      </c>
      <c r="AB967" s="97">
        <v>0</v>
      </c>
      <c r="AC967" s="97">
        <v>0</v>
      </c>
      <c r="AD967" s="1134">
        <v>0</v>
      </c>
      <c r="AE967" s="97">
        <v>0</v>
      </c>
      <c r="AF967" s="97">
        <v>0</v>
      </c>
      <c r="AG967" s="1134">
        <v>0</v>
      </c>
      <c r="AH967" s="505">
        <f t="shared" ref="AH967:AH980" si="256">+U967+Y967+AB967+AE967</f>
        <v>0</v>
      </c>
      <c r="AI967" s="132"/>
      <c r="AJ967" s="75">
        <f t="shared" si="255"/>
        <v>0</v>
      </c>
      <c r="AK967" s="75"/>
      <c r="AL967" s="75"/>
      <c r="AM967" s="75"/>
      <c r="AN967" s="171" t="s">
        <v>39</v>
      </c>
      <c r="AO967" s="171"/>
      <c r="AP967" s="171"/>
      <c r="AQ967" s="418"/>
      <c r="AS967" s="484"/>
      <c r="AV967" s="353"/>
      <c r="AW967" s="185"/>
    </row>
    <row r="968" spans="1:49" ht="48" hidden="1" customHeight="1" outlineLevel="2" x14ac:dyDescent="0.25">
      <c r="A968" s="63" t="str">
        <f t="shared" si="215"/>
        <v>1.10.2.1.1.63</v>
      </c>
      <c r="B968" s="64">
        <v>1</v>
      </c>
      <c r="C968" s="64">
        <v>10</v>
      </c>
      <c r="D968" s="64">
        <v>2</v>
      </c>
      <c r="E968" s="64">
        <v>1</v>
      </c>
      <c r="F968" s="64">
        <v>1</v>
      </c>
      <c r="G968" s="64">
        <v>63</v>
      </c>
      <c r="H968" s="65"/>
      <c r="I968" s="65"/>
      <c r="J968" s="65"/>
      <c r="K968" s="67" t="s">
        <v>1770</v>
      </c>
      <c r="L968" s="64" t="s">
        <v>1050</v>
      </c>
      <c r="M968" s="64" t="s">
        <v>1051</v>
      </c>
      <c r="N968" s="64" t="s">
        <v>1046</v>
      </c>
      <c r="O968" s="64" t="s">
        <v>1047</v>
      </c>
      <c r="P968" s="170"/>
      <c r="Q968" s="170"/>
      <c r="R968" s="170"/>
      <c r="S968" s="170"/>
      <c r="T968" s="1188"/>
      <c r="U968" s="97">
        <v>0</v>
      </c>
      <c r="V968" s="97"/>
      <c r="W968" s="97">
        <v>0</v>
      </c>
      <c r="X968" s="1134">
        <v>0</v>
      </c>
      <c r="Y968" s="97">
        <v>0</v>
      </c>
      <c r="Z968" s="97">
        <v>0</v>
      </c>
      <c r="AA968" s="1134">
        <v>0</v>
      </c>
      <c r="AB968" s="97">
        <v>0</v>
      </c>
      <c r="AC968" s="97">
        <v>0</v>
      </c>
      <c r="AD968" s="1134">
        <v>0</v>
      </c>
      <c r="AE968" s="97">
        <v>0</v>
      </c>
      <c r="AF968" s="97">
        <v>0</v>
      </c>
      <c r="AG968" s="1134">
        <v>0</v>
      </c>
      <c r="AH968" s="505">
        <f t="shared" si="256"/>
        <v>0</v>
      </c>
      <c r="AI968" s="132"/>
      <c r="AJ968" s="75">
        <f t="shared" si="255"/>
        <v>0</v>
      </c>
      <c r="AK968" s="75"/>
      <c r="AL968" s="75"/>
      <c r="AM968" s="75"/>
      <c r="AN968" s="171" t="s">
        <v>39</v>
      </c>
      <c r="AO968" s="171"/>
      <c r="AP968" s="171"/>
      <c r="AQ968" s="418"/>
      <c r="AS968" s="484"/>
      <c r="AV968" s="353"/>
      <c r="AW968" s="185"/>
    </row>
    <row r="969" spans="1:49" ht="48" hidden="1" customHeight="1" outlineLevel="2" x14ac:dyDescent="0.25">
      <c r="A969" s="63" t="str">
        <f t="shared" si="215"/>
        <v>1.10.2.1.1.64</v>
      </c>
      <c r="B969" s="64">
        <v>1</v>
      </c>
      <c r="C969" s="64">
        <v>10</v>
      </c>
      <c r="D969" s="64">
        <v>2</v>
      </c>
      <c r="E969" s="64">
        <v>1</v>
      </c>
      <c r="F969" s="64">
        <v>1</v>
      </c>
      <c r="G969" s="100">
        <v>64</v>
      </c>
      <c r="H969" s="65"/>
      <c r="I969" s="65"/>
      <c r="J969" s="65"/>
      <c r="K969" s="67" t="s">
        <v>1057</v>
      </c>
      <c r="L969" s="64" t="s">
        <v>1050</v>
      </c>
      <c r="M969" s="64" t="s">
        <v>1051</v>
      </c>
      <c r="N969" s="64" t="s">
        <v>1046</v>
      </c>
      <c r="O969" s="64" t="s">
        <v>1047</v>
      </c>
      <c r="P969" s="170"/>
      <c r="Q969" s="197">
        <v>44630</v>
      </c>
      <c r="R969" s="170"/>
      <c r="S969" s="170"/>
      <c r="T969" s="1188"/>
      <c r="U969" s="97">
        <v>0</v>
      </c>
      <c r="V969" s="97"/>
      <c r="W969" s="97">
        <v>0</v>
      </c>
      <c r="X969" s="1134">
        <v>0</v>
      </c>
      <c r="Y969" s="97">
        <v>0</v>
      </c>
      <c r="Z969" s="97">
        <v>0</v>
      </c>
      <c r="AA969" s="1134">
        <v>0</v>
      </c>
      <c r="AB969" s="97">
        <v>0</v>
      </c>
      <c r="AC969" s="97">
        <v>0</v>
      </c>
      <c r="AD969" s="1134">
        <v>0</v>
      </c>
      <c r="AE969" s="97">
        <v>0</v>
      </c>
      <c r="AF969" s="97">
        <v>0</v>
      </c>
      <c r="AG969" s="1134">
        <v>0</v>
      </c>
      <c r="AH969" s="505">
        <f t="shared" si="256"/>
        <v>0</v>
      </c>
      <c r="AI969" s="132"/>
      <c r="AJ969" s="75">
        <f t="shared" si="255"/>
        <v>0</v>
      </c>
      <c r="AK969" s="75"/>
      <c r="AL969" s="75"/>
      <c r="AM969" s="75"/>
      <c r="AN969" s="171" t="s">
        <v>39</v>
      </c>
      <c r="AO969" s="171"/>
      <c r="AP969" s="171"/>
      <c r="AQ969" s="418"/>
      <c r="AS969" s="484"/>
      <c r="AV969" s="353"/>
      <c r="AW969" s="335" t="s">
        <v>2604</v>
      </c>
    </row>
    <row r="970" spans="1:49" ht="48" hidden="1" customHeight="1" outlineLevel="2" x14ac:dyDescent="0.25">
      <c r="A970" s="63" t="str">
        <f t="shared" si="215"/>
        <v>1.10.2.1.2.58</v>
      </c>
      <c r="B970" s="64">
        <v>1</v>
      </c>
      <c r="C970" s="64">
        <v>10</v>
      </c>
      <c r="D970" s="64">
        <v>2</v>
      </c>
      <c r="E970" s="64">
        <v>1</v>
      </c>
      <c r="F970" s="64">
        <v>2</v>
      </c>
      <c r="G970" s="64">
        <v>58</v>
      </c>
      <c r="H970" s="65"/>
      <c r="I970" s="65"/>
      <c r="J970" s="66"/>
      <c r="K970" s="67" t="s">
        <v>1059</v>
      </c>
      <c r="L970" s="64" t="s">
        <v>1050</v>
      </c>
      <c r="M970" s="64" t="s">
        <v>758</v>
      </c>
      <c r="N970" s="64" t="s">
        <v>1046</v>
      </c>
      <c r="O970" s="64" t="s">
        <v>1047</v>
      </c>
      <c r="P970" s="170" t="s">
        <v>1055</v>
      </c>
      <c r="Q970" s="170"/>
      <c r="R970" s="170"/>
      <c r="S970" s="170"/>
      <c r="T970" s="1188"/>
      <c r="U970" s="97">
        <v>0</v>
      </c>
      <c r="V970" s="97"/>
      <c r="W970" s="97">
        <v>0</v>
      </c>
      <c r="X970" s="1134">
        <v>0</v>
      </c>
      <c r="Y970" s="97">
        <v>0</v>
      </c>
      <c r="Z970" s="97">
        <v>0</v>
      </c>
      <c r="AA970" s="1134">
        <v>0</v>
      </c>
      <c r="AB970" s="97">
        <v>0</v>
      </c>
      <c r="AC970" s="97">
        <v>0</v>
      </c>
      <c r="AD970" s="1134">
        <v>0</v>
      </c>
      <c r="AE970" s="97">
        <v>0</v>
      </c>
      <c r="AF970" s="97">
        <v>0</v>
      </c>
      <c r="AG970" s="1134">
        <v>0</v>
      </c>
      <c r="AH970" s="505">
        <f t="shared" si="256"/>
        <v>0</v>
      </c>
      <c r="AI970" s="132"/>
      <c r="AJ970" s="75">
        <f t="shared" si="255"/>
        <v>0</v>
      </c>
      <c r="AK970" s="75"/>
      <c r="AL970" s="75"/>
      <c r="AM970" s="75"/>
      <c r="AN970" s="171" t="s">
        <v>39</v>
      </c>
      <c r="AO970" s="171"/>
      <c r="AP970" s="171"/>
      <c r="AQ970" s="418"/>
      <c r="AS970" s="484"/>
      <c r="AV970" s="353"/>
      <c r="AW970" s="185"/>
    </row>
    <row r="971" spans="1:49" ht="48" hidden="1" customHeight="1" outlineLevel="2" x14ac:dyDescent="0.25">
      <c r="A971" s="63" t="str">
        <f t="shared" si="215"/>
        <v>1.10.2.1.2.62</v>
      </c>
      <c r="B971" s="64">
        <v>1</v>
      </c>
      <c r="C971" s="64">
        <v>10</v>
      </c>
      <c r="D971" s="64">
        <v>2</v>
      </c>
      <c r="E971" s="64">
        <v>1</v>
      </c>
      <c r="F971" s="64">
        <v>2</v>
      </c>
      <c r="G971" s="64">
        <v>62</v>
      </c>
      <c r="H971" s="65"/>
      <c r="I971" s="65"/>
      <c r="J971" s="66"/>
      <c r="K971" s="67" t="s">
        <v>1060</v>
      </c>
      <c r="L971" s="64" t="s">
        <v>1050</v>
      </c>
      <c r="M971" s="64" t="s">
        <v>758</v>
      </c>
      <c r="N971" s="64" t="s">
        <v>1046</v>
      </c>
      <c r="O971" s="64" t="s">
        <v>1047</v>
      </c>
      <c r="P971" s="170"/>
      <c r="Q971" s="170"/>
      <c r="R971" s="170"/>
      <c r="S971" s="170"/>
      <c r="T971" s="1188"/>
      <c r="U971" s="97">
        <v>0</v>
      </c>
      <c r="V971" s="97"/>
      <c r="W971" s="97">
        <v>0</v>
      </c>
      <c r="X971" s="1134">
        <v>0</v>
      </c>
      <c r="Y971" s="97">
        <v>0</v>
      </c>
      <c r="Z971" s="97">
        <v>0</v>
      </c>
      <c r="AA971" s="1134">
        <v>0</v>
      </c>
      <c r="AB971" s="97">
        <v>0</v>
      </c>
      <c r="AC971" s="97">
        <v>0</v>
      </c>
      <c r="AD971" s="1134">
        <v>0</v>
      </c>
      <c r="AE971" s="97">
        <v>0</v>
      </c>
      <c r="AF971" s="97">
        <v>0</v>
      </c>
      <c r="AG971" s="1134">
        <v>0</v>
      </c>
      <c r="AH971" s="505">
        <f t="shared" si="256"/>
        <v>0</v>
      </c>
      <c r="AI971" s="132"/>
      <c r="AJ971" s="75">
        <f t="shared" si="255"/>
        <v>0</v>
      </c>
      <c r="AK971" s="75"/>
      <c r="AL971" s="75"/>
      <c r="AM971" s="75"/>
      <c r="AN971" s="171" t="s">
        <v>39</v>
      </c>
      <c r="AO971" s="171"/>
      <c r="AP971" s="171"/>
      <c r="AQ971" s="418"/>
      <c r="AS971" s="484"/>
      <c r="AV971" s="353"/>
      <c r="AW971" s="185"/>
    </row>
    <row r="972" spans="1:49" ht="48" hidden="1" customHeight="1" outlineLevel="2" x14ac:dyDescent="0.25">
      <c r="A972" s="63" t="str">
        <f t="shared" si="215"/>
        <v>1.10.2.1.2.63</v>
      </c>
      <c r="B972" s="64">
        <v>1</v>
      </c>
      <c r="C972" s="64">
        <v>10</v>
      </c>
      <c r="D972" s="64">
        <v>2</v>
      </c>
      <c r="E972" s="64">
        <v>1</v>
      </c>
      <c r="F972" s="64">
        <v>2</v>
      </c>
      <c r="G972" s="64">
        <v>63</v>
      </c>
      <c r="H972" s="65"/>
      <c r="I972" s="65"/>
      <c r="J972" s="66"/>
      <c r="K972" s="67" t="s">
        <v>1771</v>
      </c>
      <c r="L972" s="64" t="s">
        <v>1050</v>
      </c>
      <c r="M972" s="64" t="s">
        <v>758</v>
      </c>
      <c r="N972" s="64" t="s">
        <v>1046</v>
      </c>
      <c r="O972" s="64" t="s">
        <v>1047</v>
      </c>
      <c r="P972" s="170"/>
      <c r="Q972" s="170"/>
      <c r="R972" s="170"/>
      <c r="S972" s="170"/>
      <c r="T972" s="1188"/>
      <c r="U972" s="97">
        <v>0</v>
      </c>
      <c r="V972" s="97"/>
      <c r="W972" s="97">
        <v>0</v>
      </c>
      <c r="X972" s="1134">
        <v>0</v>
      </c>
      <c r="Y972" s="97">
        <v>0</v>
      </c>
      <c r="Z972" s="97">
        <v>0</v>
      </c>
      <c r="AA972" s="1134">
        <v>0</v>
      </c>
      <c r="AB972" s="97">
        <v>0</v>
      </c>
      <c r="AC972" s="97">
        <v>0</v>
      </c>
      <c r="AD972" s="1134">
        <v>0</v>
      </c>
      <c r="AE972" s="97">
        <v>0</v>
      </c>
      <c r="AF972" s="97">
        <v>0</v>
      </c>
      <c r="AG972" s="1134">
        <v>0</v>
      </c>
      <c r="AH972" s="505">
        <f t="shared" si="256"/>
        <v>0</v>
      </c>
      <c r="AI972" s="132"/>
      <c r="AJ972" s="75">
        <f t="shared" si="255"/>
        <v>0</v>
      </c>
      <c r="AK972" s="75"/>
      <c r="AL972" s="75"/>
      <c r="AM972" s="75"/>
      <c r="AN972" s="171" t="s">
        <v>39</v>
      </c>
      <c r="AO972" s="171"/>
      <c r="AP972" s="171"/>
      <c r="AQ972" s="418"/>
      <c r="AS972" s="484"/>
      <c r="AV972" s="353"/>
      <c r="AW972" s="185"/>
    </row>
    <row r="973" spans="1:49" ht="48" hidden="1" customHeight="1" outlineLevel="2" x14ac:dyDescent="0.25">
      <c r="A973" s="63" t="str">
        <f t="shared" si="215"/>
        <v>1.10.2.1.2.64</v>
      </c>
      <c r="B973" s="64">
        <v>1</v>
      </c>
      <c r="C973" s="64">
        <v>10</v>
      </c>
      <c r="D973" s="64">
        <v>2</v>
      </c>
      <c r="E973" s="64">
        <v>1</v>
      </c>
      <c r="F973" s="64">
        <v>2</v>
      </c>
      <c r="G973" s="64">
        <v>64</v>
      </c>
      <c r="H973" s="65"/>
      <c r="I973" s="65"/>
      <c r="J973" s="66"/>
      <c r="K973" s="67" t="s">
        <v>1061</v>
      </c>
      <c r="L973" s="64" t="s">
        <v>1050</v>
      </c>
      <c r="M973" s="64" t="s">
        <v>758</v>
      </c>
      <c r="N973" s="64" t="s">
        <v>1046</v>
      </c>
      <c r="O973" s="64" t="s">
        <v>1047</v>
      </c>
      <c r="P973" s="170"/>
      <c r="Q973" s="170"/>
      <c r="R973" s="170"/>
      <c r="S973" s="170"/>
      <c r="T973" s="1188"/>
      <c r="U973" s="97">
        <v>0</v>
      </c>
      <c r="V973" s="97"/>
      <c r="W973" s="97">
        <v>0</v>
      </c>
      <c r="X973" s="1134">
        <v>0</v>
      </c>
      <c r="Y973" s="97">
        <v>0</v>
      </c>
      <c r="Z973" s="97">
        <v>0</v>
      </c>
      <c r="AA973" s="1134">
        <v>0</v>
      </c>
      <c r="AB973" s="97">
        <v>0</v>
      </c>
      <c r="AC973" s="97">
        <v>0</v>
      </c>
      <c r="AD973" s="1134">
        <v>0</v>
      </c>
      <c r="AE973" s="97">
        <v>0</v>
      </c>
      <c r="AF973" s="97">
        <v>0</v>
      </c>
      <c r="AG973" s="1134">
        <v>0</v>
      </c>
      <c r="AH973" s="505">
        <f t="shared" si="256"/>
        <v>0</v>
      </c>
      <c r="AI973" s="132"/>
      <c r="AJ973" s="75">
        <f t="shared" si="255"/>
        <v>0</v>
      </c>
      <c r="AK973" s="75"/>
      <c r="AL973" s="75"/>
      <c r="AM973" s="75"/>
      <c r="AN973" s="171" t="s">
        <v>39</v>
      </c>
      <c r="AO973" s="171"/>
      <c r="AP973" s="171"/>
      <c r="AQ973" s="418"/>
      <c r="AS973" s="484"/>
      <c r="AV973" s="353"/>
      <c r="AW973" s="185"/>
    </row>
    <row r="974" spans="1:49" ht="48" hidden="1" customHeight="1" outlineLevel="2" x14ac:dyDescent="0.25">
      <c r="A974" s="63" t="str">
        <f>CONCATENATE(B974,".",C974,".",D974,".",E974,".",F974,".",G974)</f>
        <v>1.10.2.1.3.60-61-64</v>
      </c>
      <c r="B974" s="64">
        <v>1</v>
      </c>
      <c r="C974" s="64">
        <v>10</v>
      </c>
      <c r="D974" s="64">
        <v>2</v>
      </c>
      <c r="E974" s="64">
        <v>1</v>
      </c>
      <c r="F974" s="64">
        <v>3</v>
      </c>
      <c r="G974" s="64" t="s">
        <v>1062</v>
      </c>
      <c r="H974" s="65"/>
      <c r="I974" s="65"/>
      <c r="J974" s="66"/>
      <c r="K974" s="67" t="s">
        <v>1063</v>
      </c>
      <c r="L974" s="64" t="s">
        <v>1050</v>
      </c>
      <c r="M974" s="68" t="s">
        <v>1064</v>
      </c>
      <c r="N974" s="68" t="s">
        <v>1065</v>
      </c>
      <c r="O974" s="64" t="s">
        <v>1066</v>
      </c>
      <c r="P974" s="63" t="s">
        <v>1067</v>
      </c>
      <c r="Q974" s="170"/>
      <c r="R974" s="170"/>
      <c r="S974" s="170"/>
      <c r="T974" s="1188"/>
      <c r="U974" s="97">
        <v>0</v>
      </c>
      <c r="V974" s="97"/>
      <c r="W974" s="97">
        <v>0</v>
      </c>
      <c r="X974" s="1134">
        <v>0</v>
      </c>
      <c r="Y974" s="97">
        <v>0</v>
      </c>
      <c r="Z974" s="97">
        <v>0</v>
      </c>
      <c r="AA974" s="1134">
        <v>0</v>
      </c>
      <c r="AB974" s="97">
        <v>0</v>
      </c>
      <c r="AC974" s="97">
        <v>0</v>
      </c>
      <c r="AD974" s="1134">
        <v>0</v>
      </c>
      <c r="AE974" s="97">
        <v>0</v>
      </c>
      <c r="AF974" s="97">
        <v>0</v>
      </c>
      <c r="AG974" s="1134">
        <v>0</v>
      </c>
      <c r="AH974" s="505">
        <f t="shared" si="256"/>
        <v>0</v>
      </c>
      <c r="AI974" s="132"/>
      <c r="AJ974" s="75">
        <f t="shared" si="255"/>
        <v>0</v>
      </c>
      <c r="AK974" s="75"/>
      <c r="AL974" s="75"/>
      <c r="AM974" s="75"/>
      <c r="AN974" s="171" t="s">
        <v>39</v>
      </c>
      <c r="AO974" s="171"/>
      <c r="AP974" s="171"/>
      <c r="AQ974" s="418"/>
      <c r="AS974" s="484"/>
      <c r="AV974" s="353"/>
      <c r="AW974" s="185"/>
    </row>
    <row r="975" spans="1:49" ht="101.25" hidden="1" customHeight="1" outlineLevel="2" x14ac:dyDescent="0.25">
      <c r="A975" s="63" t="str">
        <f>CONCATENATE(B975,".",C975,".",D975,".",E975,".",F975,".",G975)</f>
        <v>1.10.2.1.4.60</v>
      </c>
      <c r="B975" s="64">
        <v>1</v>
      </c>
      <c r="C975" s="64">
        <v>10</v>
      </c>
      <c r="D975" s="64">
        <v>2</v>
      </c>
      <c r="E975" s="64">
        <v>1</v>
      </c>
      <c r="F975" s="64">
        <v>4</v>
      </c>
      <c r="G975" s="100">
        <v>60</v>
      </c>
      <c r="H975" s="65"/>
      <c r="I975" s="65"/>
      <c r="J975" s="65"/>
      <c r="K975" s="67" t="s">
        <v>1068</v>
      </c>
      <c r="L975" s="64" t="s">
        <v>1050</v>
      </c>
      <c r="M975" s="68" t="s">
        <v>1064</v>
      </c>
      <c r="N975" s="64" t="s">
        <v>1046</v>
      </c>
      <c r="O975" s="64" t="s">
        <v>1047</v>
      </c>
      <c r="P975" s="69">
        <v>44931</v>
      </c>
      <c r="Q975" s="69">
        <v>45290</v>
      </c>
      <c r="R975" s="64">
        <v>48</v>
      </c>
      <c r="S975" s="65" t="s">
        <v>1069</v>
      </c>
      <c r="T975" s="194"/>
      <c r="U975" s="97">
        <v>0</v>
      </c>
      <c r="V975" s="97"/>
      <c r="W975" s="97">
        <v>0</v>
      </c>
      <c r="X975" s="1134">
        <v>0</v>
      </c>
      <c r="Y975" s="97">
        <v>0</v>
      </c>
      <c r="Z975" s="97">
        <v>0</v>
      </c>
      <c r="AA975" s="1134">
        <v>0</v>
      </c>
      <c r="AB975" s="97">
        <v>0</v>
      </c>
      <c r="AC975" s="97">
        <v>0</v>
      </c>
      <c r="AD975" s="1134">
        <v>0</v>
      </c>
      <c r="AE975" s="97">
        <v>0</v>
      </c>
      <c r="AF975" s="97">
        <v>0</v>
      </c>
      <c r="AG975" s="1134">
        <v>0</v>
      </c>
      <c r="AH975" s="505">
        <f t="shared" si="256"/>
        <v>0</v>
      </c>
      <c r="AI975" s="132"/>
      <c r="AJ975" s="75">
        <f t="shared" si="255"/>
        <v>0</v>
      </c>
      <c r="AK975" s="75"/>
      <c r="AL975" s="75"/>
      <c r="AM975" s="75"/>
      <c r="AN975" s="171" t="s">
        <v>39</v>
      </c>
      <c r="AO975" s="171" t="s">
        <v>1819</v>
      </c>
      <c r="AP975" s="171" t="s">
        <v>2204</v>
      </c>
      <c r="AQ975" s="418"/>
      <c r="AS975" s="484"/>
      <c r="AT975" s="886" t="s">
        <v>2242</v>
      </c>
      <c r="AU975" s="879" t="s">
        <v>2243</v>
      </c>
      <c r="AV975" s="343" t="s">
        <v>1070</v>
      </c>
      <c r="AW975" s="335" t="s">
        <v>2605</v>
      </c>
    </row>
    <row r="976" spans="1:49" ht="45" hidden="1" customHeight="1" outlineLevel="2" x14ac:dyDescent="0.25">
      <c r="A976" s="63" t="str">
        <f>CONCATENATE(B976,".",C976,".",D976,".",E976,".",F976,".",G976)</f>
        <v>1.10.2.1.4.61</v>
      </c>
      <c r="B976" s="64">
        <v>1</v>
      </c>
      <c r="C976" s="64">
        <v>10</v>
      </c>
      <c r="D976" s="64">
        <v>2</v>
      </c>
      <c r="E976" s="64">
        <v>1</v>
      </c>
      <c r="F976" s="64">
        <v>4</v>
      </c>
      <c r="G976" s="100">
        <v>61</v>
      </c>
      <c r="H976" s="65"/>
      <c r="I976" s="65"/>
      <c r="J976" s="65"/>
      <c r="K976" s="65" t="s">
        <v>1072</v>
      </c>
      <c r="L976" s="64" t="s">
        <v>1050</v>
      </c>
      <c r="M976" s="64" t="s">
        <v>1051</v>
      </c>
      <c r="N976" s="64" t="s">
        <v>1046</v>
      </c>
      <c r="O976" s="64" t="s">
        <v>1047</v>
      </c>
      <c r="P976" s="69">
        <v>44931</v>
      </c>
      <c r="Q976" s="69">
        <v>45290</v>
      </c>
      <c r="R976" s="64">
        <v>39.4</v>
      </c>
      <c r="S976" s="65" t="s">
        <v>1069</v>
      </c>
      <c r="T976" s="194"/>
      <c r="U976" s="97">
        <v>23072738.82</v>
      </c>
      <c r="V976" s="97"/>
      <c r="W976" s="97">
        <v>0</v>
      </c>
      <c r="X976" s="1134">
        <v>0</v>
      </c>
      <c r="Y976" s="97">
        <v>0</v>
      </c>
      <c r="Z976" s="97">
        <v>0</v>
      </c>
      <c r="AA976" s="1134">
        <v>0</v>
      </c>
      <c r="AB976" s="97">
        <v>0</v>
      </c>
      <c r="AC976" s="97">
        <v>0</v>
      </c>
      <c r="AD976" s="1134">
        <v>0</v>
      </c>
      <c r="AE976" s="97">
        <v>0</v>
      </c>
      <c r="AF976" s="97">
        <v>0</v>
      </c>
      <c r="AG976" s="1134">
        <v>0</v>
      </c>
      <c r="AH976" s="505">
        <f t="shared" si="256"/>
        <v>23072738.82</v>
      </c>
      <c r="AI976" s="132"/>
      <c r="AJ976" s="75">
        <f t="shared" si="255"/>
        <v>0</v>
      </c>
      <c r="AK976" s="75"/>
      <c r="AL976" s="75"/>
      <c r="AM976" s="75"/>
      <c r="AN976" s="171" t="s">
        <v>39</v>
      </c>
      <c r="AO976" s="171" t="s">
        <v>1819</v>
      </c>
      <c r="AP976" s="171" t="s">
        <v>2204</v>
      </c>
      <c r="AQ976" s="418"/>
      <c r="AS976" s="484"/>
      <c r="AU976" s="889">
        <v>1362</v>
      </c>
      <c r="AV976" s="259"/>
      <c r="AW976" s="335" t="s">
        <v>2606</v>
      </c>
    </row>
    <row r="977" spans="1:49" ht="36" hidden="1" customHeight="1" outlineLevel="2" x14ac:dyDescent="0.25">
      <c r="A977" s="63" t="str">
        <f t="shared" si="215"/>
        <v>1.10.2.1.4.64</v>
      </c>
      <c r="B977" s="64">
        <v>1</v>
      </c>
      <c r="C977" s="64">
        <v>10</v>
      </c>
      <c r="D977" s="64">
        <v>2</v>
      </c>
      <c r="E977" s="64">
        <v>1</v>
      </c>
      <c r="F977" s="64">
        <v>4</v>
      </c>
      <c r="G977" s="64">
        <v>64</v>
      </c>
      <c r="H977" s="65"/>
      <c r="I977" s="65"/>
      <c r="J977" s="65"/>
      <c r="K977" s="67" t="s">
        <v>1074</v>
      </c>
      <c r="L977" s="64" t="s">
        <v>1050</v>
      </c>
      <c r="M977" s="64" t="s">
        <v>1051</v>
      </c>
      <c r="N977" s="64" t="s">
        <v>1046</v>
      </c>
      <c r="O977" s="64" t="s">
        <v>1047</v>
      </c>
      <c r="P977" s="171">
        <v>44201</v>
      </c>
      <c r="Q977" s="171">
        <v>44560</v>
      </c>
      <c r="R977" s="171">
        <v>36.6</v>
      </c>
      <c r="S977" s="65" t="s">
        <v>1069</v>
      </c>
      <c r="T977" s="194"/>
      <c r="U977" s="97">
        <v>0</v>
      </c>
      <c r="V977" s="97"/>
      <c r="W977" s="97">
        <v>0</v>
      </c>
      <c r="X977" s="1134">
        <v>0</v>
      </c>
      <c r="Y977" s="97">
        <v>0</v>
      </c>
      <c r="Z977" s="97">
        <v>0</v>
      </c>
      <c r="AA977" s="1134">
        <v>0</v>
      </c>
      <c r="AB977" s="97">
        <v>0</v>
      </c>
      <c r="AC977" s="97">
        <v>0</v>
      </c>
      <c r="AD977" s="1134">
        <v>0</v>
      </c>
      <c r="AE977" s="97">
        <v>0</v>
      </c>
      <c r="AF977" s="97">
        <v>0</v>
      </c>
      <c r="AG977" s="1134">
        <v>0</v>
      </c>
      <c r="AH977" s="505">
        <f t="shared" si="256"/>
        <v>0</v>
      </c>
      <c r="AI977" s="132"/>
      <c r="AJ977" s="75">
        <f t="shared" si="255"/>
        <v>0</v>
      </c>
      <c r="AK977" s="75"/>
      <c r="AL977" s="75"/>
      <c r="AM977" s="75"/>
      <c r="AN977" s="171" t="s">
        <v>39</v>
      </c>
      <c r="AO977" s="171" t="s">
        <v>1819</v>
      </c>
      <c r="AP977" s="171" t="s">
        <v>2204</v>
      </c>
      <c r="AQ977" s="418" t="s">
        <v>2216</v>
      </c>
      <c r="AR977" s="190">
        <v>44682</v>
      </c>
      <c r="AS977" s="871">
        <v>45047</v>
      </c>
      <c r="AT977" s="190">
        <v>37422</v>
      </c>
      <c r="AU977" s="889">
        <v>1315</v>
      </c>
      <c r="AV977" s="259"/>
      <c r="AW977" s="185" t="s">
        <v>2217</v>
      </c>
    </row>
    <row r="978" spans="1:49" ht="92.25" hidden="1" customHeight="1" outlineLevel="2" x14ac:dyDescent="0.25">
      <c r="A978" s="63" t="str">
        <f>CONCATENATE(B978,".",C978,".",D978,".",E978,".",F978,".",G978)</f>
        <v>1.10.2.1.5.60</v>
      </c>
      <c r="B978" s="64">
        <v>1</v>
      </c>
      <c r="C978" s="64">
        <v>10</v>
      </c>
      <c r="D978" s="64">
        <v>2</v>
      </c>
      <c r="E978" s="64">
        <v>1</v>
      </c>
      <c r="F978" s="64">
        <v>5</v>
      </c>
      <c r="G978" s="100">
        <v>60</v>
      </c>
      <c r="H978" s="65"/>
      <c r="I978" s="65"/>
      <c r="J978" s="66"/>
      <c r="K978" s="67" t="s">
        <v>1075</v>
      </c>
      <c r="L978" s="64" t="s">
        <v>1050</v>
      </c>
      <c r="M978" s="64" t="s">
        <v>758</v>
      </c>
      <c r="N978" s="64" t="s">
        <v>1046</v>
      </c>
      <c r="O978" s="64" t="s">
        <v>1047</v>
      </c>
      <c r="P978" s="69">
        <v>44931</v>
      </c>
      <c r="Q978" s="69">
        <v>45290</v>
      </c>
      <c r="R978" s="64">
        <v>1</v>
      </c>
      <c r="S978" s="65" t="s">
        <v>767</v>
      </c>
      <c r="T978" s="194"/>
      <c r="U978" s="97">
        <v>0</v>
      </c>
      <c r="V978" s="97"/>
      <c r="W978" s="97">
        <v>0</v>
      </c>
      <c r="X978" s="1134">
        <v>0</v>
      </c>
      <c r="Y978" s="97">
        <v>0</v>
      </c>
      <c r="Z978" s="97">
        <v>0</v>
      </c>
      <c r="AA978" s="1134">
        <v>0</v>
      </c>
      <c r="AB978" s="97">
        <v>0</v>
      </c>
      <c r="AC978" s="97">
        <v>0</v>
      </c>
      <c r="AD978" s="1134">
        <v>0</v>
      </c>
      <c r="AE978" s="97">
        <v>0</v>
      </c>
      <c r="AF978" s="97">
        <v>0</v>
      </c>
      <c r="AG978" s="1134">
        <v>0</v>
      </c>
      <c r="AH978" s="505">
        <f t="shared" si="256"/>
        <v>0</v>
      </c>
      <c r="AI978" s="132"/>
      <c r="AJ978" s="75">
        <f t="shared" si="255"/>
        <v>0</v>
      </c>
      <c r="AK978" s="75"/>
      <c r="AL978" s="75"/>
      <c r="AM978" s="75"/>
      <c r="AN978" s="171" t="s">
        <v>39</v>
      </c>
      <c r="AO978" s="171" t="s">
        <v>1819</v>
      </c>
      <c r="AP978" s="171" t="s">
        <v>2201</v>
      </c>
      <c r="AQ978" s="418" t="s">
        <v>2202</v>
      </c>
      <c r="AR978" s="171">
        <v>2020</v>
      </c>
      <c r="AS978" s="484">
        <v>2023</v>
      </c>
      <c r="AT978" s="190">
        <v>44588</v>
      </c>
      <c r="AU978" s="889">
        <v>1240</v>
      </c>
      <c r="AV978" s="259" t="s">
        <v>1076</v>
      </c>
      <c r="AW978" s="335" t="s">
        <v>2607</v>
      </c>
    </row>
    <row r="979" spans="1:49" ht="40.5" hidden="1" customHeight="1" outlineLevel="2" x14ac:dyDescent="0.25">
      <c r="A979" s="63" t="str">
        <f t="shared" si="215"/>
        <v>1.10.2.1.5.61</v>
      </c>
      <c r="B979" s="64">
        <v>1</v>
      </c>
      <c r="C979" s="64">
        <v>10</v>
      </c>
      <c r="D979" s="64">
        <v>2</v>
      </c>
      <c r="E979" s="64">
        <v>1</v>
      </c>
      <c r="F979" s="64">
        <v>5</v>
      </c>
      <c r="G979" s="100">
        <v>61</v>
      </c>
      <c r="H979" s="65"/>
      <c r="I979" s="65"/>
      <c r="J979" s="66"/>
      <c r="K979" s="67" t="s">
        <v>1078</v>
      </c>
      <c r="L979" s="64" t="s">
        <v>1050</v>
      </c>
      <c r="M979" s="64" t="s">
        <v>758</v>
      </c>
      <c r="N979" s="64" t="s">
        <v>1046</v>
      </c>
      <c r="O979" s="64" t="s">
        <v>1047</v>
      </c>
      <c r="P979" s="69">
        <v>44931</v>
      </c>
      <c r="Q979" s="69">
        <v>45290</v>
      </c>
      <c r="R979" s="64">
        <v>1</v>
      </c>
      <c r="S979" s="65" t="s">
        <v>767</v>
      </c>
      <c r="T979" s="194"/>
      <c r="U979" s="97">
        <v>0</v>
      </c>
      <c r="V979" s="97"/>
      <c r="W979" s="97">
        <v>0</v>
      </c>
      <c r="X979" s="1134">
        <v>0</v>
      </c>
      <c r="Y979" s="97">
        <v>0</v>
      </c>
      <c r="Z979" s="97">
        <v>0</v>
      </c>
      <c r="AA979" s="1134">
        <v>0</v>
      </c>
      <c r="AB979" s="97">
        <v>0</v>
      </c>
      <c r="AC979" s="97">
        <v>0</v>
      </c>
      <c r="AD979" s="1134">
        <v>0</v>
      </c>
      <c r="AE979" s="97">
        <v>0</v>
      </c>
      <c r="AF979" s="97">
        <v>0</v>
      </c>
      <c r="AG979" s="1134">
        <v>0</v>
      </c>
      <c r="AH979" s="505">
        <f t="shared" si="256"/>
        <v>0</v>
      </c>
      <c r="AI979" s="132"/>
      <c r="AJ979" s="75">
        <f t="shared" si="255"/>
        <v>0</v>
      </c>
      <c r="AK979" s="75"/>
      <c r="AL979" s="75"/>
      <c r="AM979" s="75"/>
      <c r="AN979" s="171" t="s">
        <v>39</v>
      </c>
      <c r="AO979" s="171" t="s">
        <v>1819</v>
      </c>
      <c r="AP979" s="171" t="s">
        <v>2201</v>
      </c>
      <c r="AQ979" s="418" t="s">
        <v>2202</v>
      </c>
      <c r="AR979" s="171">
        <v>2020</v>
      </c>
      <c r="AS979" s="484">
        <v>2023</v>
      </c>
      <c r="AT979" s="190">
        <v>44588</v>
      </c>
      <c r="AU979" s="889">
        <v>1240</v>
      </c>
      <c r="AV979" s="259" t="s">
        <v>1076</v>
      </c>
      <c r="AW979" s="335" t="s">
        <v>1079</v>
      </c>
    </row>
    <row r="980" spans="1:49" ht="30" hidden="1" customHeight="1" outlineLevel="2" x14ac:dyDescent="0.25">
      <c r="A980" s="63" t="str">
        <f t="shared" si="215"/>
        <v>1.10.2.1.5.64</v>
      </c>
      <c r="B980" s="64">
        <v>1</v>
      </c>
      <c r="C980" s="64">
        <v>10</v>
      </c>
      <c r="D980" s="64">
        <v>2</v>
      </c>
      <c r="E980" s="64">
        <v>1</v>
      </c>
      <c r="F980" s="64">
        <v>5</v>
      </c>
      <c r="G980" s="100">
        <v>64</v>
      </c>
      <c r="H980" s="65"/>
      <c r="I980" s="65"/>
      <c r="J980" s="66"/>
      <c r="K980" s="137" t="s">
        <v>1080</v>
      </c>
      <c r="L980" s="64" t="s">
        <v>1050</v>
      </c>
      <c r="M980" s="64" t="s">
        <v>758</v>
      </c>
      <c r="N980" s="64" t="s">
        <v>1046</v>
      </c>
      <c r="O980" s="64" t="s">
        <v>1047</v>
      </c>
      <c r="P980" s="69">
        <v>44931</v>
      </c>
      <c r="Q980" s="69">
        <v>45290</v>
      </c>
      <c r="R980" s="64">
        <v>1</v>
      </c>
      <c r="S980" s="65" t="s">
        <v>767</v>
      </c>
      <c r="T980" s="194"/>
      <c r="U980" s="97">
        <v>0</v>
      </c>
      <c r="V980" s="97"/>
      <c r="W980" s="97">
        <v>0</v>
      </c>
      <c r="X980" s="1134">
        <v>0</v>
      </c>
      <c r="Y980" s="97">
        <v>0</v>
      </c>
      <c r="Z980" s="97">
        <v>0</v>
      </c>
      <c r="AA980" s="1134">
        <v>0</v>
      </c>
      <c r="AB980" s="97">
        <v>0</v>
      </c>
      <c r="AC980" s="97">
        <v>0</v>
      </c>
      <c r="AD980" s="1134">
        <v>0</v>
      </c>
      <c r="AE980" s="97">
        <v>0</v>
      </c>
      <c r="AF980" s="97">
        <v>0</v>
      </c>
      <c r="AG980" s="1134">
        <v>0</v>
      </c>
      <c r="AH980" s="505">
        <f t="shared" si="256"/>
        <v>0</v>
      </c>
      <c r="AI980" s="132"/>
      <c r="AJ980" s="75">
        <f t="shared" si="255"/>
        <v>0</v>
      </c>
      <c r="AK980" s="75"/>
      <c r="AL980" s="75"/>
      <c r="AM980" s="75"/>
      <c r="AN980" s="171" t="s">
        <v>39</v>
      </c>
      <c r="AO980" s="171" t="s">
        <v>1819</v>
      </c>
      <c r="AP980" s="171" t="s">
        <v>2201</v>
      </c>
      <c r="AQ980" s="418" t="s">
        <v>2202</v>
      </c>
      <c r="AR980" s="171">
        <v>2020</v>
      </c>
      <c r="AS980" s="484">
        <v>2023</v>
      </c>
      <c r="AT980" s="190">
        <v>44588</v>
      </c>
      <c r="AU980" s="889">
        <v>1240</v>
      </c>
      <c r="AV980" s="259" t="s">
        <v>1076</v>
      </c>
      <c r="AW980" s="335" t="s">
        <v>1079</v>
      </c>
    </row>
    <row r="981" spans="1:49" s="153" customFormat="1" ht="45.6" customHeight="1" outlineLevel="1" collapsed="1" x14ac:dyDescent="0.25">
      <c r="A981" s="148" t="str">
        <f t="shared" si="215"/>
        <v>1.10.2.2.0.0</v>
      </c>
      <c r="B981" s="82">
        <v>1</v>
      </c>
      <c r="C981" s="82">
        <v>10</v>
      </c>
      <c r="D981" s="82">
        <v>2</v>
      </c>
      <c r="E981" s="82">
        <v>2</v>
      </c>
      <c r="F981" s="82">
        <v>0</v>
      </c>
      <c r="G981" s="82">
        <v>0</v>
      </c>
      <c r="H981" s="149"/>
      <c r="I981" s="242"/>
      <c r="J981" s="1300" t="s">
        <v>1081</v>
      </c>
      <c r="K981" s="1301"/>
      <c r="L981" s="82" t="s">
        <v>1082</v>
      </c>
      <c r="M981" s="83" t="s">
        <v>1083</v>
      </c>
      <c r="N981" s="83" t="s">
        <v>1084</v>
      </c>
      <c r="O981" s="82" t="s">
        <v>1085</v>
      </c>
      <c r="P981" s="149"/>
      <c r="Q981" s="149"/>
      <c r="R981" s="82"/>
      <c r="S981" s="149"/>
      <c r="T981" s="193"/>
      <c r="U981" s="384">
        <f>SUM(U982:U991)</f>
        <v>0</v>
      </c>
      <c r="V981" s="384"/>
      <c r="W981" s="384">
        <f t="shared" ref="W981:AJ981" si="257">SUM(W982:W991)</f>
        <v>0</v>
      </c>
      <c r="X981" s="1145">
        <f t="shared" si="257"/>
        <v>0</v>
      </c>
      <c r="Y981" s="384">
        <f t="shared" si="257"/>
        <v>0</v>
      </c>
      <c r="Z981" s="384">
        <f t="shared" si="257"/>
        <v>0</v>
      </c>
      <c r="AA981" s="1145">
        <f t="shared" si="257"/>
        <v>0</v>
      </c>
      <c r="AB981" s="384">
        <f t="shared" si="257"/>
        <v>0</v>
      </c>
      <c r="AC981" s="384">
        <f t="shared" si="257"/>
        <v>0</v>
      </c>
      <c r="AD981" s="1145">
        <f t="shared" si="257"/>
        <v>0</v>
      </c>
      <c r="AE981" s="384">
        <f t="shared" si="257"/>
        <v>0</v>
      </c>
      <c r="AF981" s="384">
        <f t="shared" si="257"/>
        <v>0</v>
      </c>
      <c r="AG981" s="1145">
        <f t="shared" si="257"/>
        <v>0</v>
      </c>
      <c r="AH981" s="384">
        <f t="shared" si="257"/>
        <v>0</v>
      </c>
      <c r="AI981" s="384">
        <f t="shared" si="257"/>
        <v>0</v>
      </c>
      <c r="AJ981" s="384">
        <f t="shared" si="257"/>
        <v>0</v>
      </c>
      <c r="AK981" s="216"/>
      <c r="AL981" s="216"/>
      <c r="AM981" s="216"/>
      <c r="AN981" s="82" t="s">
        <v>39</v>
      </c>
      <c r="AO981" s="82"/>
      <c r="AP981" s="82"/>
      <c r="AQ981" s="365"/>
      <c r="AR981" s="82"/>
      <c r="AS981" s="483"/>
      <c r="AT981" s="82"/>
      <c r="AU981" s="666"/>
      <c r="AV981" s="358"/>
      <c r="AW981" s="449" t="s">
        <v>1086</v>
      </c>
    </row>
    <row r="982" spans="1:49" ht="68.099999999999994" hidden="1" customHeight="1" outlineLevel="2" x14ac:dyDescent="0.25">
      <c r="A982" s="63" t="str">
        <f t="shared" si="215"/>
        <v>1.10.2.2.1.58</v>
      </c>
      <c r="B982" s="64">
        <v>1</v>
      </c>
      <c r="C982" s="64">
        <v>10</v>
      </c>
      <c r="D982" s="64">
        <v>2</v>
      </c>
      <c r="E982" s="64">
        <v>2</v>
      </c>
      <c r="F982" s="64">
        <v>1</v>
      </c>
      <c r="G982" s="64">
        <v>58</v>
      </c>
      <c r="H982" s="65"/>
      <c r="I982" s="65"/>
      <c r="J982" s="65"/>
      <c r="K982" s="67" t="s">
        <v>1087</v>
      </c>
      <c r="L982" s="64" t="s">
        <v>1082</v>
      </c>
      <c r="M982" s="68" t="s">
        <v>1088</v>
      </c>
      <c r="N982" s="68" t="s">
        <v>1089</v>
      </c>
      <c r="O982" s="64" t="s">
        <v>1090</v>
      </c>
      <c r="P982" s="65"/>
      <c r="Q982" s="65"/>
      <c r="R982" s="64"/>
      <c r="S982" s="65"/>
      <c r="T982" s="194"/>
      <c r="U982" s="370">
        <v>0</v>
      </c>
      <c r="V982" s="370"/>
      <c r="W982" s="370">
        <v>0</v>
      </c>
      <c r="X982" s="1129">
        <v>0</v>
      </c>
      <c r="Y982" s="370">
        <v>0</v>
      </c>
      <c r="Z982" s="370">
        <v>0</v>
      </c>
      <c r="AA982" s="1129">
        <v>0</v>
      </c>
      <c r="AB982" s="370">
        <v>0</v>
      </c>
      <c r="AC982" s="370">
        <v>0</v>
      </c>
      <c r="AD982" s="1129">
        <v>0</v>
      </c>
      <c r="AE982" s="370">
        <v>0</v>
      </c>
      <c r="AF982" s="370">
        <v>0</v>
      </c>
      <c r="AG982" s="1129">
        <v>0</v>
      </c>
      <c r="AH982" s="505">
        <f>+U982+Y982+AB982+AE982</f>
        <v>0</v>
      </c>
      <c r="AI982" s="132"/>
      <c r="AJ982" s="75">
        <f t="shared" ref="AJ982:AJ991" si="258">+W983+Z983+AC983+AF983</f>
        <v>0</v>
      </c>
      <c r="AK982" s="75"/>
      <c r="AL982" s="75"/>
      <c r="AM982" s="75"/>
      <c r="AN982" s="64" t="s">
        <v>39</v>
      </c>
      <c r="AO982" s="64"/>
      <c r="AP982" s="64"/>
      <c r="AQ982" s="189"/>
      <c r="AR982" s="64"/>
      <c r="AS982" s="476"/>
      <c r="AT982" s="64"/>
      <c r="AU982" s="646"/>
      <c r="AV982" s="259"/>
      <c r="AW982" s="185"/>
    </row>
    <row r="983" spans="1:49" ht="68.099999999999994" hidden="1" customHeight="1" outlineLevel="2" x14ac:dyDescent="0.25">
      <c r="A983" s="63" t="str">
        <f t="shared" si="215"/>
        <v>1.10.2.2.1.59</v>
      </c>
      <c r="B983" s="64">
        <v>1</v>
      </c>
      <c r="C983" s="64">
        <v>10</v>
      </c>
      <c r="D983" s="64">
        <v>2</v>
      </c>
      <c r="E983" s="64">
        <v>2</v>
      </c>
      <c r="F983" s="64">
        <v>1</v>
      </c>
      <c r="G983" s="64">
        <v>59</v>
      </c>
      <c r="H983" s="65"/>
      <c r="I983" s="65"/>
      <c r="J983" s="65"/>
      <c r="K983" s="67" t="s">
        <v>1091</v>
      </c>
      <c r="L983" s="64" t="s">
        <v>1082</v>
      </c>
      <c r="M983" s="68" t="s">
        <v>1088</v>
      </c>
      <c r="N983" s="68" t="s">
        <v>1089</v>
      </c>
      <c r="O983" s="64" t="s">
        <v>1090</v>
      </c>
      <c r="P983" s="243">
        <v>44562</v>
      </c>
      <c r="Q983" s="243">
        <v>44925</v>
      </c>
      <c r="R983" s="64">
        <v>20</v>
      </c>
      <c r="S983" s="65" t="s">
        <v>1092</v>
      </c>
      <c r="T983" s="194">
        <v>5</v>
      </c>
      <c r="U983" s="370">
        <v>0</v>
      </c>
      <c r="V983" s="370"/>
      <c r="W983" s="370">
        <v>0</v>
      </c>
      <c r="X983" s="1129">
        <v>0</v>
      </c>
      <c r="Y983" s="370">
        <v>0</v>
      </c>
      <c r="Z983" s="370">
        <v>0</v>
      </c>
      <c r="AA983" s="1129">
        <v>0</v>
      </c>
      <c r="AB983" s="370">
        <v>0</v>
      </c>
      <c r="AC983" s="370">
        <v>0</v>
      </c>
      <c r="AD983" s="1129">
        <v>0</v>
      </c>
      <c r="AE983" s="370">
        <v>0</v>
      </c>
      <c r="AF983" s="370">
        <v>0</v>
      </c>
      <c r="AG983" s="1129">
        <v>0</v>
      </c>
      <c r="AH983" s="505">
        <f t="shared" ref="AH983:AH991" si="259">+U983+Y983+AB983+AE983</f>
        <v>0</v>
      </c>
      <c r="AI983" s="132"/>
      <c r="AJ983" s="75">
        <f t="shared" si="258"/>
        <v>0</v>
      </c>
      <c r="AK983" s="75"/>
      <c r="AL983" s="75"/>
      <c r="AM983" s="75"/>
      <c r="AN983" s="64" t="s">
        <v>39</v>
      </c>
      <c r="AO983" s="64"/>
      <c r="AP983" s="64"/>
      <c r="AQ983" s="189"/>
      <c r="AR983" s="64"/>
      <c r="AS983" s="476"/>
      <c r="AT983" s="64"/>
      <c r="AU983" s="646"/>
      <c r="AV983" s="343" t="s">
        <v>1093</v>
      </c>
      <c r="AW983" s="335" t="s">
        <v>1094</v>
      </c>
    </row>
    <row r="984" spans="1:49" ht="68.099999999999994" hidden="1" customHeight="1" outlineLevel="2" x14ac:dyDescent="0.25">
      <c r="A984" s="63" t="str">
        <f t="shared" si="215"/>
        <v>1.10.2.2.1.60</v>
      </c>
      <c r="B984" s="64">
        <v>1</v>
      </c>
      <c r="C984" s="64">
        <v>10</v>
      </c>
      <c r="D984" s="64">
        <v>2</v>
      </c>
      <c r="E984" s="64">
        <v>2</v>
      </c>
      <c r="F984" s="64">
        <v>1</v>
      </c>
      <c r="G984" s="64">
        <v>60</v>
      </c>
      <c r="H984" s="65"/>
      <c r="I984" s="65"/>
      <c r="J984" s="65"/>
      <c r="K984" s="67" t="s">
        <v>1095</v>
      </c>
      <c r="L984" s="64" t="s">
        <v>1082</v>
      </c>
      <c r="M984" s="68" t="s">
        <v>1088</v>
      </c>
      <c r="N984" s="68" t="s">
        <v>1089</v>
      </c>
      <c r="O984" s="64" t="s">
        <v>1096</v>
      </c>
      <c r="P984" s="170">
        <v>43983</v>
      </c>
      <c r="Q984" s="170">
        <v>43983</v>
      </c>
      <c r="R984" s="64">
        <v>1</v>
      </c>
      <c r="S984" s="65" t="s">
        <v>1097</v>
      </c>
      <c r="T984" s="194"/>
      <c r="U984" s="370">
        <v>0</v>
      </c>
      <c r="V984" s="370"/>
      <c r="W984" s="370">
        <v>0</v>
      </c>
      <c r="X984" s="1129">
        <v>0</v>
      </c>
      <c r="Y984" s="370">
        <v>0</v>
      </c>
      <c r="Z984" s="370">
        <v>0</v>
      </c>
      <c r="AA984" s="1129">
        <v>0</v>
      </c>
      <c r="AB984" s="370">
        <v>0</v>
      </c>
      <c r="AC984" s="370">
        <v>0</v>
      </c>
      <c r="AD984" s="1129">
        <v>0</v>
      </c>
      <c r="AE984" s="370">
        <v>0</v>
      </c>
      <c r="AF984" s="370">
        <v>0</v>
      </c>
      <c r="AG984" s="1129">
        <v>0</v>
      </c>
      <c r="AH984" s="505">
        <f t="shared" si="259"/>
        <v>0</v>
      </c>
      <c r="AI984" s="132"/>
      <c r="AJ984" s="75">
        <f t="shared" si="258"/>
        <v>0</v>
      </c>
      <c r="AK984" s="75"/>
      <c r="AL984" s="75"/>
      <c r="AM984" s="75"/>
      <c r="AN984" s="64" t="s">
        <v>39</v>
      </c>
      <c r="AO984" s="64"/>
      <c r="AP984" s="64"/>
      <c r="AQ984" s="189"/>
      <c r="AR984" s="64"/>
      <c r="AS984" s="476"/>
      <c r="AT984" s="64"/>
      <c r="AU984" s="646"/>
      <c r="AV984" s="259"/>
      <c r="AW984" s="185"/>
    </row>
    <row r="985" spans="1:49" ht="68.099999999999994" hidden="1" customHeight="1" outlineLevel="2" x14ac:dyDescent="0.25">
      <c r="A985" s="63" t="str">
        <f t="shared" si="215"/>
        <v>1.10.2.2.1.61</v>
      </c>
      <c r="B985" s="64">
        <v>1</v>
      </c>
      <c r="C985" s="64">
        <v>10</v>
      </c>
      <c r="D985" s="64">
        <v>2</v>
      </c>
      <c r="E985" s="64">
        <v>2</v>
      </c>
      <c r="F985" s="64">
        <v>1</v>
      </c>
      <c r="G985" s="64">
        <v>61</v>
      </c>
      <c r="H985" s="65"/>
      <c r="I985" s="65"/>
      <c r="J985" s="65"/>
      <c r="K985" s="67" t="s">
        <v>1098</v>
      </c>
      <c r="L985" s="64" t="s">
        <v>1082</v>
      </c>
      <c r="M985" s="68" t="s">
        <v>1088</v>
      </c>
      <c r="N985" s="68" t="s">
        <v>1089</v>
      </c>
      <c r="O985" s="64" t="s">
        <v>1096</v>
      </c>
      <c r="P985" s="170">
        <v>43983</v>
      </c>
      <c r="Q985" s="170">
        <v>43983</v>
      </c>
      <c r="R985" s="64">
        <v>1</v>
      </c>
      <c r="S985" s="65" t="s">
        <v>1097</v>
      </c>
      <c r="T985" s="194"/>
      <c r="U985" s="370">
        <v>0</v>
      </c>
      <c r="V985" s="370"/>
      <c r="W985" s="370">
        <v>0</v>
      </c>
      <c r="X985" s="1129">
        <v>0</v>
      </c>
      <c r="Y985" s="370">
        <v>0</v>
      </c>
      <c r="Z985" s="370">
        <v>0</v>
      </c>
      <c r="AA985" s="1129">
        <v>0</v>
      </c>
      <c r="AB985" s="370">
        <v>0</v>
      </c>
      <c r="AC985" s="370">
        <v>0</v>
      </c>
      <c r="AD985" s="1129">
        <v>0</v>
      </c>
      <c r="AE985" s="370">
        <v>0</v>
      </c>
      <c r="AF985" s="370">
        <v>0</v>
      </c>
      <c r="AG985" s="1129">
        <v>0</v>
      </c>
      <c r="AH985" s="505">
        <f t="shared" si="259"/>
        <v>0</v>
      </c>
      <c r="AI985" s="132"/>
      <c r="AJ985" s="75">
        <f t="shared" si="258"/>
        <v>0</v>
      </c>
      <c r="AK985" s="75"/>
      <c r="AL985" s="75"/>
      <c r="AM985" s="75"/>
      <c r="AN985" s="64" t="s">
        <v>39</v>
      </c>
      <c r="AO985" s="64"/>
      <c r="AP985" s="64"/>
      <c r="AQ985" s="189"/>
      <c r="AR985" s="64"/>
      <c r="AS985" s="476"/>
      <c r="AT985" s="64"/>
      <c r="AU985" s="646"/>
      <c r="AV985" s="259"/>
      <c r="AW985" s="185"/>
    </row>
    <row r="986" spans="1:49" ht="68.099999999999994" hidden="1" customHeight="1" outlineLevel="2" x14ac:dyDescent="0.25">
      <c r="A986" s="63" t="str">
        <f t="shared" si="215"/>
        <v>1.10.2.2.1.62</v>
      </c>
      <c r="B986" s="64">
        <v>1</v>
      </c>
      <c r="C986" s="64">
        <v>10</v>
      </c>
      <c r="D986" s="64">
        <v>2</v>
      </c>
      <c r="E986" s="64">
        <v>2</v>
      </c>
      <c r="F986" s="64">
        <v>1</v>
      </c>
      <c r="G986" s="64">
        <v>62</v>
      </c>
      <c r="H986" s="65"/>
      <c r="I986" s="65"/>
      <c r="J986" s="65"/>
      <c r="K986" s="67" t="s">
        <v>1099</v>
      </c>
      <c r="L986" s="64" t="s">
        <v>1082</v>
      </c>
      <c r="M986" s="68" t="s">
        <v>1088</v>
      </c>
      <c r="N986" s="68" t="s">
        <v>1089</v>
      </c>
      <c r="O986" s="64" t="s">
        <v>1096</v>
      </c>
      <c r="P986" s="65"/>
      <c r="Q986" s="65"/>
      <c r="R986" s="64"/>
      <c r="S986" s="65"/>
      <c r="T986" s="194"/>
      <c r="U986" s="370">
        <v>0</v>
      </c>
      <c r="V986" s="370"/>
      <c r="W986" s="370">
        <v>0</v>
      </c>
      <c r="X986" s="1129">
        <v>0</v>
      </c>
      <c r="Y986" s="370">
        <v>0</v>
      </c>
      <c r="Z986" s="370">
        <v>0</v>
      </c>
      <c r="AA986" s="1129">
        <v>0</v>
      </c>
      <c r="AB986" s="370">
        <v>0</v>
      </c>
      <c r="AC986" s="370">
        <v>0</v>
      </c>
      <c r="AD986" s="1129">
        <v>0</v>
      </c>
      <c r="AE986" s="370">
        <v>0</v>
      </c>
      <c r="AF986" s="370">
        <v>0</v>
      </c>
      <c r="AG986" s="1129">
        <v>0</v>
      </c>
      <c r="AH986" s="505">
        <f t="shared" si="259"/>
        <v>0</v>
      </c>
      <c r="AI986" s="132"/>
      <c r="AJ986" s="75">
        <f t="shared" si="258"/>
        <v>0</v>
      </c>
      <c r="AK986" s="75"/>
      <c r="AL986" s="75"/>
      <c r="AM986" s="75"/>
      <c r="AN986" s="64" t="s">
        <v>39</v>
      </c>
      <c r="AO986" s="64"/>
      <c r="AP986" s="64"/>
      <c r="AQ986" s="189"/>
      <c r="AR986" s="64"/>
      <c r="AS986" s="476"/>
      <c r="AT986" s="64"/>
      <c r="AU986" s="646"/>
      <c r="AV986" s="259"/>
      <c r="AW986" s="185"/>
    </row>
    <row r="987" spans="1:49" ht="68.099999999999994" hidden="1" customHeight="1" outlineLevel="2" x14ac:dyDescent="0.25">
      <c r="A987" s="63" t="str">
        <f t="shared" si="215"/>
        <v>1.10.2.2.1.63</v>
      </c>
      <c r="B987" s="64">
        <v>1</v>
      </c>
      <c r="C987" s="64">
        <v>10</v>
      </c>
      <c r="D987" s="64">
        <v>2</v>
      </c>
      <c r="E987" s="64">
        <v>2</v>
      </c>
      <c r="F987" s="64">
        <v>1</v>
      </c>
      <c r="G987" s="64">
        <v>63</v>
      </c>
      <c r="H987" s="65"/>
      <c r="I987" s="65"/>
      <c r="J987" s="65"/>
      <c r="K987" s="67" t="s">
        <v>1100</v>
      </c>
      <c r="L987" s="64" t="s">
        <v>1082</v>
      </c>
      <c r="M987" s="68" t="s">
        <v>1088</v>
      </c>
      <c r="N987" s="68" t="s">
        <v>1089</v>
      </c>
      <c r="O987" s="64" t="s">
        <v>1096</v>
      </c>
      <c r="P987" s="65"/>
      <c r="Q987" s="65"/>
      <c r="R987" s="64"/>
      <c r="S987" s="65"/>
      <c r="T987" s="194"/>
      <c r="U987" s="370">
        <v>0</v>
      </c>
      <c r="V987" s="370"/>
      <c r="W987" s="370">
        <v>0</v>
      </c>
      <c r="X987" s="1129">
        <v>0</v>
      </c>
      <c r="Y987" s="370">
        <v>0</v>
      </c>
      <c r="Z987" s="370">
        <v>0</v>
      </c>
      <c r="AA987" s="1129">
        <v>0</v>
      </c>
      <c r="AB987" s="370">
        <v>0</v>
      </c>
      <c r="AC987" s="370">
        <v>0</v>
      </c>
      <c r="AD987" s="1129">
        <v>0</v>
      </c>
      <c r="AE987" s="370">
        <v>0</v>
      </c>
      <c r="AF987" s="370">
        <v>0</v>
      </c>
      <c r="AG987" s="1129">
        <v>0</v>
      </c>
      <c r="AH987" s="505">
        <f t="shared" si="259"/>
        <v>0</v>
      </c>
      <c r="AI987" s="132"/>
      <c r="AJ987" s="75">
        <f t="shared" si="258"/>
        <v>0</v>
      </c>
      <c r="AK987" s="75"/>
      <c r="AL987" s="75"/>
      <c r="AM987" s="75"/>
      <c r="AN987" s="64" t="s">
        <v>39</v>
      </c>
      <c r="AO987" s="64"/>
      <c r="AP987" s="64"/>
      <c r="AQ987" s="189"/>
      <c r="AR987" s="64"/>
      <c r="AS987" s="476"/>
      <c r="AT987" s="64"/>
      <c r="AU987" s="646"/>
      <c r="AV987" s="259"/>
      <c r="AW987" s="185"/>
    </row>
    <row r="988" spans="1:49" ht="68.099999999999994" hidden="1" customHeight="1" outlineLevel="2" x14ac:dyDescent="0.25">
      <c r="A988" s="63" t="str">
        <f t="shared" si="215"/>
        <v>1.10.2.2.1.64</v>
      </c>
      <c r="B988" s="64">
        <v>1</v>
      </c>
      <c r="C988" s="64">
        <v>10</v>
      </c>
      <c r="D988" s="64">
        <v>2</v>
      </c>
      <c r="E988" s="64">
        <v>2</v>
      </c>
      <c r="F988" s="64">
        <v>1</v>
      </c>
      <c r="G988" s="64">
        <v>64</v>
      </c>
      <c r="H988" s="65"/>
      <c r="I988" s="65"/>
      <c r="J988" s="65"/>
      <c r="K988" s="67" t="s">
        <v>1101</v>
      </c>
      <c r="L988" s="64" t="s">
        <v>1082</v>
      </c>
      <c r="M988" s="68" t="s">
        <v>1088</v>
      </c>
      <c r="N988" s="68" t="s">
        <v>1089</v>
      </c>
      <c r="O988" s="64" t="s">
        <v>1096</v>
      </c>
      <c r="P988" s="170">
        <v>43983</v>
      </c>
      <c r="Q988" s="170">
        <v>43983</v>
      </c>
      <c r="R988" s="64">
        <v>1</v>
      </c>
      <c r="S988" s="65" t="s">
        <v>1097</v>
      </c>
      <c r="T988" s="194"/>
      <c r="U988" s="370">
        <v>0</v>
      </c>
      <c r="V988" s="370"/>
      <c r="W988" s="370">
        <v>0</v>
      </c>
      <c r="X988" s="1129">
        <v>0</v>
      </c>
      <c r="Y988" s="370">
        <v>0</v>
      </c>
      <c r="Z988" s="370">
        <v>0</v>
      </c>
      <c r="AA988" s="1129">
        <v>0</v>
      </c>
      <c r="AB988" s="370">
        <v>0</v>
      </c>
      <c r="AC988" s="370">
        <v>0</v>
      </c>
      <c r="AD988" s="1129">
        <v>0</v>
      </c>
      <c r="AE988" s="370">
        <v>0</v>
      </c>
      <c r="AF988" s="370">
        <v>0</v>
      </c>
      <c r="AG988" s="1129">
        <v>0</v>
      </c>
      <c r="AH988" s="505">
        <f t="shared" si="259"/>
        <v>0</v>
      </c>
      <c r="AI988" s="132"/>
      <c r="AJ988" s="75">
        <f t="shared" si="258"/>
        <v>0</v>
      </c>
      <c r="AK988" s="75"/>
      <c r="AL988" s="75"/>
      <c r="AM988" s="75"/>
      <c r="AN988" s="64" t="s">
        <v>39</v>
      </c>
      <c r="AO988" s="64"/>
      <c r="AP988" s="64"/>
      <c r="AQ988" s="189"/>
      <c r="AR988" s="64"/>
      <c r="AS988" s="476"/>
      <c r="AT988" s="64"/>
      <c r="AU988" s="646"/>
      <c r="AV988" s="259"/>
      <c r="AW988" s="185"/>
    </row>
    <row r="989" spans="1:49" ht="68.099999999999994" hidden="1" customHeight="1" outlineLevel="2" x14ac:dyDescent="0.25">
      <c r="A989" s="63" t="str">
        <f t="shared" si="215"/>
        <v>1.10.2.2.3.60</v>
      </c>
      <c r="B989" s="64">
        <v>1</v>
      </c>
      <c r="C989" s="64">
        <v>10</v>
      </c>
      <c r="D989" s="64">
        <v>2</v>
      </c>
      <c r="E989" s="64">
        <v>2</v>
      </c>
      <c r="F989" s="64">
        <v>3</v>
      </c>
      <c r="G989" s="64">
        <v>60</v>
      </c>
      <c r="H989" s="65"/>
      <c r="I989" s="65"/>
      <c r="J989" s="65"/>
      <c r="K989" s="67" t="s">
        <v>1868</v>
      </c>
      <c r="L989" s="165" t="s">
        <v>1082</v>
      </c>
      <c r="M989" s="146" t="s">
        <v>42</v>
      </c>
      <c r="N989" s="146" t="s">
        <v>1089</v>
      </c>
      <c r="O989" s="165" t="s">
        <v>1096</v>
      </c>
      <c r="P989" s="170">
        <v>44197</v>
      </c>
      <c r="Q989" s="170">
        <v>44531</v>
      </c>
      <c r="R989" s="64">
        <v>22</v>
      </c>
      <c r="S989" s="170" t="s">
        <v>46</v>
      </c>
      <c r="T989" s="1188">
        <v>22</v>
      </c>
      <c r="U989" s="370">
        <v>0</v>
      </c>
      <c r="V989" s="370"/>
      <c r="W989" s="370">
        <v>0</v>
      </c>
      <c r="X989" s="1129">
        <v>0</v>
      </c>
      <c r="Y989" s="370">
        <v>0</v>
      </c>
      <c r="Z989" s="370">
        <v>0</v>
      </c>
      <c r="AA989" s="1129">
        <v>0</v>
      </c>
      <c r="AB989" s="370">
        <v>0</v>
      </c>
      <c r="AC989" s="370">
        <v>0</v>
      </c>
      <c r="AD989" s="1129">
        <v>0</v>
      </c>
      <c r="AE989" s="370">
        <v>0</v>
      </c>
      <c r="AF989" s="370">
        <v>0</v>
      </c>
      <c r="AG989" s="1129">
        <v>0</v>
      </c>
      <c r="AH989" s="505">
        <f t="shared" si="259"/>
        <v>0</v>
      </c>
      <c r="AI989" s="132"/>
      <c r="AJ989" s="75">
        <f t="shared" si="258"/>
        <v>0</v>
      </c>
      <c r="AK989" s="75"/>
      <c r="AL989" s="75"/>
      <c r="AM989" s="75"/>
      <c r="AN989" s="64" t="s">
        <v>39</v>
      </c>
      <c r="AO989" s="64"/>
      <c r="AP989" s="64"/>
      <c r="AQ989" s="189"/>
      <c r="AR989" s="64"/>
      <c r="AS989" s="476"/>
      <c r="AT989" s="64"/>
      <c r="AU989" s="646"/>
      <c r="AV989" s="343" t="s">
        <v>1102</v>
      </c>
      <c r="AW989" s="335"/>
    </row>
    <row r="990" spans="1:49" ht="68.099999999999994" hidden="1" customHeight="1" outlineLevel="2" x14ac:dyDescent="0.25">
      <c r="A990" s="63" t="str">
        <f t="shared" si="215"/>
        <v>1.10.2.2.3.61</v>
      </c>
      <c r="B990" s="64">
        <v>1</v>
      </c>
      <c r="C990" s="64">
        <v>10</v>
      </c>
      <c r="D990" s="64">
        <v>2</v>
      </c>
      <c r="E990" s="64">
        <v>2</v>
      </c>
      <c r="F990" s="64">
        <v>3</v>
      </c>
      <c r="G990" s="64">
        <v>61</v>
      </c>
      <c r="H990" s="65"/>
      <c r="I990" s="65"/>
      <c r="J990" s="65"/>
      <c r="K990" s="244" t="s">
        <v>1103</v>
      </c>
      <c r="L990" s="245" t="s">
        <v>1082</v>
      </c>
      <c r="M990" s="145" t="s">
        <v>42</v>
      </c>
      <c r="N990" s="145" t="s">
        <v>1089</v>
      </c>
      <c r="O990" s="245" t="s">
        <v>1096</v>
      </c>
      <c r="P990" s="170"/>
      <c r="Q990" s="170"/>
      <c r="R990" s="170"/>
      <c r="S990" s="170"/>
      <c r="T990" s="1188"/>
      <c r="U990" s="370">
        <v>0</v>
      </c>
      <c r="V990" s="370"/>
      <c r="W990" s="370">
        <v>0</v>
      </c>
      <c r="X990" s="1129">
        <v>0</v>
      </c>
      <c r="Y990" s="370">
        <v>0</v>
      </c>
      <c r="Z990" s="370">
        <v>0</v>
      </c>
      <c r="AA990" s="1129">
        <v>0</v>
      </c>
      <c r="AB990" s="370">
        <v>0</v>
      </c>
      <c r="AC990" s="370">
        <v>0</v>
      </c>
      <c r="AD990" s="1129">
        <v>0</v>
      </c>
      <c r="AE990" s="370">
        <v>0</v>
      </c>
      <c r="AF990" s="370">
        <v>0</v>
      </c>
      <c r="AG990" s="1129">
        <v>0</v>
      </c>
      <c r="AH990" s="505">
        <f t="shared" si="259"/>
        <v>0</v>
      </c>
      <c r="AI990" s="132"/>
      <c r="AJ990" s="75">
        <f t="shared" si="258"/>
        <v>0</v>
      </c>
      <c r="AK990" s="75"/>
      <c r="AL990" s="75"/>
      <c r="AM990" s="75"/>
      <c r="AN990" s="64" t="s">
        <v>39</v>
      </c>
      <c r="AO990" s="64"/>
      <c r="AP990" s="64"/>
      <c r="AQ990" s="189"/>
      <c r="AR990" s="64"/>
      <c r="AS990" s="476"/>
      <c r="AT990" s="64"/>
      <c r="AU990" s="646"/>
      <c r="AV990" s="343"/>
      <c r="AW990" s="185"/>
    </row>
    <row r="991" spans="1:49" ht="68.099999999999994" hidden="1" customHeight="1" outlineLevel="2" x14ac:dyDescent="0.25">
      <c r="A991" s="63" t="str">
        <f t="shared" si="215"/>
        <v>1.10.2.2.3.64</v>
      </c>
      <c r="B991" s="64">
        <v>1</v>
      </c>
      <c r="C991" s="64">
        <v>10</v>
      </c>
      <c r="D991" s="64">
        <v>2</v>
      </c>
      <c r="E991" s="64">
        <v>2</v>
      </c>
      <c r="F991" s="64">
        <v>3</v>
      </c>
      <c r="G991" s="64">
        <v>64</v>
      </c>
      <c r="H991" s="65"/>
      <c r="I991" s="65"/>
      <c r="J991" s="65"/>
      <c r="K991" s="244" t="s">
        <v>1869</v>
      </c>
      <c r="L991" s="245" t="s">
        <v>1082</v>
      </c>
      <c r="M991" s="145" t="s">
        <v>42</v>
      </c>
      <c r="N991" s="145" t="s">
        <v>1089</v>
      </c>
      <c r="O991" s="245" t="s">
        <v>1096</v>
      </c>
      <c r="P991" s="170"/>
      <c r="Q991" s="170"/>
      <c r="R991" s="170"/>
      <c r="S991" s="170"/>
      <c r="T991" s="1188"/>
      <c r="U991" s="370">
        <v>0</v>
      </c>
      <c r="V991" s="370"/>
      <c r="W991" s="370">
        <v>0</v>
      </c>
      <c r="X991" s="1129">
        <v>0</v>
      </c>
      <c r="Y991" s="370">
        <v>0</v>
      </c>
      <c r="Z991" s="370">
        <v>0</v>
      </c>
      <c r="AA991" s="1129">
        <v>0</v>
      </c>
      <c r="AB991" s="370">
        <v>0</v>
      </c>
      <c r="AC991" s="370">
        <v>0</v>
      </c>
      <c r="AD991" s="1129">
        <v>0</v>
      </c>
      <c r="AE991" s="370">
        <v>0</v>
      </c>
      <c r="AF991" s="370">
        <v>0</v>
      </c>
      <c r="AG991" s="1129">
        <v>0</v>
      </c>
      <c r="AH991" s="505">
        <f t="shared" si="259"/>
        <v>0</v>
      </c>
      <c r="AI991" s="132"/>
      <c r="AJ991" s="75">
        <f t="shared" si="258"/>
        <v>0</v>
      </c>
      <c r="AK991" s="75"/>
      <c r="AL991" s="75"/>
      <c r="AM991" s="75"/>
      <c r="AN991" s="64" t="s">
        <v>39</v>
      </c>
      <c r="AO991" s="64"/>
      <c r="AP991" s="64"/>
      <c r="AQ991" s="189"/>
      <c r="AR991" s="64"/>
      <c r="AS991" s="476"/>
      <c r="AT991" s="64"/>
      <c r="AU991" s="646"/>
      <c r="AV991" s="343"/>
      <c r="AW991" s="185"/>
    </row>
    <row r="992" spans="1:49" s="153" customFormat="1" ht="38.1" customHeight="1" outlineLevel="1" collapsed="1" x14ac:dyDescent="0.25">
      <c r="A992" s="148" t="str">
        <f t="shared" si="215"/>
        <v>1.10.2.3.0.0</v>
      </c>
      <c r="B992" s="82">
        <v>1</v>
      </c>
      <c r="C992" s="82">
        <v>10</v>
      </c>
      <c r="D992" s="82">
        <v>2</v>
      </c>
      <c r="E992" s="82">
        <v>3</v>
      </c>
      <c r="F992" s="82">
        <v>0</v>
      </c>
      <c r="G992" s="82">
        <v>0</v>
      </c>
      <c r="H992" s="149"/>
      <c r="I992" s="149"/>
      <c r="J992" s="1260" t="s">
        <v>1104</v>
      </c>
      <c r="K992" s="1259"/>
      <c r="L992" s="82">
        <v>0</v>
      </c>
      <c r="M992" s="82">
        <v>0</v>
      </c>
      <c r="N992" s="82">
        <v>0</v>
      </c>
      <c r="O992" s="82">
        <v>0</v>
      </c>
      <c r="P992" s="82"/>
      <c r="Q992" s="82"/>
      <c r="R992" s="82"/>
      <c r="S992" s="149"/>
      <c r="T992" s="193"/>
      <c r="U992" s="384">
        <f>+SUM(U993:U1013)</f>
        <v>0</v>
      </c>
      <c r="V992" s="384"/>
      <c r="W992" s="384">
        <f t="shared" ref="W992:AH992" si="260">+SUM(W993:W1013)</f>
        <v>0</v>
      </c>
      <c r="X992" s="1145">
        <f t="shared" si="260"/>
        <v>0</v>
      </c>
      <c r="Y992" s="384">
        <f t="shared" si="260"/>
        <v>0</v>
      </c>
      <c r="Z992" s="384">
        <f t="shared" si="260"/>
        <v>0</v>
      </c>
      <c r="AA992" s="1145">
        <f t="shared" si="260"/>
        <v>0</v>
      </c>
      <c r="AB992" s="384">
        <f t="shared" si="260"/>
        <v>0</v>
      </c>
      <c r="AC992" s="384">
        <f t="shared" si="260"/>
        <v>0</v>
      </c>
      <c r="AD992" s="1145">
        <f t="shared" si="260"/>
        <v>0</v>
      </c>
      <c r="AE992" s="384">
        <f t="shared" si="260"/>
        <v>0</v>
      </c>
      <c r="AF992" s="384">
        <f t="shared" si="260"/>
        <v>0</v>
      </c>
      <c r="AG992" s="1145">
        <f t="shared" si="260"/>
        <v>0</v>
      </c>
      <c r="AH992" s="384">
        <f>+SUM(AH993:AH1013)</f>
        <v>0</v>
      </c>
      <c r="AI992" s="384">
        <f t="shared" ref="AI992" si="261">+SUM(AI993:AI1013)</f>
        <v>0</v>
      </c>
      <c r="AJ992" s="384">
        <f>+SUM(AJ993:AJ1013)</f>
        <v>0</v>
      </c>
      <c r="AK992" s="216"/>
      <c r="AL992" s="216"/>
      <c r="AM992" s="216"/>
      <c r="AN992" s="82" t="s">
        <v>39</v>
      </c>
      <c r="AO992" s="82"/>
      <c r="AP992" s="82"/>
      <c r="AQ992" s="365"/>
      <c r="AR992" s="82"/>
      <c r="AS992" s="483"/>
      <c r="AT992" s="82"/>
      <c r="AU992" s="666"/>
      <c r="AV992" s="358"/>
      <c r="AW992" s="444"/>
    </row>
    <row r="993" spans="1:49" s="212" customFormat="1" ht="35.1" hidden="1" customHeight="1" outlineLevel="4" x14ac:dyDescent="0.25">
      <c r="A993" s="210" t="str">
        <f t="shared" si="215"/>
        <v>1.10.2.3.1.58</v>
      </c>
      <c r="B993" s="136">
        <v>1</v>
      </c>
      <c r="C993" s="136">
        <v>10</v>
      </c>
      <c r="D993" s="136">
        <v>2</v>
      </c>
      <c r="E993" s="136">
        <v>3</v>
      </c>
      <c r="F993" s="136">
        <v>1</v>
      </c>
      <c r="G993" s="136">
        <v>58</v>
      </c>
      <c r="H993" s="125"/>
      <c r="I993" s="125"/>
      <c r="J993" s="213"/>
      <c r="K993" s="125" t="s">
        <v>1105</v>
      </c>
      <c r="L993" s="136">
        <v>0</v>
      </c>
      <c r="M993" s="136">
        <v>0</v>
      </c>
      <c r="N993" s="136">
        <v>0</v>
      </c>
      <c r="O993" s="136">
        <v>0</v>
      </c>
      <c r="P993" s="136"/>
      <c r="Q993" s="136"/>
      <c r="R993" s="136"/>
      <c r="S993" s="125"/>
      <c r="T993" s="1195"/>
      <c r="U993" s="370">
        <v>0</v>
      </c>
      <c r="V993" s="370"/>
      <c r="W993" s="370">
        <v>0</v>
      </c>
      <c r="X993" s="1129">
        <v>0</v>
      </c>
      <c r="Y993" s="370">
        <v>0</v>
      </c>
      <c r="Z993" s="370">
        <v>0</v>
      </c>
      <c r="AA993" s="1129">
        <v>0</v>
      </c>
      <c r="AB993" s="370">
        <v>0</v>
      </c>
      <c r="AC993" s="370">
        <v>0</v>
      </c>
      <c r="AD993" s="1129">
        <v>0</v>
      </c>
      <c r="AE993" s="370">
        <v>0</v>
      </c>
      <c r="AF993" s="370">
        <v>0</v>
      </c>
      <c r="AG993" s="1129">
        <v>0</v>
      </c>
      <c r="AH993" s="505">
        <f>+U993+Y993+AB993+AE993</f>
        <v>0</v>
      </c>
      <c r="AI993" s="132"/>
      <c r="AJ993" s="75">
        <f t="shared" ref="AJ993:AJ1013" si="262">+W994+Z994+AC994+AF994</f>
        <v>0</v>
      </c>
      <c r="AK993" s="75"/>
      <c r="AL993" s="75"/>
      <c r="AM993" s="75"/>
      <c r="AN993" s="136" t="s">
        <v>39</v>
      </c>
      <c r="AO993" s="631"/>
      <c r="AP993" s="631"/>
      <c r="AQ993" s="1066"/>
      <c r="AR993" s="631"/>
      <c r="AS993" s="1067"/>
      <c r="AT993" s="631"/>
      <c r="AU993" s="983"/>
      <c r="AV993" s="349"/>
      <c r="AW993" s="453"/>
    </row>
    <row r="994" spans="1:49" s="212" customFormat="1" ht="35.1" hidden="1" customHeight="1" outlineLevel="4" x14ac:dyDescent="0.25">
      <c r="A994" s="210" t="str">
        <f t="shared" si="215"/>
        <v>1.10.2.3.1.59</v>
      </c>
      <c r="B994" s="136">
        <v>1</v>
      </c>
      <c r="C994" s="136">
        <v>10</v>
      </c>
      <c r="D994" s="136">
        <v>2</v>
      </c>
      <c r="E994" s="136">
        <v>3</v>
      </c>
      <c r="F994" s="136">
        <v>1</v>
      </c>
      <c r="G994" s="136">
        <v>59</v>
      </c>
      <c r="H994" s="125"/>
      <c r="I994" s="125"/>
      <c r="J994" s="213"/>
      <c r="K994" s="125" t="s">
        <v>1106</v>
      </c>
      <c r="L994" s="136">
        <v>0</v>
      </c>
      <c r="M994" s="136">
        <v>0</v>
      </c>
      <c r="N994" s="136">
        <v>0</v>
      </c>
      <c r="O994" s="136">
        <v>0</v>
      </c>
      <c r="P994" s="136"/>
      <c r="Q994" s="136"/>
      <c r="R994" s="136"/>
      <c r="S994" s="125"/>
      <c r="T994" s="1195"/>
      <c r="U994" s="370">
        <v>0</v>
      </c>
      <c r="V994" s="370"/>
      <c r="W994" s="370">
        <v>0</v>
      </c>
      <c r="X994" s="1129">
        <v>0</v>
      </c>
      <c r="Y994" s="370">
        <v>0</v>
      </c>
      <c r="Z994" s="370">
        <v>0</v>
      </c>
      <c r="AA994" s="1129">
        <v>0</v>
      </c>
      <c r="AB994" s="370">
        <v>0</v>
      </c>
      <c r="AC994" s="370">
        <v>0</v>
      </c>
      <c r="AD994" s="1129">
        <v>0</v>
      </c>
      <c r="AE994" s="370">
        <v>0</v>
      </c>
      <c r="AF994" s="370">
        <v>0</v>
      </c>
      <c r="AG994" s="1129">
        <v>0</v>
      </c>
      <c r="AH994" s="505">
        <f t="shared" ref="AH994:AH1013" si="263">+U994+Y994+AB994+AE994</f>
        <v>0</v>
      </c>
      <c r="AI994" s="132"/>
      <c r="AJ994" s="75">
        <f t="shared" si="262"/>
        <v>0</v>
      </c>
      <c r="AK994" s="75"/>
      <c r="AL994" s="75"/>
      <c r="AM994" s="75"/>
      <c r="AN994" s="136" t="s">
        <v>39</v>
      </c>
      <c r="AO994" s="631"/>
      <c r="AP994" s="631"/>
      <c r="AQ994" s="1066"/>
      <c r="AR994" s="631"/>
      <c r="AS994" s="1067"/>
      <c r="AT994" s="631"/>
      <c r="AU994" s="983"/>
      <c r="AV994" s="349"/>
      <c r="AW994" s="453"/>
    </row>
    <row r="995" spans="1:49" s="212" customFormat="1" ht="35.1" hidden="1" customHeight="1" outlineLevel="4" x14ac:dyDescent="0.25">
      <c r="A995" s="210" t="str">
        <f t="shared" si="215"/>
        <v>1.10.2.3.1.60</v>
      </c>
      <c r="B995" s="136">
        <v>1</v>
      </c>
      <c r="C995" s="136">
        <v>10</v>
      </c>
      <c r="D995" s="136">
        <v>2</v>
      </c>
      <c r="E995" s="136">
        <v>3</v>
      </c>
      <c r="F995" s="136">
        <v>1</v>
      </c>
      <c r="G995" s="136">
        <v>60</v>
      </c>
      <c r="H995" s="125"/>
      <c r="I995" s="125"/>
      <c r="J995" s="213"/>
      <c r="K995" s="125" t="s">
        <v>1107</v>
      </c>
      <c r="L995" s="136">
        <v>0</v>
      </c>
      <c r="M995" s="136">
        <v>0</v>
      </c>
      <c r="N995" s="136">
        <v>0</v>
      </c>
      <c r="O995" s="136">
        <v>0</v>
      </c>
      <c r="P995" s="136"/>
      <c r="Q995" s="136"/>
      <c r="R995" s="136"/>
      <c r="S995" s="125"/>
      <c r="T995" s="1195"/>
      <c r="U995" s="370">
        <v>0</v>
      </c>
      <c r="V995" s="370"/>
      <c r="W995" s="370">
        <v>0</v>
      </c>
      <c r="X995" s="1129">
        <v>0</v>
      </c>
      <c r="Y995" s="370">
        <v>0</v>
      </c>
      <c r="Z995" s="370">
        <v>0</v>
      </c>
      <c r="AA995" s="1129">
        <v>0</v>
      </c>
      <c r="AB995" s="370">
        <v>0</v>
      </c>
      <c r="AC995" s="370">
        <v>0</v>
      </c>
      <c r="AD995" s="1129">
        <v>0</v>
      </c>
      <c r="AE995" s="370">
        <v>0</v>
      </c>
      <c r="AF995" s="370">
        <v>0</v>
      </c>
      <c r="AG995" s="1129">
        <v>0</v>
      </c>
      <c r="AH995" s="505">
        <f t="shared" si="263"/>
        <v>0</v>
      </c>
      <c r="AI995" s="132"/>
      <c r="AJ995" s="75">
        <f t="shared" si="262"/>
        <v>0</v>
      </c>
      <c r="AK995" s="75"/>
      <c r="AL995" s="75"/>
      <c r="AM995" s="75"/>
      <c r="AN995" s="136" t="s">
        <v>39</v>
      </c>
      <c r="AO995" s="631"/>
      <c r="AP995" s="631"/>
      <c r="AQ995" s="1066"/>
      <c r="AR995" s="631"/>
      <c r="AS995" s="1067"/>
      <c r="AT995" s="631"/>
      <c r="AU995" s="983"/>
      <c r="AV995" s="349"/>
      <c r="AW995" s="453"/>
    </row>
    <row r="996" spans="1:49" s="212" customFormat="1" ht="35.1" hidden="1" customHeight="1" outlineLevel="4" x14ac:dyDescent="0.25">
      <c r="A996" s="210" t="str">
        <f t="shared" si="215"/>
        <v>1.10.2.3.1.61</v>
      </c>
      <c r="B996" s="136">
        <v>1</v>
      </c>
      <c r="C996" s="136">
        <v>10</v>
      </c>
      <c r="D996" s="136">
        <v>2</v>
      </c>
      <c r="E996" s="136">
        <v>3</v>
      </c>
      <c r="F996" s="136">
        <v>1</v>
      </c>
      <c r="G996" s="136">
        <v>61</v>
      </c>
      <c r="H996" s="125"/>
      <c r="I996" s="125"/>
      <c r="J996" s="213"/>
      <c r="K996" s="125" t="s">
        <v>1108</v>
      </c>
      <c r="L996" s="136">
        <v>0</v>
      </c>
      <c r="M996" s="136">
        <v>0</v>
      </c>
      <c r="N996" s="136">
        <v>0</v>
      </c>
      <c r="O996" s="136">
        <v>0</v>
      </c>
      <c r="P996" s="136"/>
      <c r="Q996" s="136"/>
      <c r="R996" s="136"/>
      <c r="S996" s="125"/>
      <c r="T996" s="1195"/>
      <c r="U996" s="370">
        <v>0</v>
      </c>
      <c r="V996" s="370"/>
      <c r="W996" s="370">
        <v>0</v>
      </c>
      <c r="X996" s="1129">
        <v>0</v>
      </c>
      <c r="Y996" s="370">
        <v>0</v>
      </c>
      <c r="Z996" s="370">
        <v>0</v>
      </c>
      <c r="AA996" s="1129">
        <v>0</v>
      </c>
      <c r="AB996" s="370">
        <v>0</v>
      </c>
      <c r="AC996" s="370">
        <v>0</v>
      </c>
      <c r="AD996" s="1129">
        <v>0</v>
      </c>
      <c r="AE996" s="370">
        <v>0</v>
      </c>
      <c r="AF996" s="370">
        <v>0</v>
      </c>
      <c r="AG996" s="1129">
        <v>0</v>
      </c>
      <c r="AH996" s="505">
        <f t="shared" si="263"/>
        <v>0</v>
      </c>
      <c r="AI996" s="132"/>
      <c r="AJ996" s="75">
        <f t="shared" si="262"/>
        <v>0</v>
      </c>
      <c r="AK996" s="75"/>
      <c r="AL996" s="75"/>
      <c r="AM996" s="75"/>
      <c r="AN996" s="136" t="s">
        <v>39</v>
      </c>
      <c r="AO996" s="631"/>
      <c r="AP996" s="631"/>
      <c r="AQ996" s="1066"/>
      <c r="AR996" s="631"/>
      <c r="AS996" s="1067"/>
      <c r="AT996" s="631"/>
      <c r="AU996" s="983"/>
      <c r="AV996" s="349"/>
      <c r="AW996" s="453"/>
    </row>
    <row r="997" spans="1:49" s="212" customFormat="1" ht="35.1" hidden="1" customHeight="1" outlineLevel="4" x14ac:dyDescent="0.25">
      <c r="A997" s="210" t="str">
        <f t="shared" si="215"/>
        <v>1.10.2.3.1.62</v>
      </c>
      <c r="B997" s="136">
        <v>1</v>
      </c>
      <c r="C997" s="136">
        <v>10</v>
      </c>
      <c r="D997" s="136">
        <v>2</v>
      </c>
      <c r="E997" s="136">
        <v>3</v>
      </c>
      <c r="F997" s="136">
        <v>1</v>
      </c>
      <c r="G997" s="136">
        <v>62</v>
      </c>
      <c r="H997" s="125"/>
      <c r="I997" s="125"/>
      <c r="J997" s="213"/>
      <c r="K997" s="125" t="s">
        <v>1109</v>
      </c>
      <c r="L997" s="136">
        <v>0</v>
      </c>
      <c r="M997" s="136">
        <v>0</v>
      </c>
      <c r="N997" s="136">
        <v>0</v>
      </c>
      <c r="O997" s="136">
        <v>0</v>
      </c>
      <c r="P997" s="136"/>
      <c r="Q997" s="136"/>
      <c r="R997" s="136"/>
      <c r="S997" s="125"/>
      <c r="T997" s="1195"/>
      <c r="U997" s="370">
        <v>0</v>
      </c>
      <c r="V997" s="370"/>
      <c r="W997" s="370">
        <v>0</v>
      </c>
      <c r="X997" s="1129">
        <v>0</v>
      </c>
      <c r="Y997" s="370">
        <v>0</v>
      </c>
      <c r="Z997" s="370">
        <v>0</v>
      </c>
      <c r="AA997" s="1129">
        <v>0</v>
      </c>
      <c r="AB997" s="370">
        <v>0</v>
      </c>
      <c r="AC997" s="370">
        <v>0</v>
      </c>
      <c r="AD997" s="1129">
        <v>0</v>
      </c>
      <c r="AE997" s="370">
        <v>0</v>
      </c>
      <c r="AF997" s="370">
        <v>0</v>
      </c>
      <c r="AG997" s="1129">
        <v>0</v>
      </c>
      <c r="AH997" s="505">
        <f t="shared" si="263"/>
        <v>0</v>
      </c>
      <c r="AI997" s="132"/>
      <c r="AJ997" s="75">
        <f t="shared" si="262"/>
        <v>0</v>
      </c>
      <c r="AK997" s="75"/>
      <c r="AL997" s="75"/>
      <c r="AM997" s="75"/>
      <c r="AN997" s="136" t="s">
        <v>39</v>
      </c>
      <c r="AO997" s="631"/>
      <c r="AP997" s="631"/>
      <c r="AQ997" s="1066"/>
      <c r="AR997" s="631"/>
      <c r="AS997" s="1067"/>
      <c r="AT997" s="631"/>
      <c r="AU997" s="983"/>
      <c r="AV997" s="349"/>
      <c r="AW997" s="453"/>
    </row>
    <row r="998" spans="1:49" s="212" customFormat="1" ht="35.1" hidden="1" customHeight="1" outlineLevel="4" x14ac:dyDescent="0.25">
      <c r="A998" s="210" t="str">
        <f t="shared" si="215"/>
        <v>1.10.2.3.1.63</v>
      </c>
      <c r="B998" s="136">
        <v>1</v>
      </c>
      <c r="C998" s="136">
        <v>10</v>
      </c>
      <c r="D998" s="136">
        <v>2</v>
      </c>
      <c r="E998" s="136">
        <v>3</v>
      </c>
      <c r="F998" s="136">
        <v>1</v>
      </c>
      <c r="G998" s="136">
        <v>63</v>
      </c>
      <c r="H998" s="125"/>
      <c r="I998" s="125"/>
      <c r="J998" s="213"/>
      <c r="K998" s="125" t="s">
        <v>1772</v>
      </c>
      <c r="L998" s="136">
        <v>0</v>
      </c>
      <c r="M998" s="136">
        <v>0</v>
      </c>
      <c r="N998" s="136">
        <v>0</v>
      </c>
      <c r="O998" s="136">
        <v>0</v>
      </c>
      <c r="P998" s="136"/>
      <c r="Q998" s="136"/>
      <c r="R998" s="136"/>
      <c r="S998" s="125"/>
      <c r="T998" s="1195"/>
      <c r="U998" s="370">
        <v>0</v>
      </c>
      <c r="V998" s="370"/>
      <c r="W998" s="370">
        <v>0</v>
      </c>
      <c r="X998" s="1129">
        <v>0</v>
      </c>
      <c r="Y998" s="370">
        <v>0</v>
      </c>
      <c r="Z998" s="370">
        <v>0</v>
      </c>
      <c r="AA998" s="1129">
        <v>0</v>
      </c>
      <c r="AB998" s="370">
        <v>0</v>
      </c>
      <c r="AC998" s="370">
        <v>0</v>
      </c>
      <c r="AD998" s="1129">
        <v>0</v>
      </c>
      <c r="AE998" s="370">
        <v>0</v>
      </c>
      <c r="AF998" s="370">
        <v>0</v>
      </c>
      <c r="AG998" s="1129">
        <v>0</v>
      </c>
      <c r="AH998" s="505">
        <f t="shared" si="263"/>
        <v>0</v>
      </c>
      <c r="AI998" s="132"/>
      <c r="AJ998" s="75">
        <f t="shared" si="262"/>
        <v>0</v>
      </c>
      <c r="AK998" s="75"/>
      <c r="AL998" s="75"/>
      <c r="AM998" s="75"/>
      <c r="AN998" s="136" t="s">
        <v>39</v>
      </c>
      <c r="AO998" s="631"/>
      <c r="AP998" s="631"/>
      <c r="AQ998" s="1066"/>
      <c r="AR998" s="631"/>
      <c r="AS998" s="1067"/>
      <c r="AT998" s="631"/>
      <c r="AU998" s="983"/>
      <c r="AV998" s="349"/>
      <c r="AW998" s="453"/>
    </row>
    <row r="999" spans="1:49" s="212" customFormat="1" ht="35.1" hidden="1" customHeight="1" outlineLevel="4" x14ac:dyDescent="0.25">
      <c r="A999" s="210" t="str">
        <f t="shared" si="215"/>
        <v>1.10.2.3.1.64</v>
      </c>
      <c r="B999" s="136">
        <v>1</v>
      </c>
      <c r="C999" s="136">
        <v>10</v>
      </c>
      <c r="D999" s="136">
        <v>2</v>
      </c>
      <c r="E999" s="136">
        <v>3</v>
      </c>
      <c r="F999" s="136">
        <v>1</v>
      </c>
      <c r="G999" s="136">
        <v>64</v>
      </c>
      <c r="H999" s="125"/>
      <c r="I999" s="125"/>
      <c r="J999" s="213"/>
      <c r="K999" s="125" t="s">
        <v>1110</v>
      </c>
      <c r="L999" s="136">
        <v>0</v>
      </c>
      <c r="M999" s="136">
        <v>0</v>
      </c>
      <c r="N999" s="136">
        <v>0</v>
      </c>
      <c r="O999" s="136">
        <v>0</v>
      </c>
      <c r="P999" s="136"/>
      <c r="Q999" s="136"/>
      <c r="R999" s="136"/>
      <c r="S999" s="125"/>
      <c r="T999" s="1195"/>
      <c r="U999" s="370">
        <v>0</v>
      </c>
      <c r="V999" s="370"/>
      <c r="W999" s="370">
        <v>0</v>
      </c>
      <c r="X999" s="1129">
        <v>0</v>
      </c>
      <c r="Y999" s="370">
        <v>0</v>
      </c>
      <c r="Z999" s="370">
        <v>0</v>
      </c>
      <c r="AA999" s="1129">
        <v>0</v>
      </c>
      <c r="AB999" s="370">
        <v>0</v>
      </c>
      <c r="AC999" s="370">
        <v>0</v>
      </c>
      <c r="AD999" s="1129">
        <v>0</v>
      </c>
      <c r="AE999" s="370">
        <v>0</v>
      </c>
      <c r="AF999" s="370">
        <v>0</v>
      </c>
      <c r="AG999" s="1129">
        <v>0</v>
      </c>
      <c r="AH999" s="505">
        <f t="shared" si="263"/>
        <v>0</v>
      </c>
      <c r="AI999" s="132"/>
      <c r="AJ999" s="75">
        <f t="shared" si="262"/>
        <v>0</v>
      </c>
      <c r="AK999" s="75"/>
      <c r="AL999" s="75"/>
      <c r="AM999" s="75"/>
      <c r="AN999" s="136" t="s">
        <v>39</v>
      </c>
      <c r="AO999" s="631"/>
      <c r="AP999" s="631"/>
      <c r="AQ999" s="1066"/>
      <c r="AR999" s="631"/>
      <c r="AS999" s="1067"/>
      <c r="AT999" s="631"/>
      <c r="AU999" s="983"/>
      <c r="AV999" s="349"/>
      <c r="AW999" s="453"/>
    </row>
    <row r="1000" spans="1:49" s="212" customFormat="1" ht="35.1" hidden="1" customHeight="1" outlineLevel="4" x14ac:dyDescent="0.25">
      <c r="A1000" s="210" t="str">
        <f t="shared" si="215"/>
        <v>1.10.2.3.2.58</v>
      </c>
      <c r="B1000" s="136">
        <v>1</v>
      </c>
      <c r="C1000" s="136">
        <v>10</v>
      </c>
      <c r="D1000" s="136">
        <v>2</v>
      </c>
      <c r="E1000" s="136">
        <v>3</v>
      </c>
      <c r="F1000" s="136">
        <v>2</v>
      </c>
      <c r="G1000" s="136">
        <v>58</v>
      </c>
      <c r="H1000" s="125"/>
      <c r="I1000" s="125"/>
      <c r="J1000" s="213"/>
      <c r="K1000" s="86" t="s">
        <v>1111</v>
      </c>
      <c r="L1000" s="136">
        <v>0</v>
      </c>
      <c r="M1000" s="136">
        <v>0</v>
      </c>
      <c r="N1000" s="136">
        <v>0</v>
      </c>
      <c r="O1000" s="136">
        <v>0</v>
      </c>
      <c r="P1000" s="136"/>
      <c r="Q1000" s="136"/>
      <c r="R1000" s="136"/>
      <c r="S1000" s="125"/>
      <c r="T1000" s="1195"/>
      <c r="U1000" s="370">
        <v>0</v>
      </c>
      <c r="V1000" s="370"/>
      <c r="W1000" s="370">
        <v>0</v>
      </c>
      <c r="X1000" s="1129">
        <v>0</v>
      </c>
      <c r="Y1000" s="370">
        <v>0</v>
      </c>
      <c r="Z1000" s="370">
        <v>0</v>
      </c>
      <c r="AA1000" s="1129">
        <v>0</v>
      </c>
      <c r="AB1000" s="370">
        <v>0</v>
      </c>
      <c r="AC1000" s="370">
        <v>0</v>
      </c>
      <c r="AD1000" s="1129">
        <v>0</v>
      </c>
      <c r="AE1000" s="370">
        <v>0</v>
      </c>
      <c r="AF1000" s="370">
        <v>0</v>
      </c>
      <c r="AG1000" s="1129">
        <v>0</v>
      </c>
      <c r="AH1000" s="505">
        <f t="shared" si="263"/>
        <v>0</v>
      </c>
      <c r="AI1000" s="132"/>
      <c r="AJ1000" s="75">
        <f t="shared" si="262"/>
        <v>0</v>
      </c>
      <c r="AK1000" s="75"/>
      <c r="AL1000" s="75"/>
      <c r="AM1000" s="75"/>
      <c r="AN1000" s="136" t="s">
        <v>39</v>
      </c>
      <c r="AO1000" s="136"/>
      <c r="AP1000" s="136"/>
      <c r="AQ1000" s="414"/>
      <c r="AR1000" s="136"/>
      <c r="AS1000" s="477"/>
      <c r="AT1000" s="136"/>
      <c r="AU1000" s="646"/>
      <c r="AV1000" s="349"/>
      <c r="AW1000" s="448"/>
    </row>
    <row r="1001" spans="1:49" s="212" customFormat="1" ht="35.1" hidden="1" customHeight="1" outlineLevel="4" x14ac:dyDescent="0.25">
      <c r="A1001" s="210" t="str">
        <f t="shared" si="215"/>
        <v>1.10.2.3.2.59</v>
      </c>
      <c r="B1001" s="136">
        <v>1</v>
      </c>
      <c r="C1001" s="136">
        <v>10</v>
      </c>
      <c r="D1001" s="136">
        <v>2</v>
      </c>
      <c r="E1001" s="136">
        <v>3</v>
      </c>
      <c r="F1001" s="136">
        <v>2</v>
      </c>
      <c r="G1001" s="136">
        <v>59</v>
      </c>
      <c r="H1001" s="125"/>
      <c r="I1001" s="125"/>
      <c r="J1001" s="213"/>
      <c r="K1001" s="125" t="s">
        <v>1112</v>
      </c>
      <c r="L1001" s="136">
        <v>0</v>
      </c>
      <c r="M1001" s="136">
        <v>0</v>
      </c>
      <c r="N1001" s="136">
        <v>0</v>
      </c>
      <c r="O1001" s="136">
        <v>0</v>
      </c>
      <c r="P1001" s="136"/>
      <c r="Q1001" s="136"/>
      <c r="R1001" s="136"/>
      <c r="S1001" s="125"/>
      <c r="T1001" s="1195"/>
      <c r="U1001" s="370">
        <v>0</v>
      </c>
      <c r="V1001" s="370"/>
      <c r="W1001" s="370">
        <v>0</v>
      </c>
      <c r="X1001" s="1129">
        <v>0</v>
      </c>
      <c r="Y1001" s="370">
        <v>0</v>
      </c>
      <c r="Z1001" s="370">
        <v>0</v>
      </c>
      <c r="AA1001" s="1129">
        <v>0</v>
      </c>
      <c r="AB1001" s="370">
        <v>0</v>
      </c>
      <c r="AC1001" s="370">
        <v>0</v>
      </c>
      <c r="AD1001" s="1129">
        <v>0</v>
      </c>
      <c r="AE1001" s="370">
        <v>0</v>
      </c>
      <c r="AF1001" s="370">
        <v>0</v>
      </c>
      <c r="AG1001" s="1129">
        <v>0</v>
      </c>
      <c r="AH1001" s="505">
        <f t="shared" si="263"/>
        <v>0</v>
      </c>
      <c r="AI1001" s="132"/>
      <c r="AJ1001" s="75">
        <f t="shared" si="262"/>
        <v>0</v>
      </c>
      <c r="AK1001" s="75"/>
      <c r="AL1001" s="75"/>
      <c r="AM1001" s="75"/>
      <c r="AN1001" s="136" t="s">
        <v>39</v>
      </c>
      <c r="AO1001" s="136"/>
      <c r="AP1001" s="136"/>
      <c r="AQ1001" s="414"/>
      <c r="AR1001" s="136"/>
      <c r="AS1001" s="477"/>
      <c r="AT1001" s="136"/>
      <c r="AU1001" s="646"/>
      <c r="AV1001" s="349"/>
      <c r="AW1001" s="448"/>
    </row>
    <row r="1002" spans="1:49" s="212" customFormat="1" ht="35.1" hidden="1" customHeight="1" outlineLevel="4" x14ac:dyDescent="0.25">
      <c r="A1002" s="210" t="str">
        <f t="shared" si="215"/>
        <v>1.10.2.3.2.60</v>
      </c>
      <c r="B1002" s="136">
        <v>1</v>
      </c>
      <c r="C1002" s="136">
        <v>10</v>
      </c>
      <c r="D1002" s="136">
        <v>2</v>
      </c>
      <c r="E1002" s="136">
        <v>3</v>
      </c>
      <c r="F1002" s="136">
        <v>2</v>
      </c>
      <c r="G1002" s="136">
        <v>60</v>
      </c>
      <c r="H1002" s="125"/>
      <c r="I1002" s="125"/>
      <c r="J1002" s="213"/>
      <c r="K1002" s="125" t="s">
        <v>1113</v>
      </c>
      <c r="L1002" s="136">
        <v>0</v>
      </c>
      <c r="M1002" s="136">
        <v>0</v>
      </c>
      <c r="N1002" s="136">
        <v>0</v>
      </c>
      <c r="O1002" s="136">
        <v>0</v>
      </c>
      <c r="P1002" s="136"/>
      <c r="Q1002" s="136"/>
      <c r="R1002" s="136"/>
      <c r="S1002" s="125"/>
      <c r="T1002" s="1195"/>
      <c r="U1002" s="370">
        <v>0</v>
      </c>
      <c r="V1002" s="370"/>
      <c r="W1002" s="370">
        <v>0</v>
      </c>
      <c r="X1002" s="1129">
        <v>0</v>
      </c>
      <c r="Y1002" s="370">
        <v>0</v>
      </c>
      <c r="Z1002" s="370">
        <v>0</v>
      </c>
      <c r="AA1002" s="1129">
        <v>0</v>
      </c>
      <c r="AB1002" s="370">
        <v>0</v>
      </c>
      <c r="AC1002" s="370">
        <v>0</v>
      </c>
      <c r="AD1002" s="1129">
        <v>0</v>
      </c>
      <c r="AE1002" s="370">
        <v>0</v>
      </c>
      <c r="AF1002" s="370">
        <v>0</v>
      </c>
      <c r="AG1002" s="1129">
        <v>0</v>
      </c>
      <c r="AH1002" s="505">
        <f t="shared" si="263"/>
        <v>0</v>
      </c>
      <c r="AI1002" s="132"/>
      <c r="AJ1002" s="75">
        <f t="shared" si="262"/>
        <v>0</v>
      </c>
      <c r="AK1002" s="75"/>
      <c r="AL1002" s="75"/>
      <c r="AM1002" s="75"/>
      <c r="AN1002" s="136" t="s">
        <v>39</v>
      </c>
      <c r="AO1002" s="136"/>
      <c r="AP1002" s="136"/>
      <c r="AQ1002" s="414"/>
      <c r="AR1002" s="136"/>
      <c r="AS1002" s="477"/>
      <c r="AT1002" s="136"/>
      <c r="AU1002" s="646"/>
      <c r="AV1002" s="349"/>
      <c r="AW1002" s="448"/>
    </row>
    <row r="1003" spans="1:49" s="212" customFormat="1" ht="35.1" hidden="1" customHeight="1" outlineLevel="4" x14ac:dyDescent="0.25">
      <c r="A1003" s="210" t="str">
        <f t="shared" si="215"/>
        <v>1.10.2.3.2.61</v>
      </c>
      <c r="B1003" s="136">
        <v>1</v>
      </c>
      <c r="C1003" s="136">
        <v>10</v>
      </c>
      <c r="D1003" s="136">
        <v>2</v>
      </c>
      <c r="E1003" s="136">
        <v>3</v>
      </c>
      <c r="F1003" s="136">
        <v>2</v>
      </c>
      <c r="G1003" s="136">
        <v>61</v>
      </c>
      <c r="H1003" s="125"/>
      <c r="I1003" s="125"/>
      <c r="J1003" s="213"/>
      <c r="K1003" s="125" t="s">
        <v>1114</v>
      </c>
      <c r="L1003" s="136">
        <v>0</v>
      </c>
      <c r="M1003" s="136">
        <v>0</v>
      </c>
      <c r="N1003" s="136">
        <v>0</v>
      </c>
      <c r="O1003" s="136">
        <v>0</v>
      </c>
      <c r="P1003" s="136"/>
      <c r="Q1003" s="136"/>
      <c r="R1003" s="136"/>
      <c r="S1003" s="125"/>
      <c r="T1003" s="1195"/>
      <c r="U1003" s="370">
        <v>0</v>
      </c>
      <c r="V1003" s="370"/>
      <c r="W1003" s="370">
        <v>0</v>
      </c>
      <c r="X1003" s="1129">
        <v>0</v>
      </c>
      <c r="Y1003" s="370">
        <v>0</v>
      </c>
      <c r="Z1003" s="370">
        <v>0</v>
      </c>
      <c r="AA1003" s="1129">
        <v>0</v>
      </c>
      <c r="AB1003" s="370">
        <v>0</v>
      </c>
      <c r="AC1003" s="370">
        <v>0</v>
      </c>
      <c r="AD1003" s="1129">
        <v>0</v>
      </c>
      <c r="AE1003" s="370">
        <v>0</v>
      </c>
      <c r="AF1003" s="370">
        <v>0</v>
      </c>
      <c r="AG1003" s="1129">
        <v>0</v>
      </c>
      <c r="AH1003" s="505">
        <f t="shared" si="263"/>
        <v>0</v>
      </c>
      <c r="AI1003" s="132"/>
      <c r="AJ1003" s="75">
        <f t="shared" si="262"/>
        <v>0</v>
      </c>
      <c r="AK1003" s="75"/>
      <c r="AL1003" s="75"/>
      <c r="AM1003" s="75"/>
      <c r="AN1003" s="136" t="s">
        <v>39</v>
      </c>
      <c r="AO1003" s="136"/>
      <c r="AP1003" s="136"/>
      <c r="AQ1003" s="414"/>
      <c r="AR1003" s="136"/>
      <c r="AS1003" s="477"/>
      <c r="AT1003" s="136"/>
      <c r="AU1003" s="646"/>
      <c r="AV1003" s="349"/>
      <c r="AW1003" s="448"/>
    </row>
    <row r="1004" spans="1:49" s="212" customFormat="1" ht="35.1" hidden="1" customHeight="1" outlineLevel="4" x14ac:dyDescent="0.25">
      <c r="A1004" s="210" t="str">
        <f t="shared" si="215"/>
        <v>1.10.2.3.2.62</v>
      </c>
      <c r="B1004" s="136">
        <v>1</v>
      </c>
      <c r="C1004" s="136">
        <v>10</v>
      </c>
      <c r="D1004" s="136">
        <v>2</v>
      </c>
      <c r="E1004" s="136">
        <v>3</v>
      </c>
      <c r="F1004" s="136">
        <v>2</v>
      </c>
      <c r="G1004" s="136">
        <v>62</v>
      </c>
      <c r="H1004" s="125"/>
      <c r="I1004" s="125"/>
      <c r="J1004" s="213"/>
      <c r="K1004" s="125" t="s">
        <v>1115</v>
      </c>
      <c r="L1004" s="136">
        <v>0</v>
      </c>
      <c r="M1004" s="136">
        <v>0</v>
      </c>
      <c r="N1004" s="136">
        <v>0</v>
      </c>
      <c r="O1004" s="136">
        <v>0</v>
      </c>
      <c r="P1004" s="136"/>
      <c r="Q1004" s="136"/>
      <c r="R1004" s="136"/>
      <c r="S1004" s="125"/>
      <c r="T1004" s="1195"/>
      <c r="U1004" s="370">
        <v>0</v>
      </c>
      <c r="V1004" s="370"/>
      <c r="W1004" s="370">
        <v>0</v>
      </c>
      <c r="X1004" s="1129">
        <v>0</v>
      </c>
      <c r="Y1004" s="370">
        <v>0</v>
      </c>
      <c r="Z1004" s="370">
        <v>0</v>
      </c>
      <c r="AA1004" s="1129">
        <v>0</v>
      </c>
      <c r="AB1004" s="370">
        <v>0</v>
      </c>
      <c r="AC1004" s="370">
        <v>0</v>
      </c>
      <c r="AD1004" s="1129">
        <v>0</v>
      </c>
      <c r="AE1004" s="370">
        <v>0</v>
      </c>
      <c r="AF1004" s="370">
        <v>0</v>
      </c>
      <c r="AG1004" s="1129">
        <v>0</v>
      </c>
      <c r="AH1004" s="505">
        <f t="shared" si="263"/>
        <v>0</v>
      </c>
      <c r="AI1004" s="132"/>
      <c r="AJ1004" s="75">
        <f t="shared" si="262"/>
        <v>0</v>
      </c>
      <c r="AK1004" s="75"/>
      <c r="AL1004" s="75"/>
      <c r="AM1004" s="75"/>
      <c r="AN1004" s="136" t="s">
        <v>39</v>
      </c>
      <c r="AO1004" s="136"/>
      <c r="AP1004" s="136"/>
      <c r="AQ1004" s="414"/>
      <c r="AR1004" s="136"/>
      <c r="AS1004" s="477"/>
      <c r="AT1004" s="136"/>
      <c r="AU1004" s="646"/>
      <c r="AV1004" s="349"/>
      <c r="AW1004" s="448"/>
    </row>
    <row r="1005" spans="1:49" s="212" customFormat="1" ht="35.1" hidden="1" customHeight="1" outlineLevel="4" x14ac:dyDescent="0.25">
      <c r="A1005" s="210" t="str">
        <f t="shared" si="215"/>
        <v>1.10.2.3.2.63</v>
      </c>
      <c r="B1005" s="136">
        <v>1</v>
      </c>
      <c r="C1005" s="136">
        <v>10</v>
      </c>
      <c r="D1005" s="136">
        <v>2</v>
      </c>
      <c r="E1005" s="136">
        <v>3</v>
      </c>
      <c r="F1005" s="136">
        <v>2</v>
      </c>
      <c r="G1005" s="136">
        <v>63</v>
      </c>
      <c r="H1005" s="125"/>
      <c r="I1005" s="125"/>
      <c r="J1005" s="213"/>
      <c r="K1005" s="125" t="s">
        <v>1773</v>
      </c>
      <c r="L1005" s="136">
        <v>0</v>
      </c>
      <c r="M1005" s="136">
        <v>0</v>
      </c>
      <c r="N1005" s="136">
        <v>0</v>
      </c>
      <c r="O1005" s="136">
        <v>0</v>
      </c>
      <c r="P1005" s="136"/>
      <c r="Q1005" s="136"/>
      <c r="R1005" s="136"/>
      <c r="S1005" s="125"/>
      <c r="T1005" s="1195"/>
      <c r="U1005" s="370">
        <v>0</v>
      </c>
      <c r="V1005" s="370"/>
      <c r="W1005" s="370">
        <v>0</v>
      </c>
      <c r="X1005" s="1129">
        <v>0</v>
      </c>
      <c r="Y1005" s="370">
        <v>0</v>
      </c>
      <c r="Z1005" s="370">
        <v>0</v>
      </c>
      <c r="AA1005" s="1129">
        <v>0</v>
      </c>
      <c r="AB1005" s="370">
        <v>0</v>
      </c>
      <c r="AC1005" s="370">
        <v>0</v>
      </c>
      <c r="AD1005" s="1129">
        <v>0</v>
      </c>
      <c r="AE1005" s="370">
        <v>0</v>
      </c>
      <c r="AF1005" s="370">
        <v>0</v>
      </c>
      <c r="AG1005" s="1129">
        <v>0</v>
      </c>
      <c r="AH1005" s="505">
        <f t="shared" si="263"/>
        <v>0</v>
      </c>
      <c r="AI1005" s="132"/>
      <c r="AJ1005" s="75">
        <f t="shared" si="262"/>
        <v>0</v>
      </c>
      <c r="AK1005" s="75"/>
      <c r="AL1005" s="75"/>
      <c r="AM1005" s="75"/>
      <c r="AN1005" s="136" t="s">
        <v>39</v>
      </c>
      <c r="AO1005" s="136"/>
      <c r="AP1005" s="136"/>
      <c r="AQ1005" s="414"/>
      <c r="AR1005" s="136"/>
      <c r="AS1005" s="477"/>
      <c r="AT1005" s="136"/>
      <c r="AU1005" s="646"/>
      <c r="AV1005" s="349"/>
      <c r="AW1005" s="448"/>
    </row>
    <row r="1006" spans="1:49" s="212" customFormat="1" ht="35.1" hidden="1" customHeight="1" outlineLevel="4" x14ac:dyDescent="0.25">
      <c r="A1006" s="210" t="str">
        <f t="shared" si="215"/>
        <v>1.10.2.3.2.64</v>
      </c>
      <c r="B1006" s="136">
        <v>1</v>
      </c>
      <c r="C1006" s="136">
        <v>10</v>
      </c>
      <c r="D1006" s="136">
        <v>2</v>
      </c>
      <c r="E1006" s="136">
        <v>3</v>
      </c>
      <c r="F1006" s="136">
        <v>2</v>
      </c>
      <c r="G1006" s="136">
        <v>64</v>
      </c>
      <c r="H1006" s="125"/>
      <c r="I1006" s="125"/>
      <c r="J1006" s="213"/>
      <c r="K1006" s="125" t="s">
        <v>1116</v>
      </c>
      <c r="L1006" s="136">
        <v>0</v>
      </c>
      <c r="M1006" s="136">
        <v>0</v>
      </c>
      <c r="N1006" s="136">
        <v>0</v>
      </c>
      <c r="O1006" s="136">
        <v>0</v>
      </c>
      <c r="P1006" s="136"/>
      <c r="Q1006" s="136"/>
      <c r="R1006" s="136"/>
      <c r="S1006" s="125"/>
      <c r="T1006" s="1195"/>
      <c r="U1006" s="370">
        <v>0</v>
      </c>
      <c r="V1006" s="370"/>
      <c r="W1006" s="370">
        <v>0</v>
      </c>
      <c r="X1006" s="1129">
        <v>0</v>
      </c>
      <c r="Y1006" s="370">
        <v>0</v>
      </c>
      <c r="Z1006" s="370">
        <v>0</v>
      </c>
      <c r="AA1006" s="1129">
        <v>0</v>
      </c>
      <c r="AB1006" s="370">
        <v>0</v>
      </c>
      <c r="AC1006" s="370">
        <v>0</v>
      </c>
      <c r="AD1006" s="1129">
        <v>0</v>
      </c>
      <c r="AE1006" s="370">
        <v>0</v>
      </c>
      <c r="AF1006" s="370">
        <v>0</v>
      </c>
      <c r="AG1006" s="1129">
        <v>0</v>
      </c>
      <c r="AH1006" s="505">
        <f t="shared" si="263"/>
        <v>0</v>
      </c>
      <c r="AI1006" s="132"/>
      <c r="AJ1006" s="75">
        <f t="shared" si="262"/>
        <v>0</v>
      </c>
      <c r="AK1006" s="75"/>
      <c r="AL1006" s="75"/>
      <c r="AM1006" s="75"/>
      <c r="AN1006" s="136" t="s">
        <v>39</v>
      </c>
      <c r="AO1006" s="136"/>
      <c r="AP1006" s="136"/>
      <c r="AQ1006" s="414"/>
      <c r="AR1006" s="136"/>
      <c r="AS1006" s="477"/>
      <c r="AT1006" s="136"/>
      <c r="AU1006" s="646"/>
      <c r="AV1006" s="349"/>
      <c r="AW1006" s="448"/>
    </row>
    <row r="1007" spans="1:49" s="212" customFormat="1" ht="35.1" hidden="1" customHeight="1" outlineLevel="4" x14ac:dyDescent="0.25">
      <c r="A1007" s="210" t="str">
        <f t="shared" si="215"/>
        <v>1.10.2.3.3.58</v>
      </c>
      <c r="B1007" s="136">
        <v>1</v>
      </c>
      <c r="C1007" s="136">
        <v>10</v>
      </c>
      <c r="D1007" s="136">
        <v>2</v>
      </c>
      <c r="E1007" s="136">
        <v>3</v>
      </c>
      <c r="F1007" s="136">
        <v>3</v>
      </c>
      <c r="G1007" s="136">
        <v>58</v>
      </c>
      <c r="H1007" s="125"/>
      <c r="I1007" s="125"/>
      <c r="J1007" s="213"/>
      <c r="K1007" s="86" t="s">
        <v>1117</v>
      </c>
      <c r="L1007" s="136">
        <v>0</v>
      </c>
      <c r="M1007" s="136">
        <v>0</v>
      </c>
      <c r="N1007" s="136">
        <v>0</v>
      </c>
      <c r="O1007" s="136">
        <v>0</v>
      </c>
      <c r="P1007" s="136"/>
      <c r="Q1007" s="136"/>
      <c r="R1007" s="136"/>
      <c r="S1007" s="125"/>
      <c r="T1007" s="1195"/>
      <c r="U1007" s="370">
        <v>0</v>
      </c>
      <c r="V1007" s="370"/>
      <c r="W1007" s="370">
        <v>0</v>
      </c>
      <c r="X1007" s="1129">
        <v>0</v>
      </c>
      <c r="Y1007" s="370">
        <v>0</v>
      </c>
      <c r="Z1007" s="370">
        <v>0</v>
      </c>
      <c r="AA1007" s="1129">
        <v>0</v>
      </c>
      <c r="AB1007" s="370">
        <v>0</v>
      </c>
      <c r="AC1007" s="370">
        <v>0</v>
      </c>
      <c r="AD1007" s="1129">
        <v>0</v>
      </c>
      <c r="AE1007" s="370">
        <v>0</v>
      </c>
      <c r="AF1007" s="370">
        <v>0</v>
      </c>
      <c r="AG1007" s="1129">
        <v>0</v>
      </c>
      <c r="AH1007" s="505">
        <f t="shared" si="263"/>
        <v>0</v>
      </c>
      <c r="AI1007" s="132"/>
      <c r="AJ1007" s="75">
        <f t="shared" si="262"/>
        <v>0</v>
      </c>
      <c r="AK1007" s="75"/>
      <c r="AL1007" s="75"/>
      <c r="AM1007" s="75"/>
      <c r="AN1007" s="136" t="s">
        <v>39</v>
      </c>
      <c r="AO1007" s="136"/>
      <c r="AP1007" s="136"/>
      <c r="AQ1007" s="414"/>
      <c r="AR1007" s="136"/>
      <c r="AS1007" s="477"/>
      <c r="AT1007" s="136"/>
      <c r="AU1007" s="646"/>
      <c r="AV1007" s="349"/>
      <c r="AW1007" s="448"/>
    </row>
    <row r="1008" spans="1:49" s="212" customFormat="1" ht="35.1" hidden="1" customHeight="1" outlineLevel="4" x14ac:dyDescent="0.25">
      <c r="A1008" s="210" t="str">
        <f t="shared" si="215"/>
        <v>1.10.2.3.3.59</v>
      </c>
      <c r="B1008" s="136">
        <v>1</v>
      </c>
      <c r="C1008" s="136">
        <v>10</v>
      </c>
      <c r="D1008" s="136">
        <v>2</v>
      </c>
      <c r="E1008" s="136">
        <v>3</v>
      </c>
      <c r="F1008" s="136">
        <v>3</v>
      </c>
      <c r="G1008" s="136">
        <v>59</v>
      </c>
      <c r="H1008" s="125"/>
      <c r="I1008" s="125"/>
      <c r="J1008" s="213"/>
      <c r="K1008" s="86" t="s">
        <v>1118</v>
      </c>
      <c r="L1008" s="136">
        <v>0</v>
      </c>
      <c r="M1008" s="136">
        <v>0</v>
      </c>
      <c r="N1008" s="136">
        <v>0</v>
      </c>
      <c r="O1008" s="136">
        <v>0</v>
      </c>
      <c r="P1008" s="136"/>
      <c r="Q1008" s="136"/>
      <c r="R1008" s="136"/>
      <c r="S1008" s="125"/>
      <c r="T1008" s="1195"/>
      <c r="U1008" s="370">
        <v>0</v>
      </c>
      <c r="V1008" s="370"/>
      <c r="W1008" s="370">
        <v>0</v>
      </c>
      <c r="X1008" s="1129">
        <v>0</v>
      </c>
      <c r="Y1008" s="370">
        <v>0</v>
      </c>
      <c r="Z1008" s="370">
        <v>0</v>
      </c>
      <c r="AA1008" s="1129">
        <v>0</v>
      </c>
      <c r="AB1008" s="370">
        <v>0</v>
      </c>
      <c r="AC1008" s="370">
        <v>0</v>
      </c>
      <c r="AD1008" s="1129">
        <v>0</v>
      </c>
      <c r="AE1008" s="370">
        <v>0</v>
      </c>
      <c r="AF1008" s="370">
        <v>0</v>
      </c>
      <c r="AG1008" s="1129">
        <v>0</v>
      </c>
      <c r="AH1008" s="505">
        <f t="shared" si="263"/>
        <v>0</v>
      </c>
      <c r="AI1008" s="132"/>
      <c r="AJ1008" s="75">
        <f t="shared" si="262"/>
        <v>0</v>
      </c>
      <c r="AK1008" s="75"/>
      <c r="AL1008" s="75"/>
      <c r="AM1008" s="75"/>
      <c r="AN1008" s="136" t="s">
        <v>39</v>
      </c>
      <c r="AO1008" s="136"/>
      <c r="AP1008" s="136"/>
      <c r="AQ1008" s="414"/>
      <c r="AR1008" s="136"/>
      <c r="AS1008" s="477"/>
      <c r="AT1008" s="136"/>
      <c r="AU1008" s="646"/>
      <c r="AV1008" s="349"/>
      <c r="AW1008" s="448"/>
    </row>
    <row r="1009" spans="1:49" s="212" customFormat="1" ht="35.1" hidden="1" customHeight="1" outlineLevel="4" x14ac:dyDescent="0.25">
      <c r="A1009" s="210" t="str">
        <f t="shared" si="215"/>
        <v>1.10.2.3.3.60</v>
      </c>
      <c r="B1009" s="136">
        <v>1</v>
      </c>
      <c r="C1009" s="136">
        <v>10</v>
      </c>
      <c r="D1009" s="136">
        <v>2</v>
      </c>
      <c r="E1009" s="136">
        <v>3</v>
      </c>
      <c r="F1009" s="136">
        <v>3</v>
      </c>
      <c r="G1009" s="136">
        <v>60</v>
      </c>
      <c r="H1009" s="125"/>
      <c r="I1009" s="125"/>
      <c r="J1009" s="213"/>
      <c r="K1009" s="86" t="s">
        <v>1119</v>
      </c>
      <c r="L1009" s="136">
        <v>0</v>
      </c>
      <c r="M1009" s="136">
        <v>0</v>
      </c>
      <c r="N1009" s="136">
        <v>0</v>
      </c>
      <c r="O1009" s="136">
        <v>0</v>
      </c>
      <c r="P1009" s="136"/>
      <c r="Q1009" s="136"/>
      <c r="R1009" s="136"/>
      <c r="S1009" s="125"/>
      <c r="T1009" s="1195"/>
      <c r="U1009" s="370">
        <v>0</v>
      </c>
      <c r="V1009" s="370"/>
      <c r="W1009" s="370">
        <v>0</v>
      </c>
      <c r="X1009" s="1129">
        <v>0</v>
      </c>
      <c r="Y1009" s="370">
        <v>0</v>
      </c>
      <c r="Z1009" s="370">
        <v>0</v>
      </c>
      <c r="AA1009" s="1129">
        <v>0</v>
      </c>
      <c r="AB1009" s="370">
        <v>0</v>
      </c>
      <c r="AC1009" s="370">
        <v>0</v>
      </c>
      <c r="AD1009" s="1129">
        <v>0</v>
      </c>
      <c r="AE1009" s="370">
        <v>0</v>
      </c>
      <c r="AF1009" s="370">
        <v>0</v>
      </c>
      <c r="AG1009" s="1129">
        <v>0</v>
      </c>
      <c r="AH1009" s="505">
        <f t="shared" si="263"/>
        <v>0</v>
      </c>
      <c r="AI1009" s="132"/>
      <c r="AJ1009" s="75">
        <f t="shared" si="262"/>
        <v>0</v>
      </c>
      <c r="AK1009" s="75"/>
      <c r="AL1009" s="75"/>
      <c r="AM1009" s="75"/>
      <c r="AN1009" s="136" t="s">
        <v>39</v>
      </c>
      <c r="AO1009" s="136"/>
      <c r="AP1009" s="136"/>
      <c r="AQ1009" s="414"/>
      <c r="AR1009" s="136"/>
      <c r="AS1009" s="477"/>
      <c r="AT1009" s="136"/>
      <c r="AU1009" s="646"/>
      <c r="AV1009" s="349"/>
      <c r="AW1009" s="448"/>
    </row>
    <row r="1010" spans="1:49" s="212" customFormat="1" ht="35.1" hidden="1" customHeight="1" outlineLevel="4" x14ac:dyDescent="0.25">
      <c r="A1010" s="210" t="str">
        <f t="shared" si="215"/>
        <v>1.10.2.3.3.61</v>
      </c>
      <c r="B1010" s="136">
        <v>1</v>
      </c>
      <c r="C1010" s="136">
        <v>10</v>
      </c>
      <c r="D1010" s="136">
        <v>2</v>
      </c>
      <c r="E1010" s="136">
        <v>3</v>
      </c>
      <c r="F1010" s="136">
        <v>3</v>
      </c>
      <c r="G1010" s="136">
        <v>61</v>
      </c>
      <c r="H1010" s="125"/>
      <c r="I1010" s="125"/>
      <c r="J1010" s="213"/>
      <c r="K1010" s="86" t="s">
        <v>1120</v>
      </c>
      <c r="L1010" s="136">
        <v>0</v>
      </c>
      <c r="M1010" s="136">
        <v>0</v>
      </c>
      <c r="N1010" s="136">
        <v>0</v>
      </c>
      <c r="O1010" s="136">
        <v>0</v>
      </c>
      <c r="P1010" s="136"/>
      <c r="Q1010" s="136"/>
      <c r="R1010" s="136"/>
      <c r="S1010" s="125"/>
      <c r="T1010" s="1195"/>
      <c r="U1010" s="370">
        <v>0</v>
      </c>
      <c r="V1010" s="370"/>
      <c r="W1010" s="370">
        <v>0</v>
      </c>
      <c r="X1010" s="1129">
        <v>0</v>
      </c>
      <c r="Y1010" s="370">
        <v>0</v>
      </c>
      <c r="Z1010" s="370">
        <v>0</v>
      </c>
      <c r="AA1010" s="1129">
        <v>0</v>
      </c>
      <c r="AB1010" s="370">
        <v>0</v>
      </c>
      <c r="AC1010" s="370">
        <v>0</v>
      </c>
      <c r="AD1010" s="1129">
        <v>0</v>
      </c>
      <c r="AE1010" s="370">
        <v>0</v>
      </c>
      <c r="AF1010" s="370">
        <v>0</v>
      </c>
      <c r="AG1010" s="1129">
        <v>0</v>
      </c>
      <c r="AH1010" s="505">
        <f t="shared" si="263"/>
        <v>0</v>
      </c>
      <c r="AI1010" s="132"/>
      <c r="AJ1010" s="75">
        <f t="shared" si="262"/>
        <v>0</v>
      </c>
      <c r="AK1010" s="75"/>
      <c r="AL1010" s="75"/>
      <c r="AM1010" s="75"/>
      <c r="AN1010" s="136" t="s">
        <v>39</v>
      </c>
      <c r="AO1010" s="136"/>
      <c r="AP1010" s="136"/>
      <c r="AQ1010" s="414"/>
      <c r="AR1010" s="136"/>
      <c r="AS1010" s="477"/>
      <c r="AT1010" s="136"/>
      <c r="AU1010" s="646"/>
      <c r="AV1010" s="349"/>
      <c r="AW1010" s="448"/>
    </row>
    <row r="1011" spans="1:49" s="212" customFormat="1" ht="35.1" hidden="1" customHeight="1" outlineLevel="4" x14ac:dyDescent="0.25">
      <c r="A1011" s="210" t="str">
        <f t="shared" si="215"/>
        <v>1.10.2.3.3.62</v>
      </c>
      <c r="B1011" s="136">
        <v>1</v>
      </c>
      <c r="C1011" s="136">
        <v>10</v>
      </c>
      <c r="D1011" s="136">
        <v>2</v>
      </c>
      <c r="E1011" s="136">
        <v>3</v>
      </c>
      <c r="F1011" s="136">
        <v>3</v>
      </c>
      <c r="G1011" s="136">
        <v>62</v>
      </c>
      <c r="H1011" s="125"/>
      <c r="I1011" s="125"/>
      <c r="J1011" s="213"/>
      <c r="K1011" s="86" t="s">
        <v>1121</v>
      </c>
      <c r="L1011" s="136">
        <v>0</v>
      </c>
      <c r="M1011" s="136">
        <v>0</v>
      </c>
      <c r="N1011" s="136">
        <v>0</v>
      </c>
      <c r="O1011" s="136">
        <v>0</v>
      </c>
      <c r="P1011" s="136"/>
      <c r="Q1011" s="136"/>
      <c r="R1011" s="136"/>
      <c r="S1011" s="125"/>
      <c r="T1011" s="1195"/>
      <c r="U1011" s="370">
        <v>0</v>
      </c>
      <c r="V1011" s="370"/>
      <c r="W1011" s="370">
        <v>0</v>
      </c>
      <c r="X1011" s="1129">
        <v>0</v>
      </c>
      <c r="Y1011" s="370">
        <v>0</v>
      </c>
      <c r="Z1011" s="370">
        <v>0</v>
      </c>
      <c r="AA1011" s="1129">
        <v>0</v>
      </c>
      <c r="AB1011" s="370">
        <v>0</v>
      </c>
      <c r="AC1011" s="370">
        <v>0</v>
      </c>
      <c r="AD1011" s="1129">
        <v>0</v>
      </c>
      <c r="AE1011" s="370">
        <v>0</v>
      </c>
      <c r="AF1011" s="370">
        <v>0</v>
      </c>
      <c r="AG1011" s="1129">
        <v>0</v>
      </c>
      <c r="AH1011" s="505">
        <f t="shared" si="263"/>
        <v>0</v>
      </c>
      <c r="AI1011" s="132"/>
      <c r="AJ1011" s="75">
        <f t="shared" si="262"/>
        <v>0</v>
      </c>
      <c r="AK1011" s="75"/>
      <c r="AL1011" s="75"/>
      <c r="AM1011" s="75"/>
      <c r="AN1011" s="136" t="s">
        <v>39</v>
      </c>
      <c r="AO1011" s="136"/>
      <c r="AP1011" s="136"/>
      <c r="AQ1011" s="414"/>
      <c r="AR1011" s="136"/>
      <c r="AS1011" s="477"/>
      <c r="AT1011" s="136"/>
      <c r="AU1011" s="646"/>
      <c r="AV1011" s="349"/>
      <c r="AW1011" s="448"/>
    </row>
    <row r="1012" spans="1:49" s="212" customFormat="1" ht="35.1" hidden="1" customHeight="1" outlineLevel="4" x14ac:dyDescent="0.25">
      <c r="A1012" s="210" t="str">
        <f t="shared" si="215"/>
        <v>1.10.2.3.3.63</v>
      </c>
      <c r="B1012" s="136">
        <v>1</v>
      </c>
      <c r="C1012" s="136">
        <v>10</v>
      </c>
      <c r="D1012" s="136">
        <v>2</v>
      </c>
      <c r="E1012" s="136">
        <v>3</v>
      </c>
      <c r="F1012" s="136">
        <v>3</v>
      </c>
      <c r="G1012" s="136">
        <v>63</v>
      </c>
      <c r="H1012" s="125"/>
      <c r="I1012" s="125"/>
      <c r="J1012" s="213"/>
      <c r="K1012" s="86" t="s">
        <v>1774</v>
      </c>
      <c r="L1012" s="136">
        <v>0</v>
      </c>
      <c r="M1012" s="136">
        <v>0</v>
      </c>
      <c r="N1012" s="136">
        <v>0</v>
      </c>
      <c r="O1012" s="136">
        <v>0</v>
      </c>
      <c r="P1012" s="136"/>
      <c r="Q1012" s="136"/>
      <c r="R1012" s="136"/>
      <c r="S1012" s="125"/>
      <c r="T1012" s="1195"/>
      <c r="U1012" s="370">
        <v>0</v>
      </c>
      <c r="V1012" s="370"/>
      <c r="W1012" s="370">
        <v>0</v>
      </c>
      <c r="X1012" s="1129">
        <v>0</v>
      </c>
      <c r="Y1012" s="370">
        <v>0</v>
      </c>
      <c r="Z1012" s="370">
        <v>0</v>
      </c>
      <c r="AA1012" s="1129">
        <v>0</v>
      </c>
      <c r="AB1012" s="370">
        <v>0</v>
      </c>
      <c r="AC1012" s="370">
        <v>0</v>
      </c>
      <c r="AD1012" s="1129">
        <v>0</v>
      </c>
      <c r="AE1012" s="370">
        <v>0</v>
      </c>
      <c r="AF1012" s="370">
        <v>0</v>
      </c>
      <c r="AG1012" s="1129">
        <v>0</v>
      </c>
      <c r="AH1012" s="505">
        <f t="shared" si="263"/>
        <v>0</v>
      </c>
      <c r="AI1012" s="132"/>
      <c r="AJ1012" s="75">
        <f t="shared" si="262"/>
        <v>0</v>
      </c>
      <c r="AK1012" s="75"/>
      <c r="AL1012" s="75"/>
      <c r="AM1012" s="75"/>
      <c r="AN1012" s="136" t="s">
        <v>39</v>
      </c>
      <c r="AO1012" s="136"/>
      <c r="AP1012" s="136"/>
      <c r="AQ1012" s="414"/>
      <c r="AR1012" s="136"/>
      <c r="AS1012" s="477"/>
      <c r="AT1012" s="136"/>
      <c r="AU1012" s="646"/>
      <c r="AV1012" s="349"/>
      <c r="AW1012" s="448"/>
    </row>
    <row r="1013" spans="1:49" s="212" customFormat="1" ht="35.1" hidden="1" customHeight="1" outlineLevel="4" x14ac:dyDescent="0.25">
      <c r="A1013" s="210" t="str">
        <f t="shared" si="215"/>
        <v>1.10.2.3.3.64</v>
      </c>
      <c r="B1013" s="136">
        <v>1</v>
      </c>
      <c r="C1013" s="136">
        <v>10</v>
      </c>
      <c r="D1013" s="136">
        <v>2</v>
      </c>
      <c r="E1013" s="136">
        <v>3</v>
      </c>
      <c r="F1013" s="136">
        <v>3</v>
      </c>
      <c r="G1013" s="136">
        <v>64</v>
      </c>
      <c r="H1013" s="125"/>
      <c r="I1013" s="125"/>
      <c r="J1013" s="213"/>
      <c r="K1013" s="86" t="s">
        <v>1122</v>
      </c>
      <c r="L1013" s="136">
        <v>0</v>
      </c>
      <c r="M1013" s="136">
        <v>0</v>
      </c>
      <c r="N1013" s="136">
        <v>0</v>
      </c>
      <c r="O1013" s="136">
        <v>0</v>
      </c>
      <c r="P1013" s="136"/>
      <c r="Q1013" s="136"/>
      <c r="R1013" s="136"/>
      <c r="S1013" s="125"/>
      <c r="T1013" s="1195"/>
      <c r="U1013" s="370">
        <v>0</v>
      </c>
      <c r="V1013" s="370"/>
      <c r="W1013" s="370">
        <v>0</v>
      </c>
      <c r="X1013" s="1129">
        <v>0</v>
      </c>
      <c r="Y1013" s="370">
        <v>0</v>
      </c>
      <c r="Z1013" s="370">
        <v>0</v>
      </c>
      <c r="AA1013" s="1129">
        <v>0</v>
      </c>
      <c r="AB1013" s="370">
        <v>0</v>
      </c>
      <c r="AC1013" s="370">
        <v>0</v>
      </c>
      <c r="AD1013" s="1129">
        <v>0</v>
      </c>
      <c r="AE1013" s="370">
        <v>0</v>
      </c>
      <c r="AF1013" s="370">
        <v>0</v>
      </c>
      <c r="AG1013" s="1129">
        <v>0</v>
      </c>
      <c r="AH1013" s="505">
        <f t="shared" si="263"/>
        <v>0</v>
      </c>
      <c r="AI1013" s="132"/>
      <c r="AJ1013" s="75">
        <f t="shared" si="262"/>
        <v>0</v>
      </c>
      <c r="AK1013" s="75"/>
      <c r="AL1013" s="75"/>
      <c r="AM1013" s="75"/>
      <c r="AN1013" s="136" t="s">
        <v>39</v>
      </c>
      <c r="AO1013" s="136"/>
      <c r="AP1013" s="136"/>
      <c r="AQ1013" s="414"/>
      <c r="AR1013" s="136"/>
      <c r="AS1013" s="477"/>
      <c r="AT1013" s="136"/>
      <c r="AU1013" s="646"/>
      <c r="AV1013" s="349"/>
      <c r="AW1013" s="448"/>
    </row>
    <row r="1014" spans="1:49" s="153" customFormat="1" ht="29.1" customHeight="1" x14ac:dyDescent="0.25">
      <c r="A1014" s="246" t="str">
        <f t="shared" si="215"/>
        <v>2.0.0.0.0.0</v>
      </c>
      <c r="B1014" s="44">
        <v>2</v>
      </c>
      <c r="C1014" s="44">
        <v>0</v>
      </c>
      <c r="D1014" s="44">
        <v>0</v>
      </c>
      <c r="E1014" s="44">
        <v>0</v>
      </c>
      <c r="F1014" s="44">
        <v>0</v>
      </c>
      <c r="G1014" s="44">
        <v>0</v>
      </c>
      <c r="H1014" s="1269" t="s">
        <v>1123</v>
      </c>
      <c r="I1014" s="1270"/>
      <c r="J1014" s="1270"/>
      <c r="K1014" s="1271"/>
      <c r="L1014" s="44" t="s">
        <v>1124</v>
      </c>
      <c r="M1014" s="44">
        <v>0</v>
      </c>
      <c r="N1014" s="44">
        <v>0</v>
      </c>
      <c r="O1014" s="44">
        <v>0</v>
      </c>
      <c r="P1014" s="44"/>
      <c r="Q1014" s="44"/>
      <c r="R1014" s="44"/>
      <c r="S1014" s="247"/>
      <c r="T1014" s="1200"/>
      <c r="U1014" s="387">
        <f t="shared" ref="U1014:AH1014" si="264">+U1015</f>
        <v>0</v>
      </c>
      <c r="V1014" s="387"/>
      <c r="W1014" s="387">
        <f t="shared" si="264"/>
        <v>0</v>
      </c>
      <c r="X1014" s="1146">
        <f t="shared" si="264"/>
        <v>0</v>
      </c>
      <c r="Y1014" s="387">
        <f t="shared" si="264"/>
        <v>0</v>
      </c>
      <c r="Z1014" s="387">
        <f t="shared" si="264"/>
        <v>0</v>
      </c>
      <c r="AA1014" s="1146">
        <f t="shared" si="264"/>
        <v>0</v>
      </c>
      <c r="AB1014" s="387">
        <f t="shared" si="264"/>
        <v>0</v>
      </c>
      <c r="AC1014" s="387">
        <f t="shared" si="264"/>
        <v>0</v>
      </c>
      <c r="AD1014" s="1146">
        <f t="shared" si="264"/>
        <v>0</v>
      </c>
      <c r="AE1014" s="387">
        <f t="shared" si="264"/>
        <v>0</v>
      </c>
      <c r="AF1014" s="387">
        <f t="shared" si="264"/>
        <v>0</v>
      </c>
      <c r="AG1014" s="1146">
        <f t="shared" si="264"/>
        <v>0</v>
      </c>
      <c r="AH1014" s="387">
        <f t="shared" si="264"/>
        <v>0</v>
      </c>
      <c r="AI1014" s="523">
        <f>+AI1015</f>
        <v>0</v>
      </c>
      <c r="AJ1014" s="523">
        <f>+AJ1015</f>
        <v>0</v>
      </c>
      <c r="AK1014" s="249"/>
      <c r="AL1014" s="249"/>
      <c r="AM1014" s="249"/>
      <c r="AN1014" s="44" t="s">
        <v>39</v>
      </c>
      <c r="AO1014" s="44"/>
      <c r="AP1014" s="44"/>
      <c r="AQ1014" s="420"/>
      <c r="AR1014" s="44"/>
      <c r="AS1014" s="486"/>
      <c r="AT1014" s="44"/>
      <c r="AU1014" s="658"/>
      <c r="AV1014" s="387">
        <f t="shared" ref="AV1014" si="265">+AV1015</f>
        <v>0</v>
      </c>
      <c r="AW1014" s="426"/>
    </row>
    <row r="1015" spans="1:49" s="153" customFormat="1" ht="42" customHeight="1" outlineLevel="1" x14ac:dyDescent="0.25">
      <c r="A1015" s="108" t="str">
        <f t="shared" si="215"/>
        <v>2.11.0.0.0.0</v>
      </c>
      <c r="B1015" s="109">
        <v>2</v>
      </c>
      <c r="C1015" s="109">
        <v>11</v>
      </c>
      <c r="D1015" s="109">
        <v>0</v>
      </c>
      <c r="E1015" s="109">
        <v>0</v>
      </c>
      <c r="F1015" s="109">
        <v>0</v>
      </c>
      <c r="G1015" s="109">
        <v>0</v>
      </c>
      <c r="H1015" s="110"/>
      <c r="I1015" s="1265" t="s">
        <v>1125</v>
      </c>
      <c r="J1015" s="1266"/>
      <c r="K1015" s="1267"/>
      <c r="L1015" s="109" t="s">
        <v>1126</v>
      </c>
      <c r="M1015" s="109">
        <v>0</v>
      </c>
      <c r="N1015" s="109">
        <v>0</v>
      </c>
      <c r="O1015" s="109">
        <v>0</v>
      </c>
      <c r="P1015" s="109"/>
      <c r="Q1015" s="109"/>
      <c r="R1015" s="109"/>
      <c r="S1015" s="110"/>
      <c r="T1015" s="1183"/>
      <c r="U1015" s="112"/>
      <c r="V1015" s="112"/>
      <c r="W1015" s="680"/>
      <c r="X1015" s="1116"/>
      <c r="Y1015" s="112"/>
      <c r="Z1015" s="112"/>
      <c r="AA1015" s="1116"/>
      <c r="AB1015" s="112"/>
      <c r="AC1015" s="112"/>
      <c r="AD1015" s="1116"/>
      <c r="AE1015" s="112"/>
      <c r="AF1015" s="574"/>
      <c r="AG1015" s="1116"/>
      <c r="AH1015" s="514">
        <f>+AH1035</f>
        <v>0</v>
      </c>
      <c r="AI1015" s="514">
        <f>+AI1035</f>
        <v>0</v>
      </c>
      <c r="AJ1015" s="514">
        <f>+AJ1016+AJ1023+AJ1031+AJ1035</f>
        <v>0</v>
      </c>
      <c r="AK1015" s="112"/>
      <c r="AL1015" s="112"/>
      <c r="AM1015" s="112"/>
      <c r="AN1015" s="109" t="s">
        <v>39</v>
      </c>
      <c r="AO1015" s="109"/>
      <c r="AP1015" s="109"/>
      <c r="AQ1015" s="411"/>
      <c r="AR1015" s="109"/>
      <c r="AS1015" s="473"/>
      <c r="AT1015" s="109"/>
      <c r="AU1015" s="659"/>
      <c r="AV1015" s="333"/>
      <c r="AW1015" s="445"/>
    </row>
    <row r="1016" spans="1:49" s="153" customFormat="1" ht="38.450000000000003" customHeight="1" outlineLevel="1" collapsed="1" x14ac:dyDescent="0.25">
      <c r="A1016" s="148" t="str">
        <f t="shared" si="215"/>
        <v>2.11.0.1.0.0</v>
      </c>
      <c r="B1016" s="82">
        <v>2</v>
      </c>
      <c r="C1016" s="82">
        <v>11</v>
      </c>
      <c r="D1016" s="82">
        <v>0</v>
      </c>
      <c r="E1016" s="82">
        <v>1</v>
      </c>
      <c r="F1016" s="82">
        <v>0</v>
      </c>
      <c r="G1016" s="82">
        <v>0</v>
      </c>
      <c r="H1016" s="149"/>
      <c r="I1016" s="149"/>
      <c r="J1016" s="1289" t="s">
        <v>1127</v>
      </c>
      <c r="K1016" s="1290"/>
      <c r="L1016" s="82">
        <v>0</v>
      </c>
      <c r="M1016" s="82">
        <v>0</v>
      </c>
      <c r="N1016" s="82">
        <v>0</v>
      </c>
      <c r="O1016" s="82">
        <v>0</v>
      </c>
      <c r="P1016" s="82"/>
      <c r="Q1016" s="82"/>
      <c r="R1016" s="82"/>
      <c r="S1016" s="149"/>
      <c r="T1016" s="193"/>
      <c r="U1016" s="152">
        <f>SUM(U1017:U1022)</f>
        <v>0</v>
      </c>
      <c r="V1016" s="152"/>
      <c r="W1016" s="152">
        <f t="shared" ref="W1016:AI1016" si="266">SUM(W1017:W1022)</f>
        <v>0</v>
      </c>
      <c r="X1016" s="1131">
        <f t="shared" si="266"/>
        <v>0</v>
      </c>
      <c r="Y1016" s="152">
        <f t="shared" si="266"/>
        <v>0</v>
      </c>
      <c r="Z1016" s="152">
        <f t="shared" si="266"/>
        <v>0</v>
      </c>
      <c r="AA1016" s="1131">
        <f t="shared" si="266"/>
        <v>0</v>
      </c>
      <c r="AB1016" s="152">
        <f t="shared" si="266"/>
        <v>0</v>
      </c>
      <c r="AC1016" s="152">
        <f t="shared" si="266"/>
        <v>0</v>
      </c>
      <c r="AD1016" s="1131">
        <f t="shared" si="266"/>
        <v>0</v>
      </c>
      <c r="AE1016" s="152">
        <f t="shared" si="266"/>
        <v>0</v>
      </c>
      <c r="AF1016" s="152">
        <f t="shared" si="266"/>
        <v>0</v>
      </c>
      <c r="AG1016" s="1131">
        <f t="shared" si="266"/>
        <v>0</v>
      </c>
      <c r="AH1016" s="152">
        <f>SUM(AH1017:AH1022)</f>
        <v>0</v>
      </c>
      <c r="AI1016" s="379">
        <f t="shared" si="266"/>
        <v>0</v>
      </c>
      <c r="AJ1016" s="379">
        <f>SUM(AJ1017:AJ1022)</f>
        <v>0</v>
      </c>
      <c r="AK1016" s="152"/>
      <c r="AL1016" s="152"/>
      <c r="AM1016" s="152"/>
      <c r="AN1016" s="82"/>
      <c r="AO1016" s="82"/>
      <c r="AP1016" s="82"/>
      <c r="AQ1016" s="365"/>
      <c r="AR1016" s="82"/>
      <c r="AS1016" s="483"/>
      <c r="AT1016" s="82"/>
      <c r="AU1016" s="666"/>
      <c r="AV1016" s="358"/>
      <c r="AW1016" s="444"/>
    </row>
    <row r="1017" spans="1:49" ht="26.45" hidden="1" customHeight="1" outlineLevel="4" x14ac:dyDescent="0.25">
      <c r="A1017" s="99" t="str">
        <f t="shared" si="215"/>
        <v>2.11.0.1.1.0</v>
      </c>
      <c r="B1017" s="100">
        <v>2</v>
      </c>
      <c r="C1017" s="100">
        <v>11</v>
      </c>
      <c r="D1017" s="100">
        <v>0</v>
      </c>
      <c r="E1017" s="100">
        <v>1</v>
      </c>
      <c r="F1017" s="100">
        <v>1</v>
      </c>
      <c r="G1017" s="100">
        <v>0</v>
      </c>
      <c r="H1017" s="101"/>
      <c r="I1017" s="101"/>
      <c r="J1017" s="101"/>
      <c r="K1017" s="101" t="s">
        <v>1128</v>
      </c>
      <c r="L1017" s="64">
        <v>0</v>
      </c>
      <c r="M1017" s="64">
        <v>0</v>
      </c>
      <c r="N1017" s="64">
        <v>0</v>
      </c>
      <c r="O1017" s="64">
        <v>0</v>
      </c>
      <c r="P1017" s="64"/>
      <c r="Q1017" s="64"/>
      <c r="R1017" s="64"/>
      <c r="S1017" s="65"/>
      <c r="T1017" s="194"/>
      <c r="U1017" s="75">
        <v>0</v>
      </c>
      <c r="V1017" s="75"/>
      <c r="W1017" s="75">
        <v>0</v>
      </c>
      <c r="X1017" s="1122">
        <v>0</v>
      </c>
      <c r="Y1017" s="75">
        <v>0</v>
      </c>
      <c r="Z1017" s="75">
        <v>0</v>
      </c>
      <c r="AA1017" s="1122">
        <v>0</v>
      </c>
      <c r="AB1017" s="75">
        <v>0</v>
      </c>
      <c r="AC1017" s="75">
        <v>0</v>
      </c>
      <c r="AD1017" s="1122">
        <v>0</v>
      </c>
      <c r="AE1017" s="75">
        <v>0</v>
      </c>
      <c r="AF1017" s="75">
        <v>0</v>
      </c>
      <c r="AG1017" s="1122">
        <v>0</v>
      </c>
      <c r="AH1017" s="505">
        <f>+U1017+Y1017+AB1017+AE1017</f>
        <v>0</v>
      </c>
      <c r="AI1017" s="132"/>
      <c r="AJ1017" s="75">
        <f t="shared" ref="AJ1017:AJ1022" si="267">+W1018+Z1018+AC1018+AF1018</f>
        <v>0</v>
      </c>
      <c r="AK1017" s="154"/>
      <c r="AL1017" s="154"/>
      <c r="AM1017" s="154"/>
      <c r="AN1017" s="64"/>
      <c r="AO1017" s="64"/>
      <c r="AP1017" s="64"/>
      <c r="AQ1017" s="189"/>
      <c r="AR1017" s="64"/>
      <c r="AS1017" s="476"/>
      <c r="AT1017" s="64"/>
      <c r="AU1017" s="646"/>
      <c r="AV1017" s="259"/>
      <c r="AW1017" s="455"/>
    </row>
    <row r="1018" spans="1:49" ht="26.45" hidden="1" customHeight="1" outlineLevel="4" x14ac:dyDescent="0.25">
      <c r="A1018" s="99" t="str">
        <f t="shared" si="215"/>
        <v>2.11.0.1.2.0</v>
      </c>
      <c r="B1018" s="100">
        <v>2</v>
      </c>
      <c r="C1018" s="100">
        <v>11</v>
      </c>
      <c r="D1018" s="100">
        <v>0</v>
      </c>
      <c r="E1018" s="100">
        <v>1</v>
      </c>
      <c r="F1018" s="100">
        <v>2</v>
      </c>
      <c r="G1018" s="100">
        <v>0</v>
      </c>
      <c r="H1018" s="101"/>
      <c r="I1018" s="101"/>
      <c r="J1018" s="102"/>
      <c r="K1018" s="101" t="s">
        <v>327</v>
      </c>
      <c r="L1018" s="64">
        <v>0</v>
      </c>
      <c r="M1018" s="64">
        <v>0</v>
      </c>
      <c r="N1018" s="64">
        <v>0</v>
      </c>
      <c r="O1018" s="64">
        <v>0</v>
      </c>
      <c r="P1018" s="64"/>
      <c r="Q1018" s="64"/>
      <c r="R1018" s="64"/>
      <c r="S1018" s="65"/>
      <c r="T1018" s="194"/>
      <c r="U1018" s="75">
        <v>0</v>
      </c>
      <c r="V1018" s="75"/>
      <c r="W1018" s="75">
        <v>0</v>
      </c>
      <c r="X1018" s="1122">
        <v>0</v>
      </c>
      <c r="Y1018" s="75">
        <v>0</v>
      </c>
      <c r="Z1018" s="75">
        <v>0</v>
      </c>
      <c r="AA1018" s="1122">
        <v>0</v>
      </c>
      <c r="AB1018" s="75">
        <v>0</v>
      </c>
      <c r="AC1018" s="75">
        <v>0</v>
      </c>
      <c r="AD1018" s="1122">
        <v>0</v>
      </c>
      <c r="AE1018" s="75">
        <v>0</v>
      </c>
      <c r="AF1018" s="75">
        <v>0</v>
      </c>
      <c r="AG1018" s="1122">
        <v>0</v>
      </c>
      <c r="AH1018" s="505">
        <f t="shared" ref="AH1018:AH1022" si="268">+U1018+Y1018+AB1018+AE1018</f>
        <v>0</v>
      </c>
      <c r="AI1018" s="132"/>
      <c r="AJ1018" s="75">
        <f t="shared" si="267"/>
        <v>0</v>
      </c>
      <c r="AK1018" s="154"/>
      <c r="AL1018" s="154"/>
      <c r="AM1018" s="154"/>
      <c r="AN1018" s="64"/>
      <c r="AO1018" s="64"/>
      <c r="AP1018" s="64"/>
      <c r="AQ1018" s="189"/>
      <c r="AR1018" s="64"/>
      <c r="AS1018" s="476"/>
      <c r="AT1018" s="64"/>
      <c r="AU1018" s="646"/>
      <c r="AV1018" s="259"/>
      <c r="AW1018" s="455"/>
    </row>
    <row r="1019" spans="1:49" ht="26.45" hidden="1" customHeight="1" outlineLevel="4" x14ac:dyDescent="0.25">
      <c r="A1019" s="99" t="str">
        <f t="shared" si="215"/>
        <v>2.11.0.1.3.0</v>
      </c>
      <c r="B1019" s="100">
        <v>2</v>
      </c>
      <c r="C1019" s="100">
        <v>11</v>
      </c>
      <c r="D1019" s="100">
        <v>0</v>
      </c>
      <c r="E1019" s="100">
        <v>1</v>
      </c>
      <c r="F1019" s="100">
        <v>3</v>
      </c>
      <c r="G1019" s="100">
        <v>0</v>
      </c>
      <c r="H1019" s="101"/>
      <c r="I1019" s="101"/>
      <c r="J1019" s="102"/>
      <c r="K1019" s="101" t="s">
        <v>353</v>
      </c>
      <c r="L1019" s="64">
        <v>0</v>
      </c>
      <c r="M1019" s="64">
        <v>0</v>
      </c>
      <c r="N1019" s="64">
        <v>0</v>
      </c>
      <c r="O1019" s="64">
        <v>0</v>
      </c>
      <c r="P1019" s="64"/>
      <c r="Q1019" s="64"/>
      <c r="R1019" s="64"/>
      <c r="S1019" s="65"/>
      <c r="T1019" s="194"/>
      <c r="U1019" s="75">
        <v>0</v>
      </c>
      <c r="V1019" s="75"/>
      <c r="W1019" s="75">
        <v>0</v>
      </c>
      <c r="X1019" s="1122">
        <v>0</v>
      </c>
      <c r="Y1019" s="75">
        <v>0</v>
      </c>
      <c r="Z1019" s="75">
        <v>0</v>
      </c>
      <c r="AA1019" s="1122">
        <v>0</v>
      </c>
      <c r="AB1019" s="75">
        <v>0</v>
      </c>
      <c r="AC1019" s="75">
        <v>0</v>
      </c>
      <c r="AD1019" s="1122">
        <v>0</v>
      </c>
      <c r="AE1019" s="75">
        <v>0</v>
      </c>
      <c r="AF1019" s="75">
        <v>0</v>
      </c>
      <c r="AG1019" s="1122">
        <v>0</v>
      </c>
      <c r="AH1019" s="505">
        <f t="shared" si="268"/>
        <v>0</v>
      </c>
      <c r="AI1019" s="132"/>
      <c r="AJ1019" s="75">
        <f t="shared" si="267"/>
        <v>0</v>
      </c>
      <c r="AK1019" s="154"/>
      <c r="AL1019" s="154"/>
      <c r="AM1019" s="154"/>
      <c r="AN1019" s="64"/>
      <c r="AO1019" s="64"/>
      <c r="AP1019" s="64"/>
      <c r="AQ1019" s="189"/>
      <c r="AR1019" s="64"/>
      <c r="AS1019" s="476"/>
      <c r="AT1019" s="64"/>
      <c r="AU1019" s="646"/>
      <c r="AV1019" s="259"/>
      <c r="AW1019" s="455"/>
    </row>
    <row r="1020" spans="1:49" ht="26.45" hidden="1" customHeight="1" outlineLevel="4" x14ac:dyDescent="0.25">
      <c r="A1020" s="99" t="str">
        <f t="shared" si="215"/>
        <v>2.11.0.1.4.0</v>
      </c>
      <c r="B1020" s="100">
        <v>2</v>
      </c>
      <c r="C1020" s="100">
        <v>11</v>
      </c>
      <c r="D1020" s="100">
        <v>0</v>
      </c>
      <c r="E1020" s="100">
        <v>1</v>
      </c>
      <c r="F1020" s="100">
        <v>4</v>
      </c>
      <c r="G1020" s="100">
        <v>0</v>
      </c>
      <c r="H1020" s="101"/>
      <c r="I1020" s="101"/>
      <c r="J1020" s="102"/>
      <c r="K1020" s="101" t="s">
        <v>1129</v>
      </c>
      <c r="L1020" s="64">
        <v>0</v>
      </c>
      <c r="M1020" s="64">
        <v>0</v>
      </c>
      <c r="N1020" s="64">
        <v>0</v>
      </c>
      <c r="O1020" s="64">
        <v>0</v>
      </c>
      <c r="P1020" s="64"/>
      <c r="Q1020" s="64"/>
      <c r="R1020" s="64"/>
      <c r="S1020" s="65"/>
      <c r="T1020" s="194"/>
      <c r="U1020" s="75">
        <v>0</v>
      </c>
      <c r="V1020" s="75"/>
      <c r="W1020" s="75">
        <v>0</v>
      </c>
      <c r="X1020" s="1122">
        <v>0</v>
      </c>
      <c r="Y1020" s="75">
        <v>0</v>
      </c>
      <c r="Z1020" s="75">
        <v>0</v>
      </c>
      <c r="AA1020" s="1122">
        <v>0</v>
      </c>
      <c r="AB1020" s="75">
        <v>0</v>
      </c>
      <c r="AC1020" s="75">
        <v>0</v>
      </c>
      <c r="AD1020" s="1122">
        <v>0</v>
      </c>
      <c r="AE1020" s="75">
        <v>0</v>
      </c>
      <c r="AF1020" s="75">
        <v>0</v>
      </c>
      <c r="AG1020" s="1122">
        <v>0</v>
      </c>
      <c r="AH1020" s="505">
        <f t="shared" si="268"/>
        <v>0</v>
      </c>
      <c r="AI1020" s="132"/>
      <c r="AJ1020" s="75">
        <f t="shared" si="267"/>
        <v>0</v>
      </c>
      <c r="AK1020" s="154"/>
      <c r="AL1020" s="154"/>
      <c r="AM1020" s="154"/>
      <c r="AN1020" s="64"/>
      <c r="AO1020" s="64"/>
      <c r="AP1020" s="64"/>
      <c r="AQ1020" s="189"/>
      <c r="AR1020" s="64"/>
      <c r="AS1020" s="476"/>
      <c r="AT1020" s="64"/>
      <c r="AU1020" s="646"/>
      <c r="AV1020" s="259"/>
      <c r="AW1020" s="455"/>
    </row>
    <row r="1021" spans="1:49" ht="26.45" hidden="1" customHeight="1" outlineLevel="4" x14ac:dyDescent="0.25">
      <c r="A1021" s="99" t="str">
        <f t="shared" si="215"/>
        <v>2.11.0.1.5.0</v>
      </c>
      <c r="B1021" s="100">
        <v>2</v>
      </c>
      <c r="C1021" s="100">
        <v>11</v>
      </c>
      <c r="D1021" s="100">
        <v>0</v>
      </c>
      <c r="E1021" s="100">
        <v>1</v>
      </c>
      <c r="F1021" s="100">
        <v>5</v>
      </c>
      <c r="G1021" s="100">
        <v>0</v>
      </c>
      <c r="H1021" s="101"/>
      <c r="I1021" s="101"/>
      <c r="J1021" s="102"/>
      <c r="K1021" s="101" t="s">
        <v>316</v>
      </c>
      <c r="L1021" s="64">
        <v>0</v>
      </c>
      <c r="M1021" s="64">
        <v>0</v>
      </c>
      <c r="N1021" s="64">
        <v>0</v>
      </c>
      <c r="O1021" s="64">
        <v>0</v>
      </c>
      <c r="P1021" s="64"/>
      <c r="Q1021" s="64"/>
      <c r="R1021" s="64"/>
      <c r="S1021" s="65"/>
      <c r="T1021" s="194"/>
      <c r="U1021" s="75">
        <v>0</v>
      </c>
      <c r="V1021" s="75"/>
      <c r="W1021" s="75">
        <v>0</v>
      </c>
      <c r="X1021" s="1122">
        <v>0</v>
      </c>
      <c r="Y1021" s="75">
        <v>0</v>
      </c>
      <c r="Z1021" s="75">
        <v>0</v>
      </c>
      <c r="AA1021" s="1122">
        <v>0</v>
      </c>
      <c r="AB1021" s="75">
        <v>0</v>
      </c>
      <c r="AC1021" s="75">
        <v>0</v>
      </c>
      <c r="AD1021" s="1122">
        <v>0</v>
      </c>
      <c r="AE1021" s="75">
        <v>0</v>
      </c>
      <c r="AF1021" s="75">
        <v>0</v>
      </c>
      <c r="AG1021" s="1122">
        <v>0</v>
      </c>
      <c r="AH1021" s="505">
        <f t="shared" si="268"/>
        <v>0</v>
      </c>
      <c r="AI1021" s="132"/>
      <c r="AJ1021" s="75">
        <f t="shared" si="267"/>
        <v>0</v>
      </c>
      <c r="AK1021" s="154"/>
      <c r="AL1021" s="154"/>
      <c r="AM1021" s="154"/>
      <c r="AN1021" s="64"/>
      <c r="AO1021" s="64"/>
      <c r="AP1021" s="64"/>
      <c r="AQ1021" s="189"/>
      <c r="AR1021" s="64"/>
      <c r="AS1021" s="476"/>
      <c r="AT1021" s="64"/>
      <c r="AU1021" s="646"/>
      <c r="AV1021" s="259"/>
      <c r="AW1021" s="455"/>
    </row>
    <row r="1022" spans="1:49" ht="26.45" hidden="1" customHeight="1" outlineLevel="4" x14ac:dyDescent="0.25">
      <c r="A1022" s="99" t="str">
        <f t="shared" si="215"/>
        <v>2.11.0.1.6.0</v>
      </c>
      <c r="B1022" s="100">
        <v>2</v>
      </c>
      <c r="C1022" s="100">
        <v>11</v>
      </c>
      <c r="D1022" s="100">
        <v>0</v>
      </c>
      <c r="E1022" s="100">
        <v>1</v>
      </c>
      <c r="F1022" s="100">
        <v>6</v>
      </c>
      <c r="G1022" s="100">
        <v>0</v>
      </c>
      <c r="H1022" s="101"/>
      <c r="I1022" s="101"/>
      <c r="J1022" s="102"/>
      <c r="K1022" s="101" t="s">
        <v>1130</v>
      </c>
      <c r="L1022" s="64">
        <v>0</v>
      </c>
      <c r="M1022" s="64">
        <v>0</v>
      </c>
      <c r="N1022" s="64">
        <v>0</v>
      </c>
      <c r="O1022" s="64">
        <v>0</v>
      </c>
      <c r="P1022" s="64"/>
      <c r="Q1022" s="64"/>
      <c r="R1022" s="64"/>
      <c r="S1022" s="65"/>
      <c r="T1022" s="194"/>
      <c r="U1022" s="75">
        <v>0</v>
      </c>
      <c r="V1022" s="75"/>
      <c r="W1022" s="75">
        <v>0</v>
      </c>
      <c r="X1022" s="1122">
        <v>0</v>
      </c>
      <c r="Y1022" s="75">
        <v>0</v>
      </c>
      <c r="Z1022" s="75">
        <v>0</v>
      </c>
      <c r="AA1022" s="1122">
        <v>0</v>
      </c>
      <c r="AB1022" s="75">
        <v>0</v>
      </c>
      <c r="AC1022" s="75">
        <v>0</v>
      </c>
      <c r="AD1022" s="1122">
        <v>0</v>
      </c>
      <c r="AE1022" s="75">
        <v>0</v>
      </c>
      <c r="AF1022" s="75">
        <v>0</v>
      </c>
      <c r="AG1022" s="1122">
        <v>0</v>
      </c>
      <c r="AH1022" s="505">
        <f t="shared" si="268"/>
        <v>0</v>
      </c>
      <c r="AI1022" s="132"/>
      <c r="AJ1022" s="75">
        <f t="shared" si="267"/>
        <v>0</v>
      </c>
      <c r="AK1022" s="154"/>
      <c r="AL1022" s="154"/>
      <c r="AM1022" s="154"/>
      <c r="AN1022" s="64"/>
      <c r="AO1022" s="64"/>
      <c r="AP1022" s="64"/>
      <c r="AQ1022" s="189"/>
      <c r="AR1022" s="64"/>
      <c r="AS1022" s="476"/>
      <c r="AT1022" s="64"/>
      <c r="AU1022" s="646"/>
      <c r="AV1022" s="259"/>
      <c r="AW1022" s="455"/>
    </row>
    <row r="1023" spans="1:49" s="153" customFormat="1" ht="34.5" customHeight="1" outlineLevel="1" collapsed="1" x14ac:dyDescent="0.25">
      <c r="A1023" s="148" t="str">
        <f t="shared" si="215"/>
        <v>2.11.0.2.0.0</v>
      </c>
      <c r="B1023" s="82">
        <v>2</v>
      </c>
      <c r="C1023" s="82">
        <v>11</v>
      </c>
      <c r="D1023" s="82">
        <v>0</v>
      </c>
      <c r="E1023" s="82">
        <v>2</v>
      </c>
      <c r="F1023" s="82">
        <v>0</v>
      </c>
      <c r="G1023" s="82">
        <v>0</v>
      </c>
      <c r="H1023" s="149"/>
      <c r="I1023" s="149"/>
      <c r="J1023" s="1263" t="s">
        <v>1131</v>
      </c>
      <c r="K1023" s="1264"/>
      <c r="L1023" s="82">
        <v>0</v>
      </c>
      <c r="M1023" s="82">
        <v>0</v>
      </c>
      <c r="N1023" s="82">
        <v>0</v>
      </c>
      <c r="O1023" s="82">
        <v>0</v>
      </c>
      <c r="P1023" s="82"/>
      <c r="Q1023" s="82"/>
      <c r="R1023" s="82"/>
      <c r="S1023" s="149"/>
      <c r="T1023" s="193"/>
      <c r="U1023" s="152">
        <f>SUM(U1024:U1030)</f>
        <v>0</v>
      </c>
      <c r="V1023" s="152"/>
      <c r="W1023" s="152">
        <f t="shared" ref="W1023:AJ1023" si="269">SUM(W1024:W1030)</f>
        <v>0</v>
      </c>
      <c r="X1023" s="1131">
        <f t="shared" si="269"/>
        <v>0</v>
      </c>
      <c r="Y1023" s="152">
        <f t="shared" si="269"/>
        <v>0</v>
      </c>
      <c r="Z1023" s="152">
        <f t="shared" si="269"/>
        <v>0</v>
      </c>
      <c r="AA1023" s="1131">
        <f t="shared" si="269"/>
        <v>0</v>
      </c>
      <c r="AB1023" s="152">
        <f t="shared" si="269"/>
        <v>0</v>
      </c>
      <c r="AC1023" s="152">
        <f t="shared" si="269"/>
        <v>0</v>
      </c>
      <c r="AD1023" s="1131">
        <f t="shared" si="269"/>
        <v>0</v>
      </c>
      <c r="AE1023" s="152">
        <f t="shared" si="269"/>
        <v>0</v>
      </c>
      <c r="AF1023" s="152">
        <f t="shared" si="269"/>
        <v>0</v>
      </c>
      <c r="AG1023" s="1131">
        <f t="shared" si="269"/>
        <v>0</v>
      </c>
      <c r="AH1023" s="152">
        <f>SUM(AH1024:AH1030)</f>
        <v>0</v>
      </c>
      <c r="AI1023" s="379">
        <f t="shared" si="269"/>
        <v>0</v>
      </c>
      <c r="AJ1023" s="379">
        <f t="shared" si="269"/>
        <v>0</v>
      </c>
      <c r="AK1023" s="152"/>
      <c r="AL1023" s="152"/>
      <c r="AM1023" s="152"/>
      <c r="AN1023" s="82"/>
      <c r="AO1023" s="82"/>
      <c r="AP1023" s="82"/>
      <c r="AQ1023" s="365"/>
      <c r="AR1023" s="82"/>
      <c r="AS1023" s="483"/>
      <c r="AT1023" s="82"/>
      <c r="AU1023" s="666"/>
      <c r="AV1023" s="358"/>
      <c r="AW1023" s="444"/>
    </row>
    <row r="1024" spans="1:49" ht="46.35" hidden="1" customHeight="1" outlineLevel="3" x14ac:dyDescent="0.25">
      <c r="A1024" s="99" t="str">
        <f t="shared" si="215"/>
        <v>2.11.0.2.1.0</v>
      </c>
      <c r="B1024" s="100">
        <v>2</v>
      </c>
      <c r="C1024" s="100">
        <v>11</v>
      </c>
      <c r="D1024" s="100">
        <v>0</v>
      </c>
      <c r="E1024" s="100">
        <v>2</v>
      </c>
      <c r="F1024" s="100">
        <v>1</v>
      </c>
      <c r="G1024" s="100">
        <v>0</v>
      </c>
      <c r="H1024" s="101"/>
      <c r="I1024" s="101"/>
      <c r="J1024" s="102"/>
      <c r="K1024" s="103" t="s">
        <v>1132</v>
      </c>
      <c r="L1024" s="64">
        <v>0</v>
      </c>
      <c r="M1024" s="64">
        <v>0</v>
      </c>
      <c r="N1024" s="64">
        <v>0</v>
      </c>
      <c r="O1024" s="64">
        <v>0</v>
      </c>
      <c r="P1024" s="64"/>
      <c r="Q1024" s="64"/>
      <c r="R1024" s="64"/>
      <c r="S1024" s="64"/>
      <c r="T1024" s="194"/>
      <c r="U1024" s="75">
        <v>0</v>
      </c>
      <c r="V1024" s="75"/>
      <c r="W1024" s="75">
        <v>0</v>
      </c>
      <c r="X1024" s="1122">
        <v>0</v>
      </c>
      <c r="Y1024" s="75">
        <v>0</v>
      </c>
      <c r="Z1024" s="75">
        <v>0</v>
      </c>
      <c r="AA1024" s="1122">
        <v>0</v>
      </c>
      <c r="AB1024" s="75">
        <v>0</v>
      </c>
      <c r="AC1024" s="75">
        <v>0</v>
      </c>
      <c r="AD1024" s="1122">
        <v>0</v>
      </c>
      <c r="AE1024" s="75">
        <v>0</v>
      </c>
      <c r="AF1024" s="75">
        <v>0</v>
      </c>
      <c r="AG1024" s="1122">
        <v>0</v>
      </c>
      <c r="AH1024" s="505">
        <f>+U1024+Y1024+AB1024+AE1024</f>
        <v>0</v>
      </c>
      <c r="AI1024" s="132"/>
      <c r="AJ1024" s="75">
        <f t="shared" ref="AJ1024:AJ1030" si="270">+W1025+Z1025+AC1025+AF1025</f>
        <v>0</v>
      </c>
      <c r="AK1024" s="154"/>
      <c r="AL1024" s="154"/>
      <c r="AM1024" s="154"/>
      <c r="AN1024" s="64"/>
      <c r="AO1024" s="64"/>
      <c r="AP1024" s="64"/>
      <c r="AQ1024" s="189"/>
      <c r="AR1024" s="64"/>
      <c r="AS1024" s="476"/>
      <c r="AT1024" s="64"/>
      <c r="AU1024" s="646"/>
      <c r="AV1024" s="259"/>
      <c r="AW1024" s="455"/>
    </row>
    <row r="1025" spans="1:49" ht="25.35" hidden="1" customHeight="1" outlineLevel="3" x14ac:dyDescent="0.25">
      <c r="A1025" s="99" t="str">
        <f t="shared" si="215"/>
        <v>2.11.0.2.2.0</v>
      </c>
      <c r="B1025" s="100">
        <v>2</v>
      </c>
      <c r="C1025" s="100">
        <v>11</v>
      </c>
      <c r="D1025" s="100">
        <v>0</v>
      </c>
      <c r="E1025" s="100">
        <v>2</v>
      </c>
      <c r="F1025" s="100">
        <v>2</v>
      </c>
      <c r="G1025" s="100">
        <v>0</v>
      </c>
      <c r="H1025" s="101"/>
      <c r="I1025" s="101"/>
      <c r="J1025" s="101"/>
      <c r="K1025" s="101" t="s">
        <v>1128</v>
      </c>
      <c r="L1025" s="64">
        <v>0</v>
      </c>
      <c r="M1025" s="64">
        <v>0</v>
      </c>
      <c r="N1025" s="64">
        <v>0</v>
      </c>
      <c r="O1025" s="64">
        <v>0</v>
      </c>
      <c r="P1025" s="64"/>
      <c r="Q1025" s="64"/>
      <c r="R1025" s="64"/>
      <c r="S1025" s="65"/>
      <c r="T1025" s="194"/>
      <c r="U1025" s="75">
        <v>0</v>
      </c>
      <c r="V1025" s="75"/>
      <c r="W1025" s="75">
        <v>0</v>
      </c>
      <c r="X1025" s="1122">
        <v>0</v>
      </c>
      <c r="Y1025" s="75">
        <v>0</v>
      </c>
      <c r="Z1025" s="75">
        <v>0</v>
      </c>
      <c r="AA1025" s="1122">
        <v>0</v>
      </c>
      <c r="AB1025" s="75">
        <v>0</v>
      </c>
      <c r="AC1025" s="75">
        <v>0</v>
      </c>
      <c r="AD1025" s="1122">
        <v>0</v>
      </c>
      <c r="AE1025" s="75">
        <v>0</v>
      </c>
      <c r="AF1025" s="75">
        <v>0</v>
      </c>
      <c r="AG1025" s="1122">
        <v>0</v>
      </c>
      <c r="AH1025" s="505">
        <f t="shared" ref="AH1025:AH1030" si="271">+U1025+Y1025+AB1025+AE1025</f>
        <v>0</v>
      </c>
      <c r="AI1025" s="132"/>
      <c r="AJ1025" s="75">
        <f t="shared" si="270"/>
        <v>0</v>
      </c>
      <c r="AK1025" s="154"/>
      <c r="AL1025" s="154"/>
      <c r="AM1025" s="154"/>
      <c r="AN1025" s="64"/>
      <c r="AO1025" s="64"/>
      <c r="AP1025" s="64"/>
      <c r="AQ1025" s="189"/>
      <c r="AR1025" s="64"/>
      <c r="AS1025" s="476"/>
      <c r="AT1025" s="64"/>
      <c r="AU1025" s="646"/>
      <c r="AV1025" s="259"/>
      <c r="AW1025" s="455"/>
    </row>
    <row r="1026" spans="1:49" ht="25.35" hidden="1" customHeight="1" outlineLevel="3" x14ac:dyDescent="0.25">
      <c r="A1026" s="99" t="str">
        <f t="shared" si="215"/>
        <v>2.11.0.2.3.0</v>
      </c>
      <c r="B1026" s="100">
        <v>2</v>
      </c>
      <c r="C1026" s="100">
        <v>11</v>
      </c>
      <c r="D1026" s="100">
        <v>0</v>
      </c>
      <c r="E1026" s="100">
        <v>2</v>
      </c>
      <c r="F1026" s="100">
        <v>3</v>
      </c>
      <c r="G1026" s="100">
        <v>0</v>
      </c>
      <c r="H1026" s="101"/>
      <c r="I1026" s="101"/>
      <c r="J1026" s="102"/>
      <c r="K1026" s="101" t="s">
        <v>327</v>
      </c>
      <c r="L1026" s="64">
        <v>0</v>
      </c>
      <c r="M1026" s="64">
        <v>0</v>
      </c>
      <c r="N1026" s="64">
        <v>0</v>
      </c>
      <c r="O1026" s="64">
        <v>0</v>
      </c>
      <c r="P1026" s="64"/>
      <c r="Q1026" s="64"/>
      <c r="R1026" s="64"/>
      <c r="S1026" s="65"/>
      <c r="T1026" s="194"/>
      <c r="U1026" s="75">
        <v>0</v>
      </c>
      <c r="V1026" s="75"/>
      <c r="W1026" s="75">
        <v>0</v>
      </c>
      <c r="X1026" s="1122">
        <v>0</v>
      </c>
      <c r="Y1026" s="75">
        <v>0</v>
      </c>
      <c r="Z1026" s="75">
        <v>0</v>
      </c>
      <c r="AA1026" s="1122">
        <v>0</v>
      </c>
      <c r="AB1026" s="75">
        <v>0</v>
      </c>
      <c r="AC1026" s="75">
        <v>0</v>
      </c>
      <c r="AD1026" s="1122">
        <v>0</v>
      </c>
      <c r="AE1026" s="75">
        <v>0</v>
      </c>
      <c r="AF1026" s="75">
        <v>0</v>
      </c>
      <c r="AG1026" s="1122">
        <v>0</v>
      </c>
      <c r="AH1026" s="505">
        <f t="shared" si="271"/>
        <v>0</v>
      </c>
      <c r="AI1026" s="132"/>
      <c r="AJ1026" s="75">
        <f t="shared" si="270"/>
        <v>0</v>
      </c>
      <c r="AK1026" s="154"/>
      <c r="AL1026" s="154"/>
      <c r="AM1026" s="154"/>
      <c r="AN1026" s="64"/>
      <c r="AO1026" s="64"/>
      <c r="AP1026" s="64"/>
      <c r="AQ1026" s="189"/>
      <c r="AR1026" s="64"/>
      <c r="AS1026" s="476"/>
      <c r="AT1026" s="64"/>
      <c r="AU1026" s="646"/>
      <c r="AV1026" s="259"/>
      <c r="AW1026" s="455"/>
    </row>
    <row r="1027" spans="1:49" ht="25.35" hidden="1" customHeight="1" outlineLevel="3" x14ac:dyDescent="0.25">
      <c r="A1027" s="99" t="str">
        <f t="shared" si="215"/>
        <v>2.11.0.2.4.0</v>
      </c>
      <c r="B1027" s="100">
        <v>2</v>
      </c>
      <c r="C1027" s="100">
        <v>11</v>
      </c>
      <c r="D1027" s="100">
        <v>0</v>
      </c>
      <c r="E1027" s="100">
        <v>2</v>
      </c>
      <c r="F1027" s="100">
        <v>4</v>
      </c>
      <c r="G1027" s="100">
        <v>0</v>
      </c>
      <c r="H1027" s="101"/>
      <c r="I1027" s="101"/>
      <c r="J1027" s="102"/>
      <c r="K1027" s="101" t="s">
        <v>353</v>
      </c>
      <c r="L1027" s="64">
        <v>0</v>
      </c>
      <c r="M1027" s="64">
        <v>0</v>
      </c>
      <c r="N1027" s="64">
        <v>0</v>
      </c>
      <c r="O1027" s="64">
        <v>0</v>
      </c>
      <c r="P1027" s="64"/>
      <c r="Q1027" s="64"/>
      <c r="R1027" s="64"/>
      <c r="S1027" s="65"/>
      <c r="T1027" s="194"/>
      <c r="U1027" s="75">
        <v>0</v>
      </c>
      <c r="V1027" s="75"/>
      <c r="W1027" s="75">
        <v>0</v>
      </c>
      <c r="X1027" s="1122">
        <v>0</v>
      </c>
      <c r="Y1027" s="75">
        <v>0</v>
      </c>
      <c r="Z1027" s="75">
        <v>0</v>
      </c>
      <c r="AA1027" s="1122">
        <v>0</v>
      </c>
      <c r="AB1027" s="75">
        <v>0</v>
      </c>
      <c r="AC1027" s="75">
        <v>0</v>
      </c>
      <c r="AD1027" s="1122">
        <v>0</v>
      </c>
      <c r="AE1027" s="75">
        <v>0</v>
      </c>
      <c r="AF1027" s="75">
        <v>0</v>
      </c>
      <c r="AG1027" s="1122">
        <v>0</v>
      </c>
      <c r="AH1027" s="505">
        <f t="shared" si="271"/>
        <v>0</v>
      </c>
      <c r="AI1027" s="132"/>
      <c r="AJ1027" s="75">
        <f t="shared" si="270"/>
        <v>0</v>
      </c>
      <c r="AK1027" s="154"/>
      <c r="AL1027" s="154"/>
      <c r="AM1027" s="154"/>
      <c r="AN1027" s="64"/>
      <c r="AO1027" s="64"/>
      <c r="AP1027" s="64"/>
      <c r="AQ1027" s="189"/>
      <c r="AR1027" s="64"/>
      <c r="AS1027" s="476"/>
      <c r="AT1027" s="64"/>
      <c r="AU1027" s="646"/>
      <c r="AV1027" s="259"/>
      <c r="AW1027" s="455"/>
    </row>
    <row r="1028" spans="1:49" ht="25.35" hidden="1" customHeight="1" outlineLevel="3" x14ac:dyDescent="0.25">
      <c r="A1028" s="99" t="str">
        <f t="shared" si="215"/>
        <v>2.11.0.2.5.0</v>
      </c>
      <c r="B1028" s="100">
        <v>2</v>
      </c>
      <c r="C1028" s="100">
        <v>11</v>
      </c>
      <c r="D1028" s="100">
        <v>0</v>
      </c>
      <c r="E1028" s="100">
        <v>2</v>
      </c>
      <c r="F1028" s="100">
        <v>5</v>
      </c>
      <c r="G1028" s="100">
        <v>0</v>
      </c>
      <c r="H1028" s="101"/>
      <c r="I1028" s="101"/>
      <c r="J1028" s="102"/>
      <c r="K1028" s="101" t="s">
        <v>1129</v>
      </c>
      <c r="L1028" s="64">
        <v>0</v>
      </c>
      <c r="M1028" s="64">
        <v>0</v>
      </c>
      <c r="N1028" s="64">
        <v>0</v>
      </c>
      <c r="O1028" s="64">
        <v>0</v>
      </c>
      <c r="P1028" s="64"/>
      <c r="Q1028" s="64"/>
      <c r="R1028" s="64"/>
      <c r="S1028" s="65"/>
      <c r="T1028" s="194"/>
      <c r="U1028" s="75">
        <v>0</v>
      </c>
      <c r="V1028" s="75"/>
      <c r="W1028" s="75">
        <v>0</v>
      </c>
      <c r="X1028" s="1122">
        <v>0</v>
      </c>
      <c r="Y1028" s="75">
        <v>0</v>
      </c>
      <c r="Z1028" s="75">
        <v>0</v>
      </c>
      <c r="AA1028" s="1122">
        <v>0</v>
      </c>
      <c r="AB1028" s="75">
        <v>0</v>
      </c>
      <c r="AC1028" s="75">
        <v>0</v>
      </c>
      <c r="AD1028" s="1122">
        <v>0</v>
      </c>
      <c r="AE1028" s="75">
        <v>0</v>
      </c>
      <c r="AF1028" s="75">
        <v>0</v>
      </c>
      <c r="AG1028" s="1122">
        <v>0</v>
      </c>
      <c r="AH1028" s="505">
        <f t="shared" si="271"/>
        <v>0</v>
      </c>
      <c r="AI1028" s="132"/>
      <c r="AJ1028" s="75">
        <f t="shared" si="270"/>
        <v>0</v>
      </c>
      <c r="AK1028" s="154"/>
      <c r="AL1028" s="154"/>
      <c r="AM1028" s="154"/>
      <c r="AN1028" s="64"/>
      <c r="AO1028" s="64"/>
      <c r="AP1028" s="64"/>
      <c r="AQ1028" s="189"/>
      <c r="AR1028" s="64"/>
      <c r="AS1028" s="476"/>
      <c r="AT1028" s="64"/>
      <c r="AU1028" s="646"/>
      <c r="AV1028" s="259"/>
      <c r="AW1028" s="455"/>
    </row>
    <row r="1029" spans="1:49" ht="25.35" hidden="1" customHeight="1" outlineLevel="3" x14ac:dyDescent="0.25">
      <c r="A1029" s="99" t="str">
        <f t="shared" si="215"/>
        <v>2.11.0.2.6.0</v>
      </c>
      <c r="B1029" s="100">
        <v>2</v>
      </c>
      <c r="C1029" s="100">
        <v>11</v>
      </c>
      <c r="D1029" s="100">
        <v>0</v>
      </c>
      <c r="E1029" s="100">
        <v>2</v>
      </c>
      <c r="F1029" s="100">
        <v>6</v>
      </c>
      <c r="G1029" s="100">
        <v>0</v>
      </c>
      <c r="H1029" s="101"/>
      <c r="I1029" s="101"/>
      <c r="J1029" s="101"/>
      <c r="K1029" s="101" t="s">
        <v>316</v>
      </c>
      <c r="L1029" s="64">
        <v>0</v>
      </c>
      <c r="M1029" s="64">
        <v>0</v>
      </c>
      <c r="N1029" s="64">
        <v>0</v>
      </c>
      <c r="O1029" s="64">
        <v>0</v>
      </c>
      <c r="P1029" s="64"/>
      <c r="Q1029" s="64"/>
      <c r="R1029" s="64"/>
      <c r="S1029" s="65"/>
      <c r="T1029" s="194"/>
      <c r="U1029" s="75">
        <v>0</v>
      </c>
      <c r="V1029" s="75"/>
      <c r="W1029" s="75">
        <v>0</v>
      </c>
      <c r="X1029" s="1122">
        <v>0</v>
      </c>
      <c r="Y1029" s="75">
        <v>0</v>
      </c>
      <c r="Z1029" s="75">
        <v>0</v>
      </c>
      <c r="AA1029" s="1122">
        <v>0</v>
      </c>
      <c r="AB1029" s="75">
        <v>0</v>
      </c>
      <c r="AC1029" s="75">
        <v>0</v>
      </c>
      <c r="AD1029" s="1122">
        <v>0</v>
      </c>
      <c r="AE1029" s="75">
        <v>0</v>
      </c>
      <c r="AF1029" s="75">
        <v>0</v>
      </c>
      <c r="AG1029" s="1122">
        <v>0</v>
      </c>
      <c r="AH1029" s="505">
        <f t="shared" si="271"/>
        <v>0</v>
      </c>
      <c r="AI1029" s="132"/>
      <c r="AJ1029" s="75">
        <f t="shared" si="270"/>
        <v>0</v>
      </c>
      <c r="AK1029" s="154"/>
      <c r="AL1029" s="154"/>
      <c r="AM1029" s="154"/>
      <c r="AN1029" s="64"/>
      <c r="AO1029" s="64"/>
      <c r="AP1029" s="64"/>
      <c r="AQ1029" s="189"/>
      <c r="AR1029" s="64"/>
      <c r="AS1029" s="476"/>
      <c r="AT1029" s="64"/>
      <c r="AU1029" s="646"/>
      <c r="AV1029" s="259"/>
      <c r="AW1029" s="455"/>
    </row>
    <row r="1030" spans="1:49" ht="25.35" hidden="1" customHeight="1" outlineLevel="3" x14ac:dyDescent="0.25">
      <c r="A1030" s="99" t="str">
        <f t="shared" si="215"/>
        <v>2.11.0.2.7.0</v>
      </c>
      <c r="B1030" s="100">
        <v>2</v>
      </c>
      <c r="C1030" s="100">
        <v>11</v>
      </c>
      <c r="D1030" s="100">
        <v>0</v>
      </c>
      <c r="E1030" s="100">
        <v>2</v>
      </c>
      <c r="F1030" s="100">
        <v>7</v>
      </c>
      <c r="G1030" s="100">
        <v>0</v>
      </c>
      <c r="H1030" s="101"/>
      <c r="I1030" s="101"/>
      <c r="J1030" s="102"/>
      <c r="K1030" s="101" t="s">
        <v>1130</v>
      </c>
      <c r="L1030" s="64">
        <v>0</v>
      </c>
      <c r="M1030" s="64">
        <v>0</v>
      </c>
      <c r="N1030" s="64">
        <v>0</v>
      </c>
      <c r="O1030" s="64">
        <v>0</v>
      </c>
      <c r="P1030" s="64"/>
      <c r="Q1030" s="64"/>
      <c r="R1030" s="64"/>
      <c r="S1030" s="65"/>
      <c r="T1030" s="194"/>
      <c r="U1030" s="75">
        <v>0</v>
      </c>
      <c r="V1030" s="75"/>
      <c r="W1030" s="75">
        <v>0</v>
      </c>
      <c r="X1030" s="1122">
        <v>0</v>
      </c>
      <c r="Y1030" s="75">
        <v>0</v>
      </c>
      <c r="Z1030" s="75">
        <v>0</v>
      </c>
      <c r="AA1030" s="1122">
        <v>0</v>
      </c>
      <c r="AB1030" s="75">
        <v>0</v>
      </c>
      <c r="AC1030" s="75">
        <v>0</v>
      </c>
      <c r="AD1030" s="1122">
        <v>0</v>
      </c>
      <c r="AE1030" s="75">
        <v>0</v>
      </c>
      <c r="AF1030" s="75">
        <v>0</v>
      </c>
      <c r="AG1030" s="1122">
        <v>0</v>
      </c>
      <c r="AH1030" s="505">
        <f t="shared" si="271"/>
        <v>0</v>
      </c>
      <c r="AI1030" s="132"/>
      <c r="AJ1030" s="75">
        <f t="shared" si="270"/>
        <v>0</v>
      </c>
      <c r="AK1030" s="154"/>
      <c r="AL1030" s="154"/>
      <c r="AM1030" s="154"/>
      <c r="AN1030" s="64"/>
      <c r="AO1030" s="64"/>
      <c r="AP1030" s="64"/>
      <c r="AQ1030" s="189"/>
      <c r="AR1030" s="64"/>
      <c r="AS1030" s="476"/>
      <c r="AT1030" s="64"/>
      <c r="AU1030" s="646"/>
      <c r="AV1030" s="259"/>
      <c r="AW1030" s="455"/>
    </row>
    <row r="1031" spans="1:49" s="153" customFormat="1" ht="27.6" customHeight="1" outlineLevel="1" collapsed="1" x14ac:dyDescent="0.25">
      <c r="A1031" s="148" t="str">
        <f t="shared" si="215"/>
        <v>2.11.0.3.0.0</v>
      </c>
      <c r="B1031" s="82">
        <v>2</v>
      </c>
      <c r="C1031" s="82">
        <v>11</v>
      </c>
      <c r="D1031" s="82">
        <v>0</v>
      </c>
      <c r="E1031" s="82">
        <v>3</v>
      </c>
      <c r="F1031" s="82">
        <v>0</v>
      </c>
      <c r="G1031" s="82">
        <v>0</v>
      </c>
      <c r="H1031" s="149"/>
      <c r="I1031" s="149"/>
      <c r="J1031" s="1260" t="s">
        <v>1133</v>
      </c>
      <c r="K1031" s="1259"/>
      <c r="L1031" s="82">
        <v>0</v>
      </c>
      <c r="M1031" s="82">
        <v>0</v>
      </c>
      <c r="N1031" s="82">
        <v>0</v>
      </c>
      <c r="O1031" s="82">
        <v>0</v>
      </c>
      <c r="P1031" s="82"/>
      <c r="Q1031" s="82"/>
      <c r="R1031" s="82"/>
      <c r="S1031" s="149"/>
      <c r="T1031" s="193"/>
      <c r="U1031" s="152">
        <f>SUM(U1032:U1034)</f>
        <v>0</v>
      </c>
      <c r="V1031" s="152"/>
      <c r="W1031" s="152">
        <f t="shared" ref="W1031:AJ1031" si="272">SUM(W1032:W1034)</f>
        <v>0</v>
      </c>
      <c r="X1031" s="1131">
        <f t="shared" si="272"/>
        <v>0</v>
      </c>
      <c r="Y1031" s="152">
        <f t="shared" si="272"/>
        <v>0</v>
      </c>
      <c r="Z1031" s="152">
        <f t="shared" si="272"/>
        <v>0</v>
      </c>
      <c r="AA1031" s="1131">
        <f t="shared" si="272"/>
        <v>0</v>
      </c>
      <c r="AB1031" s="152">
        <f t="shared" si="272"/>
        <v>0</v>
      </c>
      <c r="AC1031" s="152">
        <f t="shared" si="272"/>
        <v>0</v>
      </c>
      <c r="AD1031" s="1131">
        <f t="shared" si="272"/>
        <v>0</v>
      </c>
      <c r="AE1031" s="152">
        <f t="shared" si="272"/>
        <v>0</v>
      </c>
      <c r="AF1031" s="152">
        <f t="shared" si="272"/>
        <v>0</v>
      </c>
      <c r="AG1031" s="1131">
        <f t="shared" si="272"/>
        <v>0</v>
      </c>
      <c r="AH1031" s="152">
        <f>SUM(AH1032:AH1034)</f>
        <v>0</v>
      </c>
      <c r="AI1031" s="379">
        <f t="shared" si="272"/>
        <v>0</v>
      </c>
      <c r="AJ1031" s="379">
        <f t="shared" si="272"/>
        <v>0</v>
      </c>
      <c r="AK1031" s="152"/>
      <c r="AL1031" s="152"/>
      <c r="AM1031" s="152"/>
      <c r="AN1031" s="82"/>
      <c r="AO1031" s="82"/>
      <c r="AP1031" s="82"/>
      <c r="AQ1031" s="365"/>
      <c r="AR1031" s="82"/>
      <c r="AS1031" s="483"/>
      <c r="AT1031" s="82"/>
      <c r="AU1031" s="666"/>
      <c r="AV1031" s="358"/>
      <c r="AW1031" s="444"/>
    </row>
    <row r="1032" spans="1:49" ht="38.1" hidden="1" customHeight="1" outlineLevel="4" x14ac:dyDescent="0.25">
      <c r="A1032" s="99" t="str">
        <f t="shared" si="215"/>
        <v>2.11.0.3.1.0</v>
      </c>
      <c r="B1032" s="100">
        <v>2</v>
      </c>
      <c r="C1032" s="100">
        <v>11</v>
      </c>
      <c r="D1032" s="100">
        <v>0</v>
      </c>
      <c r="E1032" s="100">
        <v>3</v>
      </c>
      <c r="F1032" s="100">
        <v>1</v>
      </c>
      <c r="G1032" s="100">
        <v>0</v>
      </c>
      <c r="H1032" s="101"/>
      <c r="I1032" s="101"/>
      <c r="J1032" s="102"/>
      <c r="K1032" s="101" t="s">
        <v>1134</v>
      </c>
      <c r="L1032" s="64">
        <v>0</v>
      </c>
      <c r="M1032" s="64">
        <v>0</v>
      </c>
      <c r="N1032" s="64">
        <v>0</v>
      </c>
      <c r="O1032" s="64">
        <v>0</v>
      </c>
      <c r="P1032" s="64"/>
      <c r="Q1032" s="64"/>
      <c r="R1032" s="64"/>
      <c r="S1032" s="65"/>
      <c r="T1032" s="194"/>
      <c r="U1032" s="75">
        <v>0</v>
      </c>
      <c r="V1032" s="75"/>
      <c r="W1032" s="75">
        <v>0</v>
      </c>
      <c r="X1032" s="1122">
        <v>0</v>
      </c>
      <c r="Y1032" s="75">
        <v>0</v>
      </c>
      <c r="Z1032" s="75">
        <v>0</v>
      </c>
      <c r="AA1032" s="1122">
        <v>0</v>
      </c>
      <c r="AB1032" s="75">
        <v>0</v>
      </c>
      <c r="AC1032" s="75">
        <v>0</v>
      </c>
      <c r="AD1032" s="1122">
        <v>0</v>
      </c>
      <c r="AE1032" s="75">
        <v>0</v>
      </c>
      <c r="AF1032" s="75">
        <v>0</v>
      </c>
      <c r="AG1032" s="1122">
        <v>0</v>
      </c>
      <c r="AH1032" s="505">
        <f>+U1032+Y1032+AB1032+AE1032</f>
        <v>0</v>
      </c>
      <c r="AI1032" s="132"/>
      <c r="AJ1032" s="75">
        <f t="shared" ref="AJ1032:AJ1034" si="273">+W1033+Z1033+AC1033+AF1033</f>
        <v>0</v>
      </c>
      <c r="AK1032" s="154"/>
      <c r="AL1032" s="154"/>
      <c r="AM1032" s="154"/>
      <c r="AN1032" s="64"/>
      <c r="AO1032" s="64"/>
      <c r="AP1032" s="64"/>
      <c r="AQ1032" s="189"/>
      <c r="AR1032" s="64"/>
      <c r="AS1032" s="476"/>
      <c r="AT1032" s="64"/>
      <c r="AU1032" s="646"/>
      <c r="AV1032" s="259"/>
      <c r="AW1032" s="455"/>
    </row>
    <row r="1033" spans="1:49" ht="38.1" hidden="1" customHeight="1" outlineLevel="4" x14ac:dyDescent="0.25">
      <c r="A1033" s="99" t="str">
        <f t="shared" si="215"/>
        <v>2.11.0.3.2.0</v>
      </c>
      <c r="B1033" s="100">
        <v>2</v>
      </c>
      <c r="C1033" s="100">
        <v>11</v>
      </c>
      <c r="D1033" s="100">
        <v>0</v>
      </c>
      <c r="E1033" s="100">
        <v>3</v>
      </c>
      <c r="F1033" s="100">
        <v>2</v>
      </c>
      <c r="G1033" s="100">
        <v>0</v>
      </c>
      <c r="H1033" s="101"/>
      <c r="I1033" s="101"/>
      <c r="J1033" s="102"/>
      <c r="K1033" s="101" t="s">
        <v>1135</v>
      </c>
      <c r="L1033" s="64">
        <v>0</v>
      </c>
      <c r="M1033" s="64">
        <v>0</v>
      </c>
      <c r="N1033" s="64">
        <v>0</v>
      </c>
      <c r="O1033" s="64">
        <v>0</v>
      </c>
      <c r="P1033" s="64"/>
      <c r="Q1033" s="64"/>
      <c r="R1033" s="64"/>
      <c r="S1033" s="65"/>
      <c r="T1033" s="194"/>
      <c r="U1033" s="75">
        <v>0</v>
      </c>
      <c r="V1033" s="75"/>
      <c r="W1033" s="75">
        <v>0</v>
      </c>
      <c r="X1033" s="1122">
        <v>0</v>
      </c>
      <c r="Y1033" s="75">
        <v>0</v>
      </c>
      <c r="Z1033" s="75">
        <v>0</v>
      </c>
      <c r="AA1033" s="1122">
        <v>0</v>
      </c>
      <c r="AB1033" s="75">
        <v>0</v>
      </c>
      <c r="AC1033" s="75">
        <v>0</v>
      </c>
      <c r="AD1033" s="1122">
        <v>0</v>
      </c>
      <c r="AE1033" s="75">
        <v>0</v>
      </c>
      <c r="AF1033" s="75">
        <v>0</v>
      </c>
      <c r="AG1033" s="1122">
        <v>0</v>
      </c>
      <c r="AH1033" s="505">
        <f t="shared" ref="AH1033" si="274">+U1033+Y1033+AB1033+AE1033</f>
        <v>0</v>
      </c>
      <c r="AI1033" s="132"/>
      <c r="AJ1033" s="75">
        <f t="shared" si="273"/>
        <v>0</v>
      </c>
      <c r="AK1033" s="154"/>
      <c r="AL1033" s="154"/>
      <c r="AM1033" s="154"/>
      <c r="AN1033" s="64"/>
      <c r="AO1033" s="64"/>
      <c r="AP1033" s="64"/>
      <c r="AQ1033" s="189"/>
      <c r="AR1033" s="64"/>
      <c r="AS1033" s="476"/>
      <c r="AT1033" s="64"/>
      <c r="AU1033" s="646"/>
      <c r="AV1033" s="259"/>
      <c r="AW1033" s="455"/>
    </row>
    <row r="1034" spans="1:49" s="212" customFormat="1" ht="38.1" hidden="1" customHeight="1" outlineLevel="4" x14ac:dyDescent="0.25">
      <c r="A1034" s="630" t="str">
        <f t="shared" si="215"/>
        <v>2.11.0.3.3.0</v>
      </c>
      <c r="B1034" s="631">
        <v>2</v>
      </c>
      <c r="C1034" s="631">
        <v>11</v>
      </c>
      <c r="D1034" s="631">
        <v>0</v>
      </c>
      <c r="E1034" s="631">
        <v>3</v>
      </c>
      <c r="F1034" s="631">
        <v>3</v>
      </c>
      <c r="G1034" s="631">
        <v>0</v>
      </c>
      <c r="H1034" s="632"/>
      <c r="I1034" s="632"/>
      <c r="J1034" s="633"/>
      <c r="K1034" s="634" t="s">
        <v>1136</v>
      </c>
      <c r="L1034" s="136">
        <v>0</v>
      </c>
      <c r="M1034" s="64">
        <v>0</v>
      </c>
      <c r="N1034" s="64">
        <v>0</v>
      </c>
      <c r="O1034" s="64">
        <v>0</v>
      </c>
      <c r="P1034" s="64"/>
      <c r="Q1034" s="64"/>
      <c r="R1034" s="136"/>
      <c r="S1034" s="65"/>
      <c r="T1034" s="194"/>
      <c r="U1034" s="75">
        <v>0</v>
      </c>
      <c r="V1034" s="75"/>
      <c r="W1034" s="75">
        <v>0</v>
      </c>
      <c r="X1034" s="1122">
        <v>0</v>
      </c>
      <c r="Y1034" s="75">
        <v>0</v>
      </c>
      <c r="Z1034" s="75">
        <v>0</v>
      </c>
      <c r="AA1034" s="1122">
        <v>0</v>
      </c>
      <c r="AB1034" s="75">
        <v>0</v>
      </c>
      <c r="AC1034" s="75">
        <v>0</v>
      </c>
      <c r="AD1034" s="1122">
        <v>0</v>
      </c>
      <c r="AE1034" s="75">
        <v>0</v>
      </c>
      <c r="AF1034" s="75">
        <v>0</v>
      </c>
      <c r="AG1034" s="1122">
        <v>0</v>
      </c>
      <c r="AH1034" s="505">
        <f>+U1034+Y1034+AB1034+AE1034</f>
        <v>0</v>
      </c>
      <c r="AI1034" s="132"/>
      <c r="AJ1034" s="75">
        <f t="shared" si="273"/>
        <v>0</v>
      </c>
      <c r="AK1034" s="132"/>
      <c r="AL1034" s="132"/>
      <c r="AM1034" s="132"/>
      <c r="AN1034" s="136" t="s">
        <v>39</v>
      </c>
      <c r="AO1034" s="631"/>
      <c r="AP1034" s="631"/>
      <c r="AQ1034" s="631"/>
      <c r="AR1034" s="631"/>
      <c r="AS1034" s="631"/>
      <c r="AT1034" s="631"/>
      <c r="AU1034" s="983"/>
      <c r="AV1034" s="259"/>
      <c r="AW1034" s="1093"/>
    </row>
    <row r="1035" spans="1:49" ht="53.25" customHeight="1" outlineLevel="1" collapsed="1" x14ac:dyDescent="0.25">
      <c r="A1035" s="148" t="str">
        <f t="shared" si="215"/>
        <v>2.11.0.4.0.0</v>
      </c>
      <c r="B1035" s="82">
        <v>2</v>
      </c>
      <c r="C1035" s="82">
        <v>11</v>
      </c>
      <c r="D1035" s="82">
        <v>0</v>
      </c>
      <c r="E1035" s="82">
        <v>4</v>
      </c>
      <c r="F1035" s="82">
        <v>0</v>
      </c>
      <c r="G1035" s="82">
        <v>0</v>
      </c>
      <c r="H1035" s="250"/>
      <c r="I1035" s="250"/>
      <c r="J1035" s="1260" t="s">
        <v>1137</v>
      </c>
      <c r="K1035" s="1259"/>
      <c r="L1035" s="622" t="s">
        <v>1138</v>
      </c>
      <c r="M1035" s="152" t="s">
        <v>1139</v>
      </c>
      <c r="N1035" s="152" t="s">
        <v>1084</v>
      </c>
      <c r="O1035" s="152">
        <v>0</v>
      </c>
      <c r="P1035" s="152"/>
      <c r="Q1035" s="152"/>
      <c r="R1035" s="152"/>
      <c r="S1035" s="170"/>
      <c r="T1035" s="193"/>
      <c r="U1035" s="152">
        <f>SUM(U1036:U1041)</f>
        <v>0</v>
      </c>
      <c r="V1035" s="152"/>
      <c r="W1035" s="152">
        <f t="shared" ref="W1035:AM1035" si="275">SUM(W1036:W1041)</f>
        <v>0</v>
      </c>
      <c r="X1035" s="1131">
        <f t="shared" si="275"/>
        <v>0</v>
      </c>
      <c r="Y1035" s="152">
        <f t="shared" si="275"/>
        <v>0</v>
      </c>
      <c r="Z1035" s="152">
        <f t="shared" si="275"/>
        <v>0</v>
      </c>
      <c r="AA1035" s="1131">
        <f t="shared" si="275"/>
        <v>0</v>
      </c>
      <c r="AB1035" s="152">
        <f t="shared" si="275"/>
        <v>0</v>
      </c>
      <c r="AC1035" s="152">
        <f t="shared" si="275"/>
        <v>0</v>
      </c>
      <c r="AD1035" s="1131">
        <f t="shared" si="275"/>
        <v>0</v>
      </c>
      <c r="AE1035" s="152">
        <f t="shared" si="275"/>
        <v>0</v>
      </c>
      <c r="AF1035" s="152">
        <f t="shared" si="275"/>
        <v>0</v>
      </c>
      <c r="AG1035" s="1131">
        <f t="shared" si="275"/>
        <v>0</v>
      </c>
      <c r="AH1035" s="152">
        <f>SUM(AH1036:AH1041)</f>
        <v>0</v>
      </c>
      <c r="AI1035" s="379">
        <f t="shared" si="275"/>
        <v>0</v>
      </c>
      <c r="AJ1035" s="379">
        <f t="shared" si="275"/>
        <v>0</v>
      </c>
      <c r="AK1035" s="379">
        <f t="shared" si="275"/>
        <v>0</v>
      </c>
      <c r="AL1035" s="379">
        <f t="shared" si="275"/>
        <v>0</v>
      </c>
      <c r="AM1035" s="379">
        <f t="shared" si="275"/>
        <v>0</v>
      </c>
      <c r="AN1035" s="83"/>
      <c r="AO1035" s="83"/>
      <c r="AP1035" s="83"/>
      <c r="AQ1035" s="421"/>
      <c r="AR1035" s="83"/>
      <c r="AS1035" s="487"/>
      <c r="AT1035" s="83"/>
      <c r="AU1035" s="667"/>
      <c r="AV1035" s="353"/>
      <c r="AW1035" s="449"/>
    </row>
    <row r="1036" spans="1:49" ht="36.6" hidden="1" customHeight="1" outlineLevel="2" x14ac:dyDescent="0.25">
      <c r="A1036" s="63" t="str">
        <f t="shared" si="215"/>
        <v>2.11.0.4.1.0</v>
      </c>
      <c r="B1036" s="64">
        <v>2</v>
      </c>
      <c r="C1036" s="64">
        <v>11</v>
      </c>
      <c r="D1036" s="64">
        <v>0</v>
      </c>
      <c r="E1036" s="64">
        <v>4</v>
      </c>
      <c r="F1036" s="64">
        <v>1</v>
      </c>
      <c r="G1036" s="64">
        <v>0</v>
      </c>
      <c r="H1036" s="65"/>
      <c r="I1036" s="65"/>
      <c r="J1036" s="65"/>
      <c r="K1036" s="103" t="s">
        <v>1140</v>
      </c>
      <c r="L1036" s="64">
        <v>0</v>
      </c>
      <c r="M1036" s="64">
        <v>0</v>
      </c>
      <c r="N1036" s="64">
        <v>0</v>
      </c>
      <c r="O1036" s="64">
        <v>0</v>
      </c>
      <c r="P1036" s="170">
        <v>43405</v>
      </c>
      <c r="Q1036" s="65" t="s">
        <v>635</v>
      </c>
      <c r="R1036" s="64">
        <v>1</v>
      </c>
      <c r="S1036" s="65" t="s">
        <v>1141</v>
      </c>
      <c r="T1036" s="194"/>
      <c r="U1036" s="75">
        <v>0</v>
      </c>
      <c r="V1036" s="75"/>
      <c r="W1036" s="75">
        <v>0</v>
      </c>
      <c r="X1036" s="1122">
        <v>0</v>
      </c>
      <c r="Y1036" s="75">
        <v>0</v>
      </c>
      <c r="Z1036" s="75">
        <v>0</v>
      </c>
      <c r="AA1036" s="1122">
        <v>0</v>
      </c>
      <c r="AB1036" s="75">
        <v>0</v>
      </c>
      <c r="AC1036" s="75">
        <v>0</v>
      </c>
      <c r="AD1036" s="1122">
        <v>0</v>
      </c>
      <c r="AE1036" s="75">
        <v>0</v>
      </c>
      <c r="AF1036" s="75">
        <v>0</v>
      </c>
      <c r="AG1036" s="1122">
        <v>0</v>
      </c>
      <c r="AH1036" s="505">
        <f>+U1036+Y1036+AB1036+AE1036</f>
        <v>0</v>
      </c>
      <c r="AI1036" s="132"/>
      <c r="AJ1036" s="75">
        <f t="shared" ref="AJ1036:AJ1040" si="276">+W1037+Z1037+AC1037+AF1037</f>
        <v>0</v>
      </c>
      <c r="AK1036" s="75"/>
      <c r="AL1036" s="75"/>
      <c r="AM1036" s="75"/>
      <c r="AN1036" s="64"/>
      <c r="AO1036" s="64"/>
      <c r="AP1036" s="64"/>
      <c r="AQ1036" s="189"/>
      <c r="AR1036" s="64"/>
      <c r="AS1036" s="476"/>
      <c r="AT1036" s="64"/>
      <c r="AU1036" s="646"/>
      <c r="AV1036" s="259"/>
      <c r="AW1036" s="185"/>
    </row>
    <row r="1037" spans="1:49" ht="36.6" hidden="1" customHeight="1" outlineLevel="2" x14ac:dyDescent="0.25">
      <c r="A1037" s="63" t="str">
        <f t="shared" si="215"/>
        <v>2.11.0.4.2.0</v>
      </c>
      <c r="B1037" s="64">
        <v>2</v>
      </c>
      <c r="C1037" s="64">
        <v>11</v>
      </c>
      <c r="D1037" s="64">
        <v>0</v>
      </c>
      <c r="E1037" s="64">
        <v>4</v>
      </c>
      <c r="F1037" s="64">
        <v>2</v>
      </c>
      <c r="G1037" s="64">
        <v>0</v>
      </c>
      <c r="H1037" s="65"/>
      <c r="I1037" s="65"/>
      <c r="J1037" s="65"/>
      <c r="K1037" s="103" t="s">
        <v>1142</v>
      </c>
      <c r="L1037" s="64">
        <v>0</v>
      </c>
      <c r="M1037" s="64">
        <v>0</v>
      </c>
      <c r="N1037" s="64">
        <v>0</v>
      </c>
      <c r="O1037" s="64">
        <v>0</v>
      </c>
      <c r="P1037" s="170">
        <v>43374</v>
      </c>
      <c r="Q1037" s="65" t="s">
        <v>635</v>
      </c>
      <c r="R1037" s="64">
        <v>1</v>
      </c>
      <c r="S1037" s="65" t="s">
        <v>1141</v>
      </c>
      <c r="T1037" s="194"/>
      <c r="U1037" s="75">
        <v>0</v>
      </c>
      <c r="V1037" s="75"/>
      <c r="W1037" s="75">
        <v>0</v>
      </c>
      <c r="X1037" s="1122">
        <v>0</v>
      </c>
      <c r="Y1037" s="75">
        <v>0</v>
      </c>
      <c r="Z1037" s="75">
        <v>0</v>
      </c>
      <c r="AA1037" s="1122">
        <v>0</v>
      </c>
      <c r="AB1037" s="75">
        <v>0</v>
      </c>
      <c r="AC1037" s="75">
        <v>0</v>
      </c>
      <c r="AD1037" s="1122">
        <v>0</v>
      </c>
      <c r="AE1037" s="75">
        <v>0</v>
      </c>
      <c r="AF1037" s="75">
        <v>0</v>
      </c>
      <c r="AG1037" s="1122">
        <v>0</v>
      </c>
      <c r="AH1037" s="505">
        <f t="shared" ref="AH1037:AH1041" si="277">+U1037+Y1037+AB1037+AE1037</f>
        <v>0</v>
      </c>
      <c r="AI1037" s="132"/>
      <c r="AJ1037" s="75">
        <f t="shared" si="276"/>
        <v>0</v>
      </c>
      <c r="AK1037" s="75"/>
      <c r="AL1037" s="75"/>
      <c r="AM1037" s="75"/>
      <c r="AN1037" s="64"/>
      <c r="AO1037" s="64"/>
      <c r="AP1037" s="64"/>
      <c r="AQ1037" s="189"/>
      <c r="AR1037" s="64"/>
      <c r="AS1037" s="476"/>
      <c r="AT1037" s="64"/>
      <c r="AU1037" s="646"/>
      <c r="AV1037" s="259"/>
      <c r="AW1037" s="185"/>
    </row>
    <row r="1038" spans="1:49" ht="36.6" hidden="1" customHeight="1" outlineLevel="2" x14ac:dyDescent="0.25">
      <c r="A1038" s="63" t="str">
        <f t="shared" si="215"/>
        <v>2.11.0.4.3.58-64</v>
      </c>
      <c r="B1038" s="64">
        <v>2</v>
      </c>
      <c r="C1038" s="64">
        <v>11</v>
      </c>
      <c r="D1038" s="64">
        <v>0</v>
      </c>
      <c r="E1038" s="64">
        <v>4</v>
      </c>
      <c r="F1038" s="64">
        <v>3</v>
      </c>
      <c r="G1038" s="64" t="s">
        <v>64</v>
      </c>
      <c r="H1038" s="65"/>
      <c r="I1038" s="65"/>
      <c r="J1038" s="65"/>
      <c r="K1038" s="65" t="s">
        <v>1143</v>
      </c>
      <c r="L1038" s="64" t="s">
        <v>1138</v>
      </c>
      <c r="M1038" s="68" t="s">
        <v>1144</v>
      </c>
      <c r="N1038" s="64" t="s">
        <v>900</v>
      </c>
      <c r="O1038" s="68" t="s">
        <v>1145</v>
      </c>
      <c r="P1038" s="63">
        <v>44317</v>
      </c>
      <c r="Q1038" s="63">
        <v>44561</v>
      </c>
      <c r="R1038" s="64">
        <v>14</v>
      </c>
      <c r="S1038" s="67" t="s">
        <v>1092</v>
      </c>
      <c r="T1038" s="194">
        <v>7</v>
      </c>
      <c r="U1038" s="75">
        <v>0</v>
      </c>
      <c r="V1038" s="75"/>
      <c r="W1038" s="75">
        <v>0</v>
      </c>
      <c r="X1038" s="1122">
        <v>0</v>
      </c>
      <c r="Y1038" s="75">
        <v>0</v>
      </c>
      <c r="Z1038" s="75">
        <v>0</v>
      </c>
      <c r="AA1038" s="1122">
        <v>0</v>
      </c>
      <c r="AB1038" s="75">
        <v>0</v>
      </c>
      <c r="AC1038" s="75">
        <v>0</v>
      </c>
      <c r="AD1038" s="1122">
        <v>0</v>
      </c>
      <c r="AE1038" s="75">
        <v>0</v>
      </c>
      <c r="AF1038" s="75">
        <v>0</v>
      </c>
      <c r="AG1038" s="1122">
        <v>0</v>
      </c>
      <c r="AH1038" s="505">
        <f t="shared" si="277"/>
        <v>0</v>
      </c>
      <c r="AI1038" s="132"/>
      <c r="AJ1038" s="75">
        <f t="shared" si="276"/>
        <v>0</v>
      </c>
      <c r="AK1038" s="75"/>
      <c r="AL1038" s="75"/>
      <c r="AM1038" s="75"/>
      <c r="AN1038" s="64"/>
      <c r="AO1038" s="64"/>
      <c r="AP1038" s="64"/>
      <c r="AQ1038" s="189"/>
      <c r="AR1038" s="64"/>
      <c r="AS1038" s="476"/>
      <c r="AT1038" s="64"/>
      <c r="AU1038" s="646"/>
      <c r="AV1038" s="259" t="s">
        <v>1146</v>
      </c>
      <c r="AW1038" s="185" t="s">
        <v>127</v>
      </c>
    </row>
    <row r="1039" spans="1:49" ht="36.6" hidden="1" customHeight="1" outlineLevel="2" x14ac:dyDescent="0.25">
      <c r="A1039" s="63" t="str">
        <f t="shared" si="215"/>
        <v>2.11.0.4.5.58-64</v>
      </c>
      <c r="B1039" s="64">
        <v>2</v>
      </c>
      <c r="C1039" s="64">
        <v>11</v>
      </c>
      <c r="D1039" s="64">
        <v>0</v>
      </c>
      <c r="E1039" s="64">
        <v>4</v>
      </c>
      <c r="F1039" s="64">
        <v>5</v>
      </c>
      <c r="G1039" s="64" t="s">
        <v>64</v>
      </c>
      <c r="H1039" s="65"/>
      <c r="I1039" s="65"/>
      <c r="J1039" s="65"/>
      <c r="K1039" s="101" t="s">
        <v>1147</v>
      </c>
      <c r="L1039" s="64">
        <v>0</v>
      </c>
      <c r="M1039" s="64"/>
      <c r="N1039" s="64">
        <v>0</v>
      </c>
      <c r="O1039" s="64">
        <v>0</v>
      </c>
      <c r="P1039" s="65"/>
      <c r="Q1039" s="65"/>
      <c r="R1039" s="64"/>
      <c r="S1039" s="65"/>
      <c r="T1039" s="194"/>
      <c r="U1039" s="75">
        <v>0</v>
      </c>
      <c r="V1039" s="75"/>
      <c r="W1039" s="75">
        <v>0</v>
      </c>
      <c r="X1039" s="1122">
        <v>0</v>
      </c>
      <c r="Y1039" s="75">
        <v>0</v>
      </c>
      <c r="Z1039" s="75">
        <v>0</v>
      </c>
      <c r="AA1039" s="1122">
        <v>0</v>
      </c>
      <c r="AB1039" s="75">
        <v>0</v>
      </c>
      <c r="AC1039" s="75">
        <v>0</v>
      </c>
      <c r="AD1039" s="1122">
        <v>0</v>
      </c>
      <c r="AE1039" s="75">
        <v>0</v>
      </c>
      <c r="AF1039" s="75">
        <v>0</v>
      </c>
      <c r="AG1039" s="1122">
        <v>0</v>
      </c>
      <c r="AH1039" s="505">
        <f t="shared" si="277"/>
        <v>0</v>
      </c>
      <c r="AI1039" s="132"/>
      <c r="AJ1039" s="75">
        <f t="shared" si="276"/>
        <v>0</v>
      </c>
      <c r="AK1039" s="75"/>
      <c r="AL1039" s="75"/>
      <c r="AM1039" s="75"/>
      <c r="AN1039" s="64"/>
      <c r="AO1039" s="64"/>
      <c r="AP1039" s="64"/>
      <c r="AQ1039" s="189"/>
      <c r="AR1039" s="64"/>
      <c r="AS1039" s="476"/>
      <c r="AT1039" s="64"/>
      <c r="AU1039" s="646"/>
      <c r="AV1039" s="259"/>
      <c r="AW1039" s="185"/>
    </row>
    <row r="1040" spans="1:49" ht="36.6" hidden="1" customHeight="1" outlineLevel="2" x14ac:dyDescent="0.25">
      <c r="A1040" s="63" t="str">
        <f t="shared" si="215"/>
        <v>2.11.0.4.7.58-64</v>
      </c>
      <c r="B1040" s="64">
        <v>2</v>
      </c>
      <c r="C1040" s="64">
        <v>11</v>
      </c>
      <c r="D1040" s="64">
        <v>0</v>
      </c>
      <c r="E1040" s="64">
        <v>4</v>
      </c>
      <c r="F1040" s="64">
        <v>7</v>
      </c>
      <c r="G1040" s="64" t="s">
        <v>64</v>
      </c>
      <c r="H1040" s="65"/>
      <c r="I1040" s="65"/>
      <c r="J1040" s="65"/>
      <c r="K1040" s="67" t="s">
        <v>1148</v>
      </c>
      <c r="L1040" s="64" t="s">
        <v>1138</v>
      </c>
      <c r="M1040" s="68" t="s">
        <v>1149</v>
      </c>
      <c r="N1040" s="68" t="s">
        <v>1089</v>
      </c>
      <c r="O1040" s="64" t="s">
        <v>1150</v>
      </c>
      <c r="P1040" s="68">
        <v>43983</v>
      </c>
      <c r="Q1040" s="67" t="s">
        <v>1151</v>
      </c>
      <c r="R1040" s="68" t="s">
        <v>1152</v>
      </c>
      <c r="S1040" s="67" t="s">
        <v>1149</v>
      </c>
      <c r="T1040" s="194"/>
      <c r="U1040" s="75">
        <v>0</v>
      </c>
      <c r="V1040" s="75"/>
      <c r="W1040" s="75">
        <v>0</v>
      </c>
      <c r="X1040" s="1122">
        <v>0</v>
      </c>
      <c r="Y1040" s="75">
        <v>0</v>
      </c>
      <c r="Z1040" s="75">
        <v>0</v>
      </c>
      <c r="AA1040" s="1122">
        <v>0</v>
      </c>
      <c r="AB1040" s="75">
        <v>0</v>
      </c>
      <c r="AC1040" s="75">
        <v>0</v>
      </c>
      <c r="AD1040" s="1122">
        <v>0</v>
      </c>
      <c r="AE1040" s="75">
        <v>0</v>
      </c>
      <c r="AF1040" s="75">
        <v>0</v>
      </c>
      <c r="AG1040" s="1122">
        <v>0</v>
      </c>
      <c r="AH1040" s="505">
        <f t="shared" si="277"/>
        <v>0</v>
      </c>
      <c r="AI1040" s="132"/>
      <c r="AJ1040" s="75">
        <f t="shared" si="276"/>
        <v>0</v>
      </c>
      <c r="AK1040" s="252"/>
      <c r="AL1040" s="252"/>
      <c r="AM1040" s="252"/>
      <c r="AN1040" s="64"/>
      <c r="AO1040" s="64"/>
      <c r="AP1040" s="64"/>
      <c r="AQ1040" s="189"/>
      <c r="AR1040" s="64"/>
      <c r="AS1040" s="476"/>
      <c r="AT1040" s="64"/>
      <c r="AU1040" s="646"/>
      <c r="AV1040" s="259"/>
      <c r="AW1040" s="185"/>
    </row>
    <row r="1041" spans="1:49" ht="36.6" hidden="1" customHeight="1" outlineLevel="2" x14ac:dyDescent="0.25">
      <c r="A1041" s="63" t="str">
        <f t="shared" si="215"/>
        <v>2.11.0.4.8.58-64</v>
      </c>
      <c r="B1041" s="64">
        <v>2</v>
      </c>
      <c r="C1041" s="64">
        <v>11</v>
      </c>
      <c r="D1041" s="64">
        <v>0</v>
      </c>
      <c r="E1041" s="64">
        <v>4</v>
      </c>
      <c r="F1041" s="64">
        <v>8</v>
      </c>
      <c r="G1041" s="64" t="s">
        <v>64</v>
      </c>
      <c r="H1041" s="65"/>
      <c r="I1041" s="65"/>
      <c r="J1041" s="66"/>
      <c r="K1041" s="67" t="s">
        <v>1153</v>
      </c>
      <c r="L1041" s="64" t="s">
        <v>1154</v>
      </c>
      <c r="M1041" s="64" t="s">
        <v>1155</v>
      </c>
      <c r="N1041" s="64"/>
      <c r="O1041" s="64"/>
      <c r="P1041" s="64"/>
      <c r="Q1041" s="64"/>
      <c r="R1041" s="64"/>
      <c r="S1041" s="65"/>
      <c r="T1041" s="194"/>
      <c r="U1041" s="75">
        <v>0</v>
      </c>
      <c r="V1041" s="75"/>
      <c r="W1041" s="75">
        <v>0</v>
      </c>
      <c r="X1041" s="1122">
        <v>0</v>
      </c>
      <c r="Y1041" s="75">
        <v>0</v>
      </c>
      <c r="Z1041" s="75">
        <v>0</v>
      </c>
      <c r="AA1041" s="1122">
        <v>0</v>
      </c>
      <c r="AB1041" s="75">
        <v>0</v>
      </c>
      <c r="AC1041" s="75">
        <v>0</v>
      </c>
      <c r="AD1041" s="1122">
        <v>0</v>
      </c>
      <c r="AE1041" s="75">
        <v>0</v>
      </c>
      <c r="AF1041" s="75">
        <v>0</v>
      </c>
      <c r="AG1041" s="1122">
        <v>0</v>
      </c>
      <c r="AH1041" s="505">
        <f t="shared" si="277"/>
        <v>0</v>
      </c>
      <c r="AI1041" s="132"/>
      <c r="AJ1041" s="75"/>
      <c r="AK1041" s="75"/>
      <c r="AL1041" s="75"/>
      <c r="AM1041" s="75"/>
      <c r="AN1041" s="64"/>
      <c r="AO1041" s="64"/>
      <c r="AP1041" s="64"/>
      <c r="AQ1041" s="189"/>
      <c r="AR1041" s="64"/>
      <c r="AS1041" s="476"/>
      <c r="AT1041" s="64"/>
      <c r="AU1041" s="646"/>
      <c r="AV1041" s="259"/>
      <c r="AW1041" s="185"/>
    </row>
    <row r="1042" spans="1:49" s="153" customFormat="1" ht="23.45" customHeight="1" x14ac:dyDescent="0.25">
      <c r="A1042" s="246" t="str">
        <f t="shared" si="215"/>
        <v>3.0.0.0.0.0</v>
      </c>
      <c r="B1042" s="44">
        <v>3</v>
      </c>
      <c r="C1042" s="44">
        <v>0</v>
      </c>
      <c r="D1042" s="44">
        <v>0</v>
      </c>
      <c r="E1042" s="44">
        <v>0</v>
      </c>
      <c r="F1042" s="44">
        <v>0</v>
      </c>
      <c r="G1042" s="44">
        <v>0</v>
      </c>
      <c r="H1042" s="1269" t="s">
        <v>1156</v>
      </c>
      <c r="I1042" s="1270"/>
      <c r="J1042" s="1270"/>
      <c r="K1042" s="1271"/>
      <c r="L1042" s="44" t="s">
        <v>630</v>
      </c>
      <c r="M1042" s="44">
        <v>0</v>
      </c>
      <c r="N1042" s="44">
        <v>0</v>
      </c>
      <c r="O1042" s="44">
        <v>0</v>
      </c>
      <c r="P1042" s="44"/>
      <c r="Q1042" s="44"/>
      <c r="R1042" s="44"/>
      <c r="S1042" s="247"/>
      <c r="T1042" s="1200"/>
      <c r="U1042" s="248">
        <f t="shared" ref="U1042:AJ1042" si="278">+U1043+U1137+U1210</f>
        <v>53846194.500000015</v>
      </c>
      <c r="V1042" s="248"/>
      <c r="W1042" s="248">
        <f t="shared" si="278"/>
        <v>177000</v>
      </c>
      <c r="X1042" s="1147">
        <f t="shared" si="278"/>
        <v>0</v>
      </c>
      <c r="Y1042" s="248">
        <f t="shared" si="278"/>
        <v>46295376.859999999</v>
      </c>
      <c r="Z1042" s="248">
        <f t="shared" si="278"/>
        <v>797000</v>
      </c>
      <c r="AA1042" s="1147">
        <f t="shared" si="278"/>
        <v>0</v>
      </c>
      <c r="AB1042" s="248">
        <f t="shared" si="278"/>
        <v>23531736.18</v>
      </c>
      <c r="AC1042" s="248">
        <f t="shared" si="278"/>
        <v>0</v>
      </c>
      <c r="AD1042" s="1147">
        <f t="shared" si="278"/>
        <v>0</v>
      </c>
      <c r="AE1042" s="248">
        <f t="shared" si="278"/>
        <v>25481636.18</v>
      </c>
      <c r="AF1042" s="248">
        <f t="shared" si="278"/>
        <v>270700</v>
      </c>
      <c r="AG1042" s="1147">
        <f t="shared" si="278"/>
        <v>0</v>
      </c>
      <c r="AH1042" s="248">
        <f>+AH1043+AH1137+AH1210</f>
        <v>149154943.72000003</v>
      </c>
      <c r="AI1042" s="248">
        <f t="shared" si="278"/>
        <v>0</v>
      </c>
      <c r="AJ1042" s="248">
        <f t="shared" si="278"/>
        <v>864000</v>
      </c>
      <c r="AK1042" s="249"/>
      <c r="AL1042" s="249"/>
      <c r="AM1042" s="249"/>
      <c r="AN1042" s="44" t="s">
        <v>1157</v>
      </c>
      <c r="AO1042" s="44"/>
      <c r="AP1042" s="44"/>
      <c r="AQ1042" s="420"/>
      <c r="AR1042" s="44"/>
      <c r="AS1042" s="486"/>
      <c r="AT1042" s="44"/>
      <c r="AU1042" s="658"/>
      <c r="AV1042" s="387">
        <f>+AV1043+AV1137+AV1210</f>
        <v>0</v>
      </c>
      <c r="AW1042" s="426"/>
    </row>
    <row r="1043" spans="1:49" s="153" customFormat="1" ht="23.45" customHeight="1" outlineLevel="1" x14ac:dyDescent="0.25">
      <c r="A1043" s="108" t="str">
        <f t="shared" si="215"/>
        <v>3.12.1.0.0.0</v>
      </c>
      <c r="B1043" s="109">
        <v>3</v>
      </c>
      <c r="C1043" s="109">
        <v>12</v>
      </c>
      <c r="D1043" s="109">
        <v>1</v>
      </c>
      <c r="E1043" s="109">
        <v>0</v>
      </c>
      <c r="F1043" s="109">
        <v>0</v>
      </c>
      <c r="G1043" s="109">
        <v>0</v>
      </c>
      <c r="H1043" s="110"/>
      <c r="I1043" s="1258" t="s">
        <v>1158</v>
      </c>
      <c r="J1043" s="1259"/>
      <c r="K1043" s="1259"/>
      <c r="L1043" s="109" t="s">
        <v>668</v>
      </c>
      <c r="M1043" s="109">
        <v>0</v>
      </c>
      <c r="N1043" s="109">
        <v>0</v>
      </c>
      <c r="O1043" s="109">
        <v>0</v>
      </c>
      <c r="P1043" s="109"/>
      <c r="Q1043" s="109"/>
      <c r="R1043" s="109"/>
      <c r="S1043" s="110"/>
      <c r="T1043" s="1183"/>
      <c r="U1043" s="112">
        <f t="shared" ref="U1043:AJ1043" si="279">+U1044+U1061+U1076+U1079+U1081+U1085</f>
        <v>50406919.500000015</v>
      </c>
      <c r="V1043" s="112"/>
      <c r="W1043" s="112">
        <f t="shared" si="279"/>
        <v>0</v>
      </c>
      <c r="X1043" s="1116">
        <f t="shared" si="279"/>
        <v>0</v>
      </c>
      <c r="Y1043" s="112">
        <f t="shared" si="279"/>
        <v>41410847.5</v>
      </c>
      <c r="Z1043" s="112">
        <f t="shared" si="279"/>
        <v>7000</v>
      </c>
      <c r="AA1043" s="1116">
        <f t="shared" si="279"/>
        <v>0</v>
      </c>
      <c r="AB1043" s="112">
        <f t="shared" si="279"/>
        <v>20933251.18</v>
      </c>
      <c r="AC1043" s="112">
        <f t="shared" si="279"/>
        <v>0</v>
      </c>
      <c r="AD1043" s="1116">
        <f t="shared" si="279"/>
        <v>0</v>
      </c>
      <c r="AE1043" s="112">
        <f t="shared" si="279"/>
        <v>23633251.18</v>
      </c>
      <c r="AF1043" s="112">
        <f t="shared" si="279"/>
        <v>0</v>
      </c>
      <c r="AG1043" s="1116">
        <f t="shared" si="279"/>
        <v>0</v>
      </c>
      <c r="AH1043" s="112">
        <f>+AH1044+AH1061+AH1076+AH1079+AH1081+AH1085</f>
        <v>136384269.36000001</v>
      </c>
      <c r="AI1043" s="521">
        <f t="shared" si="279"/>
        <v>0</v>
      </c>
      <c r="AJ1043" s="521">
        <f t="shared" si="279"/>
        <v>14000</v>
      </c>
      <c r="AK1043" s="217"/>
      <c r="AL1043" s="217"/>
      <c r="AM1043" s="217"/>
      <c r="AN1043" s="109" t="s">
        <v>1157</v>
      </c>
      <c r="AO1043" s="109"/>
      <c r="AP1043" s="109"/>
      <c r="AQ1043" s="411"/>
      <c r="AR1043" s="109"/>
      <c r="AS1043" s="473"/>
      <c r="AT1043" s="109"/>
      <c r="AU1043" s="659"/>
      <c r="AV1043" s="385">
        <f>+AV1044+AV1061+AV1076+AV1079+AV1081+AV1085</f>
        <v>0</v>
      </c>
      <c r="AW1043" s="445"/>
    </row>
    <row r="1044" spans="1:49" s="153" customFormat="1" ht="23.45" customHeight="1" outlineLevel="1" collapsed="1" x14ac:dyDescent="0.25">
      <c r="A1044" s="148" t="str">
        <f t="shared" si="215"/>
        <v>3.12.1.1.0.0</v>
      </c>
      <c r="B1044" s="82">
        <v>3</v>
      </c>
      <c r="C1044" s="82">
        <v>12</v>
      </c>
      <c r="D1044" s="82">
        <v>1</v>
      </c>
      <c r="E1044" s="82">
        <v>1</v>
      </c>
      <c r="F1044" s="82">
        <v>0</v>
      </c>
      <c r="G1044" s="82">
        <v>0</v>
      </c>
      <c r="H1044" s="149"/>
      <c r="I1044" s="149"/>
      <c r="J1044" s="1260" t="s">
        <v>1159</v>
      </c>
      <c r="K1044" s="1259"/>
      <c r="L1044" s="82" t="s">
        <v>72</v>
      </c>
      <c r="M1044" s="82" t="s">
        <v>267</v>
      </c>
      <c r="N1044" s="82" t="s">
        <v>265</v>
      </c>
      <c r="O1044" s="82" t="s">
        <v>1160</v>
      </c>
      <c r="P1044" s="82"/>
      <c r="Q1044" s="82"/>
      <c r="R1044" s="82"/>
      <c r="S1044" s="149"/>
      <c r="T1044" s="193"/>
      <c r="U1044" s="209">
        <f>SUM(U1045:U1060)</f>
        <v>12687050.23</v>
      </c>
      <c r="V1044" s="209"/>
      <c r="W1044" s="209">
        <f t="shared" ref="W1044:AG1044" si="280">SUM(W1045:W1060)</f>
        <v>0</v>
      </c>
      <c r="X1044" s="1133">
        <f t="shared" si="280"/>
        <v>0</v>
      </c>
      <c r="Y1044" s="209">
        <f>SUM(Y1045:Y1060)</f>
        <v>12735050.23</v>
      </c>
      <c r="Z1044" s="209">
        <f t="shared" si="280"/>
        <v>0</v>
      </c>
      <c r="AA1044" s="1133">
        <f t="shared" si="280"/>
        <v>0</v>
      </c>
      <c r="AB1044" s="209">
        <f>SUM(AB1045:AB1060)</f>
        <v>12687050.23</v>
      </c>
      <c r="AC1044" s="209">
        <f t="shared" si="280"/>
        <v>0</v>
      </c>
      <c r="AD1044" s="1133">
        <f t="shared" si="280"/>
        <v>0</v>
      </c>
      <c r="AE1044" s="209">
        <f>SUM(AE1045:AE1060)</f>
        <v>16887050.23</v>
      </c>
      <c r="AF1044" s="209">
        <f t="shared" si="280"/>
        <v>0</v>
      </c>
      <c r="AG1044" s="1133">
        <f t="shared" si="280"/>
        <v>0</v>
      </c>
      <c r="AH1044" s="209">
        <f>SUM(AH1045:AH1060)</f>
        <v>54996200.920000002</v>
      </c>
      <c r="AI1044" s="522">
        <f>+SUM(AI1045:AI1060)</f>
        <v>0</v>
      </c>
      <c r="AJ1044" s="522">
        <f>+SUM(AJ1045:AJ1060)</f>
        <v>0</v>
      </c>
      <c r="AK1044" s="218"/>
      <c r="AL1044" s="218"/>
      <c r="AM1044" s="218"/>
      <c r="AN1044" s="82" t="s">
        <v>1157</v>
      </c>
      <c r="AO1044" s="82"/>
      <c r="AP1044" s="82"/>
      <c r="AQ1044" s="365"/>
      <c r="AR1044" s="82"/>
      <c r="AS1044" s="483"/>
      <c r="AT1044" s="82"/>
      <c r="AU1044" s="666"/>
      <c r="AV1044" s="386">
        <f t="shared" ref="AV1044" si="281">+SUM(AV1045:AV1060)</f>
        <v>0</v>
      </c>
      <c r="AW1044" s="444"/>
    </row>
    <row r="1045" spans="1:49" ht="21.6" hidden="1" customHeight="1" outlineLevel="3" x14ac:dyDescent="0.25">
      <c r="A1045" s="63" t="str">
        <f t="shared" si="215"/>
        <v>3.12.1.1.1.0</v>
      </c>
      <c r="B1045" s="64">
        <v>3</v>
      </c>
      <c r="C1045" s="64">
        <v>12</v>
      </c>
      <c r="D1045" s="64">
        <v>1</v>
      </c>
      <c r="E1045" s="64">
        <v>1</v>
      </c>
      <c r="F1045" s="64">
        <v>1</v>
      </c>
      <c r="G1045" s="64">
        <v>0</v>
      </c>
      <c r="H1045" s="65"/>
      <c r="I1045" s="65"/>
      <c r="J1045" s="66"/>
      <c r="K1045" s="65" t="s">
        <v>1161</v>
      </c>
      <c r="L1045" s="64" t="s">
        <v>72</v>
      </c>
      <c r="M1045" s="64" t="s">
        <v>267</v>
      </c>
      <c r="N1045" s="64" t="s">
        <v>265</v>
      </c>
      <c r="O1045" s="64" t="s">
        <v>1160</v>
      </c>
      <c r="P1045" s="170"/>
      <c r="Q1045" s="170"/>
      <c r="R1045" s="64">
        <v>12</v>
      </c>
      <c r="S1045" s="170" t="s">
        <v>267</v>
      </c>
      <c r="T1045" s="1188">
        <v>3</v>
      </c>
      <c r="U1045" s="97">
        <v>0</v>
      </c>
      <c r="V1045" s="97"/>
      <c r="W1045" s="97">
        <v>0</v>
      </c>
      <c r="X1045" s="1134">
        <v>0</v>
      </c>
      <c r="Y1045" s="97">
        <v>0</v>
      </c>
      <c r="Z1045" s="97">
        <v>0</v>
      </c>
      <c r="AA1045" s="1134">
        <v>0</v>
      </c>
      <c r="AB1045" s="97">
        <v>0</v>
      </c>
      <c r="AC1045" s="97">
        <v>0</v>
      </c>
      <c r="AD1045" s="1134">
        <v>0</v>
      </c>
      <c r="AE1045" s="97">
        <v>0</v>
      </c>
      <c r="AF1045" s="97">
        <v>0</v>
      </c>
      <c r="AG1045" s="1134">
        <v>0</v>
      </c>
      <c r="AH1045" s="505">
        <f>+U1045+Y1045+AB1045+AE1045</f>
        <v>0</v>
      </c>
      <c r="AI1045" s="132"/>
      <c r="AJ1045" s="75">
        <f t="shared" ref="AJ1045:AJ1060" si="282">+W1046+Z1046+AC1046+AF1046</f>
        <v>0</v>
      </c>
      <c r="AK1045" s="75"/>
      <c r="AL1045" s="75"/>
      <c r="AM1045" s="75"/>
      <c r="AN1045" s="64" t="s">
        <v>39</v>
      </c>
      <c r="AO1045" s="64"/>
      <c r="AP1045" s="64"/>
      <c r="AQ1045" s="189"/>
      <c r="AR1045" s="64"/>
      <c r="AS1045" s="476"/>
      <c r="AT1045" s="64"/>
      <c r="AU1045" s="646"/>
      <c r="AV1045" s="259"/>
      <c r="AW1045" s="185"/>
    </row>
    <row r="1046" spans="1:49" ht="21.6" hidden="1" customHeight="1" outlineLevel="3" x14ac:dyDescent="0.25">
      <c r="A1046" s="63" t="str">
        <f t="shared" si="215"/>
        <v>3.12.1.1.2.0</v>
      </c>
      <c r="B1046" s="64">
        <v>3</v>
      </c>
      <c r="C1046" s="64">
        <v>12</v>
      </c>
      <c r="D1046" s="64">
        <v>1</v>
      </c>
      <c r="E1046" s="64">
        <v>1</v>
      </c>
      <c r="F1046" s="64">
        <v>2</v>
      </c>
      <c r="G1046" s="64">
        <v>0</v>
      </c>
      <c r="H1046" s="65"/>
      <c r="I1046" s="65"/>
      <c r="J1046" s="66"/>
      <c r="K1046" s="65" t="s">
        <v>1162</v>
      </c>
      <c r="L1046" s="64" t="s">
        <v>72</v>
      </c>
      <c r="M1046" s="64" t="s">
        <v>267</v>
      </c>
      <c r="N1046" s="64" t="s">
        <v>265</v>
      </c>
      <c r="O1046" s="64" t="s">
        <v>1160</v>
      </c>
      <c r="P1046" s="69">
        <v>44951</v>
      </c>
      <c r="Q1046" s="69">
        <v>45285</v>
      </c>
      <c r="R1046" s="64">
        <v>12</v>
      </c>
      <c r="S1046" s="65" t="s">
        <v>267</v>
      </c>
      <c r="T1046" s="1191">
        <v>3</v>
      </c>
      <c r="U1046" s="97">
        <v>4666650</v>
      </c>
      <c r="V1046" s="97"/>
      <c r="W1046" s="97">
        <v>0</v>
      </c>
      <c r="X1046" s="1134">
        <v>0</v>
      </c>
      <c r="Y1046" s="97">
        <v>4666650</v>
      </c>
      <c r="Z1046" s="97">
        <v>0</v>
      </c>
      <c r="AA1046" s="1134">
        <v>0</v>
      </c>
      <c r="AB1046" s="97">
        <v>4666650</v>
      </c>
      <c r="AC1046" s="97">
        <v>0</v>
      </c>
      <c r="AD1046" s="1134">
        <v>0</v>
      </c>
      <c r="AE1046" s="97">
        <v>4666650</v>
      </c>
      <c r="AF1046" s="97">
        <v>0</v>
      </c>
      <c r="AG1046" s="1134">
        <v>0</v>
      </c>
      <c r="AH1046" s="505">
        <f>+U1046+Y1046+AB1046+AE1046</f>
        <v>18666600</v>
      </c>
      <c r="AI1046" s="132"/>
      <c r="AJ1046" s="75">
        <f t="shared" si="282"/>
        <v>0</v>
      </c>
      <c r="AK1046" s="75"/>
      <c r="AL1046" s="75"/>
      <c r="AM1046" s="75"/>
      <c r="AN1046" s="64" t="s">
        <v>39</v>
      </c>
      <c r="AO1046" s="165" t="s">
        <v>144</v>
      </c>
      <c r="AP1046" s="245" t="s">
        <v>649</v>
      </c>
      <c r="AQ1046" s="543" t="s">
        <v>649</v>
      </c>
      <c r="AR1046" s="861">
        <v>44562</v>
      </c>
      <c r="AS1046" s="861">
        <v>44926</v>
      </c>
      <c r="AT1046" s="64" t="s">
        <v>1814</v>
      </c>
      <c r="AU1046" s="983"/>
      <c r="AV1046" s="259"/>
      <c r="AW1046" s="492"/>
    </row>
    <row r="1047" spans="1:49" ht="31.35" hidden="1" customHeight="1" outlineLevel="3" x14ac:dyDescent="0.25">
      <c r="A1047" s="63" t="str">
        <f t="shared" si="215"/>
        <v>3.12.1.1.3.0</v>
      </c>
      <c r="B1047" s="64">
        <v>3</v>
      </c>
      <c r="C1047" s="64">
        <v>12</v>
      </c>
      <c r="D1047" s="64">
        <v>1</v>
      </c>
      <c r="E1047" s="64">
        <v>1</v>
      </c>
      <c r="F1047" s="64">
        <v>3</v>
      </c>
      <c r="G1047" s="64">
        <v>0</v>
      </c>
      <c r="H1047" s="65"/>
      <c r="I1047" s="65"/>
      <c r="J1047" s="66"/>
      <c r="K1047" s="65" t="s">
        <v>1163</v>
      </c>
      <c r="L1047" s="64" t="s">
        <v>72</v>
      </c>
      <c r="M1047" s="64" t="s">
        <v>267</v>
      </c>
      <c r="N1047" s="64" t="s">
        <v>265</v>
      </c>
      <c r="O1047" s="64" t="s">
        <v>1160</v>
      </c>
      <c r="P1047" s="64" t="s">
        <v>2608</v>
      </c>
      <c r="Q1047" s="69">
        <v>45285</v>
      </c>
      <c r="R1047" s="64">
        <v>12</v>
      </c>
      <c r="S1047" s="65" t="s">
        <v>267</v>
      </c>
      <c r="T1047" s="1188">
        <v>3</v>
      </c>
      <c r="U1047" s="97">
        <v>1830000</v>
      </c>
      <c r="V1047" s="97"/>
      <c r="W1047" s="97">
        <v>0</v>
      </c>
      <c r="X1047" s="1134">
        <v>0</v>
      </c>
      <c r="Y1047" s="97">
        <v>1830000</v>
      </c>
      <c r="Z1047" s="97">
        <v>0</v>
      </c>
      <c r="AA1047" s="1134">
        <v>0</v>
      </c>
      <c r="AB1047" s="97">
        <v>1830000</v>
      </c>
      <c r="AC1047" s="97">
        <v>0</v>
      </c>
      <c r="AD1047" s="1134">
        <v>0</v>
      </c>
      <c r="AE1047" s="97">
        <v>1830000</v>
      </c>
      <c r="AF1047" s="97">
        <v>0</v>
      </c>
      <c r="AG1047" s="1134">
        <v>0</v>
      </c>
      <c r="AH1047" s="505">
        <f>+U1047+Y1047+AB1047+AE1047</f>
        <v>7320000</v>
      </c>
      <c r="AI1047" s="132"/>
      <c r="AK1047" s="75"/>
      <c r="AL1047" s="75"/>
      <c r="AM1047" s="75"/>
      <c r="AN1047" s="64" t="s">
        <v>181</v>
      </c>
      <c r="AO1047" s="165" t="s">
        <v>144</v>
      </c>
      <c r="AP1047" s="64" t="s">
        <v>649</v>
      </c>
      <c r="AQ1047" s="533" t="s">
        <v>649</v>
      </c>
      <c r="AR1047" s="69">
        <v>44562</v>
      </c>
      <c r="AS1047" s="554">
        <v>44926</v>
      </c>
      <c r="AT1047" s="64" t="s">
        <v>1814</v>
      </c>
      <c r="AU1047" s="983"/>
      <c r="AV1047" s="259"/>
      <c r="AW1047" s="335" t="s">
        <v>2840</v>
      </c>
    </row>
    <row r="1048" spans="1:49" ht="21.6" hidden="1" customHeight="1" outlineLevel="3" x14ac:dyDescent="0.25">
      <c r="A1048" s="63" t="str">
        <f t="shared" si="215"/>
        <v>3.12.1.1.4.0</v>
      </c>
      <c r="B1048" s="64">
        <v>3</v>
      </c>
      <c r="C1048" s="64">
        <v>12</v>
      </c>
      <c r="D1048" s="64">
        <v>1</v>
      </c>
      <c r="E1048" s="64">
        <v>1</v>
      </c>
      <c r="F1048" s="64">
        <v>4</v>
      </c>
      <c r="G1048" s="64">
        <v>0</v>
      </c>
      <c r="H1048" s="65"/>
      <c r="I1048" s="65"/>
      <c r="J1048" s="66"/>
      <c r="K1048" s="65" t="s">
        <v>1165</v>
      </c>
      <c r="L1048" s="64" t="s">
        <v>72</v>
      </c>
      <c r="M1048" s="64" t="s">
        <v>267</v>
      </c>
      <c r="N1048" s="64" t="s">
        <v>265</v>
      </c>
      <c r="O1048" s="64" t="s">
        <v>1160</v>
      </c>
      <c r="P1048" s="69">
        <v>45261</v>
      </c>
      <c r="Q1048" s="69">
        <v>45272</v>
      </c>
      <c r="R1048" s="64">
        <v>1</v>
      </c>
      <c r="S1048" s="65" t="s">
        <v>267</v>
      </c>
      <c r="T1048" s="194">
        <v>0</v>
      </c>
      <c r="U1048" s="97">
        <v>0</v>
      </c>
      <c r="V1048" s="97"/>
      <c r="W1048" s="97">
        <v>0</v>
      </c>
      <c r="X1048" s="1134">
        <v>0</v>
      </c>
      <c r="Y1048" s="97">
        <v>0</v>
      </c>
      <c r="Z1048" s="97">
        <v>0</v>
      </c>
      <c r="AA1048" s="1134">
        <v>0</v>
      </c>
      <c r="AB1048" s="97">
        <v>0</v>
      </c>
      <c r="AC1048" s="97">
        <v>0</v>
      </c>
      <c r="AD1048" s="1134">
        <v>0</v>
      </c>
      <c r="AE1048" s="97">
        <v>0</v>
      </c>
      <c r="AG1048" s="1134">
        <v>0</v>
      </c>
      <c r="AH1048" s="75">
        <f>+U1048+Y1048+AB1048+AE1048</f>
        <v>0</v>
      </c>
      <c r="AI1048" s="132"/>
      <c r="AJ1048" s="75">
        <f t="shared" si="282"/>
        <v>0</v>
      </c>
      <c r="AK1048" s="75"/>
      <c r="AL1048" s="75"/>
      <c r="AM1048" s="75"/>
      <c r="AN1048" s="64" t="s">
        <v>181</v>
      </c>
      <c r="AO1048" s="64"/>
      <c r="AP1048" s="64"/>
      <c r="AQ1048" s="189"/>
      <c r="AR1048" s="64"/>
      <c r="AS1048" s="476"/>
      <c r="AT1048" s="64"/>
      <c r="AU1048" s="646"/>
      <c r="AV1048" s="259"/>
      <c r="AW1048" s="185"/>
    </row>
    <row r="1049" spans="1:49" ht="21.6" hidden="1" customHeight="1" outlineLevel="3" x14ac:dyDescent="0.25">
      <c r="A1049" s="63" t="str">
        <f t="shared" si="215"/>
        <v>3.12.1.1.5.0</v>
      </c>
      <c r="B1049" s="64">
        <v>3</v>
      </c>
      <c r="C1049" s="64">
        <v>12</v>
      </c>
      <c r="D1049" s="64">
        <v>1</v>
      </c>
      <c r="E1049" s="64">
        <v>1</v>
      </c>
      <c r="F1049" s="64">
        <v>5</v>
      </c>
      <c r="G1049" s="64">
        <v>0</v>
      </c>
      <c r="H1049" s="65"/>
      <c r="I1049" s="65"/>
      <c r="J1049" s="66"/>
      <c r="K1049" s="65" t="s">
        <v>1166</v>
      </c>
      <c r="L1049" s="64" t="s">
        <v>72</v>
      </c>
      <c r="M1049" s="64" t="s">
        <v>267</v>
      </c>
      <c r="N1049" s="64" t="s">
        <v>265</v>
      </c>
      <c r="O1049" s="64" t="s">
        <v>1160</v>
      </c>
      <c r="P1049" s="69">
        <v>45261</v>
      </c>
      <c r="Q1049" s="69">
        <v>45272</v>
      </c>
      <c r="R1049" s="64">
        <v>1</v>
      </c>
      <c r="S1049" s="65" t="s">
        <v>267</v>
      </c>
      <c r="T1049" s="194">
        <v>0</v>
      </c>
      <c r="U1049" s="97">
        <v>0</v>
      </c>
      <c r="V1049" s="97"/>
      <c r="W1049" s="97">
        <v>0</v>
      </c>
      <c r="X1049" s="1134">
        <v>0</v>
      </c>
      <c r="Y1049" s="97">
        <v>0</v>
      </c>
      <c r="Z1049" s="97">
        <v>0</v>
      </c>
      <c r="AA1049" s="1134">
        <v>0</v>
      </c>
      <c r="AB1049" s="97">
        <v>0</v>
      </c>
      <c r="AC1049" s="97">
        <v>0</v>
      </c>
      <c r="AD1049" s="1134">
        <v>0</v>
      </c>
      <c r="AE1049" s="97">
        <v>4200000</v>
      </c>
      <c r="AF1049" s="97">
        <v>0</v>
      </c>
      <c r="AG1049" s="1134">
        <v>0</v>
      </c>
      <c r="AH1049" s="505">
        <f>+U1049+Y1049+AB1049+AE1049</f>
        <v>4200000</v>
      </c>
      <c r="AI1049" s="132"/>
      <c r="AJ1049" s="75">
        <f t="shared" si="282"/>
        <v>0</v>
      </c>
      <c r="AK1049" s="75"/>
      <c r="AL1049" s="75"/>
      <c r="AM1049" s="75"/>
      <c r="AN1049" s="64" t="s">
        <v>181</v>
      </c>
      <c r="AO1049" s="64"/>
      <c r="AP1049" s="64"/>
      <c r="AQ1049" s="189"/>
      <c r="AR1049" s="64"/>
      <c r="AS1049" s="476"/>
      <c r="AT1049" s="64"/>
      <c r="AU1049" s="646"/>
      <c r="AV1049" s="259"/>
      <c r="AW1049" s="185" t="s">
        <v>1167</v>
      </c>
    </row>
    <row r="1050" spans="1:49" ht="21.6" hidden="1" customHeight="1" outlineLevel="3" x14ac:dyDescent="0.25">
      <c r="A1050" s="63" t="str">
        <f t="shared" si="215"/>
        <v>3.12.1.1.6.0</v>
      </c>
      <c r="B1050" s="64">
        <v>3</v>
      </c>
      <c r="C1050" s="64">
        <v>12</v>
      </c>
      <c r="D1050" s="64">
        <v>1</v>
      </c>
      <c r="E1050" s="64">
        <v>1</v>
      </c>
      <c r="F1050" s="64">
        <v>6</v>
      </c>
      <c r="G1050" s="64">
        <v>0</v>
      </c>
      <c r="H1050" s="65"/>
      <c r="I1050" s="65"/>
      <c r="J1050" s="66"/>
      <c r="K1050" s="65" t="s">
        <v>1168</v>
      </c>
      <c r="L1050" s="64" t="s">
        <v>72</v>
      </c>
      <c r="M1050" s="64" t="s">
        <v>267</v>
      </c>
      <c r="N1050" s="64" t="s">
        <v>265</v>
      </c>
      <c r="O1050" s="64" t="s">
        <v>1160</v>
      </c>
      <c r="P1050" s="64"/>
      <c r="Q1050" s="64"/>
      <c r="R1050" s="64"/>
      <c r="S1050" s="65"/>
      <c r="T1050" s="194"/>
      <c r="U1050" s="97">
        <v>0</v>
      </c>
      <c r="V1050" s="97"/>
      <c r="W1050" s="97">
        <v>0</v>
      </c>
      <c r="X1050" s="1134">
        <v>0</v>
      </c>
      <c r="Y1050" s="97">
        <v>0</v>
      </c>
      <c r="Z1050" s="97">
        <v>0</v>
      </c>
      <c r="AA1050" s="1134">
        <v>0</v>
      </c>
      <c r="AB1050" s="97">
        <v>0</v>
      </c>
      <c r="AC1050" s="97">
        <v>0</v>
      </c>
      <c r="AD1050" s="1134">
        <v>0</v>
      </c>
      <c r="AE1050" s="97">
        <v>0</v>
      </c>
      <c r="AF1050" s="97">
        <v>0</v>
      </c>
      <c r="AG1050" s="1134">
        <v>0</v>
      </c>
      <c r="AH1050" s="505">
        <f t="shared" ref="AH1046:AH1060" si="283">+U1050+Y1050+AB1050+AE1050</f>
        <v>0</v>
      </c>
      <c r="AI1050" s="132"/>
      <c r="AJ1050" s="75">
        <f t="shared" si="282"/>
        <v>0</v>
      </c>
      <c r="AK1050" s="75"/>
      <c r="AL1050" s="75"/>
      <c r="AM1050" s="75"/>
      <c r="AN1050" s="64" t="s">
        <v>181</v>
      </c>
      <c r="AO1050" s="64"/>
      <c r="AP1050" s="64"/>
      <c r="AQ1050" s="189"/>
      <c r="AR1050" s="64"/>
      <c r="AS1050" s="476"/>
      <c r="AT1050" s="64"/>
      <c r="AU1050" s="646"/>
      <c r="AV1050" s="259"/>
      <c r="AW1050" s="185" t="s">
        <v>780</v>
      </c>
    </row>
    <row r="1051" spans="1:49" ht="21.6" hidden="1" customHeight="1" outlineLevel="3" x14ac:dyDescent="0.25">
      <c r="A1051" s="63" t="str">
        <f t="shared" si="215"/>
        <v>3.12.1.1.7.0</v>
      </c>
      <c r="B1051" s="64">
        <v>3</v>
      </c>
      <c r="C1051" s="64">
        <v>12</v>
      </c>
      <c r="D1051" s="64">
        <v>1</v>
      </c>
      <c r="E1051" s="64">
        <v>1</v>
      </c>
      <c r="F1051" s="64">
        <v>7</v>
      </c>
      <c r="G1051" s="64">
        <v>0</v>
      </c>
      <c r="H1051" s="65"/>
      <c r="I1051" s="65"/>
      <c r="J1051" s="66"/>
      <c r="K1051" s="65" t="s">
        <v>1169</v>
      </c>
      <c r="L1051" s="64" t="s">
        <v>72</v>
      </c>
      <c r="M1051" s="64" t="s">
        <v>267</v>
      </c>
      <c r="N1051" s="64" t="s">
        <v>265</v>
      </c>
      <c r="O1051" s="64" t="s">
        <v>1160</v>
      </c>
      <c r="P1051" s="64"/>
      <c r="Q1051" s="64"/>
      <c r="R1051" s="64"/>
      <c r="S1051" s="65"/>
      <c r="T1051" s="194"/>
      <c r="U1051" s="75">
        <v>0</v>
      </c>
      <c r="V1051" s="75"/>
      <c r="W1051" s="75">
        <v>0</v>
      </c>
      <c r="X1051" s="1122">
        <v>0</v>
      </c>
      <c r="Y1051" s="75">
        <v>0</v>
      </c>
      <c r="Z1051" s="75">
        <v>0</v>
      </c>
      <c r="AA1051" s="1122">
        <v>0</v>
      </c>
      <c r="AB1051" s="75">
        <v>0</v>
      </c>
      <c r="AC1051" s="75">
        <v>0</v>
      </c>
      <c r="AD1051" s="1122">
        <v>0</v>
      </c>
      <c r="AE1051" s="75">
        <v>0</v>
      </c>
      <c r="AF1051" s="75">
        <v>0</v>
      </c>
      <c r="AG1051" s="1122">
        <v>0</v>
      </c>
      <c r="AH1051" s="505">
        <f t="shared" si="283"/>
        <v>0</v>
      </c>
      <c r="AI1051" s="132"/>
      <c r="AJ1051" s="75">
        <f t="shared" si="282"/>
        <v>0</v>
      </c>
      <c r="AK1051" s="75"/>
      <c r="AL1051" s="75"/>
      <c r="AM1051" s="75"/>
      <c r="AN1051" s="64" t="s">
        <v>181</v>
      </c>
      <c r="AO1051" s="100"/>
      <c r="AP1051" s="100"/>
      <c r="AQ1051" s="993"/>
      <c r="AR1051" s="100"/>
      <c r="AS1051" s="994"/>
      <c r="AT1051" s="100"/>
      <c r="AU1051" s="983"/>
      <c r="AV1051" s="259"/>
      <c r="AW1051" s="185"/>
    </row>
    <row r="1052" spans="1:49" ht="21.6" hidden="1" customHeight="1" outlineLevel="3" x14ac:dyDescent="0.25">
      <c r="A1052" s="63" t="str">
        <f t="shared" si="215"/>
        <v>3.12.1.1.8.0</v>
      </c>
      <c r="B1052" s="64">
        <v>3</v>
      </c>
      <c r="C1052" s="64">
        <v>12</v>
      </c>
      <c r="D1052" s="64">
        <v>1</v>
      </c>
      <c r="E1052" s="64">
        <v>1</v>
      </c>
      <c r="F1052" s="64">
        <v>8</v>
      </c>
      <c r="G1052" s="64">
        <v>0</v>
      </c>
      <c r="H1052" s="65"/>
      <c r="I1052" s="65"/>
      <c r="J1052" s="65"/>
      <c r="K1052" s="65" t="s">
        <v>1170</v>
      </c>
      <c r="L1052" s="64" t="s">
        <v>72</v>
      </c>
      <c r="M1052" s="64" t="s">
        <v>267</v>
      </c>
      <c r="N1052" s="64" t="s">
        <v>265</v>
      </c>
      <c r="O1052" s="64" t="s">
        <v>1160</v>
      </c>
      <c r="P1052" s="64" t="s">
        <v>370</v>
      </c>
      <c r="Q1052" s="64"/>
      <c r="R1052" s="64"/>
      <c r="S1052" s="65"/>
      <c r="T1052" s="194"/>
      <c r="U1052" s="97">
        <v>0</v>
      </c>
      <c r="V1052" s="97"/>
      <c r="W1052" s="97">
        <v>0</v>
      </c>
      <c r="X1052" s="1134">
        <v>0</v>
      </c>
      <c r="Y1052" s="97">
        <v>0</v>
      </c>
      <c r="Z1052" s="97">
        <v>0</v>
      </c>
      <c r="AA1052" s="1134">
        <v>0</v>
      </c>
      <c r="AB1052" s="97">
        <v>0</v>
      </c>
      <c r="AC1052" s="97">
        <v>0</v>
      </c>
      <c r="AD1052" s="1134">
        <v>0</v>
      </c>
      <c r="AE1052" s="97">
        <v>0</v>
      </c>
      <c r="AF1052" s="97">
        <v>0</v>
      </c>
      <c r="AG1052" s="1134">
        <v>0</v>
      </c>
      <c r="AH1052" s="505">
        <f t="shared" si="283"/>
        <v>0</v>
      </c>
      <c r="AI1052" s="132"/>
      <c r="AJ1052" s="75">
        <f t="shared" si="282"/>
        <v>0</v>
      </c>
      <c r="AK1052" s="75"/>
      <c r="AL1052" s="75"/>
      <c r="AM1052" s="75"/>
      <c r="AN1052" s="64" t="s">
        <v>181</v>
      </c>
      <c r="AO1052" s="100"/>
      <c r="AP1052" s="100"/>
      <c r="AQ1052" s="993"/>
      <c r="AR1052" s="100"/>
      <c r="AS1052" s="994"/>
      <c r="AT1052" s="100"/>
      <c r="AU1052" s="983"/>
      <c r="AV1052" s="259"/>
      <c r="AW1052" s="185"/>
    </row>
    <row r="1053" spans="1:49" ht="21.6" hidden="1" customHeight="1" outlineLevel="3" x14ac:dyDescent="0.25">
      <c r="A1053" s="63" t="str">
        <f t="shared" si="215"/>
        <v>3.12.1.1.9.0</v>
      </c>
      <c r="B1053" s="64">
        <v>3</v>
      </c>
      <c r="C1053" s="64">
        <v>12</v>
      </c>
      <c r="D1053" s="64">
        <v>1</v>
      </c>
      <c r="E1053" s="64">
        <v>1</v>
      </c>
      <c r="F1053" s="64">
        <v>9</v>
      </c>
      <c r="G1053" s="64">
        <v>0</v>
      </c>
      <c r="H1053" s="65"/>
      <c r="I1053" s="65"/>
      <c r="J1053" s="66"/>
      <c r="K1053" s="65" t="s">
        <v>1171</v>
      </c>
      <c r="L1053" s="64" t="s">
        <v>72</v>
      </c>
      <c r="M1053" s="64" t="s">
        <v>267</v>
      </c>
      <c r="N1053" s="64" t="s">
        <v>265</v>
      </c>
      <c r="O1053" s="64" t="s">
        <v>1160</v>
      </c>
      <c r="P1053" s="64"/>
      <c r="Q1053" s="64"/>
      <c r="R1053" s="64"/>
      <c r="S1053" s="65"/>
      <c r="T1053" s="194"/>
      <c r="U1053" s="97">
        <v>0</v>
      </c>
      <c r="V1053" s="97"/>
      <c r="W1053" s="97">
        <v>0</v>
      </c>
      <c r="X1053" s="1134">
        <v>0</v>
      </c>
      <c r="Y1053" s="97">
        <v>0</v>
      </c>
      <c r="Z1053" s="97">
        <v>0</v>
      </c>
      <c r="AA1053" s="1134">
        <v>0</v>
      </c>
      <c r="AB1053" s="97">
        <v>0</v>
      </c>
      <c r="AC1053" s="97">
        <v>0</v>
      </c>
      <c r="AD1053" s="1134">
        <v>0</v>
      </c>
      <c r="AE1053" s="97">
        <v>0</v>
      </c>
      <c r="AF1053" s="97">
        <v>0</v>
      </c>
      <c r="AG1053" s="1134">
        <v>0</v>
      </c>
      <c r="AH1053" s="505">
        <f t="shared" si="283"/>
        <v>0</v>
      </c>
      <c r="AI1053" s="132"/>
      <c r="AJ1053" s="75">
        <f t="shared" si="282"/>
        <v>0</v>
      </c>
      <c r="AK1053" s="75"/>
      <c r="AL1053" s="75"/>
      <c r="AM1053" s="75"/>
      <c r="AN1053" s="64" t="s">
        <v>181</v>
      </c>
      <c r="AO1053" s="100"/>
      <c r="AP1053" s="100"/>
      <c r="AQ1053" s="993"/>
      <c r="AR1053" s="100"/>
      <c r="AS1053" s="994"/>
      <c r="AT1053" s="100"/>
      <c r="AU1053" s="983"/>
      <c r="AV1053" s="259"/>
      <c r="AW1053" s="185"/>
    </row>
    <row r="1054" spans="1:49" ht="21.6" hidden="1" customHeight="1" outlineLevel="3" x14ac:dyDescent="0.25">
      <c r="A1054" s="63" t="str">
        <f t="shared" si="215"/>
        <v>3.12.1.1.10.0</v>
      </c>
      <c r="B1054" s="64">
        <v>3</v>
      </c>
      <c r="C1054" s="64">
        <v>12</v>
      </c>
      <c r="D1054" s="64">
        <v>1</v>
      </c>
      <c r="E1054" s="64">
        <v>1</v>
      </c>
      <c r="F1054" s="64">
        <v>10</v>
      </c>
      <c r="G1054" s="64">
        <v>0</v>
      </c>
      <c r="H1054" s="65"/>
      <c r="I1054" s="65"/>
      <c r="J1054" s="66"/>
      <c r="K1054" s="65" t="s">
        <v>1172</v>
      </c>
      <c r="L1054" s="64" t="s">
        <v>72</v>
      </c>
      <c r="M1054" s="64" t="s">
        <v>267</v>
      </c>
      <c r="N1054" s="64" t="s">
        <v>265</v>
      </c>
      <c r="O1054" s="64" t="s">
        <v>1160</v>
      </c>
      <c r="P1054" s="64"/>
      <c r="Q1054" s="64"/>
      <c r="R1054" s="64"/>
      <c r="S1054" s="65"/>
      <c r="T1054" s="194"/>
      <c r="U1054" s="97">
        <v>0</v>
      </c>
      <c r="V1054" s="97"/>
      <c r="W1054" s="97">
        <v>0</v>
      </c>
      <c r="X1054" s="1134">
        <v>0</v>
      </c>
      <c r="Y1054" s="97">
        <v>0</v>
      </c>
      <c r="Z1054" s="97">
        <v>0</v>
      </c>
      <c r="AA1054" s="1134">
        <v>0</v>
      </c>
      <c r="AB1054" s="97">
        <v>0</v>
      </c>
      <c r="AC1054" s="97">
        <v>0</v>
      </c>
      <c r="AD1054" s="1134">
        <v>0</v>
      </c>
      <c r="AE1054" s="97">
        <v>0</v>
      </c>
      <c r="AF1054" s="97">
        <v>0</v>
      </c>
      <c r="AG1054" s="1134">
        <v>0</v>
      </c>
      <c r="AH1054" s="505">
        <f t="shared" si="283"/>
        <v>0</v>
      </c>
      <c r="AI1054" s="132"/>
      <c r="AJ1054" s="75">
        <f t="shared" si="282"/>
        <v>0</v>
      </c>
      <c r="AK1054" s="75"/>
      <c r="AL1054" s="75"/>
      <c r="AM1054" s="75"/>
      <c r="AN1054" s="64" t="s">
        <v>181</v>
      </c>
      <c r="AO1054" s="100"/>
      <c r="AP1054" s="100"/>
      <c r="AQ1054" s="993"/>
      <c r="AR1054" s="100"/>
      <c r="AS1054" s="994"/>
      <c r="AT1054" s="100"/>
      <c r="AU1054" s="983"/>
      <c r="AV1054" s="259"/>
      <c r="AW1054" s="185"/>
    </row>
    <row r="1055" spans="1:49" ht="21.6" hidden="1" customHeight="1" outlineLevel="3" x14ac:dyDescent="0.25">
      <c r="A1055" s="63" t="str">
        <f t="shared" si="215"/>
        <v>3.12.1.1.11.0</v>
      </c>
      <c r="B1055" s="64">
        <v>3</v>
      </c>
      <c r="C1055" s="64">
        <v>12</v>
      </c>
      <c r="D1055" s="64">
        <v>1</v>
      </c>
      <c r="E1055" s="64">
        <v>1</v>
      </c>
      <c r="F1055" s="64">
        <v>11</v>
      </c>
      <c r="G1055" s="64">
        <v>0</v>
      </c>
      <c r="H1055" s="65"/>
      <c r="I1055" s="65"/>
      <c r="J1055" s="66"/>
      <c r="K1055" s="65" t="s">
        <v>1173</v>
      </c>
      <c r="L1055" s="64" t="s">
        <v>72</v>
      </c>
      <c r="M1055" s="64" t="s">
        <v>267</v>
      </c>
      <c r="N1055" s="64" t="s">
        <v>265</v>
      </c>
      <c r="O1055" s="64" t="s">
        <v>1160</v>
      </c>
      <c r="P1055" s="69">
        <v>45261</v>
      </c>
      <c r="Q1055" s="69">
        <v>45291</v>
      </c>
      <c r="R1055" s="64">
        <v>1</v>
      </c>
      <c r="S1055" s="65" t="s">
        <v>267</v>
      </c>
      <c r="T1055" s="194"/>
      <c r="U1055" s="97">
        <v>0</v>
      </c>
      <c r="V1055" s="97"/>
      <c r="W1055" s="97">
        <v>0</v>
      </c>
      <c r="X1055" s="1134">
        <v>0</v>
      </c>
      <c r="Y1055" s="97">
        <v>0</v>
      </c>
      <c r="Z1055" s="97">
        <v>0</v>
      </c>
      <c r="AA1055" s="1134">
        <v>0</v>
      </c>
      <c r="AB1055" s="97">
        <v>0</v>
      </c>
      <c r="AC1055" s="97">
        <v>0</v>
      </c>
      <c r="AD1055" s="1134">
        <v>0</v>
      </c>
      <c r="AE1055" s="97">
        <v>0</v>
      </c>
      <c r="AF1055" s="97">
        <v>0</v>
      </c>
      <c r="AG1055" s="1134">
        <v>0</v>
      </c>
      <c r="AH1055" s="505">
        <f t="shared" si="283"/>
        <v>0</v>
      </c>
      <c r="AI1055" s="132"/>
      <c r="AJ1055" s="75">
        <f t="shared" si="282"/>
        <v>0</v>
      </c>
      <c r="AK1055" s="75"/>
      <c r="AL1055" s="75"/>
      <c r="AM1055" s="75"/>
      <c r="AN1055" s="64" t="s">
        <v>181</v>
      </c>
      <c r="AO1055" s="64"/>
      <c r="AP1055" s="64"/>
      <c r="AQ1055" s="189"/>
      <c r="AR1055" s="64"/>
      <c r="AS1055" s="476"/>
      <c r="AT1055" s="64"/>
      <c r="AU1055" s="877">
        <v>201</v>
      </c>
      <c r="AV1055" s="259"/>
      <c r="AW1055" s="185" t="s">
        <v>2609</v>
      </c>
    </row>
    <row r="1056" spans="1:49" ht="21.6" hidden="1" customHeight="1" outlineLevel="3" x14ac:dyDescent="0.25">
      <c r="A1056" s="63" t="str">
        <f t="shared" si="215"/>
        <v>3.12.1.1.12.0</v>
      </c>
      <c r="B1056" s="64">
        <v>3</v>
      </c>
      <c r="C1056" s="64">
        <v>12</v>
      </c>
      <c r="D1056" s="64">
        <v>1</v>
      </c>
      <c r="E1056" s="64">
        <v>1</v>
      </c>
      <c r="F1056" s="64">
        <v>12</v>
      </c>
      <c r="G1056" s="64">
        <v>0</v>
      </c>
      <c r="H1056" s="65"/>
      <c r="I1056" s="65"/>
      <c r="J1056" s="66"/>
      <c r="K1056" s="65" t="s">
        <v>1174</v>
      </c>
      <c r="L1056" s="64" t="s">
        <v>72</v>
      </c>
      <c r="M1056" s="64" t="s">
        <v>267</v>
      </c>
      <c r="N1056" s="64" t="s">
        <v>265</v>
      </c>
      <c r="O1056" s="64" t="s">
        <v>1160</v>
      </c>
      <c r="P1056" s="69">
        <v>44951</v>
      </c>
      <c r="Q1056" s="69">
        <v>45285</v>
      </c>
      <c r="R1056" s="64">
        <v>12</v>
      </c>
      <c r="S1056" s="65" t="s">
        <v>267</v>
      </c>
      <c r="T1056" s="194"/>
      <c r="U1056" s="97">
        <v>0</v>
      </c>
      <c r="V1056" s="97"/>
      <c r="W1056" s="97">
        <v>0</v>
      </c>
      <c r="X1056" s="1134">
        <v>0</v>
      </c>
      <c r="Y1056" s="97">
        <v>0</v>
      </c>
      <c r="Z1056" s="97">
        <v>0</v>
      </c>
      <c r="AA1056" s="1134">
        <v>0</v>
      </c>
      <c r="AB1056" s="97">
        <v>0</v>
      </c>
      <c r="AC1056" s="97">
        <v>0</v>
      </c>
      <c r="AD1056" s="1134">
        <v>0</v>
      </c>
      <c r="AE1056" s="97">
        <v>0</v>
      </c>
      <c r="AF1056" s="97">
        <v>0</v>
      </c>
      <c r="AG1056" s="1134">
        <v>0</v>
      </c>
      <c r="AH1056" s="505">
        <f t="shared" si="283"/>
        <v>0</v>
      </c>
      <c r="AI1056" s="132"/>
      <c r="AJ1056" s="75">
        <f t="shared" si="282"/>
        <v>0</v>
      </c>
      <c r="AK1056" s="75"/>
      <c r="AL1056" s="75"/>
      <c r="AM1056" s="75"/>
      <c r="AN1056" s="64" t="s">
        <v>39</v>
      </c>
      <c r="AO1056" s="165"/>
      <c r="AP1056" s="165"/>
      <c r="AQ1056" s="413"/>
      <c r="AR1056" s="165"/>
      <c r="AS1056" s="475"/>
      <c r="AT1056" s="165"/>
      <c r="AU1056" s="668"/>
      <c r="AV1056" s="259"/>
      <c r="AW1056" s="639"/>
    </row>
    <row r="1057" spans="1:49" ht="40.35" hidden="1" customHeight="1" outlineLevel="3" x14ac:dyDescent="0.25">
      <c r="A1057" s="63" t="str">
        <f t="shared" si="215"/>
        <v>3.12.1.1.13.0</v>
      </c>
      <c r="B1057" s="64">
        <v>3</v>
      </c>
      <c r="C1057" s="64">
        <v>12</v>
      </c>
      <c r="D1057" s="64">
        <v>1</v>
      </c>
      <c r="E1057" s="64">
        <v>1</v>
      </c>
      <c r="F1057" s="64">
        <v>13</v>
      </c>
      <c r="G1057" s="64">
        <v>0</v>
      </c>
      <c r="H1057" s="65"/>
      <c r="I1057" s="65"/>
      <c r="J1057" s="66"/>
      <c r="K1057" s="65" t="s">
        <v>1175</v>
      </c>
      <c r="L1057" s="64" t="s">
        <v>72</v>
      </c>
      <c r="M1057" s="64" t="s">
        <v>267</v>
      </c>
      <c r="N1057" s="64" t="s">
        <v>265</v>
      </c>
      <c r="O1057" s="64" t="s">
        <v>1160</v>
      </c>
      <c r="P1057" s="69">
        <v>44951</v>
      </c>
      <c r="Q1057" s="69">
        <v>45285</v>
      </c>
      <c r="R1057" s="64">
        <v>12</v>
      </c>
      <c r="S1057" s="65" t="s">
        <v>267</v>
      </c>
      <c r="T1057" s="194">
        <v>3</v>
      </c>
      <c r="U1057" s="75">
        <f>27000+18000+91000+45000+34900+56000+117000+120000+13975</f>
        <v>522875</v>
      </c>
      <c r="V1057" s="75"/>
      <c r="W1057" s="75">
        <v>0</v>
      </c>
      <c r="X1057" s="1122">
        <v>0</v>
      </c>
      <c r="Y1057" s="75">
        <f>27000+18000+91000+45000+34900+48000+56000+117000+120000+13975</f>
        <v>570875</v>
      </c>
      <c r="Z1057" s="75">
        <v>0</v>
      </c>
      <c r="AA1057" s="1122">
        <v>0</v>
      </c>
      <c r="AB1057" s="75">
        <f>27000+18000+91000+45000+34900+56000+117000+120000+13975</f>
        <v>522875</v>
      </c>
      <c r="AC1057" s="75">
        <v>0</v>
      </c>
      <c r="AD1057" s="1122">
        <v>0</v>
      </c>
      <c r="AE1057" s="75">
        <f>27000+18000+91000+45000+34900+56000+117000+120000+13975</f>
        <v>522875</v>
      </c>
      <c r="AF1057" s="75">
        <v>0</v>
      </c>
      <c r="AG1057" s="1122">
        <v>0</v>
      </c>
      <c r="AH1057" s="505">
        <f>+U1057+Y1057+AB1057+AE1057</f>
        <v>2139500</v>
      </c>
      <c r="AI1057" s="132"/>
      <c r="AJ1057" s="75">
        <f t="shared" si="282"/>
        <v>0</v>
      </c>
      <c r="AK1057" s="75"/>
      <c r="AL1057" s="75"/>
      <c r="AM1057" s="75"/>
      <c r="AN1057" s="189" t="s">
        <v>39</v>
      </c>
      <c r="AO1057" s="1050"/>
      <c r="AP1057" s="1050"/>
      <c r="AQ1057" s="1050"/>
      <c r="AR1057" s="1051"/>
      <c r="AS1057" s="1051"/>
      <c r="AT1057" s="1050"/>
      <c r="AU1057" s="1043"/>
      <c r="AV1057" s="65"/>
      <c r="AW1057" s="432" t="s">
        <v>2817</v>
      </c>
    </row>
    <row r="1058" spans="1:49" ht="30.75" hidden="1" customHeight="1" outlineLevel="3" x14ac:dyDescent="0.25">
      <c r="A1058" s="63" t="str">
        <f t="shared" si="215"/>
        <v>3.12.1.1.14.0</v>
      </c>
      <c r="B1058" s="64">
        <v>3</v>
      </c>
      <c r="C1058" s="64">
        <v>12</v>
      </c>
      <c r="D1058" s="64">
        <v>1</v>
      </c>
      <c r="E1058" s="64">
        <v>1</v>
      </c>
      <c r="F1058" s="64">
        <v>14</v>
      </c>
      <c r="G1058" s="64">
        <v>0</v>
      </c>
      <c r="H1058" s="65"/>
      <c r="I1058" s="65"/>
      <c r="J1058" s="66"/>
      <c r="K1058" s="65" t="s">
        <v>1176</v>
      </c>
      <c r="L1058" s="64" t="s">
        <v>72</v>
      </c>
      <c r="M1058" s="64" t="s">
        <v>267</v>
      </c>
      <c r="N1058" s="64" t="s">
        <v>265</v>
      </c>
      <c r="O1058" s="64" t="s">
        <v>1160</v>
      </c>
      <c r="P1058" s="69">
        <v>44951</v>
      </c>
      <c r="Q1058" s="69">
        <v>45285</v>
      </c>
      <c r="R1058" s="64">
        <v>12</v>
      </c>
      <c r="S1058" s="65" t="s">
        <v>267</v>
      </c>
      <c r="T1058" s="194">
        <v>3</v>
      </c>
      <c r="U1058" s="75">
        <v>339000</v>
      </c>
      <c r="V1058" s="75"/>
      <c r="W1058" s="75">
        <v>0</v>
      </c>
      <c r="X1058" s="1122">
        <v>0</v>
      </c>
      <c r="Y1058" s="75">
        <v>339000</v>
      </c>
      <c r="Z1058" s="75">
        <v>0</v>
      </c>
      <c r="AA1058" s="1122">
        <v>0</v>
      </c>
      <c r="AB1058" s="75">
        <v>339000</v>
      </c>
      <c r="AC1058" s="75">
        <v>0</v>
      </c>
      <c r="AD1058" s="1122">
        <v>0</v>
      </c>
      <c r="AE1058" s="75">
        <v>339000</v>
      </c>
      <c r="AF1058" s="75">
        <v>0</v>
      </c>
      <c r="AG1058" s="1122">
        <v>0</v>
      </c>
      <c r="AH1058" s="505">
        <f>+U1058+Y1058+AB1058+AE1058</f>
        <v>1356000</v>
      </c>
      <c r="AI1058" s="132"/>
      <c r="AJ1058" s="75">
        <f t="shared" si="282"/>
        <v>0</v>
      </c>
      <c r="AK1058" s="75"/>
      <c r="AL1058" s="75"/>
      <c r="AM1058" s="75"/>
      <c r="AN1058" s="189" t="s">
        <v>181</v>
      </c>
      <c r="AO1058" s="1050"/>
      <c r="AP1058" s="1050"/>
      <c r="AQ1058" s="1050"/>
      <c r="AR1058" s="1085"/>
      <c r="AS1058" s="1085"/>
      <c r="AT1058" s="1086"/>
      <c r="AU1058" s="1087"/>
      <c r="AV1058" s="101"/>
      <c r="AW1058" s="103" t="s">
        <v>2839</v>
      </c>
    </row>
    <row r="1059" spans="1:49" ht="23.1" hidden="1" customHeight="1" outlineLevel="3" x14ac:dyDescent="0.25">
      <c r="A1059" s="63" t="str">
        <f t="shared" si="215"/>
        <v>3.12.1.1.15.0</v>
      </c>
      <c r="B1059" s="64">
        <v>3</v>
      </c>
      <c r="C1059" s="64">
        <v>12</v>
      </c>
      <c r="D1059" s="64">
        <v>1</v>
      </c>
      <c r="E1059" s="64">
        <v>1</v>
      </c>
      <c r="F1059" s="64">
        <v>15</v>
      </c>
      <c r="G1059" s="64">
        <v>0</v>
      </c>
      <c r="H1059" s="65"/>
      <c r="I1059" s="65"/>
      <c r="J1059" s="66"/>
      <c r="K1059" s="65" t="s">
        <v>1177</v>
      </c>
      <c r="L1059" s="64" t="s">
        <v>72</v>
      </c>
      <c r="M1059" s="64" t="s">
        <v>267</v>
      </c>
      <c r="N1059" s="64" t="s">
        <v>265</v>
      </c>
      <c r="O1059" s="64" t="s">
        <v>1160</v>
      </c>
      <c r="P1059" s="69">
        <v>45261</v>
      </c>
      <c r="Q1059" s="69">
        <v>45272</v>
      </c>
      <c r="R1059" s="64">
        <v>1</v>
      </c>
      <c r="S1059" s="65" t="s">
        <v>267</v>
      </c>
      <c r="T1059" s="194"/>
      <c r="U1059" s="97">
        <v>0</v>
      </c>
      <c r="V1059" s="97"/>
      <c r="W1059" s="97">
        <v>0</v>
      </c>
      <c r="X1059" s="1134">
        <v>0</v>
      </c>
      <c r="Y1059" s="97">
        <v>0</v>
      </c>
      <c r="Z1059" s="97">
        <v>0</v>
      </c>
      <c r="AA1059" s="1134">
        <v>0</v>
      </c>
      <c r="AB1059" s="97">
        <v>0</v>
      </c>
      <c r="AC1059" s="97">
        <v>0</v>
      </c>
      <c r="AD1059" s="1134">
        <v>0</v>
      </c>
      <c r="AE1059" s="97">
        <v>0</v>
      </c>
      <c r="AF1059" s="97">
        <v>0</v>
      </c>
      <c r="AG1059" s="1134">
        <v>0</v>
      </c>
      <c r="AH1059" s="505">
        <f t="shared" si="283"/>
        <v>0</v>
      </c>
      <c r="AI1059" s="132"/>
      <c r="AJ1059" s="75">
        <f t="shared" si="282"/>
        <v>0</v>
      </c>
      <c r="AK1059" s="75"/>
      <c r="AL1059" s="75"/>
      <c r="AM1059" s="75"/>
      <c r="AN1059" s="189" t="s">
        <v>181</v>
      </c>
      <c r="AO1059" s="1050"/>
      <c r="AP1059" s="1050"/>
      <c r="AQ1059" s="1050"/>
      <c r="AR1059" s="1050"/>
      <c r="AS1059" s="1050"/>
      <c r="AT1059" s="1050"/>
      <c r="AU1059" s="1069"/>
      <c r="AV1059" s="101"/>
      <c r="AW1059" s="101"/>
    </row>
    <row r="1060" spans="1:49" ht="23.1" hidden="1" customHeight="1" outlineLevel="3" x14ac:dyDescent="0.25">
      <c r="A1060" s="63" t="str">
        <f t="shared" si="215"/>
        <v>3.12.1.1.16.0</v>
      </c>
      <c r="B1060" s="64">
        <v>3</v>
      </c>
      <c r="C1060" s="64">
        <v>12</v>
      </c>
      <c r="D1060" s="64">
        <v>1</v>
      </c>
      <c r="E1060" s="64">
        <v>1</v>
      </c>
      <c r="F1060" s="64">
        <v>16</v>
      </c>
      <c r="G1060" s="64">
        <v>0</v>
      </c>
      <c r="H1060" s="65"/>
      <c r="I1060" s="65"/>
      <c r="J1060" s="66"/>
      <c r="K1060" s="65" t="s">
        <v>1870</v>
      </c>
      <c r="L1060" s="64" t="s">
        <v>72</v>
      </c>
      <c r="M1060" s="64" t="s">
        <v>267</v>
      </c>
      <c r="N1060" s="64" t="s">
        <v>265</v>
      </c>
      <c r="O1060" s="64" t="s">
        <v>1160</v>
      </c>
      <c r="P1060" s="69">
        <v>44951</v>
      </c>
      <c r="Q1060" s="69">
        <v>45272</v>
      </c>
      <c r="R1060" s="64">
        <v>12</v>
      </c>
      <c r="S1060" s="65" t="s">
        <v>267</v>
      </c>
      <c r="T1060" s="194">
        <v>3</v>
      </c>
      <c r="U1060" s="97">
        <v>5328525.2300000004</v>
      </c>
      <c r="V1060" s="97"/>
      <c r="W1060" s="97">
        <v>0</v>
      </c>
      <c r="X1060" s="1134">
        <v>0</v>
      </c>
      <c r="Y1060" s="97">
        <v>5328525.2300000004</v>
      </c>
      <c r="Z1060" s="97">
        <v>0</v>
      </c>
      <c r="AA1060" s="1134">
        <v>0</v>
      </c>
      <c r="AB1060" s="97">
        <v>5328525.2300000004</v>
      </c>
      <c r="AC1060" s="97">
        <v>0</v>
      </c>
      <c r="AD1060" s="1134">
        <v>0</v>
      </c>
      <c r="AE1060" s="97">
        <v>5328525.2300000004</v>
      </c>
      <c r="AF1060" s="97">
        <v>0</v>
      </c>
      <c r="AG1060" s="1134">
        <v>0</v>
      </c>
      <c r="AH1060" s="505">
        <f>+U1060+Y1060+AB1060+AE1060</f>
        <v>21314100.920000002</v>
      </c>
      <c r="AI1060" s="132"/>
      <c r="AJ1060" s="75">
        <f t="shared" si="282"/>
        <v>0</v>
      </c>
      <c r="AK1060" s="75"/>
      <c r="AL1060" s="75"/>
      <c r="AM1060" s="75"/>
      <c r="AN1060" s="189" t="s">
        <v>181</v>
      </c>
      <c r="AO1060" s="1050"/>
      <c r="AP1060" s="1050"/>
      <c r="AQ1060" s="1050"/>
      <c r="AR1060" s="1050"/>
      <c r="AS1060" s="1050"/>
      <c r="AT1060" s="1050"/>
      <c r="AU1060" s="1069"/>
      <c r="AV1060" s="101"/>
      <c r="AW1060" s="101"/>
    </row>
    <row r="1061" spans="1:49" s="153" customFormat="1" ht="48" customHeight="1" outlineLevel="1" collapsed="1" x14ac:dyDescent="0.25">
      <c r="A1061" s="148" t="str">
        <f t="shared" si="215"/>
        <v>3.12.1.2.0.0</v>
      </c>
      <c r="B1061" s="82">
        <v>3</v>
      </c>
      <c r="C1061" s="82">
        <v>12</v>
      </c>
      <c r="D1061" s="82">
        <v>1</v>
      </c>
      <c r="E1061" s="82">
        <v>2</v>
      </c>
      <c r="F1061" s="82">
        <v>0</v>
      </c>
      <c r="G1061" s="82">
        <v>0</v>
      </c>
      <c r="H1061" s="149"/>
      <c r="I1061" s="149"/>
      <c r="J1061" s="1260" t="s">
        <v>1178</v>
      </c>
      <c r="K1061" s="1259"/>
      <c r="L1061" s="82" t="s">
        <v>1179</v>
      </c>
      <c r="M1061" s="82" t="s">
        <v>1180</v>
      </c>
      <c r="N1061" s="83" t="s">
        <v>1181</v>
      </c>
      <c r="O1061" s="83" t="s">
        <v>1182</v>
      </c>
      <c r="P1061" s="82"/>
      <c r="Q1061" s="82"/>
      <c r="R1061" s="82"/>
      <c r="S1061" s="149"/>
      <c r="T1061" s="193"/>
      <c r="U1061" s="386">
        <f>+SUM(U1062:U1075)</f>
        <v>0</v>
      </c>
      <c r="V1061" s="386"/>
      <c r="W1061" s="386">
        <f t="shared" ref="W1061:AG1061" si="284">+SUM(W1062:W1075)</f>
        <v>0</v>
      </c>
      <c r="X1061" s="1148">
        <f t="shared" si="284"/>
        <v>0</v>
      </c>
      <c r="Y1061" s="386">
        <f>+SUM(Y1062:Y1075)</f>
        <v>190400</v>
      </c>
      <c r="Z1061" s="386">
        <f t="shared" si="284"/>
        <v>0</v>
      </c>
      <c r="AA1061" s="1148">
        <f t="shared" si="284"/>
        <v>0</v>
      </c>
      <c r="AB1061" s="386">
        <f t="shared" si="284"/>
        <v>0</v>
      </c>
      <c r="AC1061" s="386">
        <f t="shared" si="284"/>
        <v>0</v>
      </c>
      <c r="AD1061" s="1148">
        <f t="shared" si="284"/>
        <v>0</v>
      </c>
      <c r="AE1061" s="386">
        <f t="shared" si="284"/>
        <v>0</v>
      </c>
      <c r="AF1061" s="386">
        <f t="shared" si="284"/>
        <v>0</v>
      </c>
      <c r="AG1061" s="1148">
        <f t="shared" si="284"/>
        <v>0</v>
      </c>
      <c r="AH1061" s="386">
        <f>+SUM(AH1062:AH1075)</f>
        <v>190400</v>
      </c>
      <c r="AI1061" s="218">
        <v>0</v>
      </c>
      <c r="AJ1061" s="218">
        <v>0</v>
      </c>
      <c r="AK1061" s="218"/>
      <c r="AL1061" s="218"/>
      <c r="AM1061" s="218"/>
      <c r="AN1061" s="82" t="s">
        <v>39</v>
      </c>
      <c r="AO1061" s="444"/>
      <c r="AP1061" s="444"/>
      <c r="AQ1061" s="444"/>
      <c r="AR1061" s="444"/>
      <c r="AS1061" s="444"/>
      <c r="AT1061" s="444"/>
      <c r="AU1061" s="444"/>
      <c r="AV1061" s="386"/>
      <c r="AW1061" s="444"/>
    </row>
    <row r="1062" spans="1:49" ht="38.1" hidden="1" customHeight="1" outlineLevel="3" x14ac:dyDescent="0.25">
      <c r="A1062" s="63" t="str">
        <f t="shared" si="215"/>
        <v>3.12.1.2.1.0</v>
      </c>
      <c r="B1062" s="64">
        <v>3</v>
      </c>
      <c r="C1062" s="64">
        <v>12</v>
      </c>
      <c r="D1062" s="64">
        <v>1</v>
      </c>
      <c r="E1062" s="64">
        <v>2</v>
      </c>
      <c r="F1062" s="64">
        <v>1</v>
      </c>
      <c r="G1062" s="64">
        <v>0</v>
      </c>
      <c r="H1062" s="65"/>
      <c r="I1062" s="65"/>
      <c r="J1062" s="65"/>
      <c r="K1062" s="67" t="s">
        <v>1183</v>
      </c>
      <c r="L1062" s="64" t="s">
        <v>1082</v>
      </c>
      <c r="M1062" s="64" t="s">
        <v>299</v>
      </c>
      <c r="N1062" s="68" t="s">
        <v>1184</v>
      </c>
      <c r="O1062" s="64" t="s">
        <v>1185</v>
      </c>
      <c r="P1062" s="69">
        <v>45078</v>
      </c>
      <c r="Q1062" s="67" t="s">
        <v>1186</v>
      </c>
      <c r="R1062" s="67" t="s">
        <v>1187</v>
      </c>
      <c r="S1062" s="67" t="s">
        <v>1188</v>
      </c>
      <c r="T1062" s="194"/>
      <c r="U1062" s="75">
        <v>0</v>
      </c>
      <c r="V1062" s="75"/>
      <c r="W1062" s="75">
        <v>0</v>
      </c>
      <c r="X1062" s="1122">
        <v>0</v>
      </c>
      <c r="Y1062" s="75">
        <v>0</v>
      </c>
      <c r="Z1062" s="75">
        <v>0</v>
      </c>
      <c r="AA1062" s="1122">
        <v>0</v>
      </c>
      <c r="AB1062" s="75">
        <v>0</v>
      </c>
      <c r="AC1062" s="75">
        <v>0</v>
      </c>
      <c r="AD1062" s="1122">
        <v>0</v>
      </c>
      <c r="AE1062" s="75">
        <v>0</v>
      </c>
      <c r="AF1062" s="75">
        <v>0</v>
      </c>
      <c r="AG1062" s="1122">
        <v>0</v>
      </c>
      <c r="AH1062" s="505">
        <f>+U1062+Y1062+AB1062+AE1062</f>
        <v>0</v>
      </c>
      <c r="AI1062" s="132"/>
      <c r="AJ1062" s="75">
        <f t="shared" ref="AJ1062:AJ1071" si="285">+W1063+Z1063+AC1063+AF1063</f>
        <v>0</v>
      </c>
      <c r="AK1062" s="75"/>
      <c r="AL1062" s="75"/>
      <c r="AM1062" s="75"/>
      <c r="AN1062" s="64" t="s">
        <v>39</v>
      </c>
      <c r="AO1062" s="533"/>
      <c r="AP1062" s="533"/>
      <c r="AQ1062" s="533"/>
      <c r="AR1062" s="533"/>
      <c r="AS1062" s="533"/>
      <c r="AT1062" s="533"/>
      <c r="AU1062" s="649"/>
      <c r="AV1062" s="65"/>
      <c r="AW1062" s="65"/>
    </row>
    <row r="1063" spans="1:49" ht="38.1" hidden="1" customHeight="1" outlineLevel="3" x14ac:dyDescent="0.25">
      <c r="A1063" s="63" t="str">
        <f t="shared" si="215"/>
        <v>3.12.1.2.2.0</v>
      </c>
      <c r="B1063" s="64">
        <v>3</v>
      </c>
      <c r="C1063" s="64">
        <v>12</v>
      </c>
      <c r="D1063" s="64">
        <v>1</v>
      </c>
      <c r="E1063" s="64">
        <v>2</v>
      </c>
      <c r="F1063" s="64">
        <v>2</v>
      </c>
      <c r="G1063" s="64">
        <v>0</v>
      </c>
      <c r="H1063" s="65"/>
      <c r="I1063" s="65"/>
      <c r="J1063" s="65"/>
      <c r="K1063" s="67" t="s">
        <v>1871</v>
      </c>
      <c r="L1063" s="64" t="s">
        <v>1082</v>
      </c>
      <c r="M1063" s="64" t="s">
        <v>299</v>
      </c>
      <c r="N1063" s="64" t="s">
        <v>910</v>
      </c>
      <c r="O1063" s="64" t="s">
        <v>1082</v>
      </c>
      <c r="P1063" s="171"/>
      <c r="Q1063" s="170"/>
      <c r="R1063" s="170"/>
      <c r="S1063" s="170"/>
      <c r="T1063" s="1188"/>
      <c r="U1063" s="75">
        <v>0</v>
      </c>
      <c r="V1063" s="75"/>
      <c r="W1063" s="75">
        <v>0</v>
      </c>
      <c r="X1063" s="1122">
        <v>0</v>
      </c>
      <c r="Y1063" s="75">
        <v>0</v>
      </c>
      <c r="Z1063" s="75">
        <v>0</v>
      </c>
      <c r="AA1063" s="1122">
        <v>0</v>
      </c>
      <c r="AB1063" s="75">
        <v>0</v>
      </c>
      <c r="AC1063" s="75">
        <v>0</v>
      </c>
      <c r="AD1063" s="1122">
        <v>0</v>
      </c>
      <c r="AE1063" s="75">
        <v>0</v>
      </c>
      <c r="AF1063" s="75">
        <v>0</v>
      </c>
      <c r="AG1063" s="1122">
        <v>0</v>
      </c>
      <c r="AH1063" s="505">
        <f t="shared" ref="AH1063:AH1075" si="286">+U1063+Y1063+AB1063+AE1063</f>
        <v>0</v>
      </c>
      <c r="AI1063" s="132"/>
      <c r="AJ1063" s="75">
        <f t="shared" si="285"/>
        <v>0</v>
      </c>
      <c r="AK1063" s="75"/>
      <c r="AL1063" s="75"/>
      <c r="AM1063" s="75"/>
      <c r="AN1063" s="64" t="s">
        <v>39</v>
      </c>
      <c r="AO1063" s="533"/>
      <c r="AP1063" s="533"/>
      <c r="AQ1063" s="533"/>
      <c r="AR1063" s="533"/>
      <c r="AS1063" s="533"/>
      <c r="AT1063" s="533"/>
      <c r="AU1063" s="649"/>
      <c r="AV1063" s="1010"/>
      <c r="AW1063" s="65"/>
    </row>
    <row r="1064" spans="1:49" ht="38.1" hidden="1" customHeight="1" outlineLevel="3" x14ac:dyDescent="0.25">
      <c r="A1064" s="63" t="str">
        <f t="shared" si="215"/>
        <v>3.12.1.2.3.0</v>
      </c>
      <c r="B1064" s="64">
        <v>3</v>
      </c>
      <c r="C1064" s="64">
        <v>12</v>
      </c>
      <c r="D1064" s="64">
        <v>1</v>
      </c>
      <c r="E1064" s="64">
        <v>2</v>
      </c>
      <c r="F1064" s="64">
        <v>3</v>
      </c>
      <c r="G1064" s="64">
        <v>0</v>
      </c>
      <c r="H1064" s="65"/>
      <c r="I1064" s="65"/>
      <c r="J1064" s="66"/>
      <c r="K1064" s="67" t="s">
        <v>1189</v>
      </c>
      <c r="L1064" s="64" t="s">
        <v>208</v>
      </c>
      <c r="M1064" s="64" t="s">
        <v>767</v>
      </c>
      <c r="N1064" s="64" t="s">
        <v>198</v>
      </c>
      <c r="O1064" s="64" t="s">
        <v>241</v>
      </c>
      <c r="P1064" s="69">
        <v>44927</v>
      </c>
      <c r="Q1064" s="69">
        <v>45291</v>
      </c>
      <c r="R1064" s="64"/>
      <c r="S1064" s="65"/>
      <c r="T1064" s="194"/>
      <c r="U1064" s="75">
        <v>0</v>
      </c>
      <c r="V1064" s="75"/>
      <c r="W1064" s="75">
        <v>0</v>
      </c>
      <c r="X1064" s="1122">
        <v>0</v>
      </c>
      <c r="Y1064" s="75">
        <v>0</v>
      </c>
      <c r="Z1064" s="75">
        <v>0</v>
      </c>
      <c r="AA1064" s="1122">
        <v>0</v>
      </c>
      <c r="AB1064" s="75">
        <v>0</v>
      </c>
      <c r="AC1064" s="75">
        <v>0</v>
      </c>
      <c r="AD1064" s="1122">
        <v>0</v>
      </c>
      <c r="AE1064" s="75">
        <v>0</v>
      </c>
      <c r="AF1064" s="75">
        <v>0</v>
      </c>
      <c r="AG1064" s="1122">
        <v>0</v>
      </c>
      <c r="AH1064" s="505">
        <f t="shared" si="286"/>
        <v>0</v>
      </c>
      <c r="AI1064" s="132"/>
      <c r="AJ1064" s="75">
        <f t="shared" si="285"/>
        <v>0</v>
      </c>
      <c r="AK1064" s="75"/>
      <c r="AL1064" s="75"/>
      <c r="AM1064" s="75"/>
      <c r="AN1064" s="64" t="s">
        <v>39</v>
      </c>
      <c r="AO1064" s="64"/>
      <c r="AP1064" s="64"/>
      <c r="AQ1064" s="189"/>
      <c r="AR1064" s="64"/>
      <c r="AS1064" s="476"/>
      <c r="AT1064" s="64"/>
      <c r="AU1064" s="646"/>
      <c r="AV1064" s="65"/>
      <c r="AW1064" s="65"/>
    </row>
    <row r="1065" spans="1:49" ht="38.1" hidden="1" customHeight="1" outlineLevel="3" x14ac:dyDescent="0.25">
      <c r="A1065" s="63" t="str">
        <f t="shared" si="215"/>
        <v>3.12.1.2.4.0</v>
      </c>
      <c r="B1065" s="64">
        <v>3</v>
      </c>
      <c r="C1065" s="64">
        <v>12</v>
      </c>
      <c r="D1065" s="64">
        <v>1</v>
      </c>
      <c r="E1065" s="64">
        <v>2</v>
      </c>
      <c r="F1065" s="64">
        <v>4</v>
      </c>
      <c r="G1065" s="64">
        <v>0</v>
      </c>
      <c r="H1065" s="65"/>
      <c r="I1065" s="65"/>
      <c r="J1065" s="65"/>
      <c r="K1065" s="65" t="s">
        <v>1190</v>
      </c>
      <c r="L1065" s="64" t="s">
        <v>208</v>
      </c>
      <c r="M1065" s="64" t="s">
        <v>767</v>
      </c>
      <c r="N1065" s="64" t="s">
        <v>198</v>
      </c>
      <c r="O1065" s="64" t="s">
        <v>1191</v>
      </c>
      <c r="P1065" s="69">
        <v>44927</v>
      </c>
      <c r="Q1065" s="69">
        <v>45291</v>
      </c>
      <c r="R1065" s="64"/>
      <c r="S1065" s="65"/>
      <c r="T1065" s="194"/>
      <c r="U1065" s="75">
        <v>0</v>
      </c>
      <c r="V1065" s="75"/>
      <c r="W1065" s="75">
        <v>0</v>
      </c>
      <c r="X1065" s="1122">
        <v>0</v>
      </c>
      <c r="Y1065" s="75">
        <v>0</v>
      </c>
      <c r="Z1065" s="75">
        <v>0</v>
      </c>
      <c r="AA1065" s="1122">
        <v>0</v>
      </c>
      <c r="AB1065" s="75">
        <v>0</v>
      </c>
      <c r="AC1065" s="75">
        <v>0</v>
      </c>
      <c r="AD1065" s="1122">
        <v>0</v>
      </c>
      <c r="AE1065" s="75">
        <v>0</v>
      </c>
      <c r="AF1065" s="75">
        <v>0</v>
      </c>
      <c r="AG1065" s="1122">
        <v>0</v>
      </c>
      <c r="AH1065" s="505">
        <f t="shared" si="286"/>
        <v>0</v>
      </c>
      <c r="AI1065" s="132"/>
      <c r="AJ1065" s="75">
        <f t="shared" si="285"/>
        <v>0</v>
      </c>
      <c r="AK1065" s="75"/>
      <c r="AL1065" s="75"/>
      <c r="AM1065" s="75"/>
      <c r="AN1065" s="64" t="s">
        <v>39</v>
      </c>
      <c r="AO1065" s="64"/>
      <c r="AP1065" s="64"/>
      <c r="AQ1065" s="189"/>
      <c r="AR1065" s="64"/>
      <c r="AS1065" s="476"/>
      <c r="AT1065" s="64"/>
      <c r="AU1065" s="646"/>
      <c r="AV1065" s="65"/>
      <c r="AW1065" s="65"/>
    </row>
    <row r="1066" spans="1:49" ht="38.1" hidden="1" customHeight="1" outlineLevel="3" x14ac:dyDescent="0.25">
      <c r="A1066" s="63" t="str">
        <f t="shared" si="215"/>
        <v>3.12.1.2.5.0</v>
      </c>
      <c r="B1066" s="64">
        <v>3</v>
      </c>
      <c r="C1066" s="64">
        <v>12</v>
      </c>
      <c r="D1066" s="64">
        <v>1</v>
      </c>
      <c r="E1066" s="64">
        <v>2</v>
      </c>
      <c r="F1066" s="64">
        <v>5</v>
      </c>
      <c r="G1066" s="64">
        <v>0</v>
      </c>
      <c r="H1066" s="65"/>
      <c r="I1066" s="65"/>
      <c r="J1066" s="66"/>
      <c r="K1066" s="67" t="s">
        <v>1192</v>
      </c>
      <c r="L1066" s="64" t="s">
        <v>208</v>
      </c>
      <c r="M1066" s="64" t="s">
        <v>767</v>
      </c>
      <c r="N1066" s="64" t="s">
        <v>198</v>
      </c>
      <c r="O1066" s="64" t="s">
        <v>192</v>
      </c>
      <c r="P1066" s="69">
        <v>44927</v>
      </c>
      <c r="Q1066" s="69">
        <v>45291</v>
      </c>
      <c r="R1066" s="64"/>
      <c r="S1066" s="65"/>
      <c r="T1066" s="194"/>
      <c r="U1066" s="75">
        <v>0</v>
      </c>
      <c r="V1066" s="75"/>
      <c r="W1066" s="75">
        <v>0</v>
      </c>
      <c r="X1066" s="1122">
        <v>0</v>
      </c>
      <c r="Y1066" s="75">
        <v>0</v>
      </c>
      <c r="Z1066" s="75">
        <v>0</v>
      </c>
      <c r="AA1066" s="1122">
        <v>0</v>
      </c>
      <c r="AB1066" s="75">
        <v>0</v>
      </c>
      <c r="AC1066" s="75">
        <v>0</v>
      </c>
      <c r="AD1066" s="1122">
        <v>0</v>
      </c>
      <c r="AE1066" s="75">
        <v>0</v>
      </c>
      <c r="AF1066" s="75">
        <v>0</v>
      </c>
      <c r="AG1066" s="1122">
        <v>0</v>
      </c>
      <c r="AH1066" s="505">
        <f t="shared" si="286"/>
        <v>0</v>
      </c>
      <c r="AI1066" s="132"/>
      <c r="AJ1066" s="75">
        <f t="shared" si="285"/>
        <v>0</v>
      </c>
      <c r="AK1066" s="75"/>
      <c r="AL1066" s="75"/>
      <c r="AM1066" s="75"/>
      <c r="AN1066" s="64" t="s">
        <v>39</v>
      </c>
      <c r="AO1066" s="64"/>
      <c r="AP1066" s="64"/>
      <c r="AQ1066" s="189"/>
      <c r="AR1066" s="64"/>
      <c r="AS1066" s="476"/>
      <c r="AT1066" s="64"/>
      <c r="AU1066" s="646"/>
      <c r="AV1066" s="65"/>
      <c r="AW1066" s="65"/>
    </row>
    <row r="1067" spans="1:49" ht="38.1" hidden="1" customHeight="1" outlineLevel="3" x14ac:dyDescent="0.25">
      <c r="A1067" s="63" t="str">
        <f t="shared" si="215"/>
        <v>3.12.1.2.6.0</v>
      </c>
      <c r="B1067" s="64">
        <v>3</v>
      </c>
      <c r="C1067" s="64">
        <v>12</v>
      </c>
      <c r="D1067" s="64">
        <v>1</v>
      </c>
      <c r="E1067" s="64">
        <v>2</v>
      </c>
      <c r="F1067" s="64">
        <v>6</v>
      </c>
      <c r="G1067" s="64">
        <v>0</v>
      </c>
      <c r="H1067" s="65"/>
      <c r="I1067" s="65"/>
      <c r="J1067" s="65"/>
      <c r="K1067" s="65" t="s">
        <v>1193</v>
      </c>
      <c r="L1067" s="64" t="s">
        <v>208</v>
      </c>
      <c r="M1067" s="64" t="s">
        <v>767</v>
      </c>
      <c r="N1067" s="64" t="s">
        <v>198</v>
      </c>
      <c r="O1067" s="64" t="s">
        <v>192</v>
      </c>
      <c r="P1067" s="69">
        <v>44927</v>
      </c>
      <c r="Q1067" s="69">
        <v>45291</v>
      </c>
      <c r="R1067" s="64"/>
      <c r="S1067" s="65"/>
      <c r="T1067" s="194"/>
      <c r="U1067" s="75">
        <v>0</v>
      </c>
      <c r="V1067" s="75"/>
      <c r="W1067" s="75">
        <v>0</v>
      </c>
      <c r="X1067" s="1122">
        <v>0</v>
      </c>
      <c r="Y1067" s="75">
        <v>0</v>
      </c>
      <c r="Z1067" s="75">
        <v>0</v>
      </c>
      <c r="AA1067" s="1122">
        <v>0</v>
      </c>
      <c r="AB1067" s="75">
        <v>0</v>
      </c>
      <c r="AC1067" s="75">
        <v>0</v>
      </c>
      <c r="AD1067" s="1122">
        <v>0</v>
      </c>
      <c r="AE1067" s="75">
        <v>0</v>
      </c>
      <c r="AF1067" s="75">
        <v>0</v>
      </c>
      <c r="AG1067" s="1122">
        <v>0</v>
      </c>
      <c r="AH1067" s="505">
        <f t="shared" si="286"/>
        <v>0</v>
      </c>
      <c r="AI1067" s="132"/>
      <c r="AJ1067" s="75">
        <f t="shared" si="285"/>
        <v>0</v>
      </c>
      <c r="AK1067" s="75"/>
      <c r="AL1067" s="75"/>
      <c r="AM1067" s="75"/>
      <c r="AN1067" s="64" t="s">
        <v>39</v>
      </c>
      <c r="AO1067" s="64"/>
      <c r="AP1067" s="64"/>
      <c r="AQ1067" s="189"/>
      <c r="AR1067" s="64"/>
      <c r="AS1067" s="476"/>
      <c r="AT1067" s="64"/>
      <c r="AU1067" s="646"/>
      <c r="AV1067" s="65"/>
      <c r="AW1067" s="65"/>
    </row>
    <row r="1068" spans="1:49" ht="38.1" hidden="1" customHeight="1" outlineLevel="3" x14ac:dyDescent="0.25">
      <c r="A1068" s="63" t="str">
        <f t="shared" si="215"/>
        <v>3.12.1.2.7.0</v>
      </c>
      <c r="B1068" s="64">
        <v>3</v>
      </c>
      <c r="C1068" s="64">
        <v>12</v>
      </c>
      <c r="D1068" s="64">
        <v>1</v>
      </c>
      <c r="E1068" s="64">
        <v>2</v>
      </c>
      <c r="F1068" s="64">
        <v>7</v>
      </c>
      <c r="G1068" s="64">
        <v>0</v>
      </c>
      <c r="H1068" s="65"/>
      <c r="I1068" s="65"/>
      <c r="J1068" s="66"/>
      <c r="K1068" s="65" t="s">
        <v>1194</v>
      </c>
      <c r="L1068" s="64" t="s">
        <v>208</v>
      </c>
      <c r="M1068" s="64" t="s">
        <v>1195</v>
      </c>
      <c r="N1068" s="64" t="s">
        <v>198</v>
      </c>
      <c r="O1068" s="64" t="s">
        <v>359</v>
      </c>
      <c r="P1068" s="69">
        <v>44927</v>
      </c>
      <c r="Q1068" s="69">
        <v>45291</v>
      </c>
      <c r="R1068" s="64">
        <f>T1068+X1068+AA1068+AD1068</f>
        <v>1</v>
      </c>
      <c r="S1068" s="65" t="s">
        <v>760</v>
      </c>
      <c r="T1068" s="194">
        <v>1</v>
      </c>
      <c r="U1068" s="75">
        <v>0</v>
      </c>
      <c r="V1068" s="75"/>
      <c r="W1068" s="75">
        <v>0</v>
      </c>
      <c r="X1068" s="1122">
        <v>0</v>
      </c>
      <c r="Y1068" s="75">
        <v>0</v>
      </c>
      <c r="Z1068" s="75">
        <v>0</v>
      </c>
      <c r="AA1068" s="1122">
        <v>0</v>
      </c>
      <c r="AB1068" s="75">
        <v>0</v>
      </c>
      <c r="AC1068" s="75">
        <v>0</v>
      </c>
      <c r="AD1068" s="1122">
        <v>0</v>
      </c>
      <c r="AE1068" s="75">
        <v>0</v>
      </c>
      <c r="AF1068" s="75">
        <v>0</v>
      </c>
      <c r="AG1068" s="1122">
        <v>0</v>
      </c>
      <c r="AH1068" s="505">
        <f t="shared" si="286"/>
        <v>0</v>
      </c>
      <c r="AI1068" s="132"/>
      <c r="AJ1068" s="75">
        <f t="shared" si="285"/>
        <v>0</v>
      </c>
      <c r="AK1068" s="75"/>
      <c r="AL1068" s="75"/>
      <c r="AM1068" s="75"/>
      <c r="AN1068" s="64" t="s">
        <v>39</v>
      </c>
      <c r="AO1068" s="64"/>
      <c r="AP1068" s="64"/>
      <c r="AQ1068" s="189"/>
      <c r="AR1068" s="64"/>
      <c r="AS1068" s="476"/>
      <c r="AT1068" s="64"/>
      <c r="AU1068" s="646"/>
      <c r="AV1068" s="65"/>
      <c r="AW1068" s="65"/>
    </row>
    <row r="1069" spans="1:49" ht="38.1" hidden="1" customHeight="1" outlineLevel="3" x14ac:dyDescent="0.25">
      <c r="A1069" s="63" t="str">
        <f t="shared" si="215"/>
        <v>3.12.1.2.8.0</v>
      </c>
      <c r="B1069" s="64">
        <v>3</v>
      </c>
      <c r="C1069" s="64">
        <v>12</v>
      </c>
      <c r="D1069" s="64">
        <v>1</v>
      </c>
      <c r="E1069" s="64">
        <v>2</v>
      </c>
      <c r="F1069" s="64">
        <v>8</v>
      </c>
      <c r="G1069" s="64">
        <v>0</v>
      </c>
      <c r="H1069" s="65"/>
      <c r="I1069" s="65"/>
      <c r="J1069" s="66"/>
      <c r="K1069" s="67" t="s">
        <v>1196</v>
      </c>
      <c r="L1069" s="64" t="s">
        <v>208</v>
      </c>
      <c r="M1069" s="64" t="s">
        <v>1195</v>
      </c>
      <c r="N1069" s="64" t="s">
        <v>198</v>
      </c>
      <c r="O1069" s="64" t="s">
        <v>359</v>
      </c>
      <c r="P1069" s="69">
        <v>44927</v>
      </c>
      <c r="Q1069" s="69">
        <v>45291</v>
      </c>
      <c r="R1069" s="64">
        <f>T1069+X1069+AA1069+AD1069</f>
        <v>1</v>
      </c>
      <c r="S1069" s="65" t="s">
        <v>760</v>
      </c>
      <c r="T1069" s="194">
        <v>1</v>
      </c>
      <c r="U1069" s="75">
        <v>0</v>
      </c>
      <c r="V1069" s="75"/>
      <c r="W1069" s="75">
        <v>0</v>
      </c>
      <c r="X1069" s="1122">
        <v>0</v>
      </c>
      <c r="Y1069" s="75">
        <v>0</v>
      </c>
      <c r="Z1069" s="75">
        <v>0</v>
      </c>
      <c r="AA1069" s="1122">
        <v>0</v>
      </c>
      <c r="AB1069" s="75">
        <v>0</v>
      </c>
      <c r="AC1069" s="75">
        <v>0</v>
      </c>
      <c r="AD1069" s="1122">
        <v>0</v>
      </c>
      <c r="AE1069" s="75">
        <v>0</v>
      </c>
      <c r="AF1069" s="75">
        <v>0</v>
      </c>
      <c r="AG1069" s="1122">
        <v>0</v>
      </c>
      <c r="AH1069" s="505">
        <f t="shared" si="286"/>
        <v>0</v>
      </c>
      <c r="AI1069" s="132"/>
      <c r="AJ1069" s="75">
        <f t="shared" si="285"/>
        <v>0</v>
      </c>
      <c r="AK1069" s="75"/>
      <c r="AL1069" s="75"/>
      <c r="AM1069" s="75"/>
      <c r="AN1069" s="64" t="s">
        <v>39</v>
      </c>
      <c r="AO1069" s="64"/>
      <c r="AP1069" s="64"/>
      <c r="AQ1069" s="189"/>
      <c r="AR1069" s="64"/>
      <c r="AS1069" s="476"/>
      <c r="AT1069" s="64"/>
      <c r="AU1069" s="646"/>
      <c r="AV1069" s="65"/>
      <c r="AW1069" s="65"/>
    </row>
    <row r="1070" spans="1:49" ht="38.1" hidden="1" customHeight="1" outlineLevel="3" x14ac:dyDescent="0.25">
      <c r="A1070" s="63" t="str">
        <f t="shared" si="215"/>
        <v>3.12.1.2.9.0</v>
      </c>
      <c r="B1070" s="64">
        <v>3</v>
      </c>
      <c r="C1070" s="64">
        <v>12</v>
      </c>
      <c r="D1070" s="64">
        <v>1</v>
      </c>
      <c r="E1070" s="64">
        <v>2</v>
      </c>
      <c r="F1070" s="64">
        <v>9</v>
      </c>
      <c r="G1070" s="64">
        <v>0</v>
      </c>
      <c r="H1070" s="65"/>
      <c r="I1070" s="65"/>
      <c r="J1070" s="66"/>
      <c r="K1070" s="65" t="s">
        <v>1197</v>
      </c>
      <c r="L1070" s="64" t="s">
        <v>208</v>
      </c>
      <c r="M1070" s="64" t="s">
        <v>1195</v>
      </c>
      <c r="N1070" s="64" t="s">
        <v>198</v>
      </c>
      <c r="O1070" s="64" t="s">
        <v>359</v>
      </c>
      <c r="P1070" s="69">
        <v>44927</v>
      </c>
      <c r="Q1070" s="69">
        <v>45291</v>
      </c>
      <c r="R1070" s="64">
        <f>T1070+X1070+AA1070+AD1070</f>
        <v>1</v>
      </c>
      <c r="S1070" s="65" t="s">
        <v>760</v>
      </c>
      <c r="T1070" s="194">
        <v>1</v>
      </c>
      <c r="U1070" s="75">
        <v>0</v>
      </c>
      <c r="V1070" s="75"/>
      <c r="W1070" s="75">
        <v>0</v>
      </c>
      <c r="X1070" s="1122">
        <v>0</v>
      </c>
      <c r="Y1070" s="75">
        <v>0</v>
      </c>
      <c r="Z1070" s="75">
        <v>0</v>
      </c>
      <c r="AA1070" s="1122">
        <v>0</v>
      </c>
      <c r="AB1070" s="75">
        <v>0</v>
      </c>
      <c r="AC1070" s="75">
        <v>0</v>
      </c>
      <c r="AD1070" s="1122">
        <v>0</v>
      </c>
      <c r="AE1070" s="75">
        <v>0</v>
      </c>
      <c r="AF1070" s="75">
        <v>0</v>
      </c>
      <c r="AG1070" s="1122">
        <v>0</v>
      </c>
      <c r="AH1070" s="505">
        <f t="shared" si="286"/>
        <v>0</v>
      </c>
      <c r="AI1070" s="132"/>
      <c r="AJ1070" s="75">
        <f t="shared" si="285"/>
        <v>0</v>
      </c>
      <c r="AK1070" s="75"/>
      <c r="AL1070" s="75"/>
      <c r="AM1070" s="75"/>
      <c r="AN1070" s="64" t="s">
        <v>39</v>
      </c>
      <c r="AO1070" s="64"/>
      <c r="AP1070" s="64"/>
      <c r="AQ1070" s="189"/>
      <c r="AR1070" s="64"/>
      <c r="AS1070" s="476"/>
      <c r="AT1070" s="64"/>
      <c r="AU1070" s="646"/>
      <c r="AV1070" s="65"/>
      <c r="AW1070" s="65"/>
    </row>
    <row r="1071" spans="1:49" ht="38.1" hidden="1" customHeight="1" outlineLevel="3" x14ac:dyDescent="0.25">
      <c r="A1071" s="63" t="str">
        <f t="shared" si="215"/>
        <v>3.12.1.2.10.0</v>
      </c>
      <c r="B1071" s="64">
        <v>3</v>
      </c>
      <c r="C1071" s="64">
        <v>12</v>
      </c>
      <c r="D1071" s="64">
        <v>1</v>
      </c>
      <c r="E1071" s="64">
        <v>2</v>
      </c>
      <c r="F1071" s="64">
        <v>10</v>
      </c>
      <c r="G1071" s="64">
        <v>0</v>
      </c>
      <c r="H1071" s="65"/>
      <c r="I1071" s="65"/>
      <c r="J1071" s="66"/>
      <c r="K1071" s="65" t="s">
        <v>1198</v>
      </c>
      <c r="L1071" s="64" t="s">
        <v>208</v>
      </c>
      <c r="M1071" s="64" t="s">
        <v>1195</v>
      </c>
      <c r="N1071" s="68" t="s">
        <v>1199</v>
      </c>
      <c r="O1071" s="64" t="s">
        <v>359</v>
      </c>
      <c r="P1071" s="69">
        <v>44927</v>
      </c>
      <c r="Q1071" s="69">
        <v>45291</v>
      </c>
      <c r="R1071" s="64">
        <f>T1071+X1071+AA1071+AD1071</f>
        <v>0</v>
      </c>
      <c r="S1071" s="65" t="s">
        <v>760</v>
      </c>
      <c r="T1071" s="194">
        <v>0</v>
      </c>
      <c r="U1071" s="75">
        <v>0</v>
      </c>
      <c r="V1071" s="75"/>
      <c r="W1071" s="75">
        <v>0</v>
      </c>
      <c r="X1071" s="1122">
        <v>0</v>
      </c>
      <c r="Y1071" s="75">
        <v>0</v>
      </c>
      <c r="Z1071" s="75">
        <v>0</v>
      </c>
      <c r="AA1071" s="1122">
        <v>0</v>
      </c>
      <c r="AB1071" s="75">
        <v>0</v>
      </c>
      <c r="AC1071" s="75">
        <v>0</v>
      </c>
      <c r="AD1071" s="1122">
        <v>0</v>
      </c>
      <c r="AE1071" s="75">
        <v>0</v>
      </c>
      <c r="AF1071" s="75">
        <v>0</v>
      </c>
      <c r="AG1071" s="1122">
        <v>0</v>
      </c>
      <c r="AH1071" s="505">
        <f t="shared" si="286"/>
        <v>0</v>
      </c>
      <c r="AI1071" s="132"/>
      <c r="AJ1071" s="75">
        <f t="shared" si="285"/>
        <v>0</v>
      </c>
      <c r="AK1071" s="75"/>
      <c r="AL1071" s="75"/>
      <c r="AM1071" s="75"/>
      <c r="AN1071" s="64" t="s">
        <v>39</v>
      </c>
      <c r="AO1071" s="64"/>
      <c r="AP1071" s="64"/>
      <c r="AQ1071" s="189"/>
      <c r="AR1071" s="64"/>
      <c r="AS1071" s="476"/>
      <c r="AT1071" s="64"/>
      <c r="AU1071" s="646"/>
      <c r="AV1071" s="65"/>
      <c r="AW1071" s="65"/>
    </row>
    <row r="1072" spans="1:49" ht="38.1" hidden="1" customHeight="1" outlineLevel="3" x14ac:dyDescent="0.25">
      <c r="A1072" s="63" t="str">
        <f t="shared" si="215"/>
        <v>3.12.1.2.11.0</v>
      </c>
      <c r="B1072" s="64">
        <v>3</v>
      </c>
      <c r="C1072" s="64">
        <v>12</v>
      </c>
      <c r="D1072" s="64">
        <v>1</v>
      </c>
      <c r="E1072" s="64">
        <v>2</v>
      </c>
      <c r="F1072" s="64">
        <v>11</v>
      </c>
      <c r="G1072" s="64">
        <v>0</v>
      </c>
      <c r="H1072" s="65"/>
      <c r="I1072" s="65"/>
      <c r="J1072" s="66"/>
      <c r="K1072" s="65" t="s">
        <v>1200</v>
      </c>
      <c r="L1072" s="64" t="s">
        <v>208</v>
      </c>
      <c r="M1072" s="64" t="s">
        <v>767</v>
      </c>
      <c r="N1072" s="64" t="s">
        <v>764</v>
      </c>
      <c r="O1072" s="64" t="s">
        <v>359</v>
      </c>
      <c r="P1072" s="69">
        <v>44927</v>
      </c>
      <c r="Q1072" s="69">
        <v>45291</v>
      </c>
      <c r="R1072" s="64">
        <f>T1072+X1072+AA1072+AD1072</f>
        <v>0</v>
      </c>
      <c r="S1072" s="65" t="s">
        <v>1201</v>
      </c>
      <c r="T1072" s="194">
        <v>0</v>
      </c>
      <c r="U1072" s="75">
        <v>0</v>
      </c>
      <c r="V1072" s="75"/>
      <c r="W1072" s="75">
        <v>0</v>
      </c>
      <c r="X1072" s="1122">
        <v>0</v>
      </c>
      <c r="Y1072" s="75">
        <v>0</v>
      </c>
      <c r="Z1072" s="75">
        <v>0</v>
      </c>
      <c r="AA1072" s="1122">
        <v>0</v>
      </c>
      <c r="AB1072" s="75">
        <v>0</v>
      </c>
      <c r="AC1072" s="75">
        <v>0</v>
      </c>
      <c r="AD1072" s="1122">
        <v>0</v>
      </c>
      <c r="AE1072" s="75">
        <v>0</v>
      </c>
      <c r="AF1072" s="75">
        <v>0</v>
      </c>
      <c r="AG1072" s="1122">
        <v>0</v>
      </c>
      <c r="AH1072" s="505">
        <f t="shared" si="286"/>
        <v>0</v>
      </c>
      <c r="AI1072" s="132"/>
      <c r="AJ1072" s="75">
        <f>+W1076+Z1076+AC1076+AF1076</f>
        <v>0</v>
      </c>
      <c r="AK1072" s="75"/>
      <c r="AL1072" s="75"/>
      <c r="AM1072" s="75"/>
      <c r="AN1072" s="64" t="s">
        <v>39</v>
      </c>
      <c r="AO1072" s="64"/>
      <c r="AP1072" s="64"/>
      <c r="AQ1072" s="189"/>
      <c r="AR1072" s="64"/>
      <c r="AS1072" s="476"/>
      <c r="AT1072" s="64"/>
      <c r="AU1072" s="646"/>
      <c r="AV1072" s="65"/>
      <c r="AW1072" s="65"/>
    </row>
    <row r="1073" spans="1:49" ht="38.1" hidden="1" customHeight="1" outlineLevel="3" x14ac:dyDescent="0.25">
      <c r="A1073" s="63" t="str">
        <f t="shared" si="215"/>
        <v>3.12.1.2.13.0</v>
      </c>
      <c r="B1073" s="64">
        <v>3</v>
      </c>
      <c r="C1073" s="64">
        <v>12</v>
      </c>
      <c r="D1073" s="64">
        <v>1</v>
      </c>
      <c r="E1073" s="64">
        <v>2</v>
      </c>
      <c r="F1073" s="64">
        <v>13</v>
      </c>
      <c r="G1073" s="64">
        <v>0</v>
      </c>
      <c r="H1073" s="65"/>
      <c r="I1073" s="65"/>
      <c r="J1073" s="66"/>
      <c r="K1073" s="65" t="s">
        <v>2776</v>
      </c>
      <c r="L1073" s="64"/>
      <c r="M1073" s="64"/>
      <c r="N1073" s="64"/>
      <c r="O1073" s="64"/>
      <c r="P1073" s="69"/>
      <c r="Q1073" s="69"/>
      <c r="R1073" s="64"/>
      <c r="S1073" s="65"/>
      <c r="T1073" s="194"/>
      <c r="U1073" s="75">
        <v>0</v>
      </c>
      <c r="V1073" s="75"/>
      <c r="W1073" s="75">
        <v>0</v>
      </c>
      <c r="X1073" s="1122">
        <v>0</v>
      </c>
      <c r="Y1073" s="75">
        <v>41600</v>
      </c>
      <c r="Z1073" s="75">
        <v>0</v>
      </c>
      <c r="AA1073" s="1122">
        <v>0</v>
      </c>
      <c r="AB1073" s="75">
        <v>0</v>
      </c>
      <c r="AC1073" s="75">
        <v>0</v>
      </c>
      <c r="AD1073" s="1122">
        <v>0</v>
      </c>
      <c r="AE1073" s="75">
        <v>0</v>
      </c>
      <c r="AF1073" s="75">
        <v>0</v>
      </c>
      <c r="AG1073" s="1122">
        <v>0</v>
      </c>
      <c r="AH1073" s="505">
        <f t="shared" si="286"/>
        <v>41600</v>
      </c>
      <c r="AI1073" s="132"/>
      <c r="AJ1073" s="75">
        <f>+W1077+Z1077+AC1077+AF1077</f>
        <v>0</v>
      </c>
      <c r="AK1073" s="75"/>
      <c r="AL1073" s="75"/>
      <c r="AM1073" s="75"/>
      <c r="AN1073" s="64" t="s">
        <v>39</v>
      </c>
      <c r="AO1073" s="64"/>
      <c r="AP1073" s="64"/>
      <c r="AQ1073" s="189"/>
      <c r="AR1073" s="64"/>
      <c r="AS1073" s="476"/>
      <c r="AT1073" s="64"/>
      <c r="AU1073" s="646"/>
      <c r="AV1073" s="185"/>
      <c r="AW1073" s="185" t="s">
        <v>2777</v>
      </c>
    </row>
    <row r="1074" spans="1:49" ht="38.1" hidden="1" customHeight="1" outlineLevel="3" x14ac:dyDescent="0.25">
      <c r="A1074" s="63" t="str">
        <f t="shared" si="215"/>
        <v>3.12.1.2.14.0</v>
      </c>
      <c r="B1074" s="64">
        <v>3</v>
      </c>
      <c r="C1074" s="64">
        <v>12</v>
      </c>
      <c r="D1074" s="64">
        <v>1</v>
      </c>
      <c r="E1074" s="64">
        <v>2</v>
      </c>
      <c r="F1074" s="64">
        <v>14</v>
      </c>
      <c r="G1074" s="64">
        <v>0</v>
      </c>
      <c r="H1074" s="65"/>
      <c r="I1074" s="65"/>
      <c r="J1074" s="66"/>
      <c r="K1074" s="65" t="s">
        <v>2778</v>
      </c>
      <c r="L1074" s="64"/>
      <c r="M1074" s="64"/>
      <c r="N1074" s="64"/>
      <c r="O1074" s="64"/>
      <c r="P1074" s="69"/>
      <c r="Q1074" s="69"/>
      <c r="R1074" s="64"/>
      <c r="S1074" s="65"/>
      <c r="T1074" s="194"/>
      <c r="U1074" s="75">
        <v>0</v>
      </c>
      <c r="V1074" s="75"/>
      <c r="W1074" s="75">
        <v>0</v>
      </c>
      <c r="X1074" s="1122">
        <v>0</v>
      </c>
      <c r="Y1074" s="75">
        <v>17600</v>
      </c>
      <c r="Z1074" s="75">
        <v>0</v>
      </c>
      <c r="AA1074" s="1122">
        <v>0</v>
      </c>
      <c r="AB1074" s="75">
        <v>0</v>
      </c>
      <c r="AC1074" s="75">
        <v>0</v>
      </c>
      <c r="AD1074" s="1122">
        <v>0</v>
      </c>
      <c r="AE1074" s="75">
        <v>0</v>
      </c>
      <c r="AF1074" s="75">
        <v>0</v>
      </c>
      <c r="AG1074" s="1122">
        <v>0</v>
      </c>
      <c r="AH1074" s="505">
        <f t="shared" si="286"/>
        <v>17600</v>
      </c>
      <c r="AI1074" s="132"/>
      <c r="AJ1074" s="75">
        <f>+W1078+Z1078+AC1078+AF1078</f>
        <v>0</v>
      </c>
      <c r="AK1074" s="75"/>
      <c r="AL1074" s="75"/>
      <c r="AM1074" s="75"/>
      <c r="AN1074" s="64" t="s">
        <v>39</v>
      </c>
      <c r="AO1074" s="64"/>
      <c r="AP1074" s="64"/>
      <c r="AQ1074" s="189"/>
      <c r="AR1074" s="64"/>
      <c r="AS1074" s="476"/>
      <c r="AT1074" s="64"/>
      <c r="AU1074" s="646"/>
      <c r="AV1074" s="185"/>
      <c r="AW1074" s="185" t="s">
        <v>2779</v>
      </c>
    </row>
    <row r="1075" spans="1:49" ht="38.1" hidden="1" customHeight="1" outlineLevel="3" x14ac:dyDescent="0.25">
      <c r="A1075" s="63" t="str">
        <f t="shared" si="215"/>
        <v>3.12.1.2.15.0</v>
      </c>
      <c r="B1075" s="64">
        <v>3</v>
      </c>
      <c r="C1075" s="64">
        <v>12</v>
      </c>
      <c r="D1075" s="64">
        <v>1</v>
      </c>
      <c r="E1075" s="64">
        <v>2</v>
      </c>
      <c r="F1075" s="64">
        <v>15</v>
      </c>
      <c r="G1075" s="64">
        <v>0</v>
      </c>
      <c r="H1075" s="65"/>
      <c r="I1075" s="65"/>
      <c r="J1075" s="66"/>
      <c r="K1075" s="65" t="s">
        <v>2780</v>
      </c>
      <c r="L1075" s="64"/>
      <c r="M1075" s="64"/>
      <c r="N1075" s="64"/>
      <c r="O1075" s="64"/>
      <c r="P1075" s="69"/>
      <c r="Q1075" s="69"/>
      <c r="R1075" s="64"/>
      <c r="S1075" s="65"/>
      <c r="T1075" s="194"/>
      <c r="U1075" s="75">
        <v>0</v>
      </c>
      <c r="V1075" s="75"/>
      <c r="W1075" s="75">
        <v>0</v>
      </c>
      <c r="X1075" s="1122">
        <v>0</v>
      </c>
      <c r="Y1075" s="75">
        <v>131200</v>
      </c>
      <c r="Z1075" s="75">
        <v>0</v>
      </c>
      <c r="AA1075" s="1122">
        <v>0</v>
      </c>
      <c r="AB1075" s="75">
        <v>0</v>
      </c>
      <c r="AC1075" s="75">
        <v>0</v>
      </c>
      <c r="AD1075" s="1122">
        <v>0</v>
      </c>
      <c r="AE1075" s="75">
        <v>0</v>
      </c>
      <c r="AF1075" s="75">
        <v>0</v>
      </c>
      <c r="AG1075" s="1122">
        <v>0</v>
      </c>
      <c r="AH1075" s="505">
        <f t="shared" si="286"/>
        <v>131200</v>
      </c>
      <c r="AI1075" s="132"/>
      <c r="AJ1075" s="75">
        <f>+W1079+Z1079+AC1079+AF1079</f>
        <v>0</v>
      </c>
      <c r="AK1075" s="75"/>
      <c r="AL1075" s="75"/>
      <c r="AM1075" s="75"/>
      <c r="AN1075" s="64" t="s">
        <v>39</v>
      </c>
      <c r="AO1075" s="64"/>
      <c r="AP1075" s="64"/>
      <c r="AQ1075" s="189"/>
      <c r="AR1075" s="64"/>
      <c r="AS1075" s="476"/>
      <c r="AT1075" s="64"/>
      <c r="AU1075" s="646"/>
      <c r="AV1075" s="185"/>
      <c r="AW1075" s="185" t="s">
        <v>2777</v>
      </c>
    </row>
    <row r="1076" spans="1:49" s="153" customFormat="1" ht="32.450000000000003" customHeight="1" outlineLevel="1" collapsed="1" x14ac:dyDescent="0.25">
      <c r="A1076" s="148" t="str">
        <f t="shared" si="215"/>
        <v>3.12.1.3.0.0</v>
      </c>
      <c r="B1076" s="82">
        <v>3</v>
      </c>
      <c r="C1076" s="82">
        <v>12</v>
      </c>
      <c r="D1076" s="82">
        <v>1</v>
      </c>
      <c r="E1076" s="82">
        <v>3</v>
      </c>
      <c r="F1076" s="82">
        <v>0</v>
      </c>
      <c r="G1076" s="82">
        <v>0</v>
      </c>
      <c r="H1076" s="149"/>
      <c r="I1076" s="149"/>
      <c r="J1076" s="1260" t="s">
        <v>1202</v>
      </c>
      <c r="K1076" s="1259"/>
      <c r="L1076" s="82" t="s">
        <v>359</v>
      </c>
      <c r="M1076" s="82" t="s">
        <v>767</v>
      </c>
      <c r="N1076" s="82" t="s">
        <v>226</v>
      </c>
      <c r="O1076" s="82" t="s">
        <v>1203</v>
      </c>
      <c r="P1076" s="82"/>
      <c r="Q1076" s="82"/>
      <c r="R1076" s="82"/>
      <c r="S1076" s="149"/>
      <c r="T1076" s="193"/>
      <c r="U1076" s="1045">
        <f>SUM(U1077:U1078)</f>
        <v>0</v>
      </c>
      <c r="V1076" s="1045"/>
      <c r="W1076" s="1045">
        <f t="shared" ref="W1076:AH1076" si="287">SUM(W1077:W1078)</f>
        <v>0</v>
      </c>
      <c r="X1076" s="1149">
        <f t="shared" si="287"/>
        <v>0</v>
      </c>
      <c r="Y1076" s="1045">
        <f>SUM(Y1077:Y1078)</f>
        <v>640000</v>
      </c>
      <c r="Z1076" s="1045">
        <f t="shared" si="287"/>
        <v>0</v>
      </c>
      <c r="AA1076" s="1149">
        <f t="shared" si="287"/>
        <v>0</v>
      </c>
      <c r="AB1076" s="1045">
        <f t="shared" si="287"/>
        <v>0</v>
      </c>
      <c r="AC1076" s="1045">
        <f t="shared" si="287"/>
        <v>0</v>
      </c>
      <c r="AD1076" s="1149">
        <f t="shared" si="287"/>
        <v>0</v>
      </c>
      <c r="AE1076" s="1045">
        <f t="shared" si="287"/>
        <v>0</v>
      </c>
      <c r="AF1076" s="1045">
        <f t="shared" si="287"/>
        <v>0</v>
      </c>
      <c r="AG1076" s="1149">
        <f t="shared" si="287"/>
        <v>0</v>
      </c>
      <c r="AH1076" s="1045">
        <f>SUM(AH1077:AH1078)</f>
        <v>640000</v>
      </c>
      <c r="AI1076" s="1047">
        <f t="shared" ref="AI1076" si="288">+SUM(AI1077:AI1078)</f>
        <v>0</v>
      </c>
      <c r="AJ1076" s="1047">
        <f>+SUM(AJ1077:AJ1078)</f>
        <v>0</v>
      </c>
      <c r="AK1076" s="1048"/>
      <c r="AL1076" s="1048"/>
      <c r="AM1076" s="1048"/>
      <c r="AN1076" s="1049" t="s">
        <v>39</v>
      </c>
      <c r="AO1076" s="82"/>
      <c r="AP1076" s="82"/>
      <c r="AQ1076" s="365"/>
      <c r="AR1076" s="82"/>
      <c r="AS1076" s="483"/>
      <c r="AT1076" s="82"/>
      <c r="AU1076" s="666"/>
      <c r="AV1076" s="386"/>
      <c r="AW1076" s="444"/>
    </row>
    <row r="1077" spans="1:49" s="107" customFormat="1" ht="21.6" hidden="1" customHeight="1" outlineLevel="2" x14ac:dyDescent="0.25">
      <c r="A1077" s="63" t="str">
        <f t="shared" si="215"/>
        <v>3.12.1.3.1.0</v>
      </c>
      <c r="B1077" s="100">
        <v>3</v>
      </c>
      <c r="C1077" s="100">
        <v>12</v>
      </c>
      <c r="D1077" s="100">
        <v>1</v>
      </c>
      <c r="E1077" s="100">
        <v>3</v>
      </c>
      <c r="F1077" s="100">
        <v>1</v>
      </c>
      <c r="G1077" s="100">
        <v>0</v>
      </c>
      <c r="H1077" s="101"/>
      <c r="I1077" s="101"/>
      <c r="J1077" s="101"/>
      <c r="K1077" s="101" t="s">
        <v>1982</v>
      </c>
      <c r="L1077" s="100" t="s">
        <v>910</v>
      </c>
      <c r="M1077" s="100" t="s">
        <v>299</v>
      </c>
      <c r="N1077" s="100" t="s">
        <v>910</v>
      </c>
      <c r="O1077" s="100" t="s">
        <v>1204</v>
      </c>
      <c r="P1077" s="815">
        <v>44562</v>
      </c>
      <c r="Q1077" s="815">
        <v>44920</v>
      </c>
      <c r="R1077" s="710">
        <v>0</v>
      </c>
      <c r="S1077" s="710" t="s">
        <v>299</v>
      </c>
      <c r="T1077" s="1201">
        <v>0</v>
      </c>
      <c r="U1077" s="254">
        <v>0</v>
      </c>
      <c r="V1077" s="254"/>
      <c r="W1077" s="254">
        <v>0</v>
      </c>
      <c r="X1077" s="1150">
        <v>0</v>
      </c>
      <c r="Y1077" s="254">
        <v>0</v>
      </c>
      <c r="Z1077" s="254">
        <v>0</v>
      </c>
      <c r="AA1077" s="1150">
        <v>0</v>
      </c>
      <c r="AB1077" s="254">
        <v>0</v>
      </c>
      <c r="AC1077" s="254">
        <v>0</v>
      </c>
      <c r="AD1077" s="1150">
        <v>0</v>
      </c>
      <c r="AE1077" s="254">
        <v>0</v>
      </c>
      <c r="AF1077" s="254">
        <v>0</v>
      </c>
      <c r="AG1077" s="1150">
        <v>0</v>
      </c>
      <c r="AH1077" s="505">
        <f>+U1077+Y1077+AB1077+AE1077</f>
        <v>0</v>
      </c>
      <c r="AI1077" s="132"/>
      <c r="AJ1077" s="75">
        <f>+U1077+Y1077+AB1077+AE1077</f>
        <v>0</v>
      </c>
      <c r="AK1077" s="325"/>
      <c r="AL1077" s="325"/>
      <c r="AM1077" s="325"/>
      <c r="AN1077" s="165" t="s">
        <v>39</v>
      </c>
      <c r="AO1077" s="100"/>
      <c r="AP1077" s="100"/>
      <c r="AQ1077" s="100"/>
      <c r="AR1077" s="100"/>
      <c r="AS1077" s="100"/>
      <c r="AT1077" s="100"/>
      <c r="AU1077" s="983"/>
      <c r="AV1077" s="960"/>
      <c r="AW1077" s="709" t="s">
        <v>2782</v>
      </c>
    </row>
    <row r="1078" spans="1:49" s="107" customFormat="1" ht="21.6" hidden="1" customHeight="1" outlineLevel="2" x14ac:dyDescent="0.25">
      <c r="A1078" s="63" t="str">
        <f t="shared" si="215"/>
        <v>3.12.1.3.2.0</v>
      </c>
      <c r="B1078" s="100">
        <v>3</v>
      </c>
      <c r="C1078" s="100">
        <v>12</v>
      </c>
      <c r="D1078" s="100">
        <v>1</v>
      </c>
      <c r="E1078" s="100">
        <v>3</v>
      </c>
      <c r="F1078" s="100">
        <v>2</v>
      </c>
      <c r="G1078" s="100">
        <v>0</v>
      </c>
      <c r="H1078" s="101"/>
      <c r="I1078" s="101"/>
      <c r="J1078" s="102"/>
      <c r="K1078" s="101" t="s">
        <v>1983</v>
      </c>
      <c r="L1078" s="100" t="s">
        <v>910</v>
      </c>
      <c r="M1078" s="100" t="s">
        <v>299</v>
      </c>
      <c r="N1078" s="100" t="s">
        <v>910</v>
      </c>
      <c r="O1078" s="100" t="s">
        <v>72</v>
      </c>
      <c r="P1078" s="104">
        <v>44927</v>
      </c>
      <c r="Q1078" s="104">
        <v>45285</v>
      </c>
      <c r="R1078" s="100">
        <v>2</v>
      </c>
      <c r="S1078" s="101" t="s">
        <v>299</v>
      </c>
      <c r="T1078" s="1182">
        <v>1</v>
      </c>
      <c r="U1078" s="742">
        <v>0</v>
      </c>
      <c r="V1078" s="742"/>
      <c r="W1078" s="742">
        <v>0</v>
      </c>
      <c r="X1078" s="1151">
        <v>0</v>
      </c>
      <c r="Y1078" s="742">
        <v>640000</v>
      </c>
      <c r="Z1078" s="742">
        <v>0</v>
      </c>
      <c r="AA1078" s="1151">
        <v>0</v>
      </c>
      <c r="AB1078" s="742">
        <v>0</v>
      </c>
      <c r="AC1078" s="742">
        <v>0</v>
      </c>
      <c r="AD1078" s="1151">
        <v>0</v>
      </c>
      <c r="AE1078" s="742">
        <v>0</v>
      </c>
      <c r="AF1078" s="742">
        <v>0</v>
      </c>
      <c r="AG1078" s="1151">
        <v>0</v>
      </c>
      <c r="AH1078" s="505">
        <f>+U1078+Y1078+AB1078+AE1078</f>
        <v>640000</v>
      </c>
      <c r="AI1078" s="132"/>
      <c r="AJ1078" s="75">
        <v>0</v>
      </c>
      <c r="AK1078" s="325"/>
      <c r="AL1078" s="325"/>
      <c r="AM1078" s="325"/>
      <c r="AN1078" s="165" t="s">
        <v>39</v>
      </c>
      <c r="AO1078" s="100"/>
      <c r="AP1078" s="100"/>
      <c r="AQ1078" s="100"/>
      <c r="AR1078" s="100"/>
      <c r="AS1078" s="100"/>
      <c r="AT1078" s="100"/>
      <c r="AU1078" s="964"/>
      <c r="AV1078" s="961"/>
      <c r="AW1078" s="456" t="s">
        <v>2759</v>
      </c>
    </row>
    <row r="1079" spans="1:49" s="153" customFormat="1" ht="30" customHeight="1" outlineLevel="1" collapsed="1" x14ac:dyDescent="0.25">
      <c r="A1079" s="148" t="str">
        <f t="shared" si="215"/>
        <v>3.12.1.4.0.0</v>
      </c>
      <c r="B1079" s="82">
        <v>3</v>
      </c>
      <c r="C1079" s="82">
        <v>12</v>
      </c>
      <c r="D1079" s="82">
        <v>1</v>
      </c>
      <c r="E1079" s="82">
        <v>4</v>
      </c>
      <c r="F1079" s="82">
        <v>0</v>
      </c>
      <c r="G1079" s="82">
        <v>0</v>
      </c>
      <c r="H1079" s="149"/>
      <c r="I1079" s="149"/>
      <c r="J1079" s="1260" t="s">
        <v>1207</v>
      </c>
      <c r="K1079" s="1259"/>
      <c r="L1079" s="82" t="s">
        <v>1124</v>
      </c>
      <c r="M1079" s="82" t="s">
        <v>299</v>
      </c>
      <c r="N1079" s="82" t="s">
        <v>910</v>
      </c>
      <c r="O1079" s="82" t="s">
        <v>444</v>
      </c>
      <c r="P1079" s="82"/>
      <c r="Q1079" s="82"/>
      <c r="R1079" s="82">
        <v>2</v>
      </c>
      <c r="S1079" s="149"/>
      <c r="T1079" s="193"/>
      <c r="U1079" s="1046">
        <f t="shared" ref="U1079:AH1079" si="289">+SUM(U1080)</f>
        <v>0</v>
      </c>
      <c r="V1079" s="1046"/>
      <c r="W1079" s="1046">
        <f t="shared" si="289"/>
        <v>0</v>
      </c>
      <c r="X1079" s="1152">
        <f t="shared" si="289"/>
        <v>0</v>
      </c>
      <c r="Y1079" s="1046">
        <f t="shared" si="289"/>
        <v>0</v>
      </c>
      <c r="Z1079" s="1046">
        <f t="shared" si="289"/>
        <v>0</v>
      </c>
      <c r="AA1079" s="1152">
        <f t="shared" si="289"/>
        <v>0</v>
      </c>
      <c r="AB1079" s="1046">
        <f t="shared" si="289"/>
        <v>0</v>
      </c>
      <c r="AC1079" s="1046">
        <f t="shared" si="289"/>
        <v>0</v>
      </c>
      <c r="AD1079" s="1152">
        <f t="shared" si="289"/>
        <v>0</v>
      </c>
      <c r="AE1079" s="1046">
        <f t="shared" si="289"/>
        <v>0</v>
      </c>
      <c r="AF1079" s="1046">
        <f t="shared" si="289"/>
        <v>0</v>
      </c>
      <c r="AG1079" s="1152">
        <f t="shared" si="289"/>
        <v>0</v>
      </c>
      <c r="AH1079" s="1046">
        <f t="shared" si="289"/>
        <v>0</v>
      </c>
      <c r="AI1079" s="1047">
        <f>+SUM(AI1080)</f>
        <v>0</v>
      </c>
      <c r="AJ1079" s="1047">
        <f>+SUM(AJ1080)</f>
        <v>0</v>
      </c>
      <c r="AK1079" s="1048"/>
      <c r="AL1079" s="1048"/>
      <c r="AM1079" s="1048"/>
      <c r="AN1079" s="1049" t="s">
        <v>39</v>
      </c>
      <c r="AO1079" s="82"/>
      <c r="AP1079" s="82"/>
      <c r="AQ1079" s="365"/>
      <c r="AR1079" s="82"/>
      <c r="AS1079" s="483"/>
      <c r="AT1079" s="82"/>
      <c r="AU1079" s="666"/>
      <c r="AV1079" s="386"/>
      <c r="AW1079" s="444"/>
    </row>
    <row r="1080" spans="1:49" ht="21.6" hidden="1" customHeight="1" outlineLevel="2" x14ac:dyDescent="0.25">
      <c r="A1080" s="63" t="str">
        <f t="shared" si="215"/>
        <v>3.12.1.4.1.0</v>
      </c>
      <c r="B1080" s="64">
        <v>3</v>
      </c>
      <c r="C1080" s="64">
        <v>12</v>
      </c>
      <c r="D1080" s="64">
        <v>1</v>
      </c>
      <c r="E1080" s="64">
        <v>4</v>
      </c>
      <c r="F1080" s="64">
        <v>1</v>
      </c>
      <c r="G1080" s="64">
        <v>0</v>
      </c>
      <c r="H1080" s="65"/>
      <c r="I1080" s="65"/>
      <c r="J1080" s="66"/>
      <c r="K1080" s="65" t="s">
        <v>1206</v>
      </c>
      <c r="L1080" s="64" t="s">
        <v>1124</v>
      </c>
      <c r="M1080" s="64" t="s">
        <v>299</v>
      </c>
      <c r="N1080" s="64" t="s">
        <v>910</v>
      </c>
      <c r="O1080" s="64" t="s">
        <v>444</v>
      </c>
      <c r="P1080" s="69">
        <v>44927</v>
      </c>
      <c r="Q1080" s="69">
        <v>45291</v>
      </c>
      <c r="R1080" s="64">
        <v>0</v>
      </c>
      <c r="S1080" s="65"/>
      <c r="T1080" s="194"/>
      <c r="U1080" s="75">
        <v>0</v>
      </c>
      <c r="V1080" s="75"/>
      <c r="W1080" s="75">
        <v>0</v>
      </c>
      <c r="X1080" s="1122">
        <v>0</v>
      </c>
      <c r="Y1080" s="75">
        <v>0</v>
      </c>
      <c r="Z1080" s="75">
        <v>0</v>
      </c>
      <c r="AA1080" s="1122">
        <v>0</v>
      </c>
      <c r="AB1080" s="75">
        <v>0</v>
      </c>
      <c r="AC1080" s="75">
        <v>0</v>
      </c>
      <c r="AD1080" s="1122">
        <v>0</v>
      </c>
      <c r="AE1080" s="75">
        <v>0</v>
      </c>
      <c r="AF1080" s="75">
        <v>0</v>
      </c>
      <c r="AG1080" s="1122">
        <v>0</v>
      </c>
      <c r="AH1080" s="524">
        <f>+U1080+Y1080+AB1080+AE1080</f>
        <v>0</v>
      </c>
      <c r="AI1080" s="258"/>
      <c r="AJ1080" s="258"/>
      <c r="AK1080" s="258"/>
      <c r="AL1080" s="258"/>
      <c r="AM1080" s="258"/>
      <c r="AN1080" s="64" t="s">
        <v>39</v>
      </c>
      <c r="AO1080" s="64"/>
      <c r="AP1080" s="64"/>
      <c r="AQ1080" s="189"/>
      <c r="AR1080" s="64"/>
      <c r="AS1080" s="476"/>
      <c r="AT1080" s="64"/>
      <c r="AU1080" s="646"/>
      <c r="AV1080" s="259"/>
      <c r="AW1080" s="65"/>
    </row>
    <row r="1081" spans="1:49" s="153" customFormat="1" ht="31.35" customHeight="1" outlineLevel="1" collapsed="1" x14ac:dyDescent="0.25">
      <c r="A1081" s="148" t="str">
        <f t="shared" si="215"/>
        <v>3.12.1.5.0.0</v>
      </c>
      <c r="B1081" s="82">
        <v>3</v>
      </c>
      <c r="C1081" s="82">
        <v>12</v>
      </c>
      <c r="D1081" s="82">
        <v>1</v>
      </c>
      <c r="E1081" s="82">
        <v>5</v>
      </c>
      <c r="F1081" s="82">
        <v>0</v>
      </c>
      <c r="G1081" s="82">
        <v>0</v>
      </c>
      <c r="H1081" s="149"/>
      <c r="I1081" s="149"/>
      <c r="J1081" s="1260" t="s">
        <v>1208</v>
      </c>
      <c r="K1081" s="1259"/>
      <c r="L1081" s="82" t="s">
        <v>910</v>
      </c>
      <c r="M1081" s="82" t="s">
        <v>767</v>
      </c>
      <c r="N1081" s="82" t="s">
        <v>767</v>
      </c>
      <c r="O1081" s="82" t="s">
        <v>359</v>
      </c>
      <c r="P1081" s="82"/>
      <c r="Q1081" s="82"/>
      <c r="R1081" s="82"/>
      <c r="S1081" s="149"/>
      <c r="T1081" s="193"/>
      <c r="U1081" s="1046">
        <f>+SUM(U1082:U1084)</f>
        <v>0</v>
      </c>
      <c r="V1081" s="1046"/>
      <c r="W1081" s="1046">
        <f t="shared" ref="W1081:AH1081" si="290">+SUM(W1082:W1084)</f>
        <v>0</v>
      </c>
      <c r="X1081" s="1152">
        <f t="shared" si="290"/>
        <v>0</v>
      </c>
      <c r="Y1081" s="1046">
        <f>+SUM(Y1082:Y1084)</f>
        <v>2000000</v>
      </c>
      <c r="Z1081" s="1046">
        <f t="shared" si="290"/>
        <v>0</v>
      </c>
      <c r="AA1081" s="1152">
        <f t="shared" si="290"/>
        <v>0</v>
      </c>
      <c r="AB1081" s="1046">
        <f>+SUM(AB1082:AB1084)</f>
        <v>1500000</v>
      </c>
      <c r="AC1081" s="1046">
        <f t="shared" si="290"/>
        <v>0</v>
      </c>
      <c r="AD1081" s="1152">
        <f t="shared" si="290"/>
        <v>0</v>
      </c>
      <c r="AE1081" s="1046">
        <f>+SUM(AE1082:AE1084)</f>
        <v>0</v>
      </c>
      <c r="AF1081" s="1046">
        <f t="shared" si="290"/>
        <v>0</v>
      </c>
      <c r="AG1081" s="1152">
        <f t="shared" si="290"/>
        <v>0</v>
      </c>
      <c r="AH1081" s="1046">
        <f>+SUM(AH1082:AH1084)</f>
        <v>3500000</v>
      </c>
      <c r="AI1081" s="1047">
        <f>+SUM(AI1082)</f>
        <v>0</v>
      </c>
      <c r="AJ1081" s="1047">
        <f>+SUM(AJ1082)</f>
        <v>7000</v>
      </c>
      <c r="AK1081" s="1048"/>
      <c r="AL1081" s="1048"/>
      <c r="AM1081" s="1048"/>
      <c r="AN1081" s="1049" t="s">
        <v>39</v>
      </c>
      <c r="AO1081" s="82"/>
      <c r="AP1081" s="82"/>
      <c r="AQ1081" s="365"/>
      <c r="AR1081" s="82"/>
      <c r="AS1081" s="483"/>
      <c r="AT1081" s="82"/>
      <c r="AU1081" s="666"/>
      <c r="AV1081" s="386"/>
      <c r="AW1081" s="444"/>
    </row>
    <row r="1082" spans="1:49" ht="44.1" hidden="1" customHeight="1" outlineLevel="3" x14ac:dyDescent="0.25">
      <c r="A1082" s="63" t="str">
        <f t="shared" si="215"/>
        <v>3.12.1.5.1.0</v>
      </c>
      <c r="B1082" s="64">
        <v>3</v>
      </c>
      <c r="C1082" s="64">
        <v>12</v>
      </c>
      <c r="D1082" s="64">
        <v>1</v>
      </c>
      <c r="E1082" s="64">
        <v>5</v>
      </c>
      <c r="F1082" s="64">
        <v>1</v>
      </c>
      <c r="G1082" s="64">
        <v>0</v>
      </c>
      <c r="H1082" s="65"/>
      <c r="I1082" s="65"/>
      <c r="J1082" s="66"/>
      <c r="K1082" s="65" t="s">
        <v>1209</v>
      </c>
      <c r="L1082" s="64" t="s">
        <v>910</v>
      </c>
      <c r="M1082" s="64" t="s">
        <v>767</v>
      </c>
      <c r="N1082" s="64" t="s">
        <v>1210</v>
      </c>
      <c r="O1082" s="64" t="s">
        <v>359</v>
      </c>
      <c r="P1082" s="69"/>
      <c r="Q1082" s="69"/>
      <c r="R1082" s="64">
        <v>2</v>
      </c>
      <c r="S1082" s="65" t="s">
        <v>299</v>
      </c>
      <c r="T1082" s="194">
        <v>2</v>
      </c>
      <c r="U1082" s="75">
        <v>0</v>
      </c>
      <c r="V1082" s="75"/>
      <c r="W1082" s="75">
        <v>0</v>
      </c>
      <c r="X1082" s="1122">
        <v>0</v>
      </c>
      <c r="Y1082" s="75">
        <v>0</v>
      </c>
      <c r="Z1082" s="75">
        <v>0</v>
      </c>
      <c r="AA1082" s="1122">
        <v>0</v>
      </c>
      <c r="AB1082" s="75">
        <v>0</v>
      </c>
      <c r="AC1082" s="75">
        <v>0</v>
      </c>
      <c r="AD1082" s="1122">
        <v>0</v>
      </c>
      <c r="AE1082" s="75">
        <v>0</v>
      </c>
      <c r="AF1082" s="75">
        <v>0</v>
      </c>
      <c r="AG1082" s="1122">
        <v>0</v>
      </c>
      <c r="AH1082" s="505">
        <f>+U1082+Y1082+AB1082+AE1082</f>
        <v>0</v>
      </c>
      <c r="AI1082" s="132"/>
      <c r="AJ1082" s="75">
        <f t="shared" ref="AJ1082:AJ1084" si="291">+W1085+Z1085+AC1085+AF1085</f>
        <v>7000</v>
      </c>
      <c r="AK1082" s="75"/>
      <c r="AL1082" s="75"/>
      <c r="AM1082" s="75"/>
      <c r="AN1082" s="64" t="s">
        <v>39</v>
      </c>
      <c r="AO1082" s="100"/>
      <c r="AP1082" s="100"/>
      <c r="AQ1082" s="993"/>
      <c r="AR1082" s="100"/>
      <c r="AS1082" s="994"/>
      <c r="AT1082" s="104"/>
      <c r="AU1082" s="964"/>
      <c r="AV1082" s="67"/>
      <c r="AW1082" s="456"/>
    </row>
    <row r="1083" spans="1:49" ht="44.1" hidden="1" customHeight="1" outlineLevel="3" x14ac:dyDescent="0.25">
      <c r="A1083" s="63" t="str">
        <f t="shared" si="215"/>
        <v>3.12.1.5.2.0</v>
      </c>
      <c r="B1083" s="64">
        <v>3</v>
      </c>
      <c r="C1083" s="64">
        <v>12</v>
      </c>
      <c r="D1083" s="64">
        <v>1</v>
      </c>
      <c r="E1083" s="64">
        <v>5</v>
      </c>
      <c r="F1083" s="64">
        <v>2</v>
      </c>
      <c r="G1083" s="64">
        <v>0</v>
      </c>
      <c r="H1083" s="166"/>
      <c r="I1083" s="166"/>
      <c r="J1083" s="167"/>
      <c r="K1083" s="166" t="s">
        <v>2825</v>
      </c>
      <c r="L1083" s="165"/>
      <c r="M1083" s="165"/>
      <c r="N1083" s="165"/>
      <c r="O1083" s="165"/>
      <c r="P1083" s="169"/>
      <c r="Q1083" s="169"/>
      <c r="R1083" s="165"/>
      <c r="S1083" s="166"/>
      <c r="T1083" s="1185"/>
      <c r="U1083" s="75">
        <v>0</v>
      </c>
      <c r="V1083" s="75"/>
      <c r="W1083" s="75">
        <v>0</v>
      </c>
      <c r="X1083" s="1122">
        <v>0</v>
      </c>
      <c r="Y1083" s="75">
        <v>0</v>
      </c>
      <c r="Z1083" s="75">
        <v>0</v>
      </c>
      <c r="AA1083" s="1122">
        <v>0</v>
      </c>
      <c r="AB1083" s="75">
        <v>1500000</v>
      </c>
      <c r="AC1083" s="75">
        <v>0</v>
      </c>
      <c r="AD1083" s="1122">
        <v>0</v>
      </c>
      <c r="AE1083" s="75">
        <v>0</v>
      </c>
      <c r="AF1083" s="75">
        <v>0</v>
      </c>
      <c r="AG1083" s="1122">
        <v>0</v>
      </c>
      <c r="AH1083" s="505">
        <f t="shared" ref="AH1083:AH1084" si="292">+U1083+Y1083+AB1083+AE1083</f>
        <v>1500000</v>
      </c>
      <c r="AI1083" s="132"/>
      <c r="AJ1083" s="75">
        <f t="shared" si="291"/>
        <v>0</v>
      </c>
      <c r="AK1083" s="75"/>
      <c r="AL1083" s="75"/>
      <c r="AM1083" s="75"/>
      <c r="AN1083" s="64" t="s">
        <v>39</v>
      </c>
      <c r="AO1083" s="710"/>
      <c r="AP1083" s="710"/>
      <c r="AQ1083" s="1052"/>
      <c r="AR1083" s="710"/>
      <c r="AS1083" s="1053"/>
      <c r="AT1083" s="815"/>
      <c r="AU1083" s="1099"/>
      <c r="AV1083" s="67"/>
      <c r="AW1083" s="709" t="s">
        <v>2826</v>
      </c>
    </row>
    <row r="1084" spans="1:49" ht="44.1" hidden="1" customHeight="1" outlineLevel="3" x14ac:dyDescent="0.25">
      <c r="A1084" s="63" t="str">
        <f t="shared" si="215"/>
        <v>3.12.1.5.3.0</v>
      </c>
      <c r="B1084" s="64">
        <v>3</v>
      </c>
      <c r="C1084" s="64">
        <v>12</v>
      </c>
      <c r="D1084" s="64">
        <v>1</v>
      </c>
      <c r="E1084" s="64">
        <v>5</v>
      </c>
      <c r="F1084" s="64">
        <v>3</v>
      </c>
      <c r="G1084" s="64">
        <v>0</v>
      </c>
      <c r="H1084" s="166"/>
      <c r="I1084" s="166"/>
      <c r="J1084" s="167"/>
      <c r="K1084" s="166" t="s">
        <v>2827</v>
      </c>
      <c r="L1084" s="165"/>
      <c r="M1084" s="165"/>
      <c r="N1084" s="165"/>
      <c r="O1084" s="165"/>
      <c r="P1084" s="169"/>
      <c r="Q1084" s="169"/>
      <c r="R1084" s="165"/>
      <c r="S1084" s="166"/>
      <c r="T1084" s="1185"/>
      <c r="U1084" s="75">
        <v>0</v>
      </c>
      <c r="V1084" s="75"/>
      <c r="W1084" s="75">
        <v>0</v>
      </c>
      <c r="X1084" s="1122">
        <v>0</v>
      </c>
      <c r="Y1084" s="75">
        <v>2000000</v>
      </c>
      <c r="Z1084" s="75">
        <v>0</v>
      </c>
      <c r="AA1084" s="1122">
        <v>0</v>
      </c>
      <c r="AB1084" s="75">
        <v>0</v>
      </c>
      <c r="AC1084" s="75">
        <v>0</v>
      </c>
      <c r="AD1084" s="1122">
        <v>0</v>
      </c>
      <c r="AE1084" s="75">
        <v>0</v>
      </c>
      <c r="AF1084" s="75">
        <v>0</v>
      </c>
      <c r="AG1084" s="1122">
        <v>0</v>
      </c>
      <c r="AH1084" s="505">
        <f t="shared" si="292"/>
        <v>2000000</v>
      </c>
      <c r="AI1084" s="132"/>
      <c r="AJ1084" s="75">
        <f t="shared" si="291"/>
        <v>0</v>
      </c>
      <c r="AK1084" s="75"/>
      <c r="AL1084" s="75"/>
      <c r="AM1084" s="75"/>
      <c r="AN1084" s="64" t="s">
        <v>39</v>
      </c>
      <c r="AO1084" s="710"/>
      <c r="AP1084" s="710"/>
      <c r="AQ1084" s="1052"/>
      <c r="AR1084" s="710"/>
      <c r="AS1084" s="1053"/>
      <c r="AT1084" s="815"/>
      <c r="AU1084" s="1099"/>
      <c r="AV1084" s="432"/>
      <c r="AW1084" s="709" t="s">
        <v>2826</v>
      </c>
    </row>
    <row r="1085" spans="1:49" s="153" customFormat="1" ht="53.25" customHeight="1" outlineLevel="1" collapsed="1" x14ac:dyDescent="0.25">
      <c r="A1085" s="298" t="str">
        <f t="shared" si="215"/>
        <v>3.12.1.6.0.0</v>
      </c>
      <c r="B1085" s="299">
        <v>3</v>
      </c>
      <c r="C1085" s="299">
        <v>12</v>
      </c>
      <c r="D1085" s="299">
        <v>1</v>
      </c>
      <c r="E1085" s="299">
        <v>6</v>
      </c>
      <c r="F1085" s="299">
        <v>0</v>
      </c>
      <c r="G1085" s="299">
        <v>0</v>
      </c>
      <c r="H1085" s="300"/>
      <c r="I1085" s="300"/>
      <c r="J1085" s="1298" t="s">
        <v>1213</v>
      </c>
      <c r="K1085" s="1299"/>
      <c r="L1085" s="299" t="s">
        <v>72</v>
      </c>
      <c r="M1085" s="299" t="s">
        <v>73</v>
      </c>
      <c r="N1085" s="299" t="s">
        <v>74</v>
      </c>
      <c r="O1085" s="299" t="s">
        <v>38</v>
      </c>
      <c r="P1085" s="299"/>
      <c r="Q1085" s="299"/>
      <c r="R1085" s="299"/>
      <c r="S1085" s="300"/>
      <c r="T1085" s="1202"/>
      <c r="U1085" s="1015">
        <f>+SUM(U1086:U1136)</f>
        <v>37719869.270000011</v>
      </c>
      <c r="V1085" s="1015"/>
      <c r="W1085" s="1015">
        <f t="shared" ref="W1085:AG1085" si="293">+SUM(W1086:W1136)</f>
        <v>0</v>
      </c>
      <c r="X1085" s="1139">
        <f t="shared" si="293"/>
        <v>0</v>
      </c>
      <c r="Y1085" s="1015">
        <f>+SUM(Y1086:Y1136)</f>
        <v>25845397.270000003</v>
      </c>
      <c r="Z1085" s="1015">
        <f t="shared" si="293"/>
        <v>7000</v>
      </c>
      <c r="AA1085" s="1139">
        <f t="shared" si="293"/>
        <v>0</v>
      </c>
      <c r="AB1085" s="1015">
        <f>+SUM(AB1086:AB1136)</f>
        <v>6746200.9500000002</v>
      </c>
      <c r="AC1085" s="1015">
        <f t="shared" si="293"/>
        <v>0</v>
      </c>
      <c r="AD1085" s="1139">
        <f t="shared" si="293"/>
        <v>0</v>
      </c>
      <c r="AE1085" s="1015">
        <f>+SUM(AE1086:AE1136)</f>
        <v>6746200.9500000002</v>
      </c>
      <c r="AF1085" s="1015">
        <f t="shared" si="293"/>
        <v>0</v>
      </c>
      <c r="AG1085" s="1139">
        <f t="shared" si="293"/>
        <v>0</v>
      </c>
      <c r="AH1085" s="1015">
        <f>+SUM(AH1086:AH1136)</f>
        <v>77057668.439999998</v>
      </c>
      <c r="AI1085" s="386">
        <f t="shared" ref="AI1085" si="294">+SUM(AI1086:AI1129)</f>
        <v>0</v>
      </c>
      <c r="AJ1085" s="1015">
        <f>+SUM(AJ1086:AJ1129)</f>
        <v>7000</v>
      </c>
      <c r="AK1085" s="522">
        <f t="shared" ref="AK1085:AM1085" si="295">+SUM(AK1086:AK1128)</f>
        <v>0</v>
      </c>
      <c r="AL1085" s="522">
        <f t="shared" si="295"/>
        <v>0</v>
      </c>
      <c r="AM1085" s="522">
        <f t="shared" si="295"/>
        <v>0</v>
      </c>
      <c r="AN1085" s="299" t="s">
        <v>1157</v>
      </c>
      <c r="AO1085" s="299"/>
      <c r="AP1085" s="299"/>
      <c r="AQ1085" s="424"/>
      <c r="AR1085" s="299"/>
      <c r="AS1085" s="490"/>
      <c r="AT1085" s="299"/>
      <c r="AU1085" s="1016"/>
      <c r="AV1085" s="1015"/>
      <c r="AW1085" s="1017" t="s">
        <v>1214</v>
      </c>
    </row>
    <row r="1086" spans="1:49" ht="47.45" hidden="1" customHeight="1" outlineLevel="2" x14ac:dyDescent="0.25">
      <c r="A1086" s="63" t="str">
        <f t="shared" si="215"/>
        <v>3.12.1.6.1.0</v>
      </c>
      <c r="B1086" s="64">
        <v>3</v>
      </c>
      <c r="C1086" s="64">
        <v>12</v>
      </c>
      <c r="D1086" s="64">
        <v>1</v>
      </c>
      <c r="E1086" s="64">
        <v>6</v>
      </c>
      <c r="F1086" s="64">
        <v>1</v>
      </c>
      <c r="G1086" s="64">
        <v>0</v>
      </c>
      <c r="H1086" s="65"/>
      <c r="I1086" s="65"/>
      <c r="J1086" s="65"/>
      <c r="K1086" s="101" t="s">
        <v>1215</v>
      </c>
      <c r="L1086" s="64" t="s">
        <v>72</v>
      </c>
      <c r="M1086" s="64" t="s">
        <v>73</v>
      </c>
      <c r="N1086" s="64" t="s">
        <v>2709</v>
      </c>
      <c r="O1086" s="64" t="s">
        <v>38</v>
      </c>
      <c r="P1086" s="69">
        <v>44972</v>
      </c>
      <c r="Q1086" s="69">
        <v>45290</v>
      </c>
      <c r="R1086" s="64">
        <v>1</v>
      </c>
      <c r="S1086" s="65" t="s">
        <v>76</v>
      </c>
      <c r="T1086" s="194">
        <v>1</v>
      </c>
      <c r="U1086" s="155">
        <f>500000/4</f>
        <v>125000</v>
      </c>
      <c r="V1086" s="155"/>
      <c r="W1086" s="821">
        <v>0</v>
      </c>
      <c r="X1086" s="1132">
        <v>0</v>
      </c>
      <c r="Y1086" s="155">
        <v>125000</v>
      </c>
      <c r="Z1086" s="1032">
        <v>0</v>
      </c>
      <c r="AA1086" s="1132">
        <v>0</v>
      </c>
      <c r="AB1086" s="155">
        <v>125000</v>
      </c>
      <c r="AC1086" s="1032">
        <v>0</v>
      </c>
      <c r="AD1086" s="1132">
        <v>0</v>
      </c>
      <c r="AE1086" s="155">
        <v>125000</v>
      </c>
      <c r="AF1086" s="1032">
        <v>0</v>
      </c>
      <c r="AG1086" s="1132">
        <v>0</v>
      </c>
      <c r="AH1086" s="505">
        <f>+U1086+Y1086+AB1086+AE1086</f>
        <v>500000</v>
      </c>
      <c r="AI1086" s="132"/>
      <c r="AJ1086" s="75">
        <f t="shared" ref="AJ1086:AJ1130" si="296">+W1087+Z1087+AC1087+AF1087</f>
        <v>0</v>
      </c>
      <c r="AK1086" s="370"/>
      <c r="AL1086" s="75"/>
      <c r="AM1086" s="75"/>
      <c r="AN1086" s="64" t="s">
        <v>39</v>
      </c>
      <c r="AO1086" s="100"/>
      <c r="AP1086" s="100"/>
      <c r="AQ1086" s="100"/>
      <c r="AR1086" s="104"/>
      <c r="AS1086" s="104"/>
      <c r="AT1086" s="104"/>
      <c r="AU1086" s="964"/>
      <c r="AV1086" s="259" t="s">
        <v>271</v>
      </c>
      <c r="AW1086" s="103" t="s">
        <v>2810</v>
      </c>
    </row>
    <row r="1087" spans="1:49" ht="58.35" hidden="1" customHeight="1" outlineLevel="2" x14ac:dyDescent="0.25">
      <c r="A1087" s="864" t="str">
        <f t="shared" si="215"/>
        <v>3.12.1.6.2.0</v>
      </c>
      <c r="B1087" s="245">
        <v>3</v>
      </c>
      <c r="C1087" s="245">
        <v>12</v>
      </c>
      <c r="D1087" s="245">
        <v>1</v>
      </c>
      <c r="E1087" s="245">
        <v>6</v>
      </c>
      <c r="F1087" s="245">
        <v>2</v>
      </c>
      <c r="G1087" s="245">
        <v>0</v>
      </c>
      <c r="H1087" s="1018"/>
      <c r="I1087" s="1018"/>
      <c r="J1087" s="1019"/>
      <c r="K1087" s="1221" t="s">
        <v>2698</v>
      </c>
      <c r="L1087" s="245" t="s">
        <v>72</v>
      </c>
      <c r="M1087" s="245" t="s">
        <v>73</v>
      </c>
      <c r="N1087" s="245" t="s">
        <v>74</v>
      </c>
      <c r="O1087" s="245" t="s">
        <v>38</v>
      </c>
      <c r="P1087" s="69">
        <v>44972</v>
      </c>
      <c r="Q1087" s="69">
        <v>45290</v>
      </c>
      <c r="R1087" s="245">
        <v>2</v>
      </c>
      <c r="S1087" s="1018" t="s">
        <v>76</v>
      </c>
      <c r="T1087" s="1186">
        <v>1</v>
      </c>
      <c r="U1087" s="1026">
        <v>0</v>
      </c>
      <c r="V1087" s="1026"/>
      <c r="W1087" s="1088">
        <v>0</v>
      </c>
      <c r="X1087" s="1153">
        <v>0</v>
      </c>
      <c r="Y1087" s="1026">
        <f>17220+900+19200+52795+471521.2+817628.42+54355+459865+202815+483895+104260+318333.62+142785+19157.98+202770+5827+105000+98850</f>
        <v>3577178.22</v>
      </c>
      <c r="Z1087" s="1041">
        <v>0</v>
      </c>
      <c r="AA1087" s="1153">
        <v>0</v>
      </c>
      <c r="AB1087" s="1026">
        <v>0</v>
      </c>
      <c r="AC1087" s="1041">
        <v>0</v>
      </c>
      <c r="AD1087" s="1132">
        <v>0</v>
      </c>
      <c r="AE1087" s="155">
        <v>0</v>
      </c>
      <c r="AF1087" s="1041">
        <v>0</v>
      </c>
      <c r="AG1087" s="1132">
        <v>0</v>
      </c>
      <c r="AH1087" s="505">
        <f t="shared" ref="AH1087:AH1136" si="297">+U1087+Y1087+AB1087+AE1087</f>
        <v>3577178.22</v>
      </c>
      <c r="AI1087" s="132"/>
      <c r="AJ1087" s="75">
        <f t="shared" si="296"/>
        <v>0</v>
      </c>
      <c r="AK1087" s="75"/>
      <c r="AL1087" s="75"/>
      <c r="AM1087" s="75"/>
      <c r="AN1087" s="245" t="s">
        <v>39</v>
      </c>
      <c r="AO1087" s="1028"/>
      <c r="AP1087" s="1028"/>
      <c r="AQ1087" s="1029"/>
      <c r="AR1087" s="1028"/>
      <c r="AS1087" s="1030"/>
      <c r="AT1087" s="1028"/>
      <c r="AU1087" s="1031"/>
      <c r="AV1087" s="259" t="s">
        <v>271</v>
      </c>
      <c r="AW1087" s="103" t="s">
        <v>2835</v>
      </c>
    </row>
    <row r="1088" spans="1:49" ht="47.45" hidden="1" customHeight="1" outlineLevel="2" x14ac:dyDescent="0.25">
      <c r="A1088" s="63" t="str">
        <f>CONCATENATE(B1088,".",C1088,".",D1088,".",E1088,".",F1088,".",G1088)</f>
        <v>3.12.1.6.3.0</v>
      </c>
      <c r="B1088" s="64">
        <v>3</v>
      </c>
      <c r="C1088" s="64">
        <v>12</v>
      </c>
      <c r="D1088" s="64">
        <v>1</v>
      </c>
      <c r="E1088" s="64">
        <v>6</v>
      </c>
      <c r="F1088" s="64">
        <v>3</v>
      </c>
      <c r="G1088" s="64">
        <v>0</v>
      </c>
      <c r="H1088" s="65"/>
      <c r="I1088" s="65"/>
      <c r="J1088" s="66"/>
      <c r="K1088" s="101" t="s">
        <v>869</v>
      </c>
      <c r="L1088" s="64" t="s">
        <v>72</v>
      </c>
      <c r="M1088" s="64" t="s">
        <v>73</v>
      </c>
      <c r="N1088" s="64" t="s">
        <v>74</v>
      </c>
      <c r="O1088" s="64" t="s">
        <v>38</v>
      </c>
      <c r="P1088" s="69">
        <v>44972</v>
      </c>
      <c r="Q1088" s="69">
        <v>45290</v>
      </c>
      <c r="R1088" s="64">
        <v>12</v>
      </c>
      <c r="S1088" s="65" t="s">
        <v>871</v>
      </c>
      <c r="T1088" s="194"/>
      <c r="U1088" s="155">
        <v>2000000</v>
      </c>
      <c r="V1088" s="155"/>
      <c r="W1088" s="821">
        <v>0</v>
      </c>
      <c r="X1088" s="1132">
        <v>0</v>
      </c>
      <c r="Y1088" s="155">
        <v>2000000</v>
      </c>
      <c r="Z1088" s="986">
        <v>0</v>
      </c>
      <c r="AA1088" s="1132">
        <v>0</v>
      </c>
      <c r="AB1088" s="155">
        <v>2000000</v>
      </c>
      <c r="AC1088" s="986">
        <v>0</v>
      </c>
      <c r="AD1088" s="1218">
        <v>0</v>
      </c>
      <c r="AE1088" s="172">
        <v>2000000</v>
      </c>
      <c r="AF1088" s="986">
        <v>0</v>
      </c>
      <c r="AG1088" s="1132">
        <v>0</v>
      </c>
      <c r="AH1088" s="505">
        <f t="shared" si="297"/>
        <v>8000000</v>
      </c>
      <c r="AI1088" s="132"/>
      <c r="AJ1088" s="75">
        <f t="shared" si="296"/>
        <v>0</v>
      </c>
      <c r="AK1088" s="75"/>
      <c r="AL1088" s="75"/>
      <c r="AM1088" s="75"/>
      <c r="AN1088" s="64" t="s">
        <v>39</v>
      </c>
      <c r="AO1088" s="995"/>
      <c r="AP1088" s="995"/>
      <c r="AQ1088" s="996"/>
      <c r="AR1088" s="104"/>
      <c r="AS1088" s="997"/>
      <c r="AT1088" s="998"/>
      <c r="AU1088" s="981"/>
      <c r="AV1088" s="259" t="s">
        <v>977</v>
      </c>
      <c r="AW1088" s="103" t="s">
        <v>2796</v>
      </c>
    </row>
    <row r="1089" spans="1:49" ht="47.45" hidden="1" customHeight="1" outlineLevel="2" x14ac:dyDescent="0.25">
      <c r="A1089" s="63" t="str">
        <f t="shared" si="215"/>
        <v>3.12.1.6.4.0</v>
      </c>
      <c r="B1089" s="64">
        <v>3</v>
      </c>
      <c r="C1089" s="64">
        <v>12</v>
      </c>
      <c r="D1089" s="64">
        <v>1</v>
      </c>
      <c r="E1089" s="64">
        <v>6</v>
      </c>
      <c r="F1089" s="64">
        <v>4</v>
      </c>
      <c r="G1089" s="64">
        <v>0</v>
      </c>
      <c r="H1089" s="65"/>
      <c r="I1089" s="65"/>
      <c r="J1089" s="66"/>
      <c r="K1089" s="101" t="s">
        <v>1219</v>
      </c>
      <c r="L1089" s="64" t="s">
        <v>72</v>
      </c>
      <c r="M1089" s="64" t="s">
        <v>73</v>
      </c>
      <c r="N1089" s="64" t="s">
        <v>74</v>
      </c>
      <c r="O1089" s="64" t="s">
        <v>38</v>
      </c>
      <c r="P1089" s="69">
        <v>44972</v>
      </c>
      <c r="Q1089" s="69">
        <v>45290</v>
      </c>
      <c r="R1089" s="64"/>
      <c r="S1089" s="65"/>
      <c r="T1089" s="194"/>
      <c r="U1089" s="155">
        <f>5173920/4</f>
        <v>1293480</v>
      </c>
      <c r="V1089" s="155"/>
      <c r="W1089" s="1006">
        <v>0</v>
      </c>
      <c r="X1089" s="1132">
        <v>0</v>
      </c>
      <c r="Y1089" s="963">
        <v>1293480</v>
      </c>
      <c r="Z1089" s="986">
        <v>0</v>
      </c>
      <c r="AA1089" s="1132">
        <v>0</v>
      </c>
      <c r="AB1089" s="963">
        <v>1293480</v>
      </c>
      <c r="AC1089" s="986">
        <v>0</v>
      </c>
      <c r="AD1089" s="1218">
        <v>0</v>
      </c>
      <c r="AE1089" s="172">
        <v>1293480</v>
      </c>
      <c r="AF1089" s="986">
        <v>0</v>
      </c>
      <c r="AG1089" s="1132">
        <v>0</v>
      </c>
      <c r="AH1089" s="505">
        <f t="shared" si="297"/>
        <v>5173920</v>
      </c>
      <c r="AI1089" s="132"/>
      <c r="AJ1089" s="75">
        <f t="shared" si="296"/>
        <v>0</v>
      </c>
      <c r="AK1089" s="75"/>
      <c r="AL1089" s="75"/>
      <c r="AM1089" s="75"/>
      <c r="AN1089" s="64" t="s">
        <v>39</v>
      </c>
      <c r="AO1089" s="100"/>
      <c r="AP1089" s="100"/>
      <c r="AQ1089" s="993"/>
      <c r="AR1089" s="100"/>
      <c r="AS1089" s="994"/>
      <c r="AT1089" s="100"/>
      <c r="AU1089" s="964"/>
      <c r="AV1089" s="259"/>
      <c r="AW1089" s="99"/>
    </row>
    <row r="1090" spans="1:49" ht="47.45" hidden="1" customHeight="1" outlineLevel="2" x14ac:dyDescent="0.25">
      <c r="A1090" s="63" t="str">
        <f t="shared" si="215"/>
        <v>3.12.1.6.5.0</v>
      </c>
      <c r="B1090" s="64">
        <v>3</v>
      </c>
      <c r="C1090" s="64">
        <v>12</v>
      </c>
      <c r="D1090" s="64">
        <v>1</v>
      </c>
      <c r="E1090" s="64">
        <v>6</v>
      </c>
      <c r="F1090" s="64">
        <v>5</v>
      </c>
      <c r="G1090" s="64">
        <v>0</v>
      </c>
      <c r="H1090" s="65"/>
      <c r="I1090" s="65"/>
      <c r="J1090" s="66"/>
      <c r="K1090" s="103" t="s">
        <v>1220</v>
      </c>
      <c r="L1090" s="64" t="s">
        <v>72</v>
      </c>
      <c r="M1090" s="64" t="s">
        <v>73</v>
      </c>
      <c r="N1090" s="64" t="s">
        <v>74</v>
      </c>
      <c r="O1090" s="64" t="s">
        <v>38</v>
      </c>
      <c r="P1090" s="69">
        <v>44972</v>
      </c>
      <c r="Q1090" s="69">
        <v>45290</v>
      </c>
      <c r="R1090" s="64">
        <v>1</v>
      </c>
      <c r="S1090" s="65"/>
      <c r="T1090" s="194"/>
      <c r="U1090" s="155">
        <v>1858658.16</v>
      </c>
      <c r="V1090" s="155"/>
      <c r="W1090" s="821">
        <v>0</v>
      </c>
      <c r="X1090" s="1132">
        <v>0</v>
      </c>
      <c r="Y1090" s="155"/>
      <c r="Z1090" s="986">
        <v>0</v>
      </c>
      <c r="AA1090" s="1132">
        <v>0</v>
      </c>
      <c r="AB1090" s="155">
        <v>0</v>
      </c>
      <c r="AC1090" s="986">
        <v>0</v>
      </c>
      <c r="AD1090" s="1132">
        <v>0</v>
      </c>
      <c r="AE1090" s="155">
        <v>0</v>
      </c>
      <c r="AF1090" s="986">
        <v>0</v>
      </c>
      <c r="AG1090" s="1132">
        <v>0</v>
      </c>
      <c r="AH1090" s="505">
        <f t="shared" si="297"/>
        <v>1858658.16</v>
      </c>
      <c r="AI1090" s="132"/>
      <c r="AJ1090" s="75">
        <f t="shared" si="296"/>
        <v>0</v>
      </c>
      <c r="AK1090" s="75"/>
      <c r="AL1090" s="75"/>
      <c r="AM1090" s="75"/>
      <c r="AN1090" s="64" t="s">
        <v>39</v>
      </c>
      <c r="AO1090" s="64"/>
      <c r="AP1090" s="68"/>
      <c r="AQ1090" s="189"/>
      <c r="AR1090" s="64"/>
      <c r="AS1090" s="476"/>
      <c r="AT1090" s="64"/>
      <c r="AU1090" s="983"/>
      <c r="AV1090" s="259"/>
      <c r="AW1090" s="731" t="s">
        <v>2819</v>
      </c>
    </row>
    <row r="1091" spans="1:49" ht="47.45" hidden="1" customHeight="1" outlineLevel="2" x14ac:dyDescent="0.25">
      <c r="A1091" s="63" t="str">
        <f t="shared" si="215"/>
        <v>3.12.1.6.6.0</v>
      </c>
      <c r="B1091" s="64">
        <v>3</v>
      </c>
      <c r="C1091" s="64">
        <v>12</v>
      </c>
      <c r="D1091" s="64">
        <v>1</v>
      </c>
      <c r="E1091" s="64">
        <v>6</v>
      </c>
      <c r="F1091" s="64">
        <v>6</v>
      </c>
      <c r="G1091" s="64">
        <v>0</v>
      </c>
      <c r="H1091" s="65"/>
      <c r="I1091" s="65"/>
      <c r="J1091" s="66"/>
      <c r="K1091" s="101" t="s">
        <v>1222</v>
      </c>
      <c r="L1091" s="64" t="s">
        <v>72</v>
      </c>
      <c r="M1091" s="64" t="s">
        <v>73</v>
      </c>
      <c r="N1091" s="64" t="s">
        <v>1223</v>
      </c>
      <c r="O1091" s="64" t="s">
        <v>38</v>
      </c>
      <c r="P1091" s="69">
        <v>44972</v>
      </c>
      <c r="Q1091" s="69">
        <v>45290</v>
      </c>
      <c r="R1091" s="64">
        <v>12</v>
      </c>
      <c r="S1091" s="65"/>
      <c r="T1091" s="194">
        <v>3</v>
      </c>
      <c r="U1091" s="155">
        <f>380000/4+10603.7</f>
        <v>105603.7</v>
      </c>
      <c r="V1091" s="155"/>
      <c r="W1091" s="1006">
        <v>0</v>
      </c>
      <c r="X1091" s="1132">
        <v>0</v>
      </c>
      <c r="Y1091" s="155">
        <v>105603.7</v>
      </c>
      <c r="Z1091" s="1032">
        <v>0</v>
      </c>
      <c r="AA1091" s="1132">
        <v>0</v>
      </c>
      <c r="AB1091" s="155">
        <v>105603.7</v>
      </c>
      <c r="AC1091" s="986">
        <v>0</v>
      </c>
      <c r="AD1091" s="1218">
        <v>0</v>
      </c>
      <c r="AE1091" s="155">
        <v>105603.7</v>
      </c>
      <c r="AF1091" s="986">
        <v>0</v>
      </c>
      <c r="AG1091" s="1132">
        <v>0</v>
      </c>
      <c r="AH1091" s="505">
        <f t="shared" si="297"/>
        <v>422414.8</v>
      </c>
      <c r="AI1091" s="132"/>
      <c r="AJ1091" s="75">
        <f t="shared" si="296"/>
        <v>0</v>
      </c>
      <c r="AK1091" s="75"/>
      <c r="AL1091" s="75"/>
      <c r="AM1091" s="75"/>
      <c r="AN1091" s="64" t="s">
        <v>39</v>
      </c>
      <c r="AO1091" s="64"/>
      <c r="AP1091" s="64"/>
      <c r="AQ1091" s="533"/>
      <c r="AR1091" s="69"/>
      <c r="AS1091" s="554"/>
      <c r="AT1091" s="64"/>
      <c r="AU1091" s="1043"/>
      <c r="AV1091" s="259"/>
      <c r="AW1091" s="90"/>
    </row>
    <row r="1092" spans="1:49" ht="47.45" hidden="1" customHeight="1" outlineLevel="2" x14ac:dyDescent="0.25">
      <c r="A1092" s="63" t="str">
        <f t="shared" si="215"/>
        <v>3.12.1.6.7.0</v>
      </c>
      <c r="B1092" s="64">
        <v>3</v>
      </c>
      <c r="C1092" s="64">
        <v>12</v>
      </c>
      <c r="D1092" s="64">
        <v>1</v>
      </c>
      <c r="E1092" s="64">
        <v>6</v>
      </c>
      <c r="F1092" s="64">
        <v>7</v>
      </c>
      <c r="G1092" s="64">
        <v>0</v>
      </c>
      <c r="H1092" s="65"/>
      <c r="I1092" s="65"/>
      <c r="J1092" s="66"/>
      <c r="K1092" s="1222" t="s">
        <v>1225</v>
      </c>
      <c r="L1092" s="64" t="s">
        <v>72</v>
      </c>
      <c r="M1092" s="64" t="s">
        <v>73</v>
      </c>
      <c r="N1092" s="64" t="s">
        <v>74</v>
      </c>
      <c r="O1092" s="64" t="s">
        <v>38</v>
      </c>
      <c r="P1092" s="69">
        <v>44972</v>
      </c>
      <c r="Q1092" s="69">
        <v>45290</v>
      </c>
      <c r="R1092" s="64"/>
      <c r="S1092" s="65"/>
      <c r="T1092" s="194"/>
      <c r="U1092" s="155">
        <v>0</v>
      </c>
      <c r="V1092" s="155"/>
      <c r="W1092" s="1006">
        <v>0</v>
      </c>
      <c r="X1092" s="1132">
        <v>0</v>
      </c>
      <c r="Y1092" s="155">
        <v>0</v>
      </c>
      <c r="Z1092" s="1041">
        <v>0</v>
      </c>
      <c r="AA1092" s="1132">
        <v>0</v>
      </c>
      <c r="AB1092" s="155">
        <v>0</v>
      </c>
      <c r="AC1092" s="986">
        <v>0</v>
      </c>
      <c r="AD1092" s="1218">
        <v>0</v>
      </c>
      <c r="AE1092" s="172">
        <v>0</v>
      </c>
      <c r="AF1092" s="986">
        <v>0</v>
      </c>
      <c r="AG1092" s="1132">
        <v>0</v>
      </c>
      <c r="AH1092" s="505">
        <f t="shared" si="297"/>
        <v>0</v>
      </c>
      <c r="AI1092" s="132"/>
      <c r="AJ1092" s="75">
        <f t="shared" si="296"/>
        <v>0</v>
      </c>
      <c r="AK1092" s="75"/>
      <c r="AL1092" s="75"/>
      <c r="AM1092" s="75"/>
      <c r="AN1092" s="64" t="s">
        <v>39</v>
      </c>
      <c r="AO1092" s="64"/>
      <c r="AP1092" s="64"/>
      <c r="AQ1092" s="189"/>
      <c r="AR1092" s="64"/>
      <c r="AS1092" s="476"/>
      <c r="AT1092" s="64"/>
      <c r="AU1092" s="983"/>
      <c r="AV1092" s="355"/>
      <c r="AW1092" s="67"/>
    </row>
    <row r="1093" spans="1:49" ht="47.45" hidden="1" customHeight="1" outlineLevel="2" x14ac:dyDescent="0.25">
      <c r="A1093" s="63" t="str">
        <f t="shared" si="215"/>
        <v>3.12.1.6.8.0</v>
      </c>
      <c r="B1093" s="64">
        <v>3</v>
      </c>
      <c r="C1093" s="64">
        <v>12</v>
      </c>
      <c r="D1093" s="64">
        <v>1</v>
      </c>
      <c r="E1093" s="64">
        <v>6</v>
      </c>
      <c r="F1093" s="64">
        <v>8</v>
      </c>
      <c r="G1093" s="64">
        <v>0</v>
      </c>
      <c r="H1093" s="65"/>
      <c r="I1093" s="65"/>
      <c r="J1093" s="66"/>
      <c r="K1093" s="101" t="s">
        <v>1226</v>
      </c>
      <c r="L1093" s="64" t="s">
        <v>72</v>
      </c>
      <c r="M1093" s="64" t="s">
        <v>73</v>
      </c>
      <c r="N1093" s="64" t="s">
        <v>423</v>
      </c>
      <c r="O1093" s="64" t="s">
        <v>38</v>
      </c>
      <c r="P1093" s="69">
        <v>44972</v>
      </c>
      <c r="Q1093" s="69">
        <v>45290</v>
      </c>
      <c r="R1093" s="64"/>
      <c r="S1093" s="65"/>
      <c r="T1093" s="194"/>
      <c r="U1093" s="1007">
        <f>2000000/4</f>
        <v>500000</v>
      </c>
      <c r="V1093" s="1007"/>
      <c r="W1093" s="1008">
        <v>0</v>
      </c>
      <c r="X1093" s="1154">
        <v>0</v>
      </c>
      <c r="Y1093" s="1007">
        <v>500000</v>
      </c>
      <c r="Z1093" s="1042">
        <v>0</v>
      </c>
      <c r="AA1093" s="1154">
        <v>0</v>
      </c>
      <c r="AB1093" s="1007">
        <v>500000</v>
      </c>
      <c r="AC1093" s="986">
        <v>0</v>
      </c>
      <c r="AD1093" s="1218">
        <v>0</v>
      </c>
      <c r="AE1093" s="1007">
        <f>2000000/4</f>
        <v>500000</v>
      </c>
      <c r="AF1093" s="986">
        <v>0</v>
      </c>
      <c r="AG1093" s="1132">
        <v>0</v>
      </c>
      <c r="AH1093" s="505">
        <f t="shared" si="297"/>
        <v>2000000</v>
      </c>
      <c r="AI1093" s="132"/>
      <c r="AJ1093" s="75">
        <f t="shared" si="296"/>
        <v>7000</v>
      </c>
      <c r="AK1093" s="75"/>
      <c r="AL1093" s="75"/>
      <c r="AM1093" s="75"/>
      <c r="AN1093" s="165" t="s">
        <v>39</v>
      </c>
      <c r="AO1093" s="64"/>
      <c r="AP1093" s="64"/>
      <c r="AQ1093" s="533"/>
      <c r="AR1093" s="64"/>
      <c r="AS1093" s="533"/>
      <c r="AT1093" s="64"/>
      <c r="AU1093" s="1043"/>
      <c r="AV1093" s="348"/>
      <c r="AW1093" s="90"/>
    </row>
    <row r="1094" spans="1:49" ht="47.45" hidden="1" customHeight="1" outlineLevel="2" x14ac:dyDescent="0.25">
      <c r="A1094" s="63" t="str">
        <f t="shared" si="215"/>
        <v>3.12.1.6.9.0</v>
      </c>
      <c r="B1094" s="64">
        <v>3</v>
      </c>
      <c r="C1094" s="64">
        <v>12</v>
      </c>
      <c r="D1094" s="64">
        <v>1</v>
      </c>
      <c r="E1094" s="64">
        <v>6</v>
      </c>
      <c r="F1094" s="64">
        <v>9</v>
      </c>
      <c r="G1094" s="64">
        <v>0</v>
      </c>
      <c r="H1094" s="65"/>
      <c r="I1094" s="65"/>
      <c r="J1094" s="66"/>
      <c r="K1094" s="101" t="s">
        <v>1227</v>
      </c>
      <c r="L1094" s="64" t="s">
        <v>72</v>
      </c>
      <c r="M1094" s="64" t="s">
        <v>73</v>
      </c>
      <c r="N1094" s="64" t="s">
        <v>74</v>
      </c>
      <c r="O1094" s="64" t="s">
        <v>38</v>
      </c>
      <c r="P1094" s="69">
        <v>44972</v>
      </c>
      <c r="Q1094" s="69">
        <v>45290</v>
      </c>
      <c r="R1094" s="64">
        <v>1</v>
      </c>
      <c r="S1094" s="65" t="s">
        <v>76</v>
      </c>
      <c r="T1094" s="194">
        <v>1</v>
      </c>
      <c r="U1094" s="155">
        <v>0</v>
      </c>
      <c r="V1094" s="155"/>
      <c r="W1094" s="821">
        <v>0</v>
      </c>
      <c r="X1094" s="1132">
        <v>0</v>
      </c>
      <c r="Y1094" s="155">
        <f>40000+65000+40000+30000+9500+26000+182500+140000+96000+3000+491440+90000+28700+40000+245000</f>
        <v>1527140</v>
      </c>
      <c r="Z1094" s="1032">
        <v>7000</v>
      </c>
      <c r="AA1094" s="1132">
        <v>0</v>
      </c>
      <c r="AB1094" s="155">
        <v>0</v>
      </c>
      <c r="AC1094" s="1032">
        <v>0</v>
      </c>
      <c r="AD1094" s="1132">
        <v>0</v>
      </c>
      <c r="AE1094" s="155">
        <v>0</v>
      </c>
      <c r="AF1094" s="1032">
        <v>0</v>
      </c>
      <c r="AG1094" s="1132">
        <v>0</v>
      </c>
      <c r="AH1094" s="505">
        <f t="shared" si="297"/>
        <v>1527140</v>
      </c>
      <c r="AI1094" s="132"/>
      <c r="AJ1094" s="75">
        <f t="shared" si="296"/>
        <v>0</v>
      </c>
      <c r="AK1094" s="75"/>
      <c r="AL1094" s="75"/>
      <c r="AM1094" s="75"/>
      <c r="AN1094" s="64" t="s">
        <v>39</v>
      </c>
      <c r="AO1094" s="64"/>
      <c r="AP1094" s="64"/>
      <c r="AQ1094" s="64"/>
      <c r="AR1094" s="69"/>
      <c r="AS1094" s="865"/>
      <c r="AT1094" s="69"/>
      <c r="AU1094" s="1038"/>
      <c r="AV1094" s="259" t="s">
        <v>73</v>
      </c>
      <c r="AW1094" s="67" t="s">
        <v>2864</v>
      </c>
    </row>
    <row r="1095" spans="1:49" ht="47.45" hidden="1" customHeight="1" outlineLevel="2" x14ac:dyDescent="0.25">
      <c r="A1095" s="63" t="str">
        <f t="shared" si="215"/>
        <v>3.12.1.6.10.0</v>
      </c>
      <c r="B1095" s="64">
        <v>3</v>
      </c>
      <c r="C1095" s="64">
        <v>12</v>
      </c>
      <c r="D1095" s="64">
        <v>1</v>
      </c>
      <c r="E1095" s="64">
        <v>6</v>
      </c>
      <c r="F1095" s="64">
        <v>10</v>
      </c>
      <c r="G1095" s="64">
        <v>0</v>
      </c>
      <c r="H1095" s="65"/>
      <c r="I1095" s="65"/>
      <c r="J1095" s="66"/>
      <c r="K1095" s="101" t="s">
        <v>1229</v>
      </c>
      <c r="L1095" s="64" t="s">
        <v>72</v>
      </c>
      <c r="M1095" s="64" t="s">
        <v>73</v>
      </c>
      <c r="N1095" s="64" t="s">
        <v>74</v>
      </c>
      <c r="O1095" s="64" t="s">
        <v>38</v>
      </c>
      <c r="P1095" s="69">
        <v>44972</v>
      </c>
      <c r="Q1095" s="69">
        <v>45290</v>
      </c>
      <c r="R1095" s="64">
        <v>1</v>
      </c>
      <c r="S1095" s="65" t="s">
        <v>76</v>
      </c>
      <c r="T1095" s="194">
        <v>1</v>
      </c>
      <c r="U1095" s="1026">
        <v>0</v>
      </c>
      <c r="V1095" s="1026"/>
      <c r="W1095" s="1088">
        <v>0</v>
      </c>
      <c r="X1095" s="1153">
        <v>0</v>
      </c>
      <c r="Y1095" s="327">
        <f>65000+110000+50000+84000+109000+400000+63650+255000+87000+2198950+183000+6969400+157686+67000+2750</f>
        <v>10802436</v>
      </c>
      <c r="Z1095" s="1041">
        <v>0</v>
      </c>
      <c r="AA1095" s="1153">
        <v>0</v>
      </c>
      <c r="AB1095" s="1026">
        <v>0</v>
      </c>
      <c r="AC1095" s="1041">
        <v>0</v>
      </c>
      <c r="AD1095" s="1132">
        <v>0</v>
      </c>
      <c r="AE1095" s="155">
        <v>0</v>
      </c>
      <c r="AF1095" s="1041">
        <v>0</v>
      </c>
      <c r="AG1095" s="1132">
        <v>0</v>
      </c>
      <c r="AH1095" s="505">
        <f t="shared" si="297"/>
        <v>10802436</v>
      </c>
      <c r="AI1095" s="132"/>
      <c r="AJ1095" s="75">
        <f t="shared" si="296"/>
        <v>0</v>
      </c>
      <c r="AK1095" s="75"/>
      <c r="AL1095" s="75"/>
      <c r="AM1095" s="75"/>
      <c r="AN1095" s="245" t="s">
        <v>39</v>
      </c>
      <c r="AO1095" s="64"/>
      <c r="AP1095" s="64"/>
      <c r="AQ1095" s="189"/>
      <c r="AR1095" s="64"/>
      <c r="AS1095" s="476"/>
      <c r="AT1095" s="64"/>
      <c r="AU1095" s="983"/>
      <c r="AV1095" s="259" t="s">
        <v>73</v>
      </c>
      <c r="AW1095" s="90" t="s">
        <v>2836</v>
      </c>
    </row>
    <row r="1096" spans="1:49" ht="47.45" hidden="1" customHeight="1" outlineLevel="2" x14ac:dyDescent="0.25">
      <c r="A1096" s="63" t="str">
        <f t="shared" si="215"/>
        <v>3.12.0.6.12.0</v>
      </c>
      <c r="B1096" s="64">
        <v>3</v>
      </c>
      <c r="C1096" s="64">
        <v>12</v>
      </c>
      <c r="D1096" s="64">
        <v>0</v>
      </c>
      <c r="E1096" s="64">
        <v>6</v>
      </c>
      <c r="F1096" s="64">
        <v>12</v>
      </c>
      <c r="G1096" s="64">
        <v>0</v>
      </c>
      <c r="H1096" s="65"/>
      <c r="I1096" s="65"/>
      <c r="J1096" s="66"/>
      <c r="K1096" s="65" t="s">
        <v>1231</v>
      </c>
      <c r="L1096" s="64" t="s">
        <v>72</v>
      </c>
      <c r="M1096" s="64" t="s">
        <v>73</v>
      </c>
      <c r="N1096" s="64" t="s">
        <v>74</v>
      </c>
      <c r="O1096" s="64" t="s">
        <v>38</v>
      </c>
      <c r="P1096" s="69">
        <v>44972</v>
      </c>
      <c r="Q1096" s="69">
        <v>45290</v>
      </c>
      <c r="R1096" s="64"/>
      <c r="S1096" s="65"/>
      <c r="T1096" s="194"/>
      <c r="U1096" s="155">
        <v>0</v>
      </c>
      <c r="V1096" s="155"/>
      <c r="W1096" s="1006">
        <v>0</v>
      </c>
      <c r="X1096" s="1132">
        <v>0</v>
      </c>
      <c r="Y1096" s="75">
        <v>0</v>
      </c>
      <c r="Z1096" s="986">
        <v>0</v>
      </c>
      <c r="AA1096" s="1132">
        <v>0</v>
      </c>
      <c r="AB1096" s="155">
        <v>0</v>
      </c>
      <c r="AC1096" s="986">
        <v>0</v>
      </c>
      <c r="AD1096" s="1218">
        <v>0</v>
      </c>
      <c r="AE1096" s="172">
        <v>0</v>
      </c>
      <c r="AF1096" s="986">
        <v>0</v>
      </c>
      <c r="AG1096" s="1132">
        <v>0</v>
      </c>
      <c r="AH1096" s="505">
        <f t="shared" si="297"/>
        <v>0</v>
      </c>
      <c r="AI1096" s="132"/>
      <c r="AJ1096" s="75">
        <f t="shared" si="296"/>
        <v>0</v>
      </c>
      <c r="AK1096" s="75"/>
      <c r="AL1096" s="75"/>
      <c r="AM1096" s="75"/>
      <c r="AN1096" s="64" t="s">
        <v>39</v>
      </c>
      <c r="AO1096" s="64"/>
      <c r="AP1096" s="64"/>
      <c r="AQ1096" s="189"/>
      <c r="AR1096" s="64"/>
      <c r="AS1096" s="476"/>
      <c r="AT1096" s="64"/>
      <c r="AU1096" s="983"/>
      <c r="AV1096" s="259"/>
      <c r="AW1096" s="63"/>
    </row>
    <row r="1097" spans="1:49" ht="47.45" hidden="1" customHeight="1" outlineLevel="2" x14ac:dyDescent="0.25">
      <c r="A1097" s="63" t="str">
        <f t="shared" si="215"/>
        <v>3.12.0.6.13.0</v>
      </c>
      <c r="B1097" s="64">
        <v>3</v>
      </c>
      <c r="C1097" s="64">
        <v>12</v>
      </c>
      <c r="D1097" s="64">
        <v>0</v>
      </c>
      <c r="E1097" s="64">
        <v>6</v>
      </c>
      <c r="F1097" s="64">
        <v>13</v>
      </c>
      <c r="G1097" s="64">
        <v>0</v>
      </c>
      <c r="H1097" s="65"/>
      <c r="I1097" s="65"/>
      <c r="J1097" s="66"/>
      <c r="K1097" s="65" t="s">
        <v>1232</v>
      </c>
      <c r="L1097" s="64" t="s">
        <v>72</v>
      </c>
      <c r="M1097" s="64" t="s">
        <v>73</v>
      </c>
      <c r="N1097" s="64" t="s">
        <v>74</v>
      </c>
      <c r="O1097" s="64" t="s">
        <v>1191</v>
      </c>
      <c r="P1097" s="69">
        <v>44972</v>
      </c>
      <c r="Q1097" s="69">
        <v>45290</v>
      </c>
      <c r="R1097" s="64"/>
      <c r="S1097" s="65"/>
      <c r="T1097" s="194"/>
      <c r="U1097" s="155">
        <v>0</v>
      </c>
      <c r="V1097" s="155"/>
      <c r="W1097" s="1006">
        <v>0</v>
      </c>
      <c r="X1097" s="1132">
        <v>0</v>
      </c>
      <c r="Y1097" s="75">
        <v>0</v>
      </c>
      <c r="Z1097" s="986">
        <v>0</v>
      </c>
      <c r="AA1097" s="1132">
        <v>0</v>
      </c>
      <c r="AB1097" s="75">
        <v>0</v>
      </c>
      <c r="AC1097" s="986">
        <v>0</v>
      </c>
      <c r="AD1097" s="1218">
        <v>0</v>
      </c>
      <c r="AE1097" s="172">
        <v>0</v>
      </c>
      <c r="AF1097" s="986">
        <v>0</v>
      </c>
      <c r="AG1097" s="1132">
        <v>0</v>
      </c>
      <c r="AH1097" s="505">
        <f t="shared" si="297"/>
        <v>0</v>
      </c>
      <c r="AI1097" s="132"/>
      <c r="AJ1097" s="75">
        <f t="shared" si="296"/>
        <v>0</v>
      </c>
      <c r="AK1097" s="78"/>
      <c r="AL1097" s="78"/>
      <c r="AM1097" s="78"/>
      <c r="AN1097" s="64" t="s">
        <v>39</v>
      </c>
      <c r="AO1097" s="64"/>
      <c r="AP1097" s="64"/>
      <c r="AQ1097" s="189"/>
      <c r="AR1097" s="64"/>
      <c r="AS1097" s="476"/>
      <c r="AT1097" s="64"/>
      <c r="AU1097" s="983"/>
      <c r="AV1097" s="259"/>
      <c r="AW1097" s="63"/>
    </row>
    <row r="1098" spans="1:49" ht="47.45" hidden="1" customHeight="1" outlineLevel="2" x14ac:dyDescent="0.25">
      <c r="A1098" s="63" t="str">
        <f t="shared" si="215"/>
        <v>3.12.0.6.14.0</v>
      </c>
      <c r="B1098" s="64">
        <v>3</v>
      </c>
      <c r="C1098" s="64">
        <v>12</v>
      </c>
      <c r="D1098" s="64">
        <v>0</v>
      </c>
      <c r="E1098" s="64">
        <v>6</v>
      </c>
      <c r="F1098" s="64">
        <v>14</v>
      </c>
      <c r="G1098" s="64">
        <v>0</v>
      </c>
      <c r="H1098" s="65"/>
      <c r="I1098" s="65"/>
      <c r="J1098" s="66"/>
      <c r="K1098" s="65" t="s">
        <v>1233</v>
      </c>
      <c r="L1098" s="64" t="s">
        <v>72</v>
      </c>
      <c r="M1098" s="64" t="s">
        <v>73</v>
      </c>
      <c r="N1098" s="64" t="s">
        <v>74</v>
      </c>
      <c r="O1098" s="64" t="s">
        <v>202</v>
      </c>
      <c r="P1098" s="69">
        <v>44972</v>
      </c>
      <c r="Q1098" s="69">
        <v>45290</v>
      </c>
      <c r="R1098" s="64">
        <v>1</v>
      </c>
      <c r="S1098" s="65" t="s">
        <v>76</v>
      </c>
      <c r="T1098" s="194"/>
      <c r="U1098" s="155">
        <v>0</v>
      </c>
      <c r="V1098" s="155"/>
      <c r="W1098" s="1006">
        <v>0</v>
      </c>
      <c r="X1098" s="1132">
        <v>0</v>
      </c>
      <c r="Y1098" s="75">
        <v>0</v>
      </c>
      <c r="Z1098" s="986">
        <v>0</v>
      </c>
      <c r="AA1098" s="1132">
        <v>0</v>
      </c>
      <c r="AB1098" s="75">
        <v>0</v>
      </c>
      <c r="AC1098" s="986">
        <v>0</v>
      </c>
      <c r="AD1098" s="1218">
        <v>0</v>
      </c>
      <c r="AE1098" s="172">
        <v>0</v>
      </c>
      <c r="AF1098" s="986">
        <v>0</v>
      </c>
      <c r="AG1098" s="1132">
        <v>0</v>
      </c>
      <c r="AH1098" s="505">
        <f t="shared" si="297"/>
        <v>0</v>
      </c>
      <c r="AI1098" s="132"/>
      <c r="AJ1098" s="75">
        <f t="shared" si="296"/>
        <v>0</v>
      </c>
      <c r="AK1098" s="75"/>
      <c r="AL1098" s="75"/>
      <c r="AM1098" s="75"/>
      <c r="AN1098" s="64" t="s">
        <v>39</v>
      </c>
      <c r="AO1098" s="64"/>
      <c r="AP1098" s="64"/>
      <c r="AQ1098" s="189"/>
      <c r="AR1098" s="69"/>
      <c r="AS1098" s="865"/>
      <c r="AT1098" s="69"/>
      <c r="AU1098" s="964"/>
      <c r="AV1098" s="259"/>
      <c r="AW1098" s="63"/>
    </row>
    <row r="1099" spans="1:49" ht="47.45" hidden="1" customHeight="1" outlineLevel="2" x14ac:dyDescent="0.25">
      <c r="A1099" s="63" t="str">
        <f t="shared" si="215"/>
        <v>3.12.1.6.15.0</v>
      </c>
      <c r="B1099" s="64">
        <v>3</v>
      </c>
      <c r="C1099" s="64">
        <v>12</v>
      </c>
      <c r="D1099" s="64">
        <v>1</v>
      </c>
      <c r="E1099" s="64">
        <v>6</v>
      </c>
      <c r="F1099" s="64">
        <v>15</v>
      </c>
      <c r="G1099" s="64">
        <v>0</v>
      </c>
      <c r="H1099" s="65"/>
      <c r="I1099" s="65"/>
      <c r="J1099" s="66"/>
      <c r="K1099" s="65" t="s">
        <v>1234</v>
      </c>
      <c r="L1099" s="64" t="s">
        <v>72</v>
      </c>
      <c r="M1099" s="64" t="s">
        <v>73</v>
      </c>
      <c r="N1099" s="64" t="s">
        <v>74</v>
      </c>
      <c r="O1099" s="64" t="s">
        <v>38</v>
      </c>
      <c r="P1099" s="69">
        <v>44972</v>
      </c>
      <c r="Q1099" s="69">
        <v>45290</v>
      </c>
      <c r="R1099" s="64"/>
      <c r="S1099" s="65"/>
      <c r="T1099" s="194"/>
      <c r="U1099" s="155">
        <v>0</v>
      </c>
      <c r="V1099" s="155"/>
      <c r="W1099" s="1006">
        <v>0</v>
      </c>
      <c r="X1099" s="1132">
        <v>0</v>
      </c>
      <c r="Y1099" s="75">
        <v>0</v>
      </c>
      <c r="Z1099" s="986">
        <v>0</v>
      </c>
      <c r="AA1099" s="1132">
        <v>0</v>
      </c>
      <c r="AB1099" s="75">
        <v>0</v>
      </c>
      <c r="AC1099" s="986">
        <v>0</v>
      </c>
      <c r="AD1099" s="1218">
        <v>0</v>
      </c>
      <c r="AE1099" s="172">
        <v>0</v>
      </c>
      <c r="AF1099" s="986">
        <v>0</v>
      </c>
      <c r="AG1099" s="1132">
        <v>0</v>
      </c>
      <c r="AH1099" s="505">
        <f t="shared" si="297"/>
        <v>0</v>
      </c>
      <c r="AI1099" s="132"/>
      <c r="AJ1099" s="75">
        <f t="shared" si="296"/>
        <v>0</v>
      </c>
      <c r="AK1099" s="75"/>
      <c r="AL1099" s="75"/>
      <c r="AM1099" s="75"/>
      <c r="AN1099" s="64" t="s">
        <v>39</v>
      </c>
      <c r="AO1099" s="64"/>
      <c r="AP1099" s="64"/>
      <c r="AQ1099" s="189"/>
      <c r="AR1099" s="64"/>
      <c r="AS1099" s="476"/>
      <c r="AT1099" s="64"/>
      <c r="AU1099" s="983"/>
      <c r="AV1099" s="259"/>
      <c r="AW1099" s="63"/>
    </row>
    <row r="1100" spans="1:49" ht="47.45" hidden="1" customHeight="1" outlineLevel="2" x14ac:dyDescent="0.25">
      <c r="A1100" s="63" t="str">
        <f t="shared" si="215"/>
        <v>3.12.1.6.16.0</v>
      </c>
      <c r="B1100" s="64">
        <v>3</v>
      </c>
      <c r="C1100" s="64">
        <v>12</v>
      </c>
      <c r="D1100" s="64">
        <v>1</v>
      </c>
      <c r="E1100" s="64">
        <v>6</v>
      </c>
      <c r="F1100" s="64">
        <v>16</v>
      </c>
      <c r="G1100" s="64">
        <v>0</v>
      </c>
      <c r="H1100" s="65"/>
      <c r="I1100" s="65"/>
      <c r="J1100" s="66"/>
      <c r="K1100" s="65" t="s">
        <v>1235</v>
      </c>
      <c r="L1100" s="64" t="s">
        <v>72</v>
      </c>
      <c r="M1100" s="64" t="s">
        <v>73</v>
      </c>
      <c r="N1100" s="64" t="s">
        <v>74</v>
      </c>
      <c r="O1100" s="64" t="s">
        <v>359</v>
      </c>
      <c r="P1100" s="69">
        <v>44972</v>
      </c>
      <c r="Q1100" s="69">
        <v>45290</v>
      </c>
      <c r="R1100" s="64"/>
      <c r="S1100" s="65"/>
      <c r="T1100" s="194"/>
      <c r="U1100" s="155">
        <v>0</v>
      </c>
      <c r="V1100" s="155"/>
      <c r="W1100" s="1006">
        <v>0</v>
      </c>
      <c r="X1100" s="1132">
        <v>0</v>
      </c>
      <c r="Y1100" s="75">
        <v>0</v>
      </c>
      <c r="Z1100" s="986">
        <v>0</v>
      </c>
      <c r="AA1100" s="1132">
        <v>0</v>
      </c>
      <c r="AB1100" s="75">
        <v>0</v>
      </c>
      <c r="AC1100" s="986">
        <v>0</v>
      </c>
      <c r="AD1100" s="1218">
        <v>0</v>
      </c>
      <c r="AE1100" s="172">
        <v>0</v>
      </c>
      <c r="AF1100" s="986">
        <v>0</v>
      </c>
      <c r="AG1100" s="1132">
        <v>0</v>
      </c>
      <c r="AH1100" s="505">
        <f t="shared" si="297"/>
        <v>0</v>
      </c>
      <c r="AI1100" s="132"/>
      <c r="AJ1100" s="75">
        <f t="shared" si="296"/>
        <v>0</v>
      </c>
      <c r="AK1100" s="75"/>
      <c r="AL1100" s="75"/>
      <c r="AM1100" s="75"/>
      <c r="AN1100" s="64" t="s">
        <v>39</v>
      </c>
      <c r="AO1100" s="64"/>
      <c r="AP1100" s="64"/>
      <c r="AQ1100" s="189"/>
      <c r="AR1100" s="64"/>
      <c r="AS1100" s="476"/>
      <c r="AT1100" s="64"/>
      <c r="AU1100" s="983"/>
      <c r="AV1100" s="259"/>
      <c r="AW1100" s="63"/>
    </row>
    <row r="1101" spans="1:49" ht="47.45" hidden="1" customHeight="1" outlineLevel="2" x14ac:dyDescent="0.25">
      <c r="A1101" s="63" t="str">
        <f t="shared" si="215"/>
        <v>3.12.1.6.17.0</v>
      </c>
      <c r="B1101" s="64">
        <v>3</v>
      </c>
      <c r="C1101" s="64">
        <v>12</v>
      </c>
      <c r="D1101" s="64">
        <v>1</v>
      </c>
      <c r="E1101" s="64">
        <v>6</v>
      </c>
      <c r="F1101" s="64">
        <v>17</v>
      </c>
      <c r="G1101" s="64">
        <v>0</v>
      </c>
      <c r="H1101" s="65"/>
      <c r="I1101" s="65"/>
      <c r="J1101" s="66"/>
      <c r="K1101" s="65" t="s">
        <v>1236</v>
      </c>
      <c r="L1101" s="64" t="s">
        <v>72</v>
      </c>
      <c r="M1101" s="64" t="s">
        <v>73</v>
      </c>
      <c r="N1101" s="64" t="s">
        <v>74</v>
      </c>
      <c r="O1101" s="64" t="s">
        <v>359</v>
      </c>
      <c r="P1101" s="69">
        <v>44972</v>
      </c>
      <c r="Q1101" s="69">
        <v>45290</v>
      </c>
      <c r="R1101" s="64"/>
      <c r="S1101" s="65"/>
      <c r="T1101" s="194"/>
      <c r="U1101" s="155">
        <v>0</v>
      </c>
      <c r="V1101" s="155"/>
      <c r="W1101" s="1006">
        <v>0</v>
      </c>
      <c r="X1101" s="1132">
        <v>0</v>
      </c>
      <c r="Y1101" s="75">
        <v>0</v>
      </c>
      <c r="Z1101" s="1032">
        <v>0</v>
      </c>
      <c r="AA1101" s="1132">
        <v>0</v>
      </c>
      <c r="AB1101" s="75">
        <v>0</v>
      </c>
      <c r="AC1101" s="986">
        <v>0</v>
      </c>
      <c r="AD1101" s="1218">
        <v>0</v>
      </c>
      <c r="AE1101" s="172">
        <v>0</v>
      </c>
      <c r="AF1101" s="986">
        <v>0</v>
      </c>
      <c r="AG1101" s="1132">
        <v>0</v>
      </c>
      <c r="AH1101" s="505">
        <f t="shared" si="297"/>
        <v>0</v>
      </c>
      <c r="AI1101" s="132"/>
      <c r="AJ1101" s="75">
        <f t="shared" si="296"/>
        <v>0</v>
      </c>
      <c r="AK1101" s="75"/>
      <c r="AL1101" s="75"/>
      <c r="AM1101" s="75"/>
      <c r="AN1101" s="64" t="s">
        <v>39</v>
      </c>
      <c r="AO1101" s="64"/>
      <c r="AP1101" s="64"/>
      <c r="AQ1101" s="189"/>
      <c r="AR1101" s="64"/>
      <c r="AS1101" s="476"/>
      <c r="AT1101" s="64"/>
      <c r="AU1101" s="983"/>
      <c r="AV1101" s="259"/>
      <c r="AW1101" s="63"/>
    </row>
    <row r="1102" spans="1:49" ht="47.45" hidden="1" customHeight="1" outlineLevel="2" x14ac:dyDescent="0.25">
      <c r="A1102" s="63" t="str">
        <f t="shared" si="215"/>
        <v>3.12.0.6.18.0</v>
      </c>
      <c r="B1102" s="64">
        <v>3</v>
      </c>
      <c r="C1102" s="64">
        <v>12</v>
      </c>
      <c r="D1102" s="64">
        <v>0</v>
      </c>
      <c r="E1102" s="64">
        <v>6</v>
      </c>
      <c r="F1102" s="64">
        <v>18</v>
      </c>
      <c r="G1102" s="64">
        <v>0</v>
      </c>
      <c r="H1102" s="65"/>
      <c r="I1102" s="65"/>
      <c r="J1102" s="66"/>
      <c r="K1102" s="65" t="s">
        <v>1237</v>
      </c>
      <c r="L1102" s="64" t="s">
        <v>72</v>
      </c>
      <c r="M1102" s="64" t="s">
        <v>73</v>
      </c>
      <c r="N1102" s="64" t="s">
        <v>74</v>
      </c>
      <c r="O1102" s="64" t="s">
        <v>359</v>
      </c>
      <c r="P1102" s="69">
        <v>44972</v>
      </c>
      <c r="Q1102" s="69">
        <v>45290</v>
      </c>
      <c r="R1102" s="64"/>
      <c r="S1102" s="65" t="s">
        <v>2699</v>
      </c>
      <c r="T1102" s="194"/>
      <c r="U1102" s="155">
        <v>0</v>
      </c>
      <c r="V1102" s="155"/>
      <c r="W1102" s="821">
        <v>0</v>
      </c>
      <c r="X1102" s="1132">
        <v>0</v>
      </c>
      <c r="Y1102" s="75">
        <v>30000</v>
      </c>
      <c r="Z1102" s="1041">
        <v>0</v>
      </c>
      <c r="AA1102" s="1132">
        <v>0</v>
      </c>
      <c r="AB1102" s="75">
        <v>0</v>
      </c>
      <c r="AC1102" s="986">
        <v>0</v>
      </c>
      <c r="AD1102" s="1132">
        <v>0</v>
      </c>
      <c r="AE1102" s="155">
        <v>0</v>
      </c>
      <c r="AF1102" s="986">
        <v>0</v>
      </c>
      <c r="AG1102" s="1132">
        <v>0</v>
      </c>
      <c r="AH1102" s="505">
        <f t="shared" si="297"/>
        <v>30000</v>
      </c>
      <c r="AI1102" s="132"/>
      <c r="AJ1102" s="75">
        <f t="shared" si="296"/>
        <v>0</v>
      </c>
      <c r="AK1102" s="75"/>
      <c r="AL1102" s="75"/>
      <c r="AM1102" s="75"/>
      <c r="AN1102" s="64" t="s">
        <v>39</v>
      </c>
      <c r="AO1102" s="64"/>
      <c r="AP1102" s="64"/>
      <c r="AQ1102" s="189"/>
      <c r="AR1102" s="64"/>
      <c r="AS1102" s="476"/>
      <c r="AT1102" s="64"/>
      <c r="AU1102" s="983"/>
      <c r="AV1102" s="259"/>
      <c r="AW1102" s="63" t="s">
        <v>2735</v>
      </c>
    </row>
    <row r="1103" spans="1:49" ht="47.45" hidden="1" customHeight="1" outlineLevel="2" x14ac:dyDescent="0.25">
      <c r="A1103" s="63" t="str">
        <f t="shared" si="215"/>
        <v>3.12.0.6.19.0</v>
      </c>
      <c r="B1103" s="64">
        <v>3</v>
      </c>
      <c r="C1103" s="64">
        <v>12</v>
      </c>
      <c r="D1103" s="64">
        <v>0</v>
      </c>
      <c r="E1103" s="64">
        <v>6</v>
      </c>
      <c r="F1103" s="64">
        <v>19</v>
      </c>
      <c r="G1103" s="64">
        <v>0</v>
      </c>
      <c r="H1103" s="65"/>
      <c r="I1103" s="65"/>
      <c r="J1103" s="66"/>
      <c r="K1103" s="67" t="s">
        <v>1238</v>
      </c>
      <c r="L1103" s="64" t="s">
        <v>72</v>
      </c>
      <c r="M1103" s="64" t="s">
        <v>73</v>
      </c>
      <c r="N1103" s="64" t="s">
        <v>74</v>
      </c>
      <c r="O1103" s="64" t="s">
        <v>1239</v>
      </c>
      <c r="P1103" s="69">
        <v>44972</v>
      </c>
      <c r="Q1103" s="69">
        <v>45290</v>
      </c>
      <c r="R1103" s="64">
        <v>10</v>
      </c>
      <c r="S1103" s="65"/>
      <c r="T1103" s="194">
        <v>1</v>
      </c>
      <c r="U1103" s="155">
        <v>28802150.760000002</v>
      </c>
      <c r="V1103" s="155"/>
      <c r="W1103" s="821">
        <v>0</v>
      </c>
      <c r="X1103" s="1132">
        <v>0</v>
      </c>
      <c r="Y1103" s="75">
        <v>0</v>
      </c>
      <c r="Z1103" s="1032">
        <v>0</v>
      </c>
      <c r="AA1103" s="1132">
        <v>0</v>
      </c>
      <c r="AB1103" s="75">
        <v>0</v>
      </c>
      <c r="AC1103" s="986">
        <v>0</v>
      </c>
      <c r="AD1103" s="1218">
        <v>0</v>
      </c>
      <c r="AE1103" s="172">
        <v>0</v>
      </c>
      <c r="AF1103" s="986">
        <v>0</v>
      </c>
      <c r="AG1103" s="1132">
        <v>0</v>
      </c>
      <c r="AH1103" s="505">
        <f t="shared" si="297"/>
        <v>28802150.760000002</v>
      </c>
      <c r="AI1103" s="132"/>
      <c r="AJ1103" s="75">
        <f t="shared" si="296"/>
        <v>0</v>
      </c>
      <c r="AK1103" s="75"/>
      <c r="AL1103" s="75"/>
      <c r="AM1103" s="75"/>
      <c r="AN1103" s="64" t="s">
        <v>39</v>
      </c>
      <c r="AO1103" s="64"/>
      <c r="AP1103" s="64"/>
      <c r="AQ1103" s="189"/>
      <c r="AR1103" s="64"/>
      <c r="AS1103" s="476"/>
      <c r="AT1103" s="64"/>
      <c r="AU1103" s="983"/>
      <c r="AV1103" s="259"/>
      <c r="AW1103" s="63" t="s">
        <v>2819</v>
      </c>
    </row>
    <row r="1104" spans="1:49" ht="47.45" hidden="1" customHeight="1" outlineLevel="2" x14ac:dyDescent="0.25">
      <c r="A1104" s="63" t="str">
        <f t="shared" si="215"/>
        <v>3.12.0.6.20.0</v>
      </c>
      <c r="B1104" s="64">
        <v>3</v>
      </c>
      <c r="C1104" s="64">
        <v>12</v>
      </c>
      <c r="D1104" s="64">
        <v>0</v>
      </c>
      <c r="E1104" s="64">
        <v>6</v>
      </c>
      <c r="F1104" s="64">
        <v>20</v>
      </c>
      <c r="G1104" s="64">
        <v>0</v>
      </c>
      <c r="H1104" s="65"/>
      <c r="I1104" s="65"/>
      <c r="J1104" s="66"/>
      <c r="K1104" s="65" t="s">
        <v>1240</v>
      </c>
      <c r="L1104" s="64" t="s">
        <v>72</v>
      </c>
      <c r="M1104" s="64" t="s">
        <v>73</v>
      </c>
      <c r="N1104" s="64" t="s">
        <v>74</v>
      </c>
      <c r="O1104" s="64" t="s">
        <v>38</v>
      </c>
      <c r="P1104" s="69">
        <v>44972</v>
      </c>
      <c r="Q1104" s="69">
        <v>45290</v>
      </c>
      <c r="R1104" s="64">
        <v>1</v>
      </c>
      <c r="S1104" s="65" t="s">
        <v>76</v>
      </c>
      <c r="T1104" s="194">
        <v>1</v>
      </c>
      <c r="U1104" s="155">
        <v>0</v>
      </c>
      <c r="V1104" s="155"/>
      <c r="W1104" s="1006">
        <v>0</v>
      </c>
      <c r="X1104" s="1132">
        <v>0</v>
      </c>
      <c r="Y1104" s="75">
        <v>0</v>
      </c>
      <c r="Z1104" s="1041">
        <v>0</v>
      </c>
      <c r="AA1104" s="1132">
        <v>0</v>
      </c>
      <c r="AB1104" s="75">
        <v>0</v>
      </c>
      <c r="AC1104" s="986">
        <v>0</v>
      </c>
      <c r="AD1104" s="1218">
        <v>0</v>
      </c>
      <c r="AE1104" s="172">
        <v>0</v>
      </c>
      <c r="AF1104" s="986">
        <v>0</v>
      </c>
      <c r="AG1104" s="1132">
        <v>0</v>
      </c>
      <c r="AH1104" s="505">
        <f t="shared" si="297"/>
        <v>0</v>
      </c>
      <c r="AI1104" s="132"/>
      <c r="AJ1104" s="75">
        <f t="shared" si="296"/>
        <v>0</v>
      </c>
      <c r="AK1104" s="75"/>
      <c r="AL1104" s="75"/>
      <c r="AM1104" s="75"/>
      <c r="AN1104" s="64" t="s">
        <v>39</v>
      </c>
      <c r="AO1104" s="64"/>
      <c r="AP1104" s="64"/>
      <c r="AQ1104" s="413"/>
      <c r="AR1104" s="165"/>
      <c r="AS1104" s="475"/>
      <c r="AT1104" s="64"/>
      <c r="AU1104" s="983"/>
      <c r="AV1104" s="259"/>
      <c r="AW1104" s="63"/>
    </row>
    <row r="1105" spans="1:49" ht="47.45" hidden="1" customHeight="1" outlineLevel="2" x14ac:dyDescent="0.25">
      <c r="A1105" s="63" t="str">
        <f t="shared" si="215"/>
        <v>3.12.0.6.21.0</v>
      </c>
      <c r="B1105" s="64">
        <v>3</v>
      </c>
      <c r="C1105" s="64">
        <v>12</v>
      </c>
      <c r="D1105" s="64">
        <v>0</v>
      </c>
      <c r="E1105" s="64">
        <v>6</v>
      </c>
      <c r="F1105" s="64">
        <v>21</v>
      </c>
      <c r="G1105" s="64">
        <v>0</v>
      </c>
      <c r="H1105" s="65"/>
      <c r="I1105" s="65"/>
      <c r="J1105" s="66"/>
      <c r="K1105" s="65" t="s">
        <v>1241</v>
      </c>
      <c r="L1105" s="64" t="s">
        <v>72</v>
      </c>
      <c r="M1105" s="64" t="s">
        <v>73</v>
      </c>
      <c r="N1105" s="64" t="s">
        <v>74</v>
      </c>
      <c r="O1105" s="64" t="s">
        <v>38</v>
      </c>
      <c r="P1105" s="69">
        <v>44972</v>
      </c>
      <c r="Q1105" s="69">
        <v>45290</v>
      </c>
      <c r="R1105" s="64">
        <v>10</v>
      </c>
      <c r="S1105" s="65"/>
      <c r="T1105" s="194">
        <v>1</v>
      </c>
      <c r="U1105" s="155">
        <f>400000/4</f>
        <v>100000</v>
      </c>
      <c r="V1105" s="155"/>
      <c r="W1105" s="821">
        <v>0</v>
      </c>
      <c r="X1105" s="1132">
        <v>0</v>
      </c>
      <c r="Y1105" s="75">
        <v>100000</v>
      </c>
      <c r="Z1105" s="986">
        <v>0</v>
      </c>
      <c r="AA1105" s="1132">
        <v>0</v>
      </c>
      <c r="AB1105" s="75">
        <v>100000</v>
      </c>
      <c r="AC1105" s="986">
        <v>0</v>
      </c>
      <c r="AD1105" s="1218">
        <v>0</v>
      </c>
      <c r="AE1105" s="172">
        <v>100000</v>
      </c>
      <c r="AF1105" s="986">
        <v>0</v>
      </c>
      <c r="AG1105" s="1132">
        <v>0</v>
      </c>
      <c r="AH1105" s="505">
        <f t="shared" si="297"/>
        <v>400000</v>
      </c>
      <c r="AI1105" s="132"/>
      <c r="AJ1105" s="75">
        <f t="shared" si="296"/>
        <v>0</v>
      </c>
      <c r="AK1105" s="75"/>
      <c r="AL1105" s="75"/>
      <c r="AM1105" s="75"/>
      <c r="AN1105" s="64" t="s">
        <v>39</v>
      </c>
      <c r="AO1105" s="64"/>
      <c r="AP1105" s="189"/>
      <c r="AQ1105" s="64"/>
      <c r="AR1105" s="64"/>
      <c r="AS1105" s="64"/>
      <c r="AT1105" s="460"/>
      <c r="AU1105" s="983"/>
      <c r="AV1105" s="259"/>
      <c r="AW1105" s="67" t="s">
        <v>2866</v>
      </c>
    </row>
    <row r="1106" spans="1:49" ht="47.45" hidden="1" customHeight="1" outlineLevel="2" x14ac:dyDescent="0.25">
      <c r="A1106" s="63" t="str">
        <f t="shared" si="215"/>
        <v>3.12.0.6.22.0</v>
      </c>
      <c r="B1106" s="64">
        <v>3</v>
      </c>
      <c r="C1106" s="64">
        <v>12</v>
      </c>
      <c r="D1106" s="64">
        <v>0</v>
      </c>
      <c r="E1106" s="64">
        <v>6</v>
      </c>
      <c r="F1106" s="64">
        <v>22</v>
      </c>
      <c r="G1106" s="64">
        <v>0</v>
      </c>
      <c r="H1106" s="65"/>
      <c r="I1106" s="65"/>
      <c r="J1106" s="66"/>
      <c r="K1106" s="65" t="s">
        <v>1244</v>
      </c>
      <c r="L1106" s="64" t="s">
        <v>72</v>
      </c>
      <c r="M1106" s="64" t="s">
        <v>73</v>
      </c>
      <c r="N1106" s="64" t="s">
        <v>74</v>
      </c>
      <c r="O1106" s="64" t="s">
        <v>737</v>
      </c>
      <c r="P1106" s="69">
        <v>44972</v>
      </c>
      <c r="Q1106" s="69">
        <v>45290</v>
      </c>
      <c r="R1106" s="64">
        <v>2</v>
      </c>
      <c r="S1106" s="65"/>
      <c r="T1106" s="194">
        <v>2</v>
      </c>
      <c r="U1106" s="155">
        <f>150000/4</f>
        <v>37500</v>
      </c>
      <c r="V1106" s="155"/>
      <c r="W1106" s="1006">
        <v>0</v>
      </c>
      <c r="X1106" s="1132">
        <v>0</v>
      </c>
      <c r="Y1106" s="75">
        <v>37500</v>
      </c>
      <c r="Z1106" s="986">
        <v>0</v>
      </c>
      <c r="AA1106" s="1132">
        <v>0</v>
      </c>
      <c r="AB1106" s="75">
        <v>37500</v>
      </c>
      <c r="AC1106" s="986">
        <v>0</v>
      </c>
      <c r="AD1106" s="1218">
        <v>0</v>
      </c>
      <c r="AE1106" s="155">
        <f>150000/4</f>
        <v>37500</v>
      </c>
      <c r="AF1106" s="986">
        <v>0</v>
      </c>
      <c r="AG1106" s="1132">
        <v>0</v>
      </c>
      <c r="AH1106" s="505">
        <f t="shared" si="297"/>
        <v>150000</v>
      </c>
      <c r="AI1106" s="132"/>
      <c r="AJ1106" s="75">
        <f t="shared" si="296"/>
        <v>0</v>
      </c>
      <c r="AK1106" s="75"/>
      <c r="AL1106" s="75"/>
      <c r="AM1106" s="75"/>
      <c r="AN1106" s="64" t="s">
        <v>39</v>
      </c>
      <c r="AO1106" s="64"/>
      <c r="AP1106" s="64"/>
      <c r="AQ1106" s="416"/>
      <c r="AR1106" s="245"/>
      <c r="AS1106" s="480"/>
      <c r="AT1106" s="64"/>
      <c r="AU1106" s="983"/>
      <c r="AV1106" s="259"/>
      <c r="AW1106" s="63"/>
    </row>
    <row r="1107" spans="1:49" ht="47.45" hidden="1" customHeight="1" outlineLevel="2" x14ac:dyDescent="0.25">
      <c r="A1107" s="63" t="str">
        <f t="shared" si="215"/>
        <v>3.12.0.6.23.0</v>
      </c>
      <c r="B1107" s="64">
        <v>3</v>
      </c>
      <c r="C1107" s="64">
        <v>12</v>
      </c>
      <c r="D1107" s="64">
        <v>0</v>
      </c>
      <c r="E1107" s="64">
        <v>6</v>
      </c>
      <c r="F1107" s="64">
        <v>23</v>
      </c>
      <c r="G1107" s="64">
        <v>0</v>
      </c>
      <c r="H1107" s="65"/>
      <c r="I1107" s="65"/>
      <c r="J1107" s="66"/>
      <c r="K1107" s="65" t="s">
        <v>1246</v>
      </c>
      <c r="L1107" s="64" t="s">
        <v>72</v>
      </c>
      <c r="M1107" s="64" t="s">
        <v>73</v>
      </c>
      <c r="N1107" s="64" t="s">
        <v>423</v>
      </c>
      <c r="O1107" s="64" t="s">
        <v>72</v>
      </c>
      <c r="P1107" s="69">
        <v>44972</v>
      </c>
      <c r="Q1107" s="69">
        <v>45290</v>
      </c>
      <c r="R1107" s="64"/>
      <c r="S1107" s="65"/>
      <c r="T1107" s="194"/>
      <c r="U1107" s="1007">
        <v>0</v>
      </c>
      <c r="V1107" s="1007"/>
      <c r="W1107" s="1008">
        <v>0</v>
      </c>
      <c r="X1107" s="1154">
        <v>0</v>
      </c>
      <c r="Y1107" s="325">
        <v>0</v>
      </c>
      <c r="Z1107" s="986">
        <v>0</v>
      </c>
      <c r="AA1107" s="1154">
        <v>0</v>
      </c>
      <c r="AB1107" s="325">
        <v>0</v>
      </c>
      <c r="AC1107" s="986">
        <v>0</v>
      </c>
      <c r="AD1107" s="1218">
        <v>0</v>
      </c>
      <c r="AE1107" s="172">
        <v>0</v>
      </c>
      <c r="AF1107" s="986">
        <v>0</v>
      </c>
      <c r="AG1107" s="1132">
        <v>0</v>
      </c>
      <c r="AH1107" s="505">
        <f t="shared" si="297"/>
        <v>0</v>
      </c>
      <c r="AI1107" s="132"/>
      <c r="AJ1107" s="75">
        <f t="shared" si="296"/>
        <v>0</v>
      </c>
      <c r="AK1107" s="75"/>
      <c r="AL1107" s="75"/>
      <c r="AM1107" s="75"/>
      <c r="AN1107" s="165" t="s">
        <v>39</v>
      </c>
      <c r="AO1107" s="64"/>
      <c r="AP1107" s="64"/>
      <c r="AQ1107" s="189"/>
      <c r="AR1107" s="64"/>
      <c r="AS1107" s="476"/>
      <c r="AT1107" s="64"/>
      <c r="AU1107" s="983"/>
      <c r="AV1107" s="259"/>
      <c r="AW1107" s="63"/>
    </row>
    <row r="1108" spans="1:49" ht="47.45" hidden="1" customHeight="1" outlineLevel="2" x14ac:dyDescent="0.25">
      <c r="A1108" s="63" t="str">
        <f t="shared" si="215"/>
        <v>3.12.0.6.24.0</v>
      </c>
      <c r="B1108" s="64">
        <v>3</v>
      </c>
      <c r="C1108" s="64">
        <v>12</v>
      </c>
      <c r="D1108" s="64">
        <v>0</v>
      </c>
      <c r="E1108" s="64">
        <v>6</v>
      </c>
      <c r="F1108" s="64">
        <v>24</v>
      </c>
      <c r="G1108" s="64">
        <v>0</v>
      </c>
      <c r="H1108" s="65"/>
      <c r="I1108" s="65"/>
      <c r="J1108" s="66"/>
      <c r="K1108" s="65" t="s">
        <v>1247</v>
      </c>
      <c r="L1108" s="64" t="s">
        <v>72</v>
      </c>
      <c r="M1108" s="64" t="s">
        <v>73</v>
      </c>
      <c r="N1108" s="64" t="s">
        <v>74</v>
      </c>
      <c r="O1108" s="64" t="s">
        <v>359</v>
      </c>
      <c r="P1108" s="69">
        <v>44972</v>
      </c>
      <c r="Q1108" s="69">
        <v>45290</v>
      </c>
      <c r="R1108" s="64"/>
      <c r="S1108" s="65"/>
      <c r="T1108" s="194"/>
      <c r="U1108" s="155">
        <v>0</v>
      </c>
      <c r="V1108" s="155"/>
      <c r="W1108" s="821">
        <v>0</v>
      </c>
      <c r="X1108" s="1132">
        <v>0</v>
      </c>
      <c r="Y1108" s="75">
        <v>0</v>
      </c>
      <c r="Z1108" s="1032">
        <v>0</v>
      </c>
      <c r="AA1108" s="1132">
        <v>0</v>
      </c>
      <c r="AB1108" s="75">
        <v>0</v>
      </c>
      <c r="AC1108" s="1032">
        <v>0</v>
      </c>
      <c r="AD1108" s="1132">
        <v>0</v>
      </c>
      <c r="AE1108" s="155">
        <v>0</v>
      </c>
      <c r="AF1108" s="1032">
        <v>0</v>
      </c>
      <c r="AG1108" s="1132">
        <v>0</v>
      </c>
      <c r="AH1108" s="505">
        <f t="shared" si="297"/>
        <v>0</v>
      </c>
      <c r="AI1108" s="132"/>
      <c r="AJ1108" s="75">
        <f t="shared" si="296"/>
        <v>0</v>
      </c>
      <c r="AK1108" s="75"/>
      <c r="AL1108" s="75"/>
      <c r="AM1108" s="75"/>
      <c r="AN1108" s="64" t="s">
        <v>39</v>
      </c>
      <c r="AO1108" s="64"/>
      <c r="AP1108" s="64"/>
      <c r="AQ1108" s="189"/>
      <c r="AR1108" s="64"/>
      <c r="AS1108" s="476"/>
      <c r="AT1108" s="64"/>
      <c r="AU1108" s="983"/>
      <c r="AV1108" s="259"/>
      <c r="AW1108" s="63"/>
    </row>
    <row r="1109" spans="1:49" ht="47.45" hidden="1" customHeight="1" outlineLevel="2" x14ac:dyDescent="0.25">
      <c r="A1109" s="164" t="str">
        <f t="shared" si="215"/>
        <v>3.12.0.6.25.0</v>
      </c>
      <c r="B1109" s="165">
        <v>3</v>
      </c>
      <c r="C1109" s="165">
        <v>12</v>
      </c>
      <c r="D1109" s="165">
        <v>0</v>
      </c>
      <c r="E1109" s="165">
        <v>6</v>
      </c>
      <c r="F1109" s="165">
        <v>25</v>
      </c>
      <c r="G1109" s="165">
        <v>0</v>
      </c>
      <c r="H1109" s="166"/>
      <c r="I1109" s="166"/>
      <c r="J1109" s="167"/>
      <c r="K1109" s="1003" t="s">
        <v>1248</v>
      </c>
      <c r="L1109" s="165" t="s">
        <v>72</v>
      </c>
      <c r="M1109" s="165" t="s">
        <v>73</v>
      </c>
      <c r="N1109" s="165" t="s">
        <v>1249</v>
      </c>
      <c r="O1109" s="165" t="s">
        <v>72</v>
      </c>
      <c r="P1109" s="69">
        <v>44972</v>
      </c>
      <c r="Q1109" s="69">
        <v>45290</v>
      </c>
      <c r="R1109" s="165">
        <v>3</v>
      </c>
      <c r="S1109" s="166"/>
      <c r="T1109" s="1185">
        <v>3</v>
      </c>
      <c r="U1109" s="1036">
        <v>0</v>
      </c>
      <c r="V1109" s="1036"/>
      <c r="W1109" s="1037">
        <v>0</v>
      </c>
      <c r="X1109" s="1155">
        <v>0</v>
      </c>
      <c r="Y1109" s="326">
        <v>0</v>
      </c>
      <c r="Z1109" s="1041">
        <v>0</v>
      </c>
      <c r="AA1109" s="1155">
        <v>0</v>
      </c>
      <c r="AB1109" s="326">
        <v>0</v>
      </c>
      <c r="AC1109" s="1041">
        <v>0</v>
      </c>
      <c r="AD1109" s="1218">
        <v>0</v>
      </c>
      <c r="AE1109" s="172">
        <v>0</v>
      </c>
      <c r="AF1109" s="1041">
        <v>0</v>
      </c>
      <c r="AG1109" s="1132">
        <v>0</v>
      </c>
      <c r="AH1109" s="505">
        <f t="shared" si="297"/>
        <v>0</v>
      </c>
      <c r="AI1109" s="132"/>
      <c r="AJ1109" s="75">
        <f t="shared" si="296"/>
        <v>0</v>
      </c>
      <c r="AK1109" s="325"/>
      <c r="AL1109" s="325"/>
      <c r="AM1109" s="325"/>
      <c r="AN1109" s="319" t="s">
        <v>181</v>
      </c>
      <c r="AO1109" s="165"/>
      <c r="AP1109" s="165"/>
      <c r="AQ1109" s="413"/>
      <c r="AR1109" s="165"/>
      <c r="AS1109" s="475"/>
      <c r="AT1109" s="165"/>
      <c r="AU1109" s="1044"/>
      <c r="AV1109" s="1009"/>
      <c r="AW1109" s="67"/>
    </row>
    <row r="1110" spans="1:49" ht="47.45" hidden="1" customHeight="1" outlineLevel="2" x14ac:dyDescent="0.25">
      <c r="A1110" s="63" t="str">
        <f t="shared" si="215"/>
        <v>3.12.0.6.26.0</v>
      </c>
      <c r="B1110" s="64">
        <v>3</v>
      </c>
      <c r="C1110" s="64">
        <v>12</v>
      </c>
      <c r="D1110" s="64">
        <v>0</v>
      </c>
      <c r="E1110" s="64">
        <v>6</v>
      </c>
      <c r="F1110" s="64">
        <v>26</v>
      </c>
      <c r="G1110" s="64">
        <v>0</v>
      </c>
      <c r="H1110" s="65"/>
      <c r="I1110" s="65"/>
      <c r="J1110" s="66"/>
      <c r="K1110" s="65" t="s">
        <v>1251</v>
      </c>
      <c r="L1110" s="64" t="s">
        <v>72</v>
      </c>
      <c r="M1110" s="64" t="s">
        <v>73</v>
      </c>
      <c r="N1110" s="64" t="s">
        <v>2713</v>
      </c>
      <c r="O1110" s="64" t="s">
        <v>2714</v>
      </c>
      <c r="P1110" s="69">
        <v>44972</v>
      </c>
      <c r="Q1110" s="69">
        <v>45290</v>
      </c>
      <c r="R1110" s="64"/>
      <c r="S1110" s="65"/>
      <c r="T1110" s="194"/>
      <c r="U1110" s="155">
        <v>0</v>
      </c>
      <c r="V1110" s="155"/>
      <c r="W1110" s="821">
        <v>0</v>
      </c>
      <c r="X1110" s="1132">
        <v>0</v>
      </c>
      <c r="Y1110" s="75">
        <f>75060+139592.1</f>
        <v>214652.1</v>
      </c>
      <c r="Z1110" s="1032">
        <v>0</v>
      </c>
      <c r="AA1110" s="1132">
        <v>0</v>
      </c>
      <c r="AB1110" s="75">
        <v>0</v>
      </c>
      <c r="AC1110" s="1032">
        <v>0</v>
      </c>
      <c r="AD1110" s="1132">
        <v>0</v>
      </c>
      <c r="AE1110" s="155">
        <v>0</v>
      </c>
      <c r="AF1110" s="1032">
        <v>0</v>
      </c>
      <c r="AG1110" s="1132">
        <v>0</v>
      </c>
      <c r="AH1110" s="505">
        <f t="shared" si="297"/>
        <v>214652.1</v>
      </c>
      <c r="AI1110" s="132"/>
      <c r="AJ1110" s="75">
        <f t="shared" si="296"/>
        <v>0</v>
      </c>
      <c r="AK1110" s="155"/>
      <c r="AL1110" s="155"/>
      <c r="AM1110" s="155"/>
      <c r="AN1110" s="64" t="s">
        <v>39</v>
      </c>
      <c r="AO1110" s="64"/>
      <c r="AP1110" s="64"/>
      <c r="AQ1110" s="64"/>
      <c r="AR1110" s="64"/>
      <c r="AS1110" s="64"/>
      <c r="AT1110" s="64"/>
      <c r="AU1110" s="983"/>
      <c r="AV1110" s="189" t="s">
        <v>271</v>
      </c>
      <c r="AW1110" s="67" t="s">
        <v>2812</v>
      </c>
    </row>
    <row r="1111" spans="1:49" ht="47.45" hidden="1" customHeight="1" outlineLevel="2" x14ac:dyDescent="0.25">
      <c r="A1111" s="63" t="str">
        <f t="shared" si="215"/>
        <v>3.12.0.6.27.0</v>
      </c>
      <c r="B1111" s="64">
        <v>3</v>
      </c>
      <c r="C1111" s="64">
        <v>12</v>
      </c>
      <c r="D1111" s="64">
        <v>0</v>
      </c>
      <c r="E1111" s="64">
        <v>6</v>
      </c>
      <c r="F1111" s="64">
        <v>27</v>
      </c>
      <c r="G1111" s="64">
        <v>0</v>
      </c>
      <c r="H1111" s="65"/>
      <c r="I1111" s="65"/>
      <c r="J1111" s="66"/>
      <c r="K1111" s="65" t="s">
        <v>1252</v>
      </c>
      <c r="L1111" s="64" t="s">
        <v>72</v>
      </c>
      <c r="M1111" s="64" t="s">
        <v>73</v>
      </c>
      <c r="N1111" s="64" t="s">
        <v>74</v>
      </c>
      <c r="O1111" s="64" t="s">
        <v>38</v>
      </c>
      <c r="P1111" s="69">
        <v>44972</v>
      </c>
      <c r="Q1111" s="69">
        <v>45290</v>
      </c>
      <c r="R1111" s="64">
        <v>2</v>
      </c>
      <c r="S1111" s="65"/>
      <c r="T1111" s="194">
        <v>1</v>
      </c>
      <c r="U1111" s="1026">
        <f>744177/4</f>
        <v>186044.25</v>
      </c>
      <c r="V1111" s="1026"/>
      <c r="W1111" s="1027">
        <v>0</v>
      </c>
      <c r="X1111" s="1153">
        <v>0</v>
      </c>
      <c r="Y1111" s="327">
        <v>186044.25</v>
      </c>
      <c r="Z1111" s="1039">
        <v>0</v>
      </c>
      <c r="AA1111" s="1153">
        <v>0</v>
      </c>
      <c r="AB1111" s="1026">
        <v>186044.25</v>
      </c>
      <c r="AC1111" s="1039">
        <v>0</v>
      </c>
      <c r="AD1111" s="1218">
        <v>0</v>
      </c>
      <c r="AE1111" s="1026">
        <f>744177/4</f>
        <v>186044.25</v>
      </c>
      <c r="AF1111" s="1039">
        <v>0</v>
      </c>
      <c r="AG1111" s="1132">
        <v>0</v>
      </c>
      <c r="AH1111" s="505">
        <f t="shared" si="297"/>
        <v>744177</v>
      </c>
      <c r="AI1111" s="132"/>
      <c r="AJ1111" s="75">
        <f t="shared" si="296"/>
        <v>0</v>
      </c>
      <c r="AK1111" s="155"/>
      <c r="AL1111" s="155"/>
      <c r="AM1111" s="155"/>
      <c r="AN1111" s="245" t="s">
        <v>181</v>
      </c>
      <c r="AO1111" s="64"/>
      <c r="AP1111" s="64"/>
      <c r="AQ1111" s="64"/>
      <c r="AR1111" s="64"/>
      <c r="AS1111" s="64"/>
      <c r="AT1111" s="64"/>
      <c r="AU1111" s="983"/>
      <c r="AV1111" s="259"/>
      <c r="AW1111" s="67"/>
    </row>
    <row r="1112" spans="1:49" ht="47.45" hidden="1" customHeight="1" outlineLevel="2" x14ac:dyDescent="0.25">
      <c r="A1112" s="63" t="str">
        <f t="shared" si="215"/>
        <v>3.12.0.6.28.0</v>
      </c>
      <c r="B1112" s="64">
        <v>3</v>
      </c>
      <c r="C1112" s="64">
        <v>12</v>
      </c>
      <c r="D1112" s="64">
        <v>0</v>
      </c>
      <c r="E1112" s="64">
        <v>6</v>
      </c>
      <c r="F1112" s="64">
        <v>28</v>
      </c>
      <c r="G1112" s="64">
        <v>0</v>
      </c>
      <c r="H1112" s="65"/>
      <c r="I1112" s="65"/>
      <c r="J1112" s="66"/>
      <c r="K1112" s="65" t="s">
        <v>1253</v>
      </c>
      <c r="L1112" s="64" t="s">
        <v>72</v>
      </c>
      <c r="M1112" s="64" t="s">
        <v>73</v>
      </c>
      <c r="N1112" s="64" t="s">
        <v>1613</v>
      </c>
      <c r="O1112" s="64" t="s">
        <v>38</v>
      </c>
      <c r="P1112" s="69">
        <v>44972</v>
      </c>
      <c r="Q1112" s="69">
        <v>45290</v>
      </c>
      <c r="R1112" s="64"/>
      <c r="S1112" s="65"/>
      <c r="T1112" s="194"/>
      <c r="U1112" s="155">
        <f>75000/4</f>
        <v>18750</v>
      </c>
      <c r="V1112" s="155"/>
      <c r="W1112" s="1006">
        <v>0</v>
      </c>
      <c r="X1112" s="1132">
        <v>0</v>
      </c>
      <c r="Y1112" s="75">
        <v>18750</v>
      </c>
      <c r="Z1112" s="1032">
        <v>0</v>
      </c>
      <c r="AA1112" s="1132">
        <v>0</v>
      </c>
      <c r="AB1112" s="155">
        <v>18750</v>
      </c>
      <c r="AC1112" s="1032">
        <v>0</v>
      </c>
      <c r="AD1112" s="1218">
        <v>0</v>
      </c>
      <c r="AE1112" s="172">
        <v>18750</v>
      </c>
      <c r="AF1112" s="1032">
        <v>0</v>
      </c>
      <c r="AG1112" s="1132">
        <v>0</v>
      </c>
      <c r="AH1112" s="505">
        <f t="shared" si="297"/>
        <v>75000</v>
      </c>
      <c r="AI1112" s="132"/>
      <c r="AJ1112" s="75">
        <f t="shared" si="296"/>
        <v>0</v>
      </c>
      <c r="AK1112" s="155"/>
      <c r="AL1112" s="155"/>
      <c r="AM1112" s="155"/>
      <c r="AN1112" s="64" t="s">
        <v>39</v>
      </c>
      <c r="AO1112" s="64"/>
      <c r="AP1112" s="64"/>
      <c r="AQ1112" s="64"/>
      <c r="AR1112" s="64"/>
      <c r="AS1112" s="64"/>
      <c r="AT1112" s="64"/>
      <c r="AU1112" s="983"/>
      <c r="AV1112" s="259"/>
      <c r="AW1112" s="63"/>
    </row>
    <row r="1113" spans="1:49" ht="47.45" hidden="1" customHeight="1" outlineLevel="2" x14ac:dyDescent="0.25">
      <c r="A1113" s="63" t="str">
        <f t="shared" si="215"/>
        <v>3.12.0.6.29.0</v>
      </c>
      <c r="B1113" s="64">
        <v>3</v>
      </c>
      <c r="C1113" s="64">
        <v>12</v>
      </c>
      <c r="D1113" s="64">
        <v>0</v>
      </c>
      <c r="E1113" s="64">
        <v>6</v>
      </c>
      <c r="F1113" s="64">
        <v>29</v>
      </c>
      <c r="G1113" s="64">
        <v>0</v>
      </c>
      <c r="H1113" s="65"/>
      <c r="I1113" s="65"/>
      <c r="J1113" s="66"/>
      <c r="K1113" s="67" t="s">
        <v>1254</v>
      </c>
      <c r="L1113" s="64" t="s">
        <v>72</v>
      </c>
      <c r="M1113" s="64" t="s">
        <v>73</v>
      </c>
      <c r="N1113" s="64" t="s">
        <v>74</v>
      </c>
      <c r="O1113" s="64" t="s">
        <v>38</v>
      </c>
      <c r="P1113" s="69">
        <v>44972</v>
      </c>
      <c r="Q1113" s="69">
        <v>45290</v>
      </c>
      <c r="R1113" s="64">
        <v>1</v>
      </c>
      <c r="S1113" s="65" t="s">
        <v>76</v>
      </c>
      <c r="T1113" s="194">
        <v>1</v>
      </c>
      <c r="U1113" s="155">
        <v>0</v>
      </c>
      <c r="V1113" s="155"/>
      <c r="W1113" s="821">
        <v>0</v>
      </c>
      <c r="X1113" s="1132">
        <v>0</v>
      </c>
      <c r="Y1113" s="155">
        <f>50000+75000</f>
        <v>125000</v>
      </c>
      <c r="Z1113" s="1032">
        <v>0</v>
      </c>
      <c r="AA1113" s="1132">
        <v>0</v>
      </c>
      <c r="AB1113" s="155">
        <v>0</v>
      </c>
      <c r="AC1113" s="1032">
        <v>0</v>
      </c>
      <c r="AD1113" s="1218">
        <v>0</v>
      </c>
      <c r="AE1113" s="172">
        <v>0</v>
      </c>
      <c r="AF1113" s="1032">
        <v>0</v>
      </c>
      <c r="AG1113" s="1132">
        <v>0</v>
      </c>
      <c r="AH1113" s="505">
        <f t="shared" si="297"/>
        <v>125000</v>
      </c>
      <c r="AI1113" s="132"/>
      <c r="AJ1113" s="75">
        <f t="shared" si="296"/>
        <v>0</v>
      </c>
      <c r="AK1113" s="75"/>
      <c r="AL1113" s="75"/>
      <c r="AM1113" s="75"/>
      <c r="AN1113" s="64" t="s">
        <v>181</v>
      </c>
      <c r="AO1113" s="64"/>
      <c r="AP1113" s="64"/>
      <c r="AQ1113" s="64"/>
      <c r="AR1113" s="64"/>
      <c r="AS1113" s="64"/>
      <c r="AT1113" s="64"/>
      <c r="AU1113" s="983"/>
      <c r="AV1113" s="347"/>
      <c r="AW1113" s="63" t="s">
        <v>2811</v>
      </c>
    </row>
    <row r="1114" spans="1:49" ht="47.45" hidden="1" customHeight="1" outlineLevel="2" x14ac:dyDescent="0.25">
      <c r="A1114" s="63" t="str">
        <f t="shared" si="215"/>
        <v>3.12.0.6.30.0</v>
      </c>
      <c r="B1114" s="64">
        <v>3</v>
      </c>
      <c r="C1114" s="64">
        <v>12</v>
      </c>
      <c r="D1114" s="64">
        <v>0</v>
      </c>
      <c r="E1114" s="64">
        <v>6</v>
      </c>
      <c r="F1114" s="64">
        <v>30</v>
      </c>
      <c r="G1114" s="64">
        <v>0</v>
      </c>
      <c r="H1114" s="65"/>
      <c r="I1114" s="65"/>
      <c r="J1114" s="66"/>
      <c r="K1114" s="65" t="s">
        <v>1916</v>
      </c>
      <c r="L1114" s="64" t="s">
        <v>72</v>
      </c>
      <c r="M1114" s="64" t="s">
        <v>73</v>
      </c>
      <c r="N1114" s="64" t="s">
        <v>74</v>
      </c>
      <c r="O1114" s="64" t="s">
        <v>38</v>
      </c>
      <c r="P1114" s="69">
        <v>44972</v>
      </c>
      <c r="Q1114" s="69">
        <v>45290</v>
      </c>
      <c r="R1114" s="64"/>
      <c r="S1114" s="65"/>
      <c r="T1114" s="194"/>
      <c r="U1114" s="155">
        <f>1258412/4</f>
        <v>314603</v>
      </c>
      <c r="V1114" s="155"/>
      <c r="W1114" s="821">
        <v>0</v>
      </c>
      <c r="X1114" s="1132">
        <v>0</v>
      </c>
      <c r="Y1114" s="155">
        <v>314603</v>
      </c>
      <c r="Z1114" s="1032">
        <v>0</v>
      </c>
      <c r="AA1114" s="1132">
        <v>0</v>
      </c>
      <c r="AB1114" s="155">
        <v>314603</v>
      </c>
      <c r="AC1114" s="1032">
        <v>0</v>
      </c>
      <c r="AD1114" s="1218">
        <v>0</v>
      </c>
      <c r="AE1114" s="172">
        <v>314603</v>
      </c>
      <c r="AF1114" s="1032">
        <v>0</v>
      </c>
      <c r="AG1114" s="1132">
        <v>0</v>
      </c>
      <c r="AH1114" s="505">
        <f t="shared" si="297"/>
        <v>1258412</v>
      </c>
      <c r="AI1114" s="132"/>
      <c r="AJ1114" s="75">
        <f t="shared" si="296"/>
        <v>0</v>
      </c>
      <c r="AK1114" s="75"/>
      <c r="AL1114" s="75"/>
      <c r="AM1114" s="75"/>
      <c r="AN1114" s="64" t="s">
        <v>39</v>
      </c>
      <c r="AO1114" s="64"/>
      <c r="AP1114" s="64"/>
      <c r="AQ1114" s="533"/>
      <c r="AR1114" s="69"/>
      <c r="AS1114" s="554"/>
      <c r="AT1114" s="64"/>
      <c r="AU1114" s="983"/>
      <c r="AV1114" s="259"/>
      <c r="AW1114" s="90"/>
    </row>
    <row r="1115" spans="1:49" ht="47.45" hidden="1" customHeight="1" outlineLevel="2" x14ac:dyDescent="0.25">
      <c r="A1115" s="63" t="str">
        <f t="shared" si="215"/>
        <v>3.12.0.6.31.0</v>
      </c>
      <c r="B1115" s="64">
        <v>3</v>
      </c>
      <c r="C1115" s="64">
        <v>12</v>
      </c>
      <c r="D1115" s="64">
        <v>0</v>
      </c>
      <c r="E1115" s="64">
        <v>6</v>
      </c>
      <c r="F1115" s="64">
        <v>31</v>
      </c>
      <c r="G1115" s="64">
        <v>0</v>
      </c>
      <c r="H1115" s="65"/>
      <c r="I1115" s="65"/>
      <c r="J1115" s="66"/>
      <c r="K1115" s="67" t="s">
        <v>1255</v>
      </c>
      <c r="L1115" s="64" t="s">
        <v>72</v>
      </c>
      <c r="M1115" s="64" t="s">
        <v>267</v>
      </c>
      <c r="N1115" s="64" t="s">
        <v>265</v>
      </c>
      <c r="O1115" s="64" t="s">
        <v>1256</v>
      </c>
      <c r="P1115" s="69">
        <v>44972</v>
      </c>
      <c r="Q1115" s="69">
        <v>45290</v>
      </c>
      <c r="R1115" s="64"/>
      <c r="S1115" s="65"/>
      <c r="T1115" s="194"/>
      <c r="U1115" s="155">
        <v>700000</v>
      </c>
      <c r="V1115" s="155"/>
      <c r="W1115" s="821">
        <v>0</v>
      </c>
      <c r="X1115" s="1132">
        <v>0</v>
      </c>
      <c r="Y1115" s="155">
        <v>700000</v>
      </c>
      <c r="Z1115" s="1032">
        <v>0</v>
      </c>
      <c r="AA1115" s="1132">
        <v>0</v>
      </c>
      <c r="AB1115" s="155">
        <v>700000</v>
      </c>
      <c r="AC1115" s="1032">
        <v>0</v>
      </c>
      <c r="AD1115" s="1218">
        <v>0</v>
      </c>
      <c r="AE1115" s="155">
        <v>700000</v>
      </c>
      <c r="AF1115" s="1032">
        <v>0</v>
      </c>
      <c r="AG1115" s="1132">
        <v>0</v>
      </c>
      <c r="AH1115" s="505">
        <f t="shared" si="297"/>
        <v>2800000</v>
      </c>
      <c r="AI1115" s="132"/>
      <c r="AJ1115" s="75">
        <f t="shared" si="296"/>
        <v>0</v>
      </c>
      <c r="AK1115" s="75"/>
      <c r="AL1115" s="75"/>
      <c r="AM1115" s="75"/>
      <c r="AN1115" s="64" t="s">
        <v>39</v>
      </c>
      <c r="AO1115" s="64"/>
      <c r="AP1115" s="64"/>
      <c r="AQ1115" s="64"/>
      <c r="AR1115" s="64"/>
      <c r="AS1115" s="64"/>
      <c r="AT1115" s="64"/>
      <c r="AU1115" s="983"/>
      <c r="AV1115" s="259"/>
      <c r="AW1115" s="90"/>
    </row>
    <row r="1116" spans="1:49" ht="47.45" hidden="1" customHeight="1" outlineLevel="2" x14ac:dyDescent="0.25">
      <c r="A1116" s="63" t="str">
        <f t="shared" si="215"/>
        <v>3.12.0.6.32.0</v>
      </c>
      <c r="B1116" s="64">
        <v>3</v>
      </c>
      <c r="C1116" s="64">
        <v>12</v>
      </c>
      <c r="D1116" s="64">
        <v>0</v>
      </c>
      <c r="E1116" s="64">
        <v>6</v>
      </c>
      <c r="F1116" s="64">
        <v>32</v>
      </c>
      <c r="G1116" s="64">
        <v>0</v>
      </c>
      <c r="H1116" s="65"/>
      <c r="I1116" s="65"/>
      <c r="J1116" s="66"/>
      <c r="K1116" s="67" t="s">
        <v>1257</v>
      </c>
      <c r="L1116" s="64" t="s">
        <v>72</v>
      </c>
      <c r="M1116" s="64" t="s">
        <v>267</v>
      </c>
      <c r="N1116" s="64" t="s">
        <v>265</v>
      </c>
      <c r="O1116" s="64" t="s">
        <v>1256</v>
      </c>
      <c r="P1116" s="69">
        <v>44972</v>
      </c>
      <c r="Q1116" s="69">
        <v>45290</v>
      </c>
      <c r="R1116" s="64"/>
      <c r="S1116" s="65"/>
      <c r="T1116" s="194"/>
      <c r="U1116" s="155">
        <v>0</v>
      </c>
      <c r="V1116" s="155"/>
      <c r="W1116" s="821">
        <v>0</v>
      </c>
      <c r="X1116" s="1132">
        <v>0</v>
      </c>
      <c r="Y1116" s="155">
        <v>0</v>
      </c>
      <c r="Z1116" s="1032">
        <v>0</v>
      </c>
      <c r="AA1116" s="1132">
        <v>0</v>
      </c>
      <c r="AB1116" s="155">
        <v>0</v>
      </c>
      <c r="AC1116" s="1032">
        <v>0</v>
      </c>
      <c r="AD1116" s="1218">
        <v>0</v>
      </c>
      <c r="AE1116" s="172">
        <v>0</v>
      </c>
      <c r="AF1116" s="1032">
        <v>0</v>
      </c>
      <c r="AG1116" s="1132">
        <v>0</v>
      </c>
      <c r="AH1116" s="505">
        <f t="shared" si="297"/>
        <v>0</v>
      </c>
      <c r="AI1116" s="132"/>
      <c r="AJ1116" s="75">
        <f t="shared" si="296"/>
        <v>0</v>
      </c>
      <c r="AK1116" s="75"/>
      <c r="AL1116" s="75"/>
      <c r="AM1116" s="75"/>
      <c r="AN1116" s="64" t="s">
        <v>39</v>
      </c>
      <c r="AO1116" s="64"/>
      <c r="AP1116" s="64"/>
      <c r="AQ1116" s="64"/>
      <c r="AR1116" s="64"/>
      <c r="AS1116" s="64"/>
      <c r="AT1116" s="64"/>
      <c r="AU1116" s="983"/>
      <c r="AV1116" s="259"/>
      <c r="AW1116" s="63"/>
    </row>
    <row r="1117" spans="1:49" ht="47.45" hidden="1" customHeight="1" outlineLevel="2" x14ac:dyDescent="0.25">
      <c r="A1117" s="63" t="str">
        <f t="shared" si="215"/>
        <v>3.12.0.6.33.0</v>
      </c>
      <c r="B1117" s="64">
        <v>3</v>
      </c>
      <c r="C1117" s="64">
        <v>12</v>
      </c>
      <c r="D1117" s="64">
        <v>0</v>
      </c>
      <c r="E1117" s="64">
        <v>6</v>
      </c>
      <c r="F1117" s="64">
        <v>33</v>
      </c>
      <c r="G1117" s="64">
        <v>0</v>
      </c>
      <c r="H1117" s="65"/>
      <c r="I1117" s="65"/>
      <c r="J1117" s="65"/>
      <c r="K1117" s="67" t="s">
        <v>1258</v>
      </c>
      <c r="L1117" s="64" t="s">
        <v>72</v>
      </c>
      <c r="M1117" s="64" t="s">
        <v>73</v>
      </c>
      <c r="N1117" s="64" t="s">
        <v>1249</v>
      </c>
      <c r="O1117" s="64" t="s">
        <v>1259</v>
      </c>
      <c r="P1117" s="69">
        <v>44972</v>
      </c>
      <c r="Q1117" s="69">
        <v>45290</v>
      </c>
      <c r="R1117" s="64">
        <v>1</v>
      </c>
      <c r="S1117" s="65"/>
      <c r="T1117" s="194">
        <v>1</v>
      </c>
      <c r="U1117" s="155">
        <v>0</v>
      </c>
      <c r="V1117" s="155"/>
      <c r="W1117" s="821">
        <v>0</v>
      </c>
      <c r="X1117" s="1132">
        <v>0</v>
      </c>
      <c r="Y1117" s="155">
        <v>0</v>
      </c>
      <c r="Z1117" s="1032">
        <v>0</v>
      </c>
      <c r="AA1117" s="1132">
        <v>0</v>
      </c>
      <c r="AB1117" s="155">
        <v>0</v>
      </c>
      <c r="AC1117" s="1032">
        <v>0</v>
      </c>
      <c r="AD1117" s="1218">
        <v>0</v>
      </c>
      <c r="AE1117" s="172">
        <v>0</v>
      </c>
      <c r="AF1117" s="1032">
        <v>0</v>
      </c>
      <c r="AG1117" s="1132">
        <v>0</v>
      </c>
      <c r="AH1117" s="505">
        <f t="shared" si="297"/>
        <v>0</v>
      </c>
      <c r="AI1117" s="132"/>
      <c r="AJ1117" s="75">
        <f t="shared" si="296"/>
        <v>0</v>
      </c>
      <c r="AK1117" s="75"/>
      <c r="AL1117" s="75"/>
      <c r="AM1117" s="75"/>
      <c r="AN1117" s="64" t="s">
        <v>39</v>
      </c>
      <c r="AO1117" s="64"/>
      <c r="AP1117" s="64"/>
      <c r="AQ1117" s="64"/>
      <c r="AR1117" s="64"/>
      <c r="AS1117" s="64"/>
      <c r="AT1117" s="64"/>
      <c r="AU1117" s="983"/>
      <c r="AV1117" s="259"/>
      <c r="AW1117" s="63"/>
    </row>
    <row r="1118" spans="1:49" ht="47.45" hidden="1" customHeight="1" outlineLevel="2" x14ac:dyDescent="0.25">
      <c r="A1118" s="63" t="str">
        <f t="shared" si="215"/>
        <v>3.12.0.6.34.0</v>
      </c>
      <c r="B1118" s="64">
        <v>3</v>
      </c>
      <c r="C1118" s="64">
        <v>12</v>
      </c>
      <c r="D1118" s="64">
        <v>0</v>
      </c>
      <c r="E1118" s="64">
        <v>6</v>
      </c>
      <c r="F1118" s="64">
        <v>34</v>
      </c>
      <c r="G1118" s="64">
        <v>0</v>
      </c>
      <c r="H1118" s="65"/>
      <c r="I1118" s="65"/>
      <c r="J1118" s="65"/>
      <c r="K1118" s="67" t="s">
        <v>1261</v>
      </c>
      <c r="L1118" s="64" t="s">
        <v>72</v>
      </c>
      <c r="M1118" s="64" t="s">
        <v>73</v>
      </c>
      <c r="N1118" s="64" t="s">
        <v>2625</v>
      </c>
      <c r="O1118" s="64" t="s">
        <v>1262</v>
      </c>
      <c r="P1118" s="69">
        <v>44972</v>
      </c>
      <c r="Q1118" s="69">
        <v>45290</v>
      </c>
      <c r="R1118" s="64">
        <v>3</v>
      </c>
      <c r="S1118" s="65"/>
      <c r="T1118" s="194">
        <v>2</v>
      </c>
      <c r="U1118" s="155">
        <v>0</v>
      </c>
      <c r="V1118" s="155"/>
      <c r="W1118" s="821">
        <v>0</v>
      </c>
      <c r="X1118" s="1132">
        <v>0</v>
      </c>
      <c r="Y1118" s="155">
        <v>0</v>
      </c>
      <c r="Z1118" s="1032">
        <v>0</v>
      </c>
      <c r="AA1118" s="1132">
        <v>0</v>
      </c>
      <c r="AB1118" s="155">
        <v>0</v>
      </c>
      <c r="AC1118" s="1032">
        <v>0</v>
      </c>
      <c r="AD1118" s="1218">
        <v>0</v>
      </c>
      <c r="AE1118" s="172">
        <v>0</v>
      </c>
      <c r="AF1118" s="1032">
        <v>0</v>
      </c>
      <c r="AG1118" s="1132">
        <v>0</v>
      </c>
      <c r="AH1118" s="505">
        <f t="shared" si="297"/>
        <v>0</v>
      </c>
      <c r="AI1118" s="132"/>
      <c r="AJ1118" s="75">
        <f t="shared" si="296"/>
        <v>0</v>
      </c>
      <c r="AK1118" s="75"/>
      <c r="AL1118" s="75"/>
      <c r="AM1118" s="75"/>
      <c r="AN1118" s="64" t="s">
        <v>181</v>
      </c>
      <c r="AO1118" s="64"/>
      <c r="AP1118" s="64"/>
      <c r="AQ1118" s="64"/>
      <c r="AR1118" s="64"/>
      <c r="AS1118" s="64"/>
      <c r="AT1118" s="64"/>
      <c r="AU1118" s="983"/>
      <c r="AV1118" s="259"/>
      <c r="AW1118" s="90"/>
    </row>
    <row r="1119" spans="1:49" ht="47.45" hidden="1" customHeight="1" outlineLevel="2" x14ac:dyDescent="0.25">
      <c r="A1119" s="63" t="str">
        <f t="shared" si="215"/>
        <v>3.12.0.6.35.0</v>
      </c>
      <c r="B1119" s="64">
        <v>3</v>
      </c>
      <c r="C1119" s="64">
        <v>12</v>
      </c>
      <c r="D1119" s="64">
        <v>0</v>
      </c>
      <c r="E1119" s="64">
        <v>6</v>
      </c>
      <c r="F1119" s="64">
        <v>35</v>
      </c>
      <c r="G1119" s="64">
        <v>0</v>
      </c>
      <c r="H1119" s="65"/>
      <c r="I1119" s="65"/>
      <c r="J1119" s="66"/>
      <c r="K1119" s="67" t="s">
        <v>1264</v>
      </c>
      <c r="L1119" s="64" t="s">
        <v>72</v>
      </c>
      <c r="M1119" s="64" t="s">
        <v>267</v>
      </c>
      <c r="N1119" s="64" t="s">
        <v>265</v>
      </c>
      <c r="O1119" s="64" t="s">
        <v>1256</v>
      </c>
      <c r="P1119" s="69">
        <v>44972</v>
      </c>
      <c r="Q1119" s="69">
        <v>45290</v>
      </c>
      <c r="R1119" s="64"/>
      <c r="S1119" s="65"/>
      <c r="T1119" s="194"/>
      <c r="U1119" s="155">
        <v>0</v>
      </c>
      <c r="V1119" s="155"/>
      <c r="W1119" s="821">
        <v>0</v>
      </c>
      <c r="X1119" s="1132">
        <v>0</v>
      </c>
      <c r="Y1119" s="155">
        <v>0</v>
      </c>
      <c r="Z1119" s="1032">
        <v>0</v>
      </c>
      <c r="AA1119" s="1132">
        <v>0</v>
      </c>
      <c r="AB1119" s="155">
        <v>0</v>
      </c>
      <c r="AC1119" s="1032">
        <v>0</v>
      </c>
      <c r="AD1119" s="1218">
        <v>0</v>
      </c>
      <c r="AE1119" s="172">
        <v>0</v>
      </c>
      <c r="AF1119" s="1032">
        <v>0</v>
      </c>
      <c r="AG1119" s="1132">
        <v>0</v>
      </c>
      <c r="AH1119" s="505">
        <f t="shared" si="297"/>
        <v>0</v>
      </c>
      <c r="AI1119" s="132"/>
      <c r="AJ1119" s="75">
        <f t="shared" si="296"/>
        <v>0</v>
      </c>
      <c r="AK1119" s="75"/>
      <c r="AL1119" s="75"/>
      <c r="AM1119" s="75"/>
      <c r="AN1119" s="64" t="s">
        <v>39</v>
      </c>
      <c r="AO1119" s="64"/>
      <c r="AP1119" s="64"/>
      <c r="AQ1119" s="64"/>
      <c r="AR1119" s="64"/>
      <c r="AS1119" s="64"/>
      <c r="AT1119" s="64"/>
      <c r="AU1119" s="964"/>
      <c r="AV1119" s="259"/>
      <c r="AW1119" s="63"/>
    </row>
    <row r="1120" spans="1:49" ht="47.45" hidden="1" customHeight="1" outlineLevel="2" x14ac:dyDescent="0.25">
      <c r="A1120" s="63" t="str">
        <f t="shared" si="215"/>
        <v>3.12.0.6.36.0</v>
      </c>
      <c r="B1120" s="64">
        <v>3</v>
      </c>
      <c r="C1120" s="64">
        <v>12</v>
      </c>
      <c r="D1120" s="64">
        <v>0</v>
      </c>
      <c r="E1120" s="64">
        <v>6</v>
      </c>
      <c r="F1120" s="64">
        <v>36</v>
      </c>
      <c r="G1120" s="64">
        <v>0</v>
      </c>
      <c r="H1120" s="65"/>
      <c r="I1120" s="65"/>
      <c r="J1120" s="66"/>
      <c r="K1120" s="67" t="s">
        <v>1265</v>
      </c>
      <c r="L1120" s="64" t="s">
        <v>72</v>
      </c>
      <c r="M1120" s="64" t="s">
        <v>267</v>
      </c>
      <c r="N1120" s="64" t="s">
        <v>1266</v>
      </c>
      <c r="O1120" s="64" t="s">
        <v>72</v>
      </c>
      <c r="P1120" s="69">
        <v>44972</v>
      </c>
      <c r="Q1120" s="69">
        <v>45290</v>
      </c>
      <c r="R1120" s="64"/>
      <c r="S1120" s="65"/>
      <c r="T1120" s="194"/>
      <c r="U1120" s="155">
        <v>0</v>
      </c>
      <c r="V1120" s="155"/>
      <c r="W1120" s="821">
        <v>0</v>
      </c>
      <c r="X1120" s="1132">
        <v>0</v>
      </c>
      <c r="Y1120" s="75">
        <v>0</v>
      </c>
      <c r="Z1120" s="1032">
        <v>0</v>
      </c>
      <c r="AA1120" s="1132">
        <v>0</v>
      </c>
      <c r="AB1120" s="75">
        <v>0</v>
      </c>
      <c r="AC1120" s="1032">
        <v>0</v>
      </c>
      <c r="AD1120" s="1218">
        <v>0</v>
      </c>
      <c r="AE1120" s="172">
        <v>0</v>
      </c>
      <c r="AF1120" s="1032">
        <v>0</v>
      </c>
      <c r="AG1120" s="1132">
        <v>0</v>
      </c>
      <c r="AH1120" s="505">
        <f t="shared" si="297"/>
        <v>0</v>
      </c>
      <c r="AI1120" s="132"/>
      <c r="AJ1120" s="75">
        <f t="shared" si="296"/>
        <v>0</v>
      </c>
      <c r="AK1120" s="75"/>
      <c r="AL1120" s="75"/>
      <c r="AM1120" s="75"/>
      <c r="AN1120" s="64" t="s">
        <v>39</v>
      </c>
      <c r="AO1120" s="64"/>
      <c r="AP1120" s="64"/>
      <c r="AQ1120" s="64"/>
      <c r="AR1120" s="64"/>
      <c r="AS1120" s="64"/>
      <c r="AT1120" s="64"/>
      <c r="AU1120" s="983"/>
      <c r="AV1120" s="259"/>
      <c r="AW1120" s="63"/>
    </row>
    <row r="1121" spans="1:49" ht="47.45" hidden="1" customHeight="1" outlineLevel="2" x14ac:dyDescent="0.25">
      <c r="A1121" s="63" t="str">
        <f t="shared" si="215"/>
        <v>3.12.0.6.37.0</v>
      </c>
      <c r="B1121" s="64">
        <v>3</v>
      </c>
      <c r="C1121" s="64">
        <v>12</v>
      </c>
      <c r="D1121" s="64">
        <v>0</v>
      </c>
      <c r="E1121" s="64">
        <v>6</v>
      </c>
      <c r="F1121" s="64">
        <v>37</v>
      </c>
      <c r="G1121" s="64">
        <v>0</v>
      </c>
      <c r="H1121" s="65"/>
      <c r="I1121" s="65"/>
      <c r="J1121" s="66"/>
      <c r="K1121" s="67" t="s">
        <v>1267</v>
      </c>
      <c r="L1121" s="64" t="s">
        <v>72</v>
      </c>
      <c r="M1121" s="64" t="s">
        <v>73</v>
      </c>
      <c r="N1121" s="64" t="s">
        <v>74</v>
      </c>
      <c r="O1121" s="64" t="s">
        <v>72</v>
      </c>
      <c r="P1121" s="69">
        <v>44972</v>
      </c>
      <c r="Q1121" s="69">
        <v>45290</v>
      </c>
      <c r="R1121" s="64">
        <v>1</v>
      </c>
      <c r="S1121" s="65" t="s">
        <v>323</v>
      </c>
      <c r="T1121" s="194"/>
      <c r="U1121" s="155">
        <v>500</v>
      </c>
      <c r="V1121" s="155"/>
      <c r="W1121" s="821">
        <v>0</v>
      </c>
      <c r="X1121" s="1132">
        <v>0</v>
      </c>
      <c r="Y1121" s="155">
        <f>1100+8400+879700+406650+1470000</f>
        <v>2765850</v>
      </c>
      <c r="Z1121" s="1032">
        <v>0</v>
      </c>
      <c r="AA1121" s="1132">
        <v>0</v>
      </c>
      <c r="AB1121" s="155">
        <v>0</v>
      </c>
      <c r="AC1121" s="1032">
        <v>0</v>
      </c>
      <c r="AD1121" s="1132">
        <v>0</v>
      </c>
      <c r="AE1121" s="155">
        <v>0</v>
      </c>
      <c r="AF1121" s="1032">
        <v>0</v>
      </c>
      <c r="AG1121" s="1132">
        <v>0</v>
      </c>
      <c r="AH1121" s="505">
        <f t="shared" si="297"/>
        <v>2766350</v>
      </c>
      <c r="AI1121" s="132"/>
      <c r="AJ1121" s="75">
        <f t="shared" si="296"/>
        <v>0</v>
      </c>
      <c r="AK1121" s="75"/>
      <c r="AL1121" s="75"/>
      <c r="AM1121" s="75"/>
      <c r="AN1121" s="64" t="s">
        <v>39</v>
      </c>
      <c r="AO1121" s="64"/>
      <c r="AP1121" s="64"/>
      <c r="AQ1121" s="64"/>
      <c r="AR1121" s="69"/>
      <c r="AS1121" s="69"/>
      <c r="AT1121" s="69"/>
      <c r="AU1121" s="964"/>
      <c r="AV1121" s="63" t="s">
        <v>2704</v>
      </c>
      <c r="AW1121" s="90" t="s">
        <v>2831</v>
      </c>
    </row>
    <row r="1122" spans="1:49" ht="47.45" hidden="1" customHeight="1" outlineLevel="2" x14ac:dyDescent="0.25">
      <c r="A1122" s="63" t="str">
        <f t="shared" si="215"/>
        <v>3.12.0.6.39.0</v>
      </c>
      <c r="B1122" s="64">
        <v>3</v>
      </c>
      <c r="C1122" s="64">
        <v>12</v>
      </c>
      <c r="D1122" s="64">
        <v>0</v>
      </c>
      <c r="E1122" s="64">
        <v>6</v>
      </c>
      <c r="F1122" s="64">
        <v>39</v>
      </c>
      <c r="G1122" s="64">
        <v>0</v>
      </c>
      <c r="H1122" s="65"/>
      <c r="I1122" s="65"/>
      <c r="J1122" s="66"/>
      <c r="K1122" s="67" t="s">
        <v>1269</v>
      </c>
      <c r="L1122" s="64" t="s">
        <v>72</v>
      </c>
      <c r="M1122" s="64" t="s">
        <v>73</v>
      </c>
      <c r="N1122" s="64" t="s">
        <v>74</v>
      </c>
      <c r="O1122" s="64" t="s">
        <v>1270</v>
      </c>
      <c r="P1122" s="69">
        <v>44972</v>
      </c>
      <c r="Q1122" s="69">
        <v>45290</v>
      </c>
      <c r="R1122" s="64">
        <v>6</v>
      </c>
      <c r="S1122" s="65" t="s">
        <v>1271</v>
      </c>
      <c r="T1122" s="194"/>
      <c r="U1122" s="155">
        <v>0</v>
      </c>
      <c r="V1122" s="155"/>
      <c r="W1122" s="821">
        <v>0</v>
      </c>
      <c r="X1122" s="1132">
        <v>0</v>
      </c>
      <c r="Y1122" s="75">
        <v>0</v>
      </c>
      <c r="Z1122" s="1032">
        <v>0</v>
      </c>
      <c r="AA1122" s="1132">
        <v>0</v>
      </c>
      <c r="AB1122" s="75">
        <v>0</v>
      </c>
      <c r="AC1122" s="1032">
        <v>0</v>
      </c>
      <c r="AD1122" s="1218">
        <v>0</v>
      </c>
      <c r="AE1122" s="172">
        <v>0</v>
      </c>
      <c r="AF1122" s="1032">
        <v>0</v>
      </c>
      <c r="AG1122" s="1132">
        <v>0</v>
      </c>
      <c r="AH1122" s="505">
        <f t="shared" si="297"/>
        <v>0</v>
      </c>
      <c r="AI1122" s="132"/>
      <c r="AJ1122" s="75">
        <f t="shared" si="296"/>
        <v>0</v>
      </c>
      <c r="AK1122" s="75"/>
      <c r="AL1122" s="75"/>
      <c r="AM1122" s="75"/>
      <c r="AN1122" s="64" t="s">
        <v>39</v>
      </c>
      <c r="AO1122" s="64"/>
      <c r="AP1122" s="64"/>
      <c r="AQ1122" s="64"/>
      <c r="AR1122" s="64"/>
      <c r="AS1122" s="64"/>
      <c r="AT1122" s="64"/>
      <c r="AU1122" s="983"/>
      <c r="AV1122" s="259"/>
      <c r="AW1122" s="63"/>
    </row>
    <row r="1123" spans="1:49" ht="47.45" hidden="1" customHeight="1" outlineLevel="2" x14ac:dyDescent="0.25">
      <c r="A1123" s="63" t="str">
        <f t="shared" si="215"/>
        <v>3.12.0.6.40.0</v>
      </c>
      <c r="B1123" s="64">
        <v>3</v>
      </c>
      <c r="C1123" s="64">
        <v>12</v>
      </c>
      <c r="D1123" s="64">
        <v>0</v>
      </c>
      <c r="E1123" s="64">
        <v>6</v>
      </c>
      <c r="F1123" s="64">
        <v>40</v>
      </c>
      <c r="G1123" s="64">
        <v>0</v>
      </c>
      <c r="H1123" s="65"/>
      <c r="I1123" s="65"/>
      <c r="J1123" s="65"/>
      <c r="K1123" s="65" t="s">
        <v>1272</v>
      </c>
      <c r="L1123" s="64" t="s">
        <v>72</v>
      </c>
      <c r="M1123" s="64" t="s">
        <v>73</v>
      </c>
      <c r="N1123" s="64" t="s">
        <v>382</v>
      </c>
      <c r="O1123" s="64" t="s">
        <v>72</v>
      </c>
      <c r="P1123" s="69">
        <v>44972</v>
      </c>
      <c r="Q1123" s="69">
        <v>45290</v>
      </c>
      <c r="R1123" s="171">
        <v>12</v>
      </c>
      <c r="S1123" s="170" t="s">
        <v>1273</v>
      </c>
      <c r="T1123" s="1203">
        <v>3</v>
      </c>
      <c r="U1123" s="155">
        <f>3150000/4</f>
        <v>787500</v>
      </c>
      <c r="V1123" s="155"/>
      <c r="W1123" s="821">
        <v>0</v>
      </c>
      <c r="X1123" s="1132">
        <v>0</v>
      </c>
      <c r="Y1123" s="75">
        <v>787500</v>
      </c>
      <c r="Z1123" s="1032">
        <v>0</v>
      </c>
      <c r="AA1123" s="1132">
        <v>0</v>
      </c>
      <c r="AB1123" s="75">
        <v>787500</v>
      </c>
      <c r="AC1123" s="1032">
        <v>0</v>
      </c>
      <c r="AD1123" s="1218">
        <v>0</v>
      </c>
      <c r="AE1123" s="172">
        <v>787500</v>
      </c>
      <c r="AF1123" s="1032">
        <v>0</v>
      </c>
      <c r="AG1123" s="1132">
        <v>0</v>
      </c>
      <c r="AH1123" s="505">
        <f t="shared" si="297"/>
        <v>3150000</v>
      </c>
      <c r="AI1123" s="132"/>
      <c r="AJ1123" s="75">
        <f t="shared" si="296"/>
        <v>0</v>
      </c>
      <c r="AK1123" s="258"/>
      <c r="AL1123" s="258"/>
      <c r="AM1123" s="258"/>
      <c r="AN1123" s="64" t="s">
        <v>39</v>
      </c>
      <c r="AO1123" s="64"/>
      <c r="AP1123" s="64"/>
      <c r="AQ1123" s="64"/>
      <c r="AR1123" s="64"/>
      <c r="AS1123" s="64"/>
      <c r="AT1123" s="64"/>
      <c r="AU1123" s="983"/>
      <c r="AV1123" s="353"/>
      <c r="AW1123" s="63"/>
    </row>
    <row r="1124" spans="1:49" ht="47.45" hidden="1" customHeight="1" outlineLevel="2" x14ac:dyDescent="0.25">
      <c r="A1124" s="63" t="str">
        <f t="shared" si="215"/>
        <v>3.12.0.6.41.0</v>
      </c>
      <c r="B1124" s="64">
        <v>3</v>
      </c>
      <c r="C1124" s="64">
        <v>12</v>
      </c>
      <c r="D1124" s="64">
        <v>0</v>
      </c>
      <c r="E1124" s="64">
        <v>6</v>
      </c>
      <c r="F1124" s="64">
        <v>41</v>
      </c>
      <c r="G1124" s="64">
        <v>0</v>
      </c>
      <c r="H1124" s="65"/>
      <c r="I1124" s="65"/>
      <c r="J1124" s="65"/>
      <c r="K1124" s="65" t="s">
        <v>1275</v>
      </c>
      <c r="L1124" s="64" t="s">
        <v>72</v>
      </c>
      <c r="M1124" s="64" t="s">
        <v>166</v>
      </c>
      <c r="N1124" s="64" t="s">
        <v>1249</v>
      </c>
      <c r="O1124" s="64"/>
      <c r="P1124" s="69">
        <v>44972</v>
      </c>
      <c r="Q1124" s="69">
        <v>45290</v>
      </c>
      <c r="R1124" s="171">
        <v>1</v>
      </c>
      <c r="S1124" s="170"/>
      <c r="T1124" s="1203">
        <v>1</v>
      </c>
      <c r="U1124" s="155">
        <v>0</v>
      </c>
      <c r="V1124" s="155"/>
      <c r="W1124" s="821">
        <v>0</v>
      </c>
      <c r="X1124" s="1132">
        <v>0</v>
      </c>
      <c r="Y1124" s="75">
        <v>0</v>
      </c>
      <c r="Z1124" s="1032">
        <v>0</v>
      </c>
      <c r="AA1124" s="1132">
        <v>0</v>
      </c>
      <c r="AB1124" s="75">
        <v>0</v>
      </c>
      <c r="AC1124" s="1032">
        <v>0</v>
      </c>
      <c r="AD1124" s="1218">
        <v>0</v>
      </c>
      <c r="AE1124" s="172">
        <v>0</v>
      </c>
      <c r="AF1124" s="1032">
        <v>0</v>
      </c>
      <c r="AG1124" s="1132">
        <v>0</v>
      </c>
      <c r="AH1124" s="505">
        <f t="shared" si="297"/>
        <v>0</v>
      </c>
      <c r="AI1124" s="132"/>
      <c r="AJ1124" s="75">
        <f t="shared" si="296"/>
        <v>0</v>
      </c>
      <c r="AK1124" s="258"/>
      <c r="AL1124" s="258"/>
      <c r="AM1124" s="258"/>
      <c r="AN1124" s="171" t="s">
        <v>181</v>
      </c>
      <c r="AO1124" s="171"/>
      <c r="AP1124" s="171"/>
      <c r="AQ1124" s="171"/>
      <c r="AS1124" s="171"/>
      <c r="AU1124" s="657"/>
      <c r="AV1124" s="353"/>
      <c r="AW1124" s="63"/>
    </row>
    <row r="1125" spans="1:49" ht="47.45" hidden="1" customHeight="1" outlineLevel="2" x14ac:dyDescent="0.25">
      <c r="A1125" s="63" t="str">
        <f t="shared" si="215"/>
        <v>3.12.0.6.42.0</v>
      </c>
      <c r="B1125" s="64">
        <v>3</v>
      </c>
      <c r="C1125" s="64">
        <v>12</v>
      </c>
      <c r="D1125" s="64">
        <v>0</v>
      </c>
      <c r="E1125" s="64">
        <v>6</v>
      </c>
      <c r="F1125" s="64">
        <v>42</v>
      </c>
      <c r="G1125" s="64">
        <v>0</v>
      </c>
      <c r="H1125" s="65"/>
      <c r="I1125" s="65"/>
      <c r="J1125" s="65"/>
      <c r="K1125" s="65" t="s">
        <v>1276</v>
      </c>
      <c r="L1125" s="64" t="s">
        <v>72</v>
      </c>
      <c r="M1125" s="64" t="s">
        <v>1277</v>
      </c>
      <c r="N1125" s="64" t="s">
        <v>1278</v>
      </c>
      <c r="O1125" s="64" t="s">
        <v>1279</v>
      </c>
      <c r="P1125" s="69">
        <v>44972</v>
      </c>
      <c r="Q1125" s="69">
        <v>45290</v>
      </c>
      <c r="R1125" s="171"/>
      <c r="S1125" s="170"/>
      <c r="T1125" s="1203"/>
      <c r="U1125" s="155">
        <v>0</v>
      </c>
      <c r="V1125" s="155"/>
      <c r="W1125" s="821">
        <v>0</v>
      </c>
      <c r="X1125" s="1132">
        <v>0</v>
      </c>
      <c r="Y1125" s="75">
        <v>0</v>
      </c>
      <c r="Z1125" s="1032">
        <v>0</v>
      </c>
      <c r="AA1125" s="1132">
        <v>0</v>
      </c>
      <c r="AB1125" s="75">
        <v>0</v>
      </c>
      <c r="AC1125" s="1032">
        <v>0</v>
      </c>
      <c r="AD1125" s="1218">
        <v>0</v>
      </c>
      <c r="AE1125" s="172">
        <v>0</v>
      </c>
      <c r="AF1125" s="1032">
        <v>0</v>
      </c>
      <c r="AG1125" s="1132">
        <v>0</v>
      </c>
      <c r="AH1125" s="505">
        <f t="shared" si="297"/>
        <v>0</v>
      </c>
      <c r="AI1125" s="132"/>
      <c r="AJ1125" s="75">
        <f t="shared" si="296"/>
        <v>0</v>
      </c>
      <c r="AK1125" s="258"/>
      <c r="AL1125" s="258"/>
      <c r="AM1125" s="258"/>
      <c r="AN1125" s="171" t="s">
        <v>39</v>
      </c>
      <c r="AO1125" s="171"/>
      <c r="AP1125" s="872"/>
      <c r="AQ1125" s="872"/>
      <c r="AR1125" s="886"/>
      <c r="AS1125" s="886"/>
      <c r="AT1125" s="886"/>
      <c r="AU1125" s="657"/>
      <c r="AV1125" s="353"/>
      <c r="AW1125" s="90"/>
    </row>
    <row r="1126" spans="1:49" ht="47.45" hidden="1" customHeight="1" outlineLevel="2" x14ac:dyDescent="0.25">
      <c r="A1126" s="63" t="str">
        <f t="shared" si="215"/>
        <v>3.12.0.6.43.0</v>
      </c>
      <c r="B1126" s="64">
        <v>3</v>
      </c>
      <c r="C1126" s="64">
        <v>12</v>
      </c>
      <c r="D1126" s="64">
        <v>0</v>
      </c>
      <c r="E1126" s="64">
        <v>6</v>
      </c>
      <c r="F1126" s="64">
        <v>43</v>
      </c>
      <c r="G1126" s="64">
        <v>0</v>
      </c>
      <c r="H1126" s="65"/>
      <c r="I1126" s="65"/>
      <c r="J1126" s="65"/>
      <c r="K1126" s="65" t="s">
        <v>1281</v>
      </c>
      <c r="L1126" s="64" t="s">
        <v>1282</v>
      </c>
      <c r="M1126" s="64" t="s">
        <v>166</v>
      </c>
      <c r="N1126" s="64" t="s">
        <v>1283</v>
      </c>
      <c r="O1126" s="64" t="s">
        <v>1284</v>
      </c>
      <c r="P1126" s="69">
        <v>44972</v>
      </c>
      <c r="Q1126" s="69">
        <v>45290</v>
      </c>
      <c r="R1126" s="171">
        <v>3</v>
      </c>
      <c r="S1126" s="170"/>
      <c r="T1126" s="1203"/>
      <c r="U1126" s="155">
        <v>0</v>
      </c>
      <c r="V1126" s="155"/>
      <c r="W1126" s="821">
        <v>0</v>
      </c>
      <c r="X1126" s="1132">
        <v>0</v>
      </c>
      <c r="Y1126" s="75">
        <f>39900+126000+67400</f>
        <v>233300</v>
      </c>
      <c r="Z1126" s="1032">
        <v>0</v>
      </c>
      <c r="AA1126" s="1132">
        <v>0</v>
      </c>
      <c r="AB1126" s="75">
        <v>0</v>
      </c>
      <c r="AC1126" s="1032">
        <v>0</v>
      </c>
      <c r="AD1126" s="1218">
        <v>0</v>
      </c>
      <c r="AE1126" s="172">
        <v>0</v>
      </c>
      <c r="AF1126" s="1032">
        <v>0</v>
      </c>
      <c r="AG1126" s="1132">
        <v>0</v>
      </c>
      <c r="AH1126" s="505">
        <f t="shared" si="297"/>
        <v>233300</v>
      </c>
      <c r="AI1126" s="132"/>
      <c r="AJ1126" s="75">
        <f t="shared" si="296"/>
        <v>0</v>
      </c>
      <c r="AK1126" s="258"/>
      <c r="AL1126" s="258"/>
      <c r="AM1126" s="258"/>
      <c r="AN1126" s="171" t="s">
        <v>181</v>
      </c>
      <c r="AO1126" s="171"/>
      <c r="AP1126" s="171"/>
      <c r="AQ1126" s="171"/>
      <c r="AS1126" s="171"/>
      <c r="AU1126" s="657"/>
      <c r="AV1126" s="353"/>
      <c r="AW1126" s="67" t="s">
        <v>2800</v>
      </c>
    </row>
    <row r="1127" spans="1:49" ht="47.45" hidden="1" customHeight="1" outlineLevel="2" x14ac:dyDescent="0.25">
      <c r="A1127" s="63" t="str">
        <f t="shared" si="215"/>
        <v>3.12.0.6.44.0</v>
      </c>
      <c r="B1127" s="64">
        <v>3</v>
      </c>
      <c r="C1127" s="64">
        <v>12</v>
      </c>
      <c r="D1127" s="64">
        <v>0</v>
      </c>
      <c r="E1127" s="64">
        <v>6</v>
      </c>
      <c r="F1127" s="64">
        <v>44</v>
      </c>
      <c r="G1127" s="64">
        <v>0</v>
      </c>
      <c r="H1127" s="65"/>
      <c r="I1127" s="65"/>
      <c r="J1127" s="65"/>
      <c r="K1127" s="65" t="s">
        <v>1285</v>
      </c>
      <c r="L1127" s="64" t="s">
        <v>1286</v>
      </c>
      <c r="M1127" s="64" t="s">
        <v>1277</v>
      </c>
      <c r="N1127" s="64" t="s">
        <v>1287</v>
      </c>
      <c r="O1127" s="64" t="s">
        <v>1288</v>
      </c>
      <c r="P1127" s="69">
        <v>44972</v>
      </c>
      <c r="Q1127" s="69">
        <v>45290</v>
      </c>
      <c r="R1127" s="171">
        <v>12</v>
      </c>
      <c r="S1127" s="170"/>
      <c r="T1127" s="1203">
        <v>12</v>
      </c>
      <c r="U1127" s="155">
        <v>0</v>
      </c>
      <c r="V1127" s="155"/>
      <c r="W1127" s="821">
        <v>0</v>
      </c>
      <c r="X1127" s="1132">
        <v>0</v>
      </c>
      <c r="Y1127" s="75">
        <v>0</v>
      </c>
      <c r="Z1127" s="1032">
        <v>0</v>
      </c>
      <c r="AA1127" s="1132">
        <v>0</v>
      </c>
      <c r="AB1127" s="75">
        <v>0</v>
      </c>
      <c r="AC1127" s="1032">
        <v>0</v>
      </c>
      <c r="AD1127" s="1218">
        <v>0</v>
      </c>
      <c r="AE1127" s="172">
        <v>0</v>
      </c>
      <c r="AF1127" s="1032">
        <v>0</v>
      </c>
      <c r="AG1127" s="1132">
        <v>0</v>
      </c>
      <c r="AH1127" s="505">
        <f t="shared" si="297"/>
        <v>0</v>
      </c>
      <c r="AI1127" s="132"/>
      <c r="AJ1127" s="75">
        <f t="shared" si="296"/>
        <v>0</v>
      </c>
      <c r="AK1127" s="75"/>
      <c r="AL1127" s="75"/>
      <c r="AM1127" s="75"/>
      <c r="AN1127" s="171" t="s">
        <v>39</v>
      </c>
      <c r="AO1127" s="171"/>
      <c r="AP1127" s="171"/>
      <c r="AQ1127" s="171"/>
      <c r="AS1127" s="171"/>
      <c r="AU1127" s="657"/>
      <c r="AV1127" s="353"/>
      <c r="AW1127" s="63"/>
    </row>
    <row r="1128" spans="1:49" ht="47.45" hidden="1" customHeight="1" outlineLevel="2" x14ac:dyDescent="0.25">
      <c r="A1128" s="63" t="str">
        <f t="shared" si="215"/>
        <v>3.12.0.6.45.0</v>
      </c>
      <c r="B1128" s="64">
        <v>3</v>
      </c>
      <c r="C1128" s="64">
        <v>12</v>
      </c>
      <c r="D1128" s="64">
        <v>0</v>
      </c>
      <c r="E1128" s="64">
        <v>6</v>
      </c>
      <c r="F1128" s="64">
        <v>45</v>
      </c>
      <c r="G1128" s="64">
        <v>0</v>
      </c>
      <c r="H1128" s="65"/>
      <c r="I1128" s="65"/>
      <c r="J1128" s="65"/>
      <c r="K1128" s="65" t="s">
        <v>1291</v>
      </c>
      <c r="L1128" s="64" t="s">
        <v>1292</v>
      </c>
      <c r="M1128" s="64" t="s">
        <v>279</v>
      </c>
      <c r="N1128" s="64" t="s">
        <v>2713</v>
      </c>
      <c r="O1128" s="64" t="s">
        <v>1239</v>
      </c>
      <c r="P1128" s="69">
        <v>44972</v>
      </c>
      <c r="Q1128" s="69">
        <v>45290</v>
      </c>
      <c r="R1128" s="171"/>
      <c r="S1128" s="170"/>
      <c r="T1128" s="1203">
        <v>1</v>
      </c>
      <c r="U1128" s="155">
        <v>0</v>
      </c>
      <c r="V1128" s="155"/>
      <c r="W1128" s="821">
        <v>0</v>
      </c>
      <c r="X1128" s="1132">
        <v>0</v>
      </c>
      <c r="Y1128" s="75">
        <v>0</v>
      </c>
      <c r="Z1128" s="1032">
        <v>0</v>
      </c>
      <c r="AA1128" s="1132">
        <v>0</v>
      </c>
      <c r="AB1128" s="75">
        <v>0</v>
      </c>
      <c r="AC1128" s="1032">
        <v>0</v>
      </c>
      <c r="AD1128" s="1218">
        <v>0</v>
      </c>
      <c r="AE1128" s="172">
        <v>0</v>
      </c>
      <c r="AF1128" s="1032">
        <v>0</v>
      </c>
      <c r="AG1128" s="1132">
        <v>0</v>
      </c>
      <c r="AH1128" s="505">
        <f t="shared" si="297"/>
        <v>0</v>
      </c>
      <c r="AI1128" s="132"/>
      <c r="AJ1128" s="75">
        <f t="shared" si="296"/>
        <v>0</v>
      </c>
      <c r="AK1128" s="75"/>
      <c r="AL1128" s="75"/>
      <c r="AM1128" s="75"/>
      <c r="AN1128" s="171" t="s">
        <v>39</v>
      </c>
      <c r="AO1128" s="171"/>
      <c r="AP1128" s="171"/>
      <c r="AQ1128" s="171"/>
      <c r="AS1128" s="171"/>
      <c r="AU1128" s="657"/>
      <c r="AV1128" s="353"/>
      <c r="AW1128" s="63"/>
    </row>
    <row r="1129" spans="1:49" ht="47.45" hidden="1" customHeight="1" outlineLevel="2" x14ac:dyDescent="0.25">
      <c r="A1129" s="63" t="str">
        <f t="shared" si="215"/>
        <v>3.12.0.6.46.0</v>
      </c>
      <c r="B1129" s="64">
        <v>3</v>
      </c>
      <c r="C1129" s="64">
        <v>12</v>
      </c>
      <c r="D1129" s="64">
        <v>0</v>
      </c>
      <c r="E1129" s="64">
        <v>6</v>
      </c>
      <c r="F1129" s="64">
        <v>46</v>
      </c>
      <c r="G1129" s="64">
        <v>0</v>
      </c>
      <c r="H1129" s="65"/>
      <c r="I1129" s="65"/>
      <c r="J1129" s="65"/>
      <c r="K1129" s="65" t="s">
        <v>1872</v>
      </c>
      <c r="L1129" s="64"/>
      <c r="M1129" s="64" t="s">
        <v>279</v>
      </c>
      <c r="N1129" s="64" t="s">
        <v>2713</v>
      </c>
      <c r="O1129" s="64" t="s">
        <v>2715</v>
      </c>
      <c r="P1129" s="69">
        <v>44972</v>
      </c>
      <c r="Q1129" s="69">
        <v>45290</v>
      </c>
      <c r="R1129" s="171"/>
      <c r="S1129" s="170"/>
      <c r="T1129" s="1203"/>
      <c r="U1129" s="155">
        <v>0</v>
      </c>
      <c r="V1129" s="155"/>
      <c r="W1129" s="821">
        <v>0</v>
      </c>
      <c r="X1129" s="1132">
        <v>0</v>
      </c>
      <c r="Y1129" s="75">
        <v>0</v>
      </c>
      <c r="Z1129" s="1032">
        <v>0</v>
      </c>
      <c r="AA1129" s="1132">
        <v>0</v>
      </c>
      <c r="AB1129" s="75">
        <v>0</v>
      </c>
      <c r="AC1129" s="1032">
        <v>0</v>
      </c>
      <c r="AD1129" s="1218">
        <v>0</v>
      </c>
      <c r="AE1129" s="172">
        <v>0</v>
      </c>
      <c r="AF1129" s="1032">
        <v>0</v>
      </c>
      <c r="AG1129" s="1132">
        <v>0</v>
      </c>
      <c r="AH1129" s="505">
        <f t="shared" si="297"/>
        <v>0</v>
      </c>
      <c r="AI1129" s="132"/>
      <c r="AJ1129" s="75">
        <f t="shared" si="296"/>
        <v>0</v>
      </c>
      <c r="AK1129" s="75"/>
      <c r="AL1129" s="75"/>
      <c r="AM1129" s="75"/>
      <c r="AN1129" s="171" t="s">
        <v>39</v>
      </c>
      <c r="AO1129" s="171"/>
      <c r="AP1129" s="171"/>
      <c r="AQ1129" s="171"/>
      <c r="AS1129" s="171"/>
      <c r="AU1129" s="657"/>
      <c r="AV1129" s="1010"/>
      <c r="AW1129" s="454"/>
    </row>
    <row r="1130" spans="1:49" ht="47.45" hidden="1" customHeight="1" outlineLevel="2" x14ac:dyDescent="0.25">
      <c r="A1130" s="63" t="str">
        <f t="shared" si="215"/>
        <v>3.12.0.6.47.0</v>
      </c>
      <c r="B1130" s="64">
        <v>3</v>
      </c>
      <c r="C1130" s="64">
        <v>12</v>
      </c>
      <c r="D1130" s="64">
        <v>0</v>
      </c>
      <c r="E1130" s="64">
        <v>6</v>
      </c>
      <c r="F1130" s="64">
        <v>47</v>
      </c>
      <c r="G1130" s="64">
        <v>0</v>
      </c>
      <c r="H1130" s="65"/>
      <c r="I1130" s="65"/>
      <c r="J1130" s="65"/>
      <c r="K1130" s="65" t="s">
        <v>2860</v>
      </c>
      <c r="L1130" s="64" t="s">
        <v>1286</v>
      </c>
      <c r="M1130" s="64" t="s">
        <v>571</v>
      </c>
      <c r="N1130" s="64" t="s">
        <v>2706</v>
      </c>
      <c r="O1130" s="64" t="s">
        <v>2707</v>
      </c>
      <c r="P1130" s="69">
        <v>44972</v>
      </c>
      <c r="Q1130" s="69">
        <v>45290</v>
      </c>
      <c r="R1130" s="171">
        <v>1</v>
      </c>
      <c r="S1130" s="170" t="s">
        <v>2708</v>
      </c>
      <c r="T1130" s="1203">
        <v>1</v>
      </c>
      <c r="U1130" s="155">
        <v>8500</v>
      </c>
      <c r="V1130" s="155"/>
      <c r="W1130" s="821">
        <v>0</v>
      </c>
      <c r="X1130" s="1132">
        <v>0</v>
      </c>
      <c r="Y1130" s="75">
        <v>0</v>
      </c>
      <c r="Z1130" s="1032">
        <v>0</v>
      </c>
      <c r="AA1130" s="1132">
        <v>0</v>
      </c>
      <c r="AB1130" s="75">
        <v>0</v>
      </c>
      <c r="AC1130" s="1032">
        <v>0</v>
      </c>
      <c r="AD1130" s="1218">
        <v>0</v>
      </c>
      <c r="AE1130" s="172">
        <v>0</v>
      </c>
      <c r="AF1130" s="1032">
        <v>0</v>
      </c>
      <c r="AG1130" s="1132">
        <v>0</v>
      </c>
      <c r="AH1130" s="505">
        <f t="shared" si="297"/>
        <v>8500</v>
      </c>
      <c r="AI1130" s="132"/>
      <c r="AJ1130" s="75">
        <f t="shared" si="296"/>
        <v>0</v>
      </c>
      <c r="AK1130" s="75"/>
      <c r="AL1130" s="75"/>
      <c r="AM1130" s="75"/>
      <c r="AN1130" s="64" t="s">
        <v>39</v>
      </c>
      <c r="AO1130" s="171"/>
      <c r="AP1130" s="171"/>
      <c r="AQ1130" s="171"/>
      <c r="AS1130" s="171"/>
      <c r="AU1130" s="657"/>
      <c r="AV1130" s="65"/>
      <c r="AW1130" s="335"/>
    </row>
    <row r="1131" spans="1:49" ht="47.45" hidden="1" customHeight="1" outlineLevel="2" x14ac:dyDescent="0.25">
      <c r="A1131" s="63" t="str">
        <f t="shared" si="215"/>
        <v>3.12.0.6.48.0</v>
      </c>
      <c r="B1131" s="64">
        <v>3</v>
      </c>
      <c r="C1131" s="64">
        <v>12</v>
      </c>
      <c r="D1131" s="64">
        <v>0</v>
      </c>
      <c r="E1131" s="64">
        <v>6</v>
      </c>
      <c r="F1131" s="64">
        <v>48</v>
      </c>
      <c r="G1131" s="64">
        <v>0</v>
      </c>
      <c r="H1131" s="65"/>
      <c r="I1131" s="65"/>
      <c r="J1131" s="65"/>
      <c r="K1131" s="185" t="s">
        <v>2711</v>
      </c>
      <c r="L1131" s="64" t="s">
        <v>2712</v>
      </c>
      <c r="M1131" s="64" t="s">
        <v>323</v>
      </c>
      <c r="N1131" s="64" t="s">
        <v>2706</v>
      </c>
      <c r="O1131" s="64" t="s">
        <v>2707</v>
      </c>
      <c r="P1131" s="69">
        <v>44972</v>
      </c>
      <c r="Q1131" s="69">
        <v>45290</v>
      </c>
      <c r="R1131" s="171">
        <v>1</v>
      </c>
      <c r="S1131" s="170"/>
      <c r="T1131" s="1203"/>
      <c r="U1131" s="1089">
        <f>900000/4</f>
        <v>225000</v>
      </c>
      <c r="V1131" s="1089"/>
      <c r="W1131" s="1090">
        <v>0</v>
      </c>
      <c r="X1131" s="1214">
        <v>0</v>
      </c>
      <c r="Y1131" s="370">
        <v>225000</v>
      </c>
      <c r="Z1131" s="1040">
        <v>0</v>
      </c>
      <c r="AA1131" s="1137">
        <v>0</v>
      </c>
      <c r="AB1131" s="370">
        <v>225000</v>
      </c>
      <c r="AC1131" s="1040">
        <v>0</v>
      </c>
      <c r="AD1131" s="1132">
        <v>0</v>
      </c>
      <c r="AE1131" s="155">
        <v>225000</v>
      </c>
      <c r="AF1131" s="1040">
        <v>0</v>
      </c>
      <c r="AG1131" s="1132">
        <v>0</v>
      </c>
      <c r="AH1131" s="505">
        <f t="shared" si="297"/>
        <v>900000</v>
      </c>
      <c r="AI1131" s="132"/>
      <c r="AJ1131" s="75">
        <f>+W1137+Z1137+AC1137+AF1137</f>
        <v>387700</v>
      </c>
      <c r="AK1131" s="75"/>
      <c r="AL1131" s="75"/>
      <c r="AM1131" s="75"/>
      <c r="AN1131" s="64" t="s">
        <v>39</v>
      </c>
      <c r="AO1131" s="171"/>
      <c r="AP1131" s="171"/>
      <c r="AQ1131" s="418"/>
      <c r="AR1131" s="1293"/>
      <c r="AS1131" s="1294"/>
      <c r="AU1131" s="657"/>
      <c r="AV1131" s="65"/>
      <c r="AW1131" s="335" t="s">
        <v>2732</v>
      </c>
    </row>
    <row r="1132" spans="1:49" ht="47.45" hidden="1" customHeight="1" outlineLevel="2" x14ac:dyDescent="0.25">
      <c r="A1132" s="63" t="str">
        <f t="shared" si="215"/>
        <v>3.12.0.6.49.0</v>
      </c>
      <c r="B1132" s="64">
        <v>3</v>
      </c>
      <c r="C1132" s="64">
        <v>12</v>
      </c>
      <c r="D1132" s="64">
        <v>0</v>
      </c>
      <c r="E1132" s="64">
        <v>6</v>
      </c>
      <c r="F1132" s="64">
        <v>49</v>
      </c>
      <c r="G1132" s="64">
        <v>0</v>
      </c>
      <c r="H1132" s="65"/>
      <c r="I1132" s="65"/>
      <c r="J1132" s="65"/>
      <c r="K1132" s="185" t="s">
        <v>2867</v>
      </c>
      <c r="L1132" s="64" t="s">
        <v>1286</v>
      </c>
      <c r="M1132" s="64" t="s">
        <v>323</v>
      </c>
      <c r="N1132" s="64" t="s">
        <v>2709</v>
      </c>
      <c r="O1132" s="64"/>
      <c r="P1132" s="69"/>
      <c r="Q1132" s="69"/>
      <c r="R1132" s="171"/>
      <c r="S1132" s="170"/>
      <c r="T1132" s="1203"/>
      <c r="U1132" s="1089">
        <v>0</v>
      </c>
      <c r="V1132" s="1089"/>
      <c r="W1132" s="1090">
        <v>0</v>
      </c>
      <c r="X1132" s="1214">
        <v>0</v>
      </c>
      <c r="Y1132" s="370">
        <v>176360</v>
      </c>
      <c r="Z1132" s="1040">
        <v>0</v>
      </c>
      <c r="AA1132" s="1137">
        <v>0</v>
      </c>
      <c r="AB1132" s="370">
        <v>176360</v>
      </c>
      <c r="AC1132" s="1040">
        <v>0</v>
      </c>
      <c r="AD1132" s="1132">
        <v>0</v>
      </c>
      <c r="AE1132" s="155">
        <v>176360</v>
      </c>
      <c r="AF1132" s="1040">
        <v>0</v>
      </c>
      <c r="AG1132" s="1132">
        <v>0</v>
      </c>
      <c r="AH1132" s="505">
        <f t="shared" si="297"/>
        <v>529080</v>
      </c>
      <c r="AI1132" s="132"/>
      <c r="AJ1132" s="75">
        <f>+W1138+Z1138+AC1138+AF1138</f>
        <v>0</v>
      </c>
      <c r="AK1132" s="75"/>
      <c r="AL1132" s="75"/>
      <c r="AM1132" s="75"/>
      <c r="AN1132" s="64" t="s">
        <v>39</v>
      </c>
      <c r="AO1132" s="171"/>
      <c r="AP1132" s="171"/>
      <c r="AQ1132" s="418"/>
      <c r="AR1132" s="418"/>
      <c r="AS1132" s="484"/>
      <c r="AU1132" s="657"/>
      <c r="AV1132" s="65"/>
      <c r="AW1132" s="335" t="s">
        <v>2868</v>
      </c>
    </row>
    <row r="1133" spans="1:49" ht="47.45" hidden="1" customHeight="1" outlineLevel="2" x14ac:dyDescent="0.25">
      <c r="A1133" s="63" t="str">
        <f t="shared" si="215"/>
        <v>3.12.0.6.50.0</v>
      </c>
      <c r="B1133" s="64">
        <v>3</v>
      </c>
      <c r="C1133" s="64">
        <v>12</v>
      </c>
      <c r="D1133" s="64">
        <v>0</v>
      </c>
      <c r="E1133" s="64">
        <v>6</v>
      </c>
      <c r="F1133" s="64">
        <v>50</v>
      </c>
      <c r="G1133" s="64">
        <v>0</v>
      </c>
      <c r="H1133" s="65"/>
      <c r="I1133" s="65"/>
      <c r="J1133" s="65"/>
      <c r="K1133" s="185" t="s">
        <v>2753</v>
      </c>
      <c r="L1133" s="64"/>
      <c r="M1133" s="64"/>
      <c r="N1133" s="64"/>
      <c r="O1133" s="64"/>
      <c r="P1133" s="69"/>
      <c r="Q1133" s="69"/>
      <c r="R1133" s="171"/>
      <c r="S1133" s="170"/>
      <c r="T1133" s="1203"/>
      <c r="U1133" s="1089">
        <v>450</v>
      </c>
      <c r="V1133" s="1089"/>
      <c r="W1133" s="1090">
        <v>0</v>
      </c>
      <c r="X1133" s="1214">
        <v>0</v>
      </c>
      <c r="Y1133" s="370">
        <v>0</v>
      </c>
      <c r="Z1133" s="1040">
        <v>0</v>
      </c>
      <c r="AA1133" s="1137">
        <v>0</v>
      </c>
      <c r="AB1133" s="370">
        <v>176360</v>
      </c>
      <c r="AC1133" s="1040">
        <v>0</v>
      </c>
      <c r="AD1133" s="1132">
        <v>0</v>
      </c>
      <c r="AE1133" s="155">
        <v>176360</v>
      </c>
      <c r="AF1133" s="1040">
        <v>0</v>
      </c>
      <c r="AG1133" s="1132">
        <v>0</v>
      </c>
      <c r="AH1133" s="505">
        <f t="shared" si="297"/>
        <v>353170</v>
      </c>
      <c r="AI1133" s="132"/>
      <c r="AJ1133" s="75">
        <f>+W1139+Z1139+AC1139+AF1139</f>
        <v>0</v>
      </c>
      <c r="AK1133" s="75"/>
      <c r="AL1133" s="75"/>
      <c r="AM1133" s="75"/>
      <c r="AN1133" s="64" t="s">
        <v>39</v>
      </c>
      <c r="AO1133" s="171"/>
      <c r="AP1133" s="171"/>
      <c r="AQ1133" s="418"/>
      <c r="AR1133" s="418"/>
      <c r="AS1133" s="484"/>
      <c r="AU1133" s="657"/>
      <c r="AV1133" s="65"/>
      <c r="AW1133" s="335" t="s">
        <v>2754</v>
      </c>
    </row>
    <row r="1134" spans="1:49" ht="47.45" hidden="1" customHeight="1" outlineLevel="2" x14ac:dyDescent="0.25">
      <c r="A1134" s="63" t="str">
        <f t="shared" si="215"/>
        <v>3.12.0.6.51.0</v>
      </c>
      <c r="B1134" s="64">
        <v>3</v>
      </c>
      <c r="C1134" s="64">
        <v>12</v>
      </c>
      <c r="D1134" s="64">
        <v>0</v>
      </c>
      <c r="E1134" s="64">
        <v>6</v>
      </c>
      <c r="F1134" s="64">
        <v>51</v>
      </c>
      <c r="G1134" s="64">
        <v>0</v>
      </c>
      <c r="H1134" s="65"/>
      <c r="I1134" s="259"/>
      <c r="J1134" s="65"/>
      <c r="K1134" s="185" t="s">
        <v>2808</v>
      </c>
      <c r="L1134" s="64"/>
      <c r="M1134" s="64"/>
      <c r="N1134" s="64"/>
      <c r="O1134" s="64"/>
      <c r="P1134" s="69"/>
      <c r="Q1134" s="69"/>
      <c r="R1134" s="171"/>
      <c r="S1134" s="170"/>
      <c r="T1134" s="1203"/>
      <c r="U1134" s="1089">
        <f>450+307554.7</f>
        <v>308004.7</v>
      </c>
      <c r="V1134" s="1089"/>
      <c r="W1134" s="1090">
        <v>0</v>
      </c>
      <c r="X1134" s="1214">
        <v>0</v>
      </c>
      <c r="Y1134" s="370">
        <v>0</v>
      </c>
      <c r="Z1134" s="1040">
        <v>0</v>
      </c>
      <c r="AA1134" s="1137">
        <v>0</v>
      </c>
      <c r="AB1134" s="370">
        <v>0</v>
      </c>
      <c r="AC1134" s="1040">
        <v>0</v>
      </c>
      <c r="AD1134" s="1132">
        <v>0</v>
      </c>
      <c r="AE1134" s="155">
        <v>0</v>
      </c>
      <c r="AF1134" s="1040">
        <v>0</v>
      </c>
      <c r="AG1134" s="1132">
        <v>0</v>
      </c>
      <c r="AH1134" s="505">
        <f t="shared" si="297"/>
        <v>308004.7</v>
      </c>
      <c r="AI1134" s="132"/>
      <c r="AJ1134" s="75">
        <f>+W1140+Z1140+AC1140+AF1140</f>
        <v>0</v>
      </c>
      <c r="AK1134" s="75"/>
      <c r="AL1134" s="75"/>
      <c r="AM1134" s="75"/>
      <c r="AN1134" s="64" t="s">
        <v>39</v>
      </c>
      <c r="AO1134" s="171"/>
      <c r="AP1134" s="171"/>
      <c r="AQ1134" s="418"/>
      <c r="AR1134" s="418"/>
      <c r="AS1134" s="484"/>
      <c r="AU1134" s="657"/>
      <c r="AV1134" s="185"/>
      <c r="AW1134" s="335" t="s">
        <v>2809</v>
      </c>
    </row>
    <row r="1135" spans="1:49" ht="47.45" hidden="1" customHeight="1" outlineLevel="2" x14ac:dyDescent="0.25">
      <c r="A1135" s="63" t="str">
        <f t="shared" si="215"/>
        <v>3.12.0.6.52.0</v>
      </c>
      <c r="B1135" s="64">
        <v>3</v>
      </c>
      <c r="C1135" s="64">
        <v>12</v>
      </c>
      <c r="D1135" s="64">
        <v>0</v>
      </c>
      <c r="E1135" s="64">
        <v>6</v>
      </c>
      <c r="F1135" s="64">
        <v>52</v>
      </c>
      <c r="G1135" s="64">
        <v>0</v>
      </c>
      <c r="H1135" s="65"/>
      <c r="I1135" s="259"/>
      <c r="J1135" s="65"/>
      <c r="K1135" s="185" t="s">
        <v>2820</v>
      </c>
      <c r="L1135" s="64"/>
      <c r="M1135" s="64"/>
      <c r="N1135" s="64"/>
      <c r="O1135" s="64"/>
      <c r="P1135" s="69"/>
      <c r="Q1135" s="69"/>
      <c r="R1135" s="171"/>
      <c r="S1135" s="170"/>
      <c r="T1135" s="1203"/>
      <c r="U1135" s="1089">
        <f>450+307554.7</f>
        <v>308004.7</v>
      </c>
      <c r="V1135" s="1089"/>
      <c r="W1135" s="1090">
        <v>0</v>
      </c>
      <c r="X1135" s="1214">
        <v>0</v>
      </c>
      <c r="Y1135" s="370">
        <v>0</v>
      </c>
      <c r="Z1135" s="1040">
        <v>0</v>
      </c>
      <c r="AA1135" s="1137">
        <v>0</v>
      </c>
      <c r="AB1135" s="370">
        <v>0</v>
      </c>
      <c r="AC1135" s="1040">
        <v>0</v>
      </c>
      <c r="AD1135" s="1132">
        <v>0</v>
      </c>
      <c r="AE1135" s="155">
        <v>0</v>
      </c>
      <c r="AF1135" s="1040">
        <v>0</v>
      </c>
      <c r="AG1135" s="1132">
        <v>0</v>
      </c>
      <c r="AH1135" s="505">
        <f t="shared" si="297"/>
        <v>308004.7</v>
      </c>
      <c r="AI1135" s="132"/>
      <c r="AJ1135" s="75">
        <f>+W1141+Z1141+AC1141+AF1141</f>
        <v>0</v>
      </c>
      <c r="AK1135" s="75"/>
      <c r="AL1135" s="75"/>
      <c r="AM1135" s="75"/>
      <c r="AN1135" s="64" t="s">
        <v>39</v>
      </c>
      <c r="AO1135" s="171"/>
      <c r="AP1135" s="171"/>
      <c r="AQ1135" s="418"/>
      <c r="AR1135" s="418"/>
      <c r="AS1135" s="484"/>
      <c r="AU1135" s="657"/>
      <c r="AV1135" s="185"/>
      <c r="AW1135" s="335" t="s">
        <v>2819</v>
      </c>
    </row>
    <row r="1136" spans="1:49" ht="47.45" hidden="1" customHeight="1" outlineLevel="2" x14ac:dyDescent="0.25">
      <c r="A1136" s="63" t="str">
        <f t="shared" si="215"/>
        <v>3.12.0.6.53.0</v>
      </c>
      <c r="B1136" s="64">
        <v>3</v>
      </c>
      <c r="C1136" s="64">
        <v>12</v>
      </c>
      <c r="D1136" s="64">
        <v>0</v>
      </c>
      <c r="E1136" s="64">
        <v>6</v>
      </c>
      <c r="F1136" s="64">
        <v>53</v>
      </c>
      <c r="G1136" s="64">
        <v>0</v>
      </c>
      <c r="H1136" s="65"/>
      <c r="I1136" s="65"/>
      <c r="J1136" s="65"/>
      <c r="K1136" s="185" t="s">
        <v>2858</v>
      </c>
      <c r="L1136" s="64"/>
      <c r="M1136" s="64"/>
      <c r="N1136" s="64"/>
      <c r="O1136" s="64"/>
      <c r="P1136" s="69"/>
      <c r="Q1136" s="69"/>
      <c r="R1136" s="171"/>
      <c r="S1136" s="170"/>
      <c r="T1136" s="1203"/>
      <c r="U1136" s="1089">
        <v>40120</v>
      </c>
      <c r="V1136" s="1089"/>
      <c r="W1136" s="1090">
        <v>0</v>
      </c>
      <c r="X1136" s="1214">
        <v>0</v>
      </c>
      <c r="Y1136" s="370">
        <v>0</v>
      </c>
      <c r="Z1136" s="1040">
        <v>0</v>
      </c>
      <c r="AA1136" s="1137">
        <v>0</v>
      </c>
      <c r="AB1136" s="370">
        <v>0</v>
      </c>
      <c r="AC1136" s="1040">
        <v>0</v>
      </c>
      <c r="AD1136" s="1132">
        <v>0</v>
      </c>
      <c r="AE1136" s="155">
        <v>0</v>
      </c>
      <c r="AF1136" s="1040">
        <v>0</v>
      </c>
      <c r="AG1136" s="1132">
        <v>0</v>
      </c>
      <c r="AH1136" s="505">
        <f t="shared" si="297"/>
        <v>40120</v>
      </c>
      <c r="AI1136" s="132"/>
      <c r="AJ1136" s="75">
        <v>0</v>
      </c>
      <c r="AK1136" s="75"/>
      <c r="AL1136" s="75"/>
      <c r="AM1136" s="75"/>
      <c r="AN1136" s="64" t="s">
        <v>181</v>
      </c>
      <c r="AO1136" s="171"/>
      <c r="AP1136" s="171"/>
      <c r="AQ1136" s="418"/>
      <c r="AR1136" s="418"/>
      <c r="AS1136" s="484"/>
      <c r="AU1136" s="657"/>
      <c r="AV1136" s="185"/>
      <c r="AW1136" s="335" t="s">
        <v>2859</v>
      </c>
    </row>
    <row r="1137" spans="1:49" s="153" customFormat="1" ht="24" customHeight="1" outlineLevel="1" x14ac:dyDescent="0.25">
      <c r="A1137" s="260" t="str">
        <f t="shared" si="215"/>
        <v>3.13.0.0.0.0</v>
      </c>
      <c r="B1137" s="261">
        <v>3</v>
      </c>
      <c r="C1137" s="261">
        <v>13</v>
      </c>
      <c r="D1137" s="261">
        <v>0</v>
      </c>
      <c r="E1137" s="261">
        <v>0</v>
      </c>
      <c r="F1137" s="261">
        <v>0</v>
      </c>
      <c r="G1137" s="262">
        <v>0</v>
      </c>
      <c r="H1137" s="263"/>
      <c r="I1137" s="1295" t="s">
        <v>1295</v>
      </c>
      <c r="J1137" s="1296"/>
      <c r="K1137" s="1297"/>
      <c r="L1137" s="262" t="s">
        <v>630</v>
      </c>
      <c r="M1137" s="262" t="s">
        <v>1296</v>
      </c>
      <c r="N1137" s="262" t="s">
        <v>1297</v>
      </c>
      <c r="O1137" s="262" t="s">
        <v>1298</v>
      </c>
      <c r="P1137" s="264"/>
      <c r="Q1137" s="264"/>
      <c r="R1137" s="261"/>
      <c r="S1137" s="265"/>
      <c r="T1137" s="1204"/>
      <c r="U1137" s="266">
        <f>+U1138+U1144+U1163+U1166+U1170+U1190+U1193+U1203+U1207</f>
        <v>2125525</v>
      </c>
      <c r="V1137" s="266"/>
      <c r="W1137" s="266">
        <f t="shared" ref="W1137:AJ1137" si="298">+W1138+W1144+W1163+W1166+W1170+W1190+W1193+W1203+W1207</f>
        <v>117000</v>
      </c>
      <c r="X1137" s="1156">
        <f t="shared" si="298"/>
        <v>0</v>
      </c>
      <c r="Y1137" s="266">
        <f t="shared" si="298"/>
        <v>1724085</v>
      </c>
      <c r="Z1137" s="266">
        <f t="shared" si="298"/>
        <v>0</v>
      </c>
      <c r="AA1137" s="1156">
        <f t="shared" si="298"/>
        <v>0</v>
      </c>
      <c r="AB1137" s="266">
        <f t="shared" si="298"/>
        <v>478485</v>
      </c>
      <c r="AC1137" s="266">
        <f t="shared" si="298"/>
        <v>0</v>
      </c>
      <c r="AD1137" s="1156">
        <f t="shared" si="298"/>
        <v>0</v>
      </c>
      <c r="AE1137" s="266">
        <f t="shared" si="298"/>
        <v>478385</v>
      </c>
      <c r="AF1137" s="266">
        <f t="shared" si="298"/>
        <v>270700</v>
      </c>
      <c r="AG1137" s="1156">
        <f t="shared" si="298"/>
        <v>0</v>
      </c>
      <c r="AH1137" s="266">
        <f>+AH1138+AH1144+AH1163+AH1166+AH1170+AH1190+AH1193+AH1203+AH1207</f>
        <v>4806480</v>
      </c>
      <c r="AI1137" s="266">
        <f t="shared" si="298"/>
        <v>0</v>
      </c>
      <c r="AJ1137" s="266">
        <f t="shared" si="298"/>
        <v>0</v>
      </c>
      <c r="AK1137" s="267"/>
      <c r="AL1137" s="267"/>
      <c r="AM1137" s="267"/>
      <c r="AN1137" s="261" t="s">
        <v>1157</v>
      </c>
      <c r="AO1137" s="261"/>
      <c r="AP1137" s="261"/>
      <c r="AQ1137" s="422"/>
      <c r="AR1137" s="261"/>
      <c r="AS1137" s="488"/>
      <c r="AT1137" s="261"/>
      <c r="AU1137" s="669"/>
      <c r="AV1137" s="390">
        <f t="shared" ref="AV1137" si="299">+AV1138+AV1144+AV1163+AV1166+AV1170+AV1190+AV1193+AV1203+AV1207</f>
        <v>0</v>
      </c>
      <c r="AW1137" s="458"/>
    </row>
    <row r="1138" spans="1:49" s="153" customFormat="1" ht="33" customHeight="1" outlineLevel="1" collapsed="1" x14ac:dyDescent="0.25">
      <c r="A1138" s="148" t="str">
        <f t="shared" si="215"/>
        <v>3.13.0.1.0.0</v>
      </c>
      <c r="B1138" s="82">
        <v>3</v>
      </c>
      <c r="C1138" s="82">
        <v>13</v>
      </c>
      <c r="D1138" s="82">
        <v>0</v>
      </c>
      <c r="E1138" s="82">
        <v>1</v>
      </c>
      <c r="F1138" s="82">
        <v>0</v>
      </c>
      <c r="G1138" s="82">
        <v>0</v>
      </c>
      <c r="H1138" s="149"/>
      <c r="I1138" s="149"/>
      <c r="J1138" s="1260" t="s">
        <v>1299</v>
      </c>
      <c r="K1138" s="1259"/>
      <c r="L1138" s="622" t="s">
        <v>1300</v>
      </c>
      <c r="M1138" s="268" t="s">
        <v>1296</v>
      </c>
      <c r="N1138" s="268" t="s">
        <v>1297</v>
      </c>
      <c r="O1138" s="268" t="s">
        <v>1298</v>
      </c>
      <c r="P1138" s="268"/>
      <c r="Q1138" s="268"/>
      <c r="R1138" s="152"/>
      <c r="S1138" s="269"/>
      <c r="T1138" s="193"/>
      <c r="U1138" s="379">
        <f>+SUM(U1139:U1143)</f>
        <v>0</v>
      </c>
      <c r="V1138" s="379"/>
      <c r="W1138" s="379">
        <f t="shared" ref="W1138:AH1138" si="300">+SUM(W1139:W1143)</f>
        <v>0</v>
      </c>
      <c r="X1138" s="1130">
        <f t="shared" si="300"/>
        <v>0</v>
      </c>
      <c r="Y1138" s="379">
        <f>+SUM(Y1139:Y1143)</f>
        <v>0</v>
      </c>
      <c r="Z1138" s="379">
        <f t="shared" si="300"/>
        <v>0</v>
      </c>
      <c r="AA1138" s="1130">
        <f t="shared" si="300"/>
        <v>0</v>
      </c>
      <c r="AB1138" s="379">
        <f>+SUM(AB1139:AB1143)</f>
        <v>0</v>
      </c>
      <c r="AC1138" s="379">
        <f t="shared" si="300"/>
        <v>0</v>
      </c>
      <c r="AD1138" s="1130">
        <f t="shared" si="300"/>
        <v>0</v>
      </c>
      <c r="AE1138" s="379">
        <f>+SUM(AE1139:AE1143)</f>
        <v>0</v>
      </c>
      <c r="AF1138" s="379">
        <f t="shared" si="300"/>
        <v>0</v>
      </c>
      <c r="AG1138" s="1130">
        <f t="shared" si="300"/>
        <v>0</v>
      </c>
      <c r="AH1138" s="379">
        <f>+SUM(AH1139:AH1143)</f>
        <v>0</v>
      </c>
      <c r="AI1138" s="512">
        <f>+SUM(AI1139:AI1143)</f>
        <v>0</v>
      </c>
      <c r="AJ1138" s="512">
        <f>+SUM(AJ1139:AJ1143)</f>
        <v>0</v>
      </c>
      <c r="AK1138" s="152"/>
      <c r="AL1138" s="152"/>
      <c r="AM1138" s="152"/>
      <c r="AN1138" s="82" t="s">
        <v>39</v>
      </c>
      <c r="AO1138" s="82"/>
      <c r="AP1138" s="82"/>
      <c r="AQ1138" s="365"/>
      <c r="AR1138" s="82"/>
      <c r="AS1138" s="483"/>
      <c r="AT1138" s="82"/>
      <c r="AU1138" s="666"/>
      <c r="AV1138" s="379">
        <f t="shared" ref="AV1138" si="301">+SUM(AV1139:AV1143)</f>
        <v>0</v>
      </c>
      <c r="AW1138" s="444"/>
    </row>
    <row r="1139" spans="1:49" ht="41.1" hidden="1" customHeight="1" outlineLevel="3" x14ac:dyDescent="0.25">
      <c r="A1139" s="63" t="str">
        <f t="shared" si="215"/>
        <v>3.13.0.1.1.58-64</v>
      </c>
      <c r="B1139" s="64">
        <v>3</v>
      </c>
      <c r="C1139" s="64">
        <v>13</v>
      </c>
      <c r="D1139" s="64">
        <v>0</v>
      </c>
      <c r="E1139" s="64">
        <v>1</v>
      </c>
      <c r="F1139" s="64">
        <v>1</v>
      </c>
      <c r="G1139" s="64" t="s">
        <v>64</v>
      </c>
      <c r="H1139" s="65"/>
      <c r="I1139" s="65"/>
      <c r="J1139" s="66"/>
      <c r="K1139" s="65" t="s">
        <v>1301</v>
      </c>
      <c r="L1139" s="64" t="s">
        <v>1300</v>
      </c>
      <c r="M1139" s="64" t="s">
        <v>1296</v>
      </c>
      <c r="N1139" s="64" t="s">
        <v>1297</v>
      </c>
      <c r="O1139" s="64" t="s">
        <v>1298</v>
      </c>
      <c r="P1139" s="69"/>
      <c r="Q1139" s="69"/>
      <c r="R1139" s="64"/>
      <c r="S1139" s="65" t="s">
        <v>299</v>
      </c>
      <c r="T1139" s="194"/>
      <c r="U1139" s="75">
        <v>0</v>
      </c>
      <c r="V1139" s="75"/>
      <c r="W1139" s="75">
        <v>0</v>
      </c>
      <c r="X1139" s="1122">
        <v>0</v>
      </c>
      <c r="Y1139" s="75">
        <v>0</v>
      </c>
      <c r="Z1139" s="75">
        <v>0</v>
      </c>
      <c r="AA1139" s="1122">
        <v>0</v>
      </c>
      <c r="AB1139" s="75">
        <v>0</v>
      </c>
      <c r="AC1139" s="75">
        <v>0</v>
      </c>
      <c r="AD1139" s="1122">
        <v>0</v>
      </c>
      <c r="AE1139" s="75">
        <v>0</v>
      </c>
      <c r="AF1139" s="75">
        <v>0</v>
      </c>
      <c r="AG1139" s="1122">
        <v>0</v>
      </c>
      <c r="AH1139" s="505">
        <f>+U1139+Y1139+AB1139+AE1139</f>
        <v>0</v>
      </c>
      <c r="AI1139" s="132"/>
      <c r="AJ1139" s="75">
        <f t="shared" ref="AJ1139:AJ1143" si="302">+W1140+Z1140+AC1140+AF1140</f>
        <v>0</v>
      </c>
      <c r="AK1139" s="75"/>
      <c r="AL1139" s="75"/>
      <c r="AM1139" s="75"/>
      <c r="AN1139" s="64" t="s">
        <v>39</v>
      </c>
      <c r="AO1139" s="64"/>
      <c r="AP1139" s="64"/>
      <c r="AQ1139" s="189"/>
      <c r="AR1139" s="64"/>
      <c r="AS1139" s="476"/>
      <c r="AT1139" s="64"/>
      <c r="AU1139" s="646"/>
      <c r="AV1139" s="259"/>
      <c r="AW1139" s="185"/>
    </row>
    <row r="1140" spans="1:49" ht="41.1" hidden="1" customHeight="1" outlineLevel="3" x14ac:dyDescent="0.25">
      <c r="A1140" s="63" t="str">
        <f t="shared" si="215"/>
        <v>3.13.0.1.2.58-64</v>
      </c>
      <c r="B1140" s="64">
        <v>3</v>
      </c>
      <c r="C1140" s="64">
        <v>13</v>
      </c>
      <c r="D1140" s="64">
        <v>0</v>
      </c>
      <c r="E1140" s="64">
        <v>1</v>
      </c>
      <c r="F1140" s="64">
        <v>2</v>
      </c>
      <c r="G1140" s="64" t="s">
        <v>64</v>
      </c>
      <c r="H1140" s="65"/>
      <c r="I1140" s="65"/>
      <c r="J1140" s="66"/>
      <c r="K1140" s="65" t="s">
        <v>1302</v>
      </c>
      <c r="L1140" s="64" t="s">
        <v>1300</v>
      </c>
      <c r="M1140" s="64" t="s">
        <v>1296</v>
      </c>
      <c r="N1140" s="64" t="s">
        <v>1297</v>
      </c>
      <c r="O1140" s="64" t="s">
        <v>1298</v>
      </c>
      <c r="P1140" s="69"/>
      <c r="Q1140" s="69"/>
      <c r="R1140" s="64"/>
      <c r="S1140" s="65" t="s">
        <v>299</v>
      </c>
      <c r="T1140" s="194"/>
      <c r="U1140" s="75">
        <v>0</v>
      </c>
      <c r="V1140" s="75"/>
      <c r="W1140" s="75">
        <v>0</v>
      </c>
      <c r="X1140" s="1122">
        <v>0</v>
      </c>
      <c r="Y1140" s="75">
        <v>0</v>
      </c>
      <c r="Z1140" s="75">
        <v>0</v>
      </c>
      <c r="AA1140" s="1122">
        <v>0</v>
      </c>
      <c r="AB1140" s="75">
        <v>0</v>
      </c>
      <c r="AC1140" s="75">
        <v>0</v>
      </c>
      <c r="AD1140" s="1122">
        <v>0</v>
      </c>
      <c r="AE1140" s="75">
        <v>0</v>
      </c>
      <c r="AF1140" s="75">
        <v>0</v>
      </c>
      <c r="AG1140" s="1122">
        <v>0</v>
      </c>
      <c r="AH1140" s="505">
        <f t="shared" ref="AH1140:AH1143" si="303">+U1140+Y1140+AB1140+AE1140</f>
        <v>0</v>
      </c>
      <c r="AI1140" s="132"/>
      <c r="AJ1140" s="75">
        <f t="shared" si="302"/>
        <v>0</v>
      </c>
      <c r="AK1140" s="75"/>
      <c r="AL1140" s="75"/>
      <c r="AM1140" s="75"/>
      <c r="AN1140" s="64" t="s">
        <v>39</v>
      </c>
      <c r="AO1140" s="64"/>
      <c r="AP1140" s="64"/>
      <c r="AQ1140" s="189"/>
      <c r="AR1140" s="64"/>
      <c r="AS1140" s="476"/>
      <c r="AT1140" s="64"/>
      <c r="AU1140" s="646"/>
      <c r="AV1140" s="259"/>
      <c r="AW1140" s="185"/>
    </row>
    <row r="1141" spans="1:49" ht="41.1" hidden="1" customHeight="1" outlineLevel="3" x14ac:dyDescent="0.25">
      <c r="A1141" s="63" t="str">
        <f t="shared" si="215"/>
        <v>3.13.0.1.3.58-64</v>
      </c>
      <c r="B1141" s="64">
        <v>3</v>
      </c>
      <c r="C1141" s="64">
        <v>13</v>
      </c>
      <c r="D1141" s="64">
        <v>0</v>
      </c>
      <c r="E1141" s="64">
        <v>1</v>
      </c>
      <c r="F1141" s="64">
        <v>3</v>
      </c>
      <c r="G1141" s="64" t="s">
        <v>64</v>
      </c>
      <c r="H1141" s="65"/>
      <c r="I1141" s="65"/>
      <c r="J1141" s="66"/>
      <c r="K1141" s="67" t="s">
        <v>1303</v>
      </c>
      <c r="L1141" s="64" t="s">
        <v>1300</v>
      </c>
      <c r="M1141" s="64" t="s">
        <v>1296</v>
      </c>
      <c r="N1141" s="64" t="s">
        <v>1297</v>
      </c>
      <c r="O1141" s="64" t="s">
        <v>1298</v>
      </c>
      <c r="P1141" s="69"/>
      <c r="Q1141" s="69"/>
      <c r="R1141" s="64"/>
      <c r="S1141" s="65" t="s">
        <v>299</v>
      </c>
      <c r="T1141" s="194"/>
      <c r="U1141" s="75">
        <v>0</v>
      </c>
      <c r="V1141" s="75"/>
      <c r="W1141" s="75">
        <v>0</v>
      </c>
      <c r="X1141" s="1122">
        <v>0</v>
      </c>
      <c r="Y1141" s="75">
        <v>0</v>
      </c>
      <c r="Z1141" s="75">
        <v>0</v>
      </c>
      <c r="AA1141" s="1122">
        <v>0</v>
      </c>
      <c r="AB1141" s="75">
        <v>0</v>
      </c>
      <c r="AC1141" s="75">
        <v>0</v>
      </c>
      <c r="AD1141" s="1122">
        <v>0</v>
      </c>
      <c r="AE1141" s="75">
        <v>0</v>
      </c>
      <c r="AF1141" s="75">
        <v>0</v>
      </c>
      <c r="AG1141" s="1122">
        <v>0</v>
      </c>
      <c r="AH1141" s="505">
        <f t="shared" si="303"/>
        <v>0</v>
      </c>
      <c r="AI1141" s="132"/>
      <c r="AJ1141" s="75">
        <f t="shared" si="302"/>
        <v>0</v>
      </c>
      <c r="AK1141" s="75"/>
      <c r="AL1141" s="75"/>
      <c r="AM1141" s="75"/>
      <c r="AN1141" s="64" t="s">
        <v>39</v>
      </c>
      <c r="AO1141" s="64"/>
      <c r="AP1141" s="64"/>
      <c r="AQ1141" s="189"/>
      <c r="AR1141" s="64"/>
      <c r="AS1141" s="476"/>
      <c r="AT1141" s="64"/>
      <c r="AU1141" s="646"/>
      <c r="AV1141" s="259"/>
      <c r="AW1141" s="185"/>
    </row>
    <row r="1142" spans="1:49" ht="41.1" hidden="1" customHeight="1" outlineLevel="3" x14ac:dyDescent="0.25">
      <c r="A1142" s="63" t="str">
        <f t="shared" si="215"/>
        <v>3.13.0.1.4.0</v>
      </c>
      <c r="B1142" s="64">
        <v>3</v>
      </c>
      <c r="C1142" s="64">
        <v>13</v>
      </c>
      <c r="D1142" s="64">
        <v>0</v>
      </c>
      <c r="E1142" s="64">
        <v>1</v>
      </c>
      <c r="F1142" s="64">
        <v>4</v>
      </c>
      <c r="G1142" s="64">
        <v>0</v>
      </c>
      <c r="H1142" s="65"/>
      <c r="I1142" s="65"/>
      <c r="J1142" s="66"/>
      <c r="K1142" s="67" t="s">
        <v>1304</v>
      </c>
      <c r="L1142" s="64" t="s">
        <v>1300</v>
      </c>
      <c r="M1142" s="64" t="s">
        <v>1296</v>
      </c>
      <c r="N1142" s="64" t="s">
        <v>1297</v>
      </c>
      <c r="O1142" s="64" t="s">
        <v>1298</v>
      </c>
      <c r="P1142" s="69"/>
      <c r="Q1142" s="69"/>
      <c r="R1142" s="64"/>
      <c r="S1142" s="65" t="s">
        <v>299</v>
      </c>
      <c r="T1142" s="194"/>
      <c r="U1142" s="75">
        <v>0</v>
      </c>
      <c r="V1142" s="75"/>
      <c r="W1142" s="75">
        <v>0</v>
      </c>
      <c r="X1142" s="1122">
        <v>0</v>
      </c>
      <c r="Y1142" s="75">
        <v>0</v>
      </c>
      <c r="Z1142" s="75">
        <v>0</v>
      </c>
      <c r="AA1142" s="1122">
        <v>0</v>
      </c>
      <c r="AB1142" s="75">
        <v>0</v>
      </c>
      <c r="AC1142" s="75">
        <v>0</v>
      </c>
      <c r="AD1142" s="1122">
        <v>0</v>
      </c>
      <c r="AE1142" s="75">
        <v>0</v>
      </c>
      <c r="AF1142" s="75">
        <v>0</v>
      </c>
      <c r="AG1142" s="1122">
        <v>0</v>
      </c>
      <c r="AH1142" s="505">
        <f t="shared" si="303"/>
        <v>0</v>
      </c>
      <c r="AI1142" s="132"/>
      <c r="AJ1142" s="75">
        <f t="shared" si="302"/>
        <v>0</v>
      </c>
      <c r="AK1142" s="75"/>
      <c r="AL1142" s="75"/>
      <c r="AM1142" s="75"/>
      <c r="AN1142" s="64" t="s">
        <v>39</v>
      </c>
      <c r="AO1142" s="64"/>
      <c r="AP1142" s="64"/>
      <c r="AQ1142" s="189"/>
      <c r="AR1142" s="64"/>
      <c r="AS1142" s="476"/>
      <c r="AT1142" s="64"/>
      <c r="AU1142" s="646"/>
      <c r="AV1142" s="259"/>
      <c r="AW1142" s="185"/>
    </row>
    <row r="1143" spans="1:49" ht="41.1" hidden="1" customHeight="1" outlineLevel="3" x14ac:dyDescent="0.25">
      <c r="A1143" s="63" t="str">
        <f t="shared" si="215"/>
        <v>3.13.0.1.5.58-64</v>
      </c>
      <c r="B1143" s="64">
        <v>3</v>
      </c>
      <c r="C1143" s="64">
        <v>13</v>
      </c>
      <c r="D1143" s="64">
        <v>0</v>
      </c>
      <c r="E1143" s="64">
        <v>1</v>
      </c>
      <c r="F1143" s="64">
        <v>5</v>
      </c>
      <c r="G1143" s="64" t="s">
        <v>64</v>
      </c>
      <c r="H1143" s="65"/>
      <c r="I1143" s="65"/>
      <c r="J1143" s="65"/>
      <c r="K1143" s="65" t="s">
        <v>1305</v>
      </c>
      <c r="L1143" s="64" t="s">
        <v>1300</v>
      </c>
      <c r="M1143" s="64" t="s">
        <v>1296</v>
      </c>
      <c r="N1143" s="64" t="s">
        <v>1297</v>
      </c>
      <c r="O1143" s="64" t="s">
        <v>1298</v>
      </c>
      <c r="P1143" s="69"/>
      <c r="Q1143" s="69"/>
      <c r="R1143" s="64"/>
      <c r="S1143" s="65" t="s">
        <v>299</v>
      </c>
      <c r="T1143" s="194"/>
      <c r="U1143" s="75">
        <v>0</v>
      </c>
      <c r="V1143" s="75"/>
      <c r="W1143" s="75">
        <v>0</v>
      </c>
      <c r="X1143" s="1122">
        <v>0</v>
      </c>
      <c r="Y1143" s="75">
        <v>0</v>
      </c>
      <c r="Z1143" s="75">
        <v>0</v>
      </c>
      <c r="AA1143" s="1122">
        <v>0</v>
      </c>
      <c r="AB1143" s="75">
        <v>0</v>
      </c>
      <c r="AC1143" s="75">
        <v>0</v>
      </c>
      <c r="AD1143" s="1122">
        <v>0</v>
      </c>
      <c r="AE1143" s="75">
        <v>0</v>
      </c>
      <c r="AF1143" s="75">
        <v>0</v>
      </c>
      <c r="AG1143" s="1122">
        <v>0</v>
      </c>
      <c r="AH1143" s="505">
        <f t="shared" si="303"/>
        <v>0</v>
      </c>
      <c r="AI1143" s="132"/>
      <c r="AJ1143" s="75">
        <f t="shared" si="302"/>
        <v>0</v>
      </c>
      <c r="AK1143" s="75"/>
      <c r="AL1143" s="75"/>
      <c r="AM1143" s="75"/>
      <c r="AN1143" s="64" t="s">
        <v>39</v>
      </c>
      <c r="AO1143" s="64"/>
      <c r="AP1143" s="64"/>
      <c r="AQ1143" s="189"/>
      <c r="AR1143" s="64"/>
      <c r="AS1143" s="476"/>
      <c r="AT1143" s="64"/>
      <c r="AU1143" s="646"/>
      <c r="AV1143" s="259"/>
      <c r="AW1143" s="185"/>
    </row>
    <row r="1144" spans="1:49" s="153" customFormat="1" ht="29.1" customHeight="1" outlineLevel="1" collapsed="1" x14ac:dyDescent="0.25">
      <c r="A1144" s="148" t="str">
        <f t="shared" si="215"/>
        <v>3.13.0.2.0.0</v>
      </c>
      <c r="B1144" s="82">
        <v>3</v>
      </c>
      <c r="C1144" s="82">
        <v>13</v>
      </c>
      <c r="D1144" s="82">
        <v>0</v>
      </c>
      <c r="E1144" s="82">
        <v>2</v>
      </c>
      <c r="F1144" s="82">
        <v>0</v>
      </c>
      <c r="G1144" s="82">
        <v>0</v>
      </c>
      <c r="H1144" s="149"/>
      <c r="I1144" s="149"/>
      <c r="J1144" s="1260" t="s">
        <v>1306</v>
      </c>
      <c r="K1144" s="1259"/>
      <c r="L1144" s="82" t="s">
        <v>179</v>
      </c>
      <c r="M1144" s="82" t="s">
        <v>1307</v>
      </c>
      <c r="N1144" s="82" t="s">
        <v>2625</v>
      </c>
      <c r="O1144" s="82" t="s">
        <v>38</v>
      </c>
      <c r="P1144" s="82"/>
      <c r="Q1144" s="82"/>
      <c r="R1144" s="82"/>
      <c r="S1144" s="149"/>
      <c r="T1144" s="193"/>
      <c r="U1144" s="209">
        <f>SUM(U1145:U1162)</f>
        <v>1744525</v>
      </c>
      <c r="V1144" s="209"/>
      <c r="W1144" s="209">
        <f t="shared" ref="W1144:AJ1144" si="304">SUM(W1145:W1162)</f>
        <v>0</v>
      </c>
      <c r="X1144" s="1133">
        <f t="shared" si="304"/>
        <v>0</v>
      </c>
      <c r="Y1144" s="209">
        <f>SUM(Y1145:Y1162)</f>
        <v>478385</v>
      </c>
      <c r="Z1144" s="209">
        <f t="shared" si="304"/>
        <v>0</v>
      </c>
      <c r="AA1144" s="1133">
        <f t="shared" si="304"/>
        <v>0</v>
      </c>
      <c r="AB1144" s="209">
        <f>SUM(AB1145:AB1162)</f>
        <v>478485</v>
      </c>
      <c r="AC1144" s="209">
        <f t="shared" si="304"/>
        <v>0</v>
      </c>
      <c r="AD1144" s="1133">
        <f t="shared" si="304"/>
        <v>0</v>
      </c>
      <c r="AE1144" s="209">
        <f>SUM(AE1145:AE1162)</f>
        <v>478385</v>
      </c>
      <c r="AF1144" s="209">
        <f t="shared" si="304"/>
        <v>0</v>
      </c>
      <c r="AG1144" s="1133">
        <f t="shared" si="304"/>
        <v>0</v>
      </c>
      <c r="AH1144" s="209">
        <f>SUM(AH1145:AH1162)</f>
        <v>3179780</v>
      </c>
      <c r="AI1144" s="209">
        <f t="shared" si="304"/>
        <v>0</v>
      </c>
      <c r="AJ1144" s="209">
        <f t="shared" si="304"/>
        <v>0</v>
      </c>
      <c r="AK1144" s="152"/>
      <c r="AL1144" s="152"/>
      <c r="AM1144" s="152"/>
      <c r="AN1144" s="82" t="s">
        <v>1157</v>
      </c>
      <c r="AO1144" s="82"/>
      <c r="AP1144" s="82"/>
      <c r="AQ1144" s="365"/>
      <c r="AR1144" s="82"/>
      <c r="AS1144" s="483"/>
      <c r="AT1144" s="82"/>
      <c r="AU1144" s="666"/>
      <c r="AV1144" s="379">
        <f t="shared" ref="AV1144" si="305">+SUM(AV1145:AV1154)</f>
        <v>0</v>
      </c>
      <c r="AW1144" s="444"/>
    </row>
    <row r="1145" spans="1:49" ht="41.1" hidden="1" customHeight="1" outlineLevel="3" x14ac:dyDescent="0.25">
      <c r="A1145" s="63" t="str">
        <f t="shared" ref="A1145:A1401" si="306">CONCATENATE(B1145,".",C1145,".",D1145,".",E1145,".",F1145,".",G1145)</f>
        <v>3.13.0.2.1.58-64</v>
      </c>
      <c r="B1145" s="64">
        <v>3</v>
      </c>
      <c r="C1145" s="64">
        <v>13</v>
      </c>
      <c r="D1145" s="64">
        <v>0</v>
      </c>
      <c r="E1145" s="64">
        <v>2</v>
      </c>
      <c r="F1145" s="64">
        <v>1</v>
      </c>
      <c r="G1145" s="64" t="s">
        <v>64</v>
      </c>
      <c r="H1145" s="65"/>
      <c r="I1145" s="65"/>
      <c r="J1145" s="65"/>
      <c r="K1145" s="67" t="s">
        <v>1308</v>
      </c>
      <c r="L1145" s="64" t="s">
        <v>179</v>
      </c>
      <c r="M1145" s="68" t="s">
        <v>1309</v>
      </c>
      <c r="N1145" s="64" t="s">
        <v>2625</v>
      </c>
      <c r="O1145" s="64" t="s">
        <v>38</v>
      </c>
      <c r="P1145" s="69" t="s">
        <v>2610</v>
      </c>
      <c r="Q1145" s="69">
        <v>45031</v>
      </c>
      <c r="R1145" s="64"/>
      <c r="S1145" s="65"/>
      <c r="T1145" s="194"/>
      <c r="U1145" s="75">
        <v>0</v>
      </c>
      <c r="V1145" s="75"/>
      <c r="W1145" s="75">
        <v>0</v>
      </c>
      <c r="X1145" s="1122">
        <v>0</v>
      </c>
      <c r="Y1145" s="75">
        <v>0</v>
      </c>
      <c r="Z1145" s="75">
        <v>0</v>
      </c>
      <c r="AA1145" s="1122">
        <v>0</v>
      </c>
      <c r="AB1145" s="75">
        <v>0</v>
      </c>
      <c r="AC1145" s="75">
        <v>0</v>
      </c>
      <c r="AD1145" s="1122">
        <v>0</v>
      </c>
      <c r="AE1145" s="75">
        <v>0</v>
      </c>
      <c r="AF1145" s="75">
        <v>0</v>
      </c>
      <c r="AG1145" s="1122">
        <v>0</v>
      </c>
      <c r="AH1145" s="505">
        <f>+U1145+Y1145+AB1145+AE1145</f>
        <v>0</v>
      </c>
      <c r="AI1145" s="132"/>
      <c r="AJ1145" s="75">
        <f t="shared" ref="AJ1145:AJ1155" si="307">+W1146+Z1146+AC1146+AF1146</f>
        <v>0</v>
      </c>
      <c r="AK1145" s="75"/>
      <c r="AL1145" s="75"/>
      <c r="AM1145" s="75"/>
      <c r="AN1145" s="64" t="s">
        <v>181</v>
      </c>
      <c r="AO1145" s="64"/>
      <c r="AP1145" s="64"/>
      <c r="AQ1145" s="189"/>
      <c r="AR1145" s="64"/>
      <c r="AS1145" s="476"/>
      <c r="AT1145" s="64"/>
      <c r="AU1145" s="646"/>
      <c r="AV1145" s="259"/>
      <c r="AW1145" s="185"/>
    </row>
    <row r="1146" spans="1:49" ht="41.1" hidden="1" customHeight="1" outlineLevel="3" x14ac:dyDescent="0.25">
      <c r="A1146" s="63" t="str">
        <f t="shared" si="306"/>
        <v>3.13.0.2.2.58-64</v>
      </c>
      <c r="B1146" s="64">
        <v>3</v>
      </c>
      <c r="C1146" s="64">
        <v>13</v>
      </c>
      <c r="D1146" s="64">
        <v>0</v>
      </c>
      <c r="E1146" s="64">
        <v>2</v>
      </c>
      <c r="F1146" s="64">
        <v>2</v>
      </c>
      <c r="G1146" s="64" t="s">
        <v>64</v>
      </c>
      <c r="H1146" s="65"/>
      <c r="I1146" s="65"/>
      <c r="J1146" s="65"/>
      <c r="K1146" s="67" t="s">
        <v>1311</v>
      </c>
      <c r="L1146" s="64" t="s">
        <v>179</v>
      </c>
      <c r="M1146" s="68" t="s">
        <v>1312</v>
      </c>
      <c r="N1146" s="64" t="s">
        <v>2625</v>
      </c>
      <c r="O1146" s="64" t="s">
        <v>38</v>
      </c>
      <c r="P1146" s="69"/>
      <c r="Q1146" s="69"/>
      <c r="R1146" s="170"/>
      <c r="S1146" s="170"/>
      <c r="T1146" s="1188"/>
      <c r="U1146" s="75">
        <v>0</v>
      </c>
      <c r="V1146" s="75"/>
      <c r="W1146" s="75">
        <v>0</v>
      </c>
      <c r="X1146" s="1122">
        <v>0</v>
      </c>
      <c r="Y1146" s="75">
        <v>0</v>
      </c>
      <c r="Z1146" s="75">
        <v>0</v>
      </c>
      <c r="AA1146" s="1122">
        <v>0</v>
      </c>
      <c r="AB1146" s="75">
        <v>0</v>
      </c>
      <c r="AC1146" s="75">
        <v>0</v>
      </c>
      <c r="AD1146" s="1122">
        <v>0</v>
      </c>
      <c r="AE1146" s="75">
        <v>0</v>
      </c>
      <c r="AF1146" s="75">
        <v>0</v>
      </c>
      <c r="AG1146" s="1122">
        <v>0</v>
      </c>
      <c r="AH1146" s="505">
        <f t="shared" ref="AH1146:AH1162" si="308">+U1146+Y1146+AB1146+AE1146</f>
        <v>0</v>
      </c>
      <c r="AI1146" s="132"/>
      <c r="AJ1146" s="75">
        <f t="shared" si="307"/>
        <v>0</v>
      </c>
      <c r="AK1146" s="75"/>
      <c r="AL1146" s="75"/>
      <c r="AM1146" s="75"/>
      <c r="AN1146" s="64" t="s">
        <v>181</v>
      </c>
      <c r="AO1146" s="64"/>
      <c r="AP1146" s="64"/>
      <c r="AQ1146" s="189"/>
      <c r="AR1146" s="64"/>
      <c r="AS1146" s="476"/>
      <c r="AT1146" s="64"/>
      <c r="AU1146" s="646"/>
      <c r="AV1146" s="353"/>
      <c r="AW1146" s="335" t="s">
        <v>1094</v>
      </c>
    </row>
    <row r="1147" spans="1:49" ht="41.1" hidden="1" customHeight="1" outlineLevel="3" x14ac:dyDescent="0.25">
      <c r="A1147" s="63" t="str">
        <f t="shared" si="306"/>
        <v>3.13.0.2.3.58-64</v>
      </c>
      <c r="B1147" s="64">
        <v>3</v>
      </c>
      <c r="C1147" s="64">
        <v>13</v>
      </c>
      <c r="D1147" s="64">
        <v>0</v>
      </c>
      <c r="E1147" s="64">
        <v>2</v>
      </c>
      <c r="F1147" s="64">
        <v>3</v>
      </c>
      <c r="G1147" s="64" t="s">
        <v>64</v>
      </c>
      <c r="H1147" s="65"/>
      <c r="I1147" s="65"/>
      <c r="J1147" s="65"/>
      <c r="K1147" s="67" t="s">
        <v>1313</v>
      </c>
      <c r="L1147" s="64" t="s">
        <v>179</v>
      </c>
      <c r="M1147" s="68">
        <v>0</v>
      </c>
      <c r="N1147" s="64" t="s">
        <v>2625</v>
      </c>
      <c r="O1147" s="64" t="s">
        <v>1314</v>
      </c>
      <c r="P1147" s="69" t="s">
        <v>1315</v>
      </c>
      <c r="Q1147" s="69"/>
      <c r="R1147" s="170"/>
      <c r="S1147" s="170"/>
      <c r="T1147" s="1188"/>
      <c r="U1147" s="75">
        <v>0</v>
      </c>
      <c r="V1147" s="75"/>
      <c r="W1147" s="75">
        <v>0</v>
      </c>
      <c r="X1147" s="1122">
        <v>0</v>
      </c>
      <c r="Y1147" s="75">
        <v>0</v>
      </c>
      <c r="Z1147" s="75">
        <v>0</v>
      </c>
      <c r="AA1147" s="1122">
        <v>0</v>
      </c>
      <c r="AB1147" s="75">
        <v>0</v>
      </c>
      <c r="AC1147" s="75">
        <v>0</v>
      </c>
      <c r="AD1147" s="1122">
        <v>0</v>
      </c>
      <c r="AE1147" s="75">
        <v>0</v>
      </c>
      <c r="AF1147" s="75">
        <v>0</v>
      </c>
      <c r="AG1147" s="1122">
        <v>0</v>
      </c>
      <c r="AH1147" s="505">
        <f t="shared" si="308"/>
        <v>0</v>
      </c>
      <c r="AI1147" s="132"/>
      <c r="AJ1147" s="75">
        <f t="shared" si="307"/>
        <v>0</v>
      </c>
      <c r="AK1147" s="75"/>
      <c r="AL1147" s="75"/>
      <c r="AM1147" s="75"/>
      <c r="AN1147" s="171" t="s">
        <v>39</v>
      </c>
      <c r="AO1147" s="171"/>
      <c r="AP1147" s="171"/>
      <c r="AQ1147" s="418"/>
      <c r="AS1147" s="484"/>
      <c r="AV1147" s="353"/>
      <c r="AW1147" s="441"/>
    </row>
    <row r="1148" spans="1:49" ht="41.1" hidden="1" customHeight="1" outlineLevel="3" x14ac:dyDescent="0.25">
      <c r="A1148" s="63" t="str">
        <f t="shared" si="306"/>
        <v>3.13.0.2.4.58-64</v>
      </c>
      <c r="B1148" s="64">
        <v>3</v>
      </c>
      <c r="C1148" s="64">
        <v>13</v>
      </c>
      <c r="D1148" s="64">
        <v>0</v>
      </c>
      <c r="E1148" s="64">
        <v>2</v>
      </c>
      <c r="F1148" s="64">
        <v>4</v>
      </c>
      <c r="G1148" s="64" t="s">
        <v>64</v>
      </c>
      <c r="H1148" s="65"/>
      <c r="I1148" s="65"/>
      <c r="J1148" s="65"/>
      <c r="K1148" s="67" t="s">
        <v>1316</v>
      </c>
      <c r="L1148" s="64" t="s">
        <v>179</v>
      </c>
      <c r="M1148" s="68">
        <v>0</v>
      </c>
      <c r="N1148" s="64" t="s">
        <v>2625</v>
      </c>
      <c r="O1148" s="64" t="s">
        <v>1314</v>
      </c>
      <c r="P1148" s="69"/>
      <c r="Q1148" s="69"/>
      <c r="R1148" s="170"/>
      <c r="S1148" s="170"/>
      <c r="T1148" s="1188"/>
      <c r="U1148" s="75">
        <v>0</v>
      </c>
      <c r="V1148" s="75"/>
      <c r="W1148" s="75">
        <v>0</v>
      </c>
      <c r="X1148" s="1122">
        <v>0</v>
      </c>
      <c r="Y1148" s="75">
        <v>0</v>
      </c>
      <c r="Z1148" s="75">
        <v>0</v>
      </c>
      <c r="AA1148" s="1122">
        <v>0</v>
      </c>
      <c r="AB1148" s="75">
        <v>0</v>
      </c>
      <c r="AC1148" s="75">
        <v>0</v>
      </c>
      <c r="AD1148" s="1122">
        <v>0</v>
      </c>
      <c r="AE1148" s="75">
        <v>0</v>
      </c>
      <c r="AF1148" s="75">
        <v>0</v>
      </c>
      <c r="AG1148" s="1122">
        <v>0</v>
      </c>
      <c r="AH1148" s="505">
        <f t="shared" si="308"/>
        <v>0</v>
      </c>
      <c r="AI1148" s="132"/>
      <c r="AJ1148" s="75">
        <f t="shared" si="307"/>
        <v>0</v>
      </c>
      <c r="AK1148" s="75"/>
      <c r="AL1148" s="75"/>
      <c r="AM1148" s="75"/>
      <c r="AN1148" s="171" t="s">
        <v>39</v>
      </c>
      <c r="AO1148" s="171"/>
      <c r="AP1148" s="171"/>
      <c r="AQ1148" s="418"/>
      <c r="AS1148" s="484"/>
      <c r="AV1148" s="353"/>
      <c r="AW1148" s="441"/>
    </row>
    <row r="1149" spans="1:49" ht="41.1" hidden="1" customHeight="1" outlineLevel="3" x14ac:dyDescent="0.25">
      <c r="A1149" s="63" t="str">
        <f t="shared" si="306"/>
        <v>3.13.0.2.5.0</v>
      </c>
      <c r="B1149" s="64">
        <v>3</v>
      </c>
      <c r="C1149" s="64">
        <v>13</v>
      </c>
      <c r="D1149" s="64">
        <v>0</v>
      </c>
      <c r="E1149" s="64">
        <v>2</v>
      </c>
      <c r="F1149" s="64">
        <v>5</v>
      </c>
      <c r="G1149" s="64">
        <v>0</v>
      </c>
      <c r="H1149" s="65"/>
      <c r="I1149" s="65"/>
      <c r="J1149" s="65"/>
      <c r="K1149" s="65" t="s">
        <v>1317</v>
      </c>
      <c r="L1149" s="64" t="s">
        <v>179</v>
      </c>
      <c r="M1149" s="68" t="s">
        <v>1318</v>
      </c>
      <c r="N1149" s="64" t="s">
        <v>2625</v>
      </c>
      <c r="O1149" s="64" t="s">
        <v>1314</v>
      </c>
      <c r="P1149" s="69">
        <v>44958</v>
      </c>
      <c r="Q1149" s="69">
        <v>44985</v>
      </c>
      <c r="R1149" s="170"/>
      <c r="S1149" s="170"/>
      <c r="T1149" s="1188"/>
      <c r="U1149" s="75">
        <v>0</v>
      </c>
      <c r="V1149" s="75"/>
      <c r="W1149" s="75">
        <v>0</v>
      </c>
      <c r="X1149" s="1122">
        <v>0</v>
      </c>
      <c r="Y1149" s="75">
        <v>0</v>
      </c>
      <c r="Z1149" s="75">
        <v>0</v>
      </c>
      <c r="AA1149" s="1122">
        <v>0</v>
      </c>
      <c r="AB1149" s="75">
        <v>0</v>
      </c>
      <c r="AC1149" s="75">
        <v>0</v>
      </c>
      <c r="AD1149" s="1122">
        <v>0</v>
      </c>
      <c r="AE1149" s="75">
        <v>0</v>
      </c>
      <c r="AF1149" s="75">
        <v>0</v>
      </c>
      <c r="AG1149" s="1122">
        <v>0</v>
      </c>
      <c r="AH1149" s="505">
        <f t="shared" si="308"/>
        <v>0</v>
      </c>
      <c r="AI1149" s="132"/>
      <c r="AJ1149" s="75">
        <f t="shared" si="307"/>
        <v>0</v>
      </c>
      <c r="AK1149" s="75"/>
      <c r="AL1149" s="75"/>
      <c r="AM1149" s="75"/>
      <c r="AN1149" s="171" t="s">
        <v>181</v>
      </c>
      <c r="AO1149" s="171"/>
      <c r="AP1149" s="171"/>
      <c r="AQ1149" s="418"/>
      <c r="AS1149" s="484"/>
      <c r="AV1149" s="353"/>
      <c r="AW1149" s="335" t="s">
        <v>1094</v>
      </c>
    </row>
    <row r="1150" spans="1:49" ht="41.1" hidden="1" customHeight="1" outlineLevel="3" x14ac:dyDescent="0.25">
      <c r="A1150" s="63" t="str">
        <f t="shared" si="306"/>
        <v>3.13.0.2.6.0</v>
      </c>
      <c r="B1150" s="64">
        <v>3</v>
      </c>
      <c r="C1150" s="64">
        <v>13</v>
      </c>
      <c r="D1150" s="64">
        <v>0</v>
      </c>
      <c r="E1150" s="64">
        <v>2</v>
      </c>
      <c r="F1150" s="64">
        <v>6</v>
      </c>
      <c r="G1150" s="64">
        <v>0</v>
      </c>
      <c r="H1150" s="65"/>
      <c r="I1150" s="65"/>
      <c r="J1150" s="65"/>
      <c r="K1150" s="65" t="s">
        <v>1319</v>
      </c>
      <c r="L1150" s="64" t="s">
        <v>179</v>
      </c>
      <c r="M1150" s="68" t="s">
        <v>1318</v>
      </c>
      <c r="N1150" s="64" t="s">
        <v>2625</v>
      </c>
      <c r="O1150" s="64" t="s">
        <v>1314</v>
      </c>
      <c r="P1150" s="69">
        <v>44958</v>
      </c>
      <c r="Q1150" s="69">
        <v>44985</v>
      </c>
      <c r="R1150" s="170"/>
      <c r="S1150" s="170"/>
      <c r="T1150" s="1188"/>
      <c r="U1150" s="75">
        <v>0</v>
      </c>
      <c r="V1150" s="75"/>
      <c r="W1150" s="75">
        <v>0</v>
      </c>
      <c r="X1150" s="1122">
        <v>0</v>
      </c>
      <c r="Y1150" s="75">
        <v>0</v>
      </c>
      <c r="Z1150" s="75">
        <v>0</v>
      </c>
      <c r="AA1150" s="1122">
        <v>0</v>
      </c>
      <c r="AB1150" s="75">
        <v>0</v>
      </c>
      <c r="AC1150" s="75">
        <v>0</v>
      </c>
      <c r="AD1150" s="1122">
        <v>0</v>
      </c>
      <c r="AE1150" s="75">
        <v>0</v>
      </c>
      <c r="AF1150" s="75">
        <v>0</v>
      </c>
      <c r="AG1150" s="1122">
        <v>0</v>
      </c>
      <c r="AH1150" s="505">
        <f t="shared" si="308"/>
        <v>0</v>
      </c>
      <c r="AI1150" s="132"/>
      <c r="AJ1150" s="75">
        <f t="shared" si="307"/>
        <v>0</v>
      </c>
      <c r="AK1150" s="75"/>
      <c r="AL1150" s="75"/>
      <c r="AM1150" s="75"/>
      <c r="AN1150" s="171" t="s">
        <v>181</v>
      </c>
      <c r="AO1150" s="171"/>
      <c r="AP1150" s="171"/>
      <c r="AQ1150" s="418"/>
      <c r="AS1150" s="484"/>
      <c r="AV1150" s="353"/>
      <c r="AW1150" s="335" t="s">
        <v>1094</v>
      </c>
    </row>
    <row r="1151" spans="1:49" ht="41.1" hidden="1" customHeight="1" outlineLevel="3" x14ac:dyDescent="0.25">
      <c r="A1151" s="63" t="str">
        <f t="shared" si="306"/>
        <v>3.13.0.2.7.0</v>
      </c>
      <c r="B1151" s="64">
        <v>3</v>
      </c>
      <c r="C1151" s="64">
        <v>13</v>
      </c>
      <c r="D1151" s="64">
        <v>0</v>
      </c>
      <c r="E1151" s="64">
        <v>2</v>
      </c>
      <c r="F1151" s="64">
        <v>7</v>
      </c>
      <c r="G1151" s="64">
        <v>0</v>
      </c>
      <c r="H1151" s="65"/>
      <c r="I1151" s="65"/>
      <c r="J1151" s="65"/>
      <c r="K1151" s="65" t="s">
        <v>1320</v>
      </c>
      <c r="L1151" s="64" t="s">
        <v>179</v>
      </c>
      <c r="M1151" s="68" t="s">
        <v>1318</v>
      </c>
      <c r="N1151" s="64" t="s">
        <v>2625</v>
      </c>
      <c r="O1151" s="64" t="s">
        <v>1314</v>
      </c>
      <c r="P1151" s="69">
        <v>44958</v>
      </c>
      <c r="Q1151" s="69">
        <v>44985</v>
      </c>
      <c r="R1151" s="170">
        <v>2</v>
      </c>
      <c r="S1151" s="170"/>
      <c r="T1151" s="1188">
        <v>2</v>
      </c>
      <c r="U1151" s="75">
        <v>0</v>
      </c>
      <c r="V1151" s="75"/>
      <c r="W1151" s="75">
        <v>0</v>
      </c>
      <c r="X1151" s="1122">
        <v>0</v>
      </c>
      <c r="Y1151" s="75">
        <v>0</v>
      </c>
      <c r="Z1151" s="75">
        <v>0</v>
      </c>
      <c r="AA1151" s="1122">
        <v>0</v>
      </c>
      <c r="AB1151" s="75">
        <v>0</v>
      </c>
      <c r="AC1151" s="75">
        <v>0</v>
      </c>
      <c r="AD1151" s="1122">
        <v>0</v>
      </c>
      <c r="AE1151" s="75">
        <v>0</v>
      </c>
      <c r="AF1151" s="75">
        <v>0</v>
      </c>
      <c r="AG1151" s="1122">
        <v>0</v>
      </c>
      <c r="AH1151" s="505">
        <f t="shared" si="308"/>
        <v>0</v>
      </c>
      <c r="AI1151" s="132"/>
      <c r="AJ1151" s="75">
        <f t="shared" si="307"/>
        <v>0</v>
      </c>
      <c r="AK1151" s="75"/>
      <c r="AL1151" s="75"/>
      <c r="AM1151" s="75"/>
      <c r="AN1151" s="171" t="s">
        <v>181</v>
      </c>
      <c r="AO1151" s="171"/>
      <c r="AP1151" s="171"/>
      <c r="AQ1151" s="418"/>
      <c r="AS1151" s="484"/>
      <c r="AV1151" s="353"/>
      <c r="AW1151" s="185"/>
    </row>
    <row r="1152" spans="1:49" ht="41.1" hidden="1" customHeight="1" outlineLevel="3" x14ac:dyDescent="0.25">
      <c r="A1152" s="63" t="str">
        <f t="shared" si="306"/>
        <v>3.13.0.2.8.0</v>
      </c>
      <c r="B1152" s="64">
        <v>3</v>
      </c>
      <c r="C1152" s="64">
        <v>13</v>
      </c>
      <c r="D1152" s="64">
        <v>0</v>
      </c>
      <c r="E1152" s="64">
        <v>2</v>
      </c>
      <c r="F1152" s="64">
        <v>8</v>
      </c>
      <c r="G1152" s="64">
        <v>0</v>
      </c>
      <c r="H1152" s="65"/>
      <c r="I1152" s="65"/>
      <c r="J1152" s="65"/>
      <c r="K1152" s="65" t="s">
        <v>1321</v>
      </c>
      <c r="L1152" s="64" t="s">
        <v>179</v>
      </c>
      <c r="M1152" s="68" t="s">
        <v>1318</v>
      </c>
      <c r="N1152" s="64" t="s">
        <v>2625</v>
      </c>
      <c r="O1152" s="64" t="s">
        <v>1314</v>
      </c>
      <c r="P1152" s="69">
        <v>44958</v>
      </c>
      <c r="Q1152" s="69">
        <v>44985</v>
      </c>
      <c r="R1152" s="170"/>
      <c r="S1152" s="170"/>
      <c r="T1152" s="1188"/>
      <c r="U1152" s="75">
        <v>0</v>
      </c>
      <c r="V1152" s="75"/>
      <c r="W1152" s="75">
        <v>0</v>
      </c>
      <c r="X1152" s="1122">
        <v>0</v>
      </c>
      <c r="Y1152" s="75">
        <v>0</v>
      </c>
      <c r="Z1152" s="75">
        <v>0</v>
      </c>
      <c r="AA1152" s="1122">
        <v>0</v>
      </c>
      <c r="AB1152" s="75">
        <v>0</v>
      </c>
      <c r="AC1152" s="75">
        <v>0</v>
      </c>
      <c r="AD1152" s="1122">
        <v>0</v>
      </c>
      <c r="AE1152" s="75">
        <v>0</v>
      </c>
      <c r="AF1152" s="75">
        <v>0</v>
      </c>
      <c r="AG1152" s="1122">
        <v>0</v>
      </c>
      <c r="AH1152" s="505">
        <f t="shared" si="308"/>
        <v>0</v>
      </c>
      <c r="AI1152" s="132"/>
      <c r="AJ1152" s="75">
        <f t="shared" si="307"/>
        <v>0</v>
      </c>
      <c r="AK1152" s="75"/>
      <c r="AL1152" s="75"/>
      <c r="AM1152" s="75"/>
      <c r="AN1152" s="171" t="s">
        <v>181</v>
      </c>
      <c r="AO1152" s="171"/>
      <c r="AP1152" s="171"/>
      <c r="AQ1152" s="418"/>
      <c r="AS1152" s="484"/>
      <c r="AV1152" s="353"/>
      <c r="AW1152" s="67" t="s">
        <v>127</v>
      </c>
    </row>
    <row r="1153" spans="1:49" ht="41.1" hidden="1" customHeight="1" outlineLevel="3" x14ac:dyDescent="0.25">
      <c r="A1153" s="63" t="str">
        <f t="shared" si="306"/>
        <v>3.13.0.2.9.0</v>
      </c>
      <c r="B1153" s="64">
        <v>3</v>
      </c>
      <c r="C1153" s="64">
        <v>13</v>
      </c>
      <c r="D1153" s="64">
        <v>0</v>
      </c>
      <c r="E1153" s="64">
        <v>2</v>
      </c>
      <c r="F1153" s="64">
        <v>9</v>
      </c>
      <c r="G1153" s="64">
        <v>0</v>
      </c>
      <c r="H1153" s="65"/>
      <c r="I1153" s="65"/>
      <c r="J1153" s="65"/>
      <c r="K1153" s="65" t="s">
        <v>1322</v>
      </c>
      <c r="L1153" s="64" t="s">
        <v>179</v>
      </c>
      <c r="M1153" s="68" t="s">
        <v>1318</v>
      </c>
      <c r="N1153" s="64" t="s">
        <v>2625</v>
      </c>
      <c r="O1153" s="64" t="s">
        <v>1314</v>
      </c>
      <c r="P1153" s="69">
        <v>44958</v>
      </c>
      <c r="Q1153" s="69">
        <v>44985</v>
      </c>
      <c r="R1153" s="170"/>
      <c r="S1153" s="170"/>
      <c r="T1153" s="1188"/>
      <c r="U1153" s="75">
        <v>0</v>
      </c>
      <c r="V1153" s="75"/>
      <c r="W1153" s="75">
        <v>0</v>
      </c>
      <c r="X1153" s="1122">
        <v>0</v>
      </c>
      <c r="Y1153" s="75">
        <v>0</v>
      </c>
      <c r="Z1153" s="75">
        <v>0</v>
      </c>
      <c r="AA1153" s="1122">
        <v>0</v>
      </c>
      <c r="AB1153" s="75">
        <v>0</v>
      </c>
      <c r="AC1153" s="75">
        <v>0</v>
      </c>
      <c r="AD1153" s="1122">
        <v>0</v>
      </c>
      <c r="AE1153" s="75">
        <v>0</v>
      </c>
      <c r="AF1153" s="75">
        <v>0</v>
      </c>
      <c r="AG1153" s="1122">
        <v>0</v>
      </c>
      <c r="AH1153" s="505">
        <f t="shared" si="308"/>
        <v>0</v>
      </c>
      <c r="AI1153" s="132"/>
      <c r="AJ1153" s="75">
        <f t="shared" si="307"/>
        <v>0</v>
      </c>
      <c r="AK1153" s="75"/>
      <c r="AL1153" s="75"/>
      <c r="AM1153" s="75"/>
      <c r="AN1153" s="171" t="s">
        <v>181</v>
      </c>
      <c r="AO1153" s="171"/>
      <c r="AP1153" s="171"/>
      <c r="AQ1153" s="418"/>
      <c r="AS1153" s="484"/>
      <c r="AV1153" s="353"/>
      <c r="AW1153" s="185"/>
    </row>
    <row r="1154" spans="1:49" ht="41.1" hidden="1" customHeight="1" outlineLevel="3" x14ac:dyDescent="0.25">
      <c r="A1154" s="63" t="str">
        <f t="shared" si="306"/>
        <v>3.13.0.2.10.0</v>
      </c>
      <c r="B1154" s="64">
        <v>3</v>
      </c>
      <c r="C1154" s="64">
        <v>13</v>
      </c>
      <c r="D1154" s="64">
        <v>0</v>
      </c>
      <c r="E1154" s="64">
        <v>2</v>
      </c>
      <c r="F1154" s="64">
        <v>10</v>
      </c>
      <c r="G1154" s="64">
        <v>0</v>
      </c>
      <c r="H1154" s="65"/>
      <c r="I1154" s="65"/>
      <c r="J1154" s="65"/>
      <c r="K1154" s="65" t="s">
        <v>1323</v>
      </c>
      <c r="L1154" s="64" t="s">
        <v>202</v>
      </c>
      <c r="M1154" s="68" t="s">
        <v>1324</v>
      </c>
      <c r="N1154" s="64" t="s">
        <v>2625</v>
      </c>
      <c r="O1154" s="64" t="s">
        <v>38</v>
      </c>
      <c r="P1154" s="69">
        <v>44958</v>
      </c>
      <c r="Q1154" s="69">
        <v>44985</v>
      </c>
      <c r="R1154" s="170"/>
      <c r="S1154" s="170"/>
      <c r="T1154" s="1188"/>
      <c r="U1154" s="75">
        <v>270375</v>
      </c>
      <c r="V1154" s="75"/>
      <c r="W1154" s="75">
        <v>0</v>
      </c>
      <c r="X1154" s="1122">
        <v>0</v>
      </c>
      <c r="Y1154" s="75">
        <v>270375</v>
      </c>
      <c r="Z1154" s="75">
        <v>0</v>
      </c>
      <c r="AA1154" s="1122">
        <v>0</v>
      </c>
      <c r="AB1154" s="75">
        <v>270375</v>
      </c>
      <c r="AC1154" s="75">
        <v>0</v>
      </c>
      <c r="AD1154" s="1122">
        <v>0</v>
      </c>
      <c r="AE1154" s="75">
        <v>270375</v>
      </c>
      <c r="AF1154" s="75">
        <v>0</v>
      </c>
      <c r="AG1154" s="1122">
        <v>0</v>
      </c>
      <c r="AH1154" s="505">
        <f t="shared" si="308"/>
        <v>1081500</v>
      </c>
      <c r="AI1154" s="132"/>
      <c r="AJ1154" s="75">
        <f t="shared" si="307"/>
        <v>0</v>
      </c>
      <c r="AK1154" s="75"/>
      <c r="AL1154" s="75"/>
      <c r="AM1154" s="75"/>
      <c r="AN1154" s="171" t="s">
        <v>181</v>
      </c>
      <c r="AO1154" s="171"/>
      <c r="AP1154" s="171"/>
      <c r="AQ1154" s="418"/>
      <c r="AS1154" s="484"/>
      <c r="AV1154" s="353"/>
      <c r="AW1154" s="185" t="s">
        <v>2791</v>
      </c>
    </row>
    <row r="1155" spans="1:49" ht="41.1" hidden="1" customHeight="1" outlineLevel="3" x14ac:dyDescent="0.25">
      <c r="A1155" s="63" t="str">
        <f t="shared" si="306"/>
        <v>3.13.0.2.20.0</v>
      </c>
      <c r="B1155" s="64">
        <v>3</v>
      </c>
      <c r="C1155" s="64">
        <v>13</v>
      </c>
      <c r="D1155" s="64">
        <v>0</v>
      </c>
      <c r="E1155" s="64">
        <v>2</v>
      </c>
      <c r="F1155" s="64">
        <v>20</v>
      </c>
      <c r="G1155" s="64">
        <v>0</v>
      </c>
      <c r="H1155" s="65"/>
      <c r="I1155" s="65"/>
      <c r="J1155" s="65"/>
      <c r="K1155" s="185" t="s">
        <v>1325</v>
      </c>
      <c r="L1155" s="64" t="s">
        <v>179</v>
      </c>
      <c r="M1155" s="68" t="s">
        <v>1324</v>
      </c>
      <c r="N1155" s="64" t="s">
        <v>2625</v>
      </c>
      <c r="O1155" s="64" t="s">
        <v>38</v>
      </c>
      <c r="P1155" s="69">
        <v>44958</v>
      </c>
      <c r="Q1155" s="69">
        <v>44985</v>
      </c>
      <c r="R1155" s="170"/>
      <c r="S1155" s="170"/>
      <c r="T1155" s="1188"/>
      <c r="U1155" s="75">
        <v>0</v>
      </c>
      <c r="V1155" s="75"/>
      <c r="W1155" s="75">
        <v>0</v>
      </c>
      <c r="X1155" s="1122">
        <v>0</v>
      </c>
      <c r="Y1155" s="75">
        <v>0</v>
      </c>
      <c r="Z1155" s="75">
        <v>0</v>
      </c>
      <c r="AA1155" s="1122">
        <v>0</v>
      </c>
      <c r="AB1155" s="75">
        <v>0</v>
      </c>
      <c r="AC1155" s="75">
        <v>0</v>
      </c>
      <c r="AD1155" s="1122">
        <v>0</v>
      </c>
      <c r="AE1155" s="75">
        <v>0</v>
      </c>
      <c r="AF1155" s="75">
        <v>0</v>
      </c>
      <c r="AG1155" s="1122">
        <v>0</v>
      </c>
      <c r="AH1155" s="505">
        <f t="shared" si="308"/>
        <v>0</v>
      </c>
      <c r="AI1155" s="132"/>
      <c r="AJ1155" s="75">
        <f t="shared" si="307"/>
        <v>0</v>
      </c>
      <c r="AK1155" s="75"/>
      <c r="AL1155" s="75"/>
      <c r="AM1155" s="75"/>
      <c r="AN1155" s="171" t="s">
        <v>181</v>
      </c>
      <c r="AO1155" s="171"/>
      <c r="AP1155" s="171"/>
      <c r="AQ1155" s="418"/>
      <c r="AS1155" s="484"/>
      <c r="AV1155" s="353"/>
      <c r="AW1155" s="185"/>
    </row>
    <row r="1156" spans="1:49" ht="41.1" hidden="1" customHeight="1" outlineLevel="3" x14ac:dyDescent="0.25">
      <c r="A1156" s="63" t="str">
        <f t="shared" si="306"/>
        <v>3.13.0.2.23.0</v>
      </c>
      <c r="B1156" s="64">
        <v>3</v>
      </c>
      <c r="C1156" s="64">
        <v>13</v>
      </c>
      <c r="D1156" s="64">
        <v>0</v>
      </c>
      <c r="E1156" s="64">
        <v>2</v>
      </c>
      <c r="F1156" s="64">
        <v>23</v>
      </c>
      <c r="G1156" s="64">
        <v>0</v>
      </c>
      <c r="H1156" s="65"/>
      <c r="I1156" s="65"/>
      <c r="J1156" s="65"/>
      <c r="K1156" s="185" t="s">
        <v>1326</v>
      </c>
      <c r="L1156" s="64"/>
      <c r="M1156" s="68"/>
      <c r="N1156" s="64"/>
      <c r="O1156" s="64"/>
      <c r="P1156" s="69"/>
      <c r="Q1156" s="69"/>
      <c r="R1156" s="170"/>
      <c r="S1156" s="170"/>
      <c r="T1156" s="1188"/>
      <c r="U1156" s="75">
        <v>0</v>
      </c>
      <c r="V1156" s="75"/>
      <c r="W1156" s="75">
        <v>0</v>
      </c>
      <c r="X1156" s="1122">
        <v>0</v>
      </c>
      <c r="Y1156" s="75">
        <v>0</v>
      </c>
      <c r="Z1156" s="75">
        <v>0</v>
      </c>
      <c r="AA1156" s="1122">
        <v>0</v>
      </c>
      <c r="AB1156" s="75">
        <v>0</v>
      </c>
      <c r="AC1156" s="75">
        <v>0</v>
      </c>
      <c r="AD1156" s="1122">
        <v>0</v>
      </c>
      <c r="AE1156" s="75">
        <v>0</v>
      </c>
      <c r="AF1156" s="75">
        <v>0</v>
      </c>
      <c r="AG1156" s="1122">
        <v>0</v>
      </c>
      <c r="AH1156" s="505">
        <f t="shared" si="308"/>
        <v>0</v>
      </c>
      <c r="AI1156" s="132"/>
      <c r="AJ1156" s="75">
        <f t="shared" ref="AJ1156:AJ1162" si="309">+W1163+Z1163+AC1163+AF1163</f>
        <v>0</v>
      </c>
      <c r="AK1156" s="75"/>
      <c r="AL1156" s="75"/>
      <c r="AM1156" s="75"/>
      <c r="AN1156" s="171" t="s">
        <v>181</v>
      </c>
      <c r="AO1156" s="171"/>
      <c r="AP1156" s="171"/>
      <c r="AQ1156" s="418"/>
      <c r="AS1156" s="484"/>
      <c r="AV1156" s="353"/>
      <c r="AW1156" s="185"/>
    </row>
    <row r="1157" spans="1:49" ht="41.1" hidden="1" customHeight="1" outlineLevel="3" x14ac:dyDescent="0.25">
      <c r="A1157" s="63" t="str">
        <f t="shared" si="306"/>
        <v>3.13.0.2.24.0</v>
      </c>
      <c r="B1157" s="64">
        <v>3</v>
      </c>
      <c r="C1157" s="64">
        <v>13</v>
      </c>
      <c r="D1157" s="64">
        <v>0</v>
      </c>
      <c r="E1157" s="64">
        <v>2</v>
      </c>
      <c r="F1157" s="64">
        <v>24</v>
      </c>
      <c r="G1157" s="64">
        <v>0</v>
      </c>
      <c r="H1157" s="65"/>
      <c r="I1157" s="65"/>
      <c r="J1157" s="65"/>
      <c r="K1157" s="185" t="s">
        <v>2789</v>
      </c>
      <c r="L1157" s="64"/>
      <c r="M1157" s="68"/>
      <c r="N1157" s="64"/>
      <c r="O1157" s="64"/>
      <c r="P1157" s="69"/>
      <c r="Q1157" s="69"/>
      <c r="R1157" s="170"/>
      <c r="S1157" s="170"/>
      <c r="T1157" s="1188"/>
      <c r="U1157" s="75">
        <f>11010+60000+137100</f>
        <v>208110</v>
      </c>
      <c r="V1157" s="75"/>
      <c r="W1157" s="75">
        <v>0</v>
      </c>
      <c r="X1157" s="1122">
        <v>0</v>
      </c>
      <c r="Y1157" s="75">
        <f>11010+60000+137000</f>
        <v>208010</v>
      </c>
      <c r="Z1157" s="75">
        <v>0</v>
      </c>
      <c r="AA1157" s="1122">
        <v>0</v>
      </c>
      <c r="AB1157" s="75">
        <f>11010+60000+137100</f>
        <v>208110</v>
      </c>
      <c r="AC1157" s="75">
        <v>0</v>
      </c>
      <c r="AD1157" s="1122">
        <v>0</v>
      </c>
      <c r="AE1157" s="75">
        <f>11010+60000+137000</f>
        <v>208010</v>
      </c>
      <c r="AF1157" s="75">
        <v>0</v>
      </c>
      <c r="AG1157" s="1122">
        <v>0</v>
      </c>
      <c r="AH1157" s="505">
        <f t="shared" si="308"/>
        <v>832240</v>
      </c>
      <c r="AI1157" s="132"/>
      <c r="AJ1157" s="75">
        <f t="shared" si="309"/>
        <v>0</v>
      </c>
      <c r="AK1157" s="75"/>
      <c r="AL1157" s="75"/>
      <c r="AM1157" s="75"/>
      <c r="AN1157" s="171" t="s">
        <v>181</v>
      </c>
      <c r="AO1157" s="171"/>
      <c r="AP1157" s="171"/>
      <c r="AQ1157" s="418"/>
      <c r="AS1157" s="484"/>
      <c r="AV1157" s="353"/>
      <c r="AW1157" s="185" t="s">
        <v>2803</v>
      </c>
    </row>
    <row r="1158" spans="1:49" ht="41.1" hidden="1" customHeight="1" outlineLevel="3" x14ac:dyDescent="0.25">
      <c r="A1158" s="63" t="str">
        <f t="shared" si="306"/>
        <v>3.13.0.2.25.0</v>
      </c>
      <c r="B1158" s="64">
        <v>3</v>
      </c>
      <c r="C1158" s="64">
        <v>13</v>
      </c>
      <c r="D1158" s="64">
        <v>0</v>
      </c>
      <c r="E1158" s="64">
        <v>2</v>
      </c>
      <c r="F1158" s="64">
        <v>25</v>
      </c>
      <c r="G1158" s="64">
        <v>0</v>
      </c>
      <c r="H1158" s="65"/>
      <c r="I1158" s="65"/>
      <c r="J1158" s="65"/>
      <c r="K1158" s="185" t="s">
        <v>2792</v>
      </c>
      <c r="L1158" s="64"/>
      <c r="M1158" s="68"/>
      <c r="N1158" s="64"/>
      <c r="O1158" s="64"/>
      <c r="P1158" s="69"/>
      <c r="Q1158" s="69"/>
      <c r="R1158" s="170"/>
      <c r="S1158" s="170"/>
      <c r="T1158" s="1188"/>
      <c r="U1158" s="75">
        <v>60000</v>
      </c>
      <c r="V1158" s="75"/>
      <c r="W1158" s="75">
        <v>0</v>
      </c>
      <c r="X1158" s="1122">
        <v>0</v>
      </c>
      <c r="Y1158" s="75">
        <v>0</v>
      </c>
      <c r="Z1158" s="75">
        <v>0</v>
      </c>
      <c r="AA1158" s="1122">
        <v>0</v>
      </c>
      <c r="AB1158" s="75">
        <v>0</v>
      </c>
      <c r="AC1158" s="75">
        <v>0</v>
      </c>
      <c r="AD1158" s="1122">
        <v>0</v>
      </c>
      <c r="AE1158" s="75">
        <v>0</v>
      </c>
      <c r="AF1158" s="75">
        <v>0</v>
      </c>
      <c r="AG1158" s="1122">
        <v>0</v>
      </c>
      <c r="AH1158" s="505">
        <f t="shared" si="308"/>
        <v>60000</v>
      </c>
      <c r="AI1158" s="132"/>
      <c r="AJ1158" s="75">
        <f t="shared" si="309"/>
        <v>0</v>
      </c>
      <c r="AK1158" s="75"/>
      <c r="AL1158" s="75"/>
      <c r="AM1158" s="75"/>
      <c r="AN1158" s="171" t="s">
        <v>181</v>
      </c>
      <c r="AO1158" s="171"/>
      <c r="AP1158" s="171"/>
      <c r="AQ1158" s="418"/>
      <c r="AS1158" s="484"/>
      <c r="AV1158" s="353"/>
      <c r="AW1158" s="185" t="s">
        <v>2790</v>
      </c>
    </row>
    <row r="1159" spans="1:49" ht="41.1" hidden="1" customHeight="1" outlineLevel="3" x14ac:dyDescent="0.25">
      <c r="A1159" s="63" t="str">
        <f t="shared" si="306"/>
        <v>3.13.0.2.26.0</v>
      </c>
      <c r="B1159" s="64">
        <v>3</v>
      </c>
      <c r="C1159" s="64">
        <v>13</v>
      </c>
      <c r="D1159" s="64">
        <v>0</v>
      </c>
      <c r="E1159" s="64">
        <v>2</v>
      </c>
      <c r="F1159" s="64">
        <v>26</v>
      </c>
      <c r="G1159" s="64">
        <v>0</v>
      </c>
      <c r="H1159" s="65"/>
      <c r="I1159" s="65"/>
      <c r="J1159" s="65"/>
      <c r="K1159" s="185" t="s">
        <v>2793</v>
      </c>
      <c r="L1159" s="64"/>
      <c r="M1159" s="68"/>
      <c r="N1159" s="64"/>
      <c r="O1159" s="64"/>
      <c r="P1159" s="69"/>
      <c r="Q1159" s="69"/>
      <c r="R1159" s="170"/>
      <c r="S1159" s="170"/>
      <c r="T1159" s="1188"/>
      <c r="U1159" s="75">
        <v>7650</v>
      </c>
      <c r="V1159" s="75"/>
      <c r="W1159" s="75">
        <v>0</v>
      </c>
      <c r="X1159" s="1122">
        <v>0</v>
      </c>
      <c r="Y1159" s="75">
        <v>0</v>
      </c>
      <c r="Z1159" s="75">
        <v>0</v>
      </c>
      <c r="AA1159" s="1122">
        <v>0</v>
      </c>
      <c r="AB1159" s="75">
        <v>0</v>
      </c>
      <c r="AC1159" s="75">
        <v>0</v>
      </c>
      <c r="AD1159" s="1122">
        <v>0</v>
      </c>
      <c r="AE1159" s="75">
        <v>0</v>
      </c>
      <c r="AF1159" s="75">
        <v>0</v>
      </c>
      <c r="AG1159" s="1122">
        <v>0</v>
      </c>
      <c r="AH1159" s="505">
        <f t="shared" si="308"/>
        <v>7650</v>
      </c>
      <c r="AI1159" s="132"/>
      <c r="AJ1159" s="75">
        <f t="shared" si="309"/>
        <v>0</v>
      </c>
      <c r="AK1159" s="75"/>
      <c r="AL1159" s="75"/>
      <c r="AM1159" s="75"/>
      <c r="AN1159" s="171" t="s">
        <v>181</v>
      </c>
      <c r="AO1159" s="171"/>
      <c r="AP1159" s="171"/>
      <c r="AQ1159" s="418"/>
      <c r="AS1159" s="484"/>
      <c r="AV1159" s="353"/>
      <c r="AW1159" s="185" t="s">
        <v>2794</v>
      </c>
    </row>
    <row r="1160" spans="1:49" ht="41.1" hidden="1" customHeight="1" outlineLevel="3" x14ac:dyDescent="0.25">
      <c r="A1160" s="63" t="str">
        <f t="shared" si="306"/>
        <v>3.13.0.2.27.0</v>
      </c>
      <c r="B1160" s="64">
        <v>3</v>
      </c>
      <c r="C1160" s="64">
        <v>13</v>
      </c>
      <c r="D1160" s="64">
        <v>0</v>
      </c>
      <c r="E1160" s="64">
        <v>2</v>
      </c>
      <c r="F1160" s="64">
        <v>27</v>
      </c>
      <c r="G1160" s="64">
        <v>0</v>
      </c>
      <c r="H1160" s="65"/>
      <c r="I1160" s="65"/>
      <c r="J1160" s="65"/>
      <c r="K1160" s="185" t="s">
        <v>2795</v>
      </c>
      <c r="L1160" s="64"/>
      <c r="M1160" s="68"/>
      <c r="N1160" s="64"/>
      <c r="O1160" s="64"/>
      <c r="P1160" s="69"/>
      <c r="Q1160" s="69"/>
      <c r="R1160" s="170"/>
      <c r="S1160" s="170"/>
      <c r="T1160" s="1188"/>
      <c r="U1160" s="75">
        <f>116150+22240</f>
        <v>138390</v>
      </c>
      <c r="V1160" s="75"/>
      <c r="W1160" s="75">
        <v>0</v>
      </c>
      <c r="X1160" s="1122">
        <v>0</v>
      </c>
      <c r="Y1160" s="75">
        <v>0</v>
      </c>
      <c r="Z1160" s="75">
        <v>0</v>
      </c>
      <c r="AA1160" s="1122">
        <v>0</v>
      </c>
      <c r="AB1160" s="75">
        <v>0</v>
      </c>
      <c r="AC1160" s="75">
        <v>0</v>
      </c>
      <c r="AD1160" s="1122">
        <v>0</v>
      </c>
      <c r="AE1160" s="75">
        <v>0</v>
      </c>
      <c r="AF1160" s="75">
        <v>0</v>
      </c>
      <c r="AG1160" s="1122">
        <v>0</v>
      </c>
      <c r="AH1160" s="505">
        <f t="shared" si="308"/>
        <v>138390</v>
      </c>
      <c r="AI1160" s="132"/>
      <c r="AJ1160" s="75">
        <f t="shared" si="309"/>
        <v>0</v>
      </c>
      <c r="AK1160" s="75"/>
      <c r="AL1160" s="75"/>
      <c r="AM1160" s="75"/>
      <c r="AN1160" s="64" t="s">
        <v>181</v>
      </c>
      <c r="AO1160" s="171"/>
      <c r="AP1160" s="171"/>
      <c r="AQ1160" s="418"/>
      <c r="AS1160" s="484"/>
      <c r="AV1160" s="353"/>
      <c r="AW1160" s="185" t="s">
        <v>2838</v>
      </c>
    </row>
    <row r="1161" spans="1:49" ht="41.1" hidden="1" customHeight="1" outlineLevel="3" x14ac:dyDescent="0.25">
      <c r="A1161" s="63" t="str">
        <f t="shared" si="306"/>
        <v>3.13.0.2.28.0</v>
      </c>
      <c r="B1161" s="64">
        <v>3</v>
      </c>
      <c r="C1161" s="64">
        <v>13</v>
      </c>
      <c r="D1161" s="64">
        <v>0</v>
      </c>
      <c r="E1161" s="64">
        <v>2</v>
      </c>
      <c r="F1161" s="64">
        <v>28</v>
      </c>
      <c r="G1161" s="64">
        <v>0</v>
      </c>
      <c r="H1161" s="65"/>
      <c r="I1161" s="65"/>
      <c r="J1161" s="65"/>
      <c r="K1161" s="185" t="s">
        <v>2804</v>
      </c>
      <c r="L1161" s="64"/>
      <c r="M1161" s="68"/>
      <c r="N1161" s="64"/>
      <c r="O1161" s="64"/>
      <c r="P1161" s="69"/>
      <c r="Q1161" s="69"/>
      <c r="R1161" s="170"/>
      <c r="S1161" s="170"/>
      <c r="T1161" s="1188"/>
      <c r="U1161" s="75">
        <v>960000</v>
      </c>
      <c r="V1161" s="75"/>
      <c r="W1161" s="75">
        <v>0</v>
      </c>
      <c r="X1161" s="1122">
        <v>0</v>
      </c>
      <c r="Y1161" s="75">
        <v>0</v>
      </c>
      <c r="Z1161" s="75">
        <v>0</v>
      </c>
      <c r="AA1161" s="1122">
        <v>0</v>
      </c>
      <c r="AB1161" s="75">
        <v>0</v>
      </c>
      <c r="AC1161" s="75">
        <v>0</v>
      </c>
      <c r="AD1161" s="1122">
        <v>0</v>
      </c>
      <c r="AE1161" s="75">
        <v>0</v>
      </c>
      <c r="AF1161" s="75">
        <v>0</v>
      </c>
      <c r="AG1161" s="1122">
        <v>0</v>
      </c>
      <c r="AH1161" s="505">
        <f t="shared" si="308"/>
        <v>960000</v>
      </c>
      <c r="AI1161" s="132"/>
      <c r="AJ1161" s="75">
        <f t="shared" si="309"/>
        <v>0</v>
      </c>
      <c r="AK1161" s="75"/>
      <c r="AL1161" s="75"/>
      <c r="AM1161" s="75"/>
      <c r="AN1161" s="64" t="s">
        <v>181</v>
      </c>
      <c r="AO1161" s="171"/>
      <c r="AP1161" s="171"/>
      <c r="AQ1161" s="418"/>
      <c r="AS1161" s="484"/>
      <c r="AV1161" s="353"/>
      <c r="AW1161" s="185" t="s">
        <v>2805</v>
      </c>
    </row>
    <row r="1162" spans="1:49" ht="41.1" hidden="1" customHeight="1" outlineLevel="3" x14ac:dyDescent="0.25">
      <c r="A1162" s="63" t="str">
        <f t="shared" si="306"/>
        <v>3.13.0.2.29.0</v>
      </c>
      <c r="B1162" s="64">
        <v>3</v>
      </c>
      <c r="C1162" s="64">
        <v>13</v>
      </c>
      <c r="D1162" s="64">
        <v>0</v>
      </c>
      <c r="E1162" s="64">
        <v>2</v>
      </c>
      <c r="F1162" s="64">
        <v>29</v>
      </c>
      <c r="G1162" s="64">
        <v>0</v>
      </c>
      <c r="H1162" s="65"/>
      <c r="I1162" s="65"/>
      <c r="J1162" s="65"/>
      <c r="K1162" s="185" t="s">
        <v>2807</v>
      </c>
      <c r="L1162" s="64"/>
      <c r="M1162" s="68"/>
      <c r="N1162" s="64"/>
      <c r="O1162" s="64"/>
      <c r="P1162" s="69"/>
      <c r="Q1162" s="69"/>
      <c r="R1162" s="170"/>
      <c r="S1162" s="170"/>
      <c r="T1162" s="1188"/>
      <c r="U1162" s="75">
        <v>100000</v>
      </c>
      <c r="V1162" s="75"/>
      <c r="W1162" s="75">
        <v>0</v>
      </c>
      <c r="X1162" s="1122">
        <v>0</v>
      </c>
      <c r="Y1162" s="75">
        <v>0</v>
      </c>
      <c r="Z1162" s="75">
        <v>0</v>
      </c>
      <c r="AA1162" s="1122">
        <v>0</v>
      </c>
      <c r="AB1162" s="75">
        <v>0</v>
      </c>
      <c r="AC1162" s="75">
        <v>0</v>
      </c>
      <c r="AD1162" s="1122">
        <v>0</v>
      </c>
      <c r="AE1162" s="75">
        <v>0</v>
      </c>
      <c r="AF1162" s="75">
        <v>0</v>
      </c>
      <c r="AG1162" s="1122">
        <v>0</v>
      </c>
      <c r="AH1162" s="505">
        <f t="shared" si="308"/>
        <v>100000</v>
      </c>
      <c r="AI1162" s="132"/>
      <c r="AJ1162" s="75">
        <f t="shared" si="309"/>
        <v>0</v>
      </c>
      <c r="AK1162" s="75"/>
      <c r="AL1162" s="75"/>
      <c r="AM1162" s="75"/>
      <c r="AN1162" s="64" t="s">
        <v>181</v>
      </c>
      <c r="AO1162" s="171"/>
      <c r="AP1162" s="171"/>
      <c r="AQ1162" s="418"/>
      <c r="AS1162" s="484"/>
      <c r="AV1162" s="353"/>
      <c r="AW1162" s="185" t="s">
        <v>2805</v>
      </c>
    </row>
    <row r="1163" spans="1:49" s="153" customFormat="1" ht="36.75" customHeight="1" outlineLevel="1" collapsed="1" x14ac:dyDescent="0.25">
      <c r="A1163" s="148" t="str">
        <f t="shared" si="306"/>
        <v>3.13.0.3.0.0</v>
      </c>
      <c r="B1163" s="82">
        <v>3</v>
      </c>
      <c r="C1163" s="82">
        <v>13</v>
      </c>
      <c r="D1163" s="82">
        <v>0</v>
      </c>
      <c r="E1163" s="82">
        <v>3</v>
      </c>
      <c r="F1163" s="82">
        <v>0</v>
      </c>
      <c r="G1163" s="82">
        <v>0</v>
      </c>
      <c r="H1163" s="149"/>
      <c r="I1163" s="149"/>
      <c r="J1163" s="1291" t="s">
        <v>1873</v>
      </c>
      <c r="K1163" s="1292"/>
      <c r="L1163" s="82" t="s">
        <v>192</v>
      </c>
      <c r="M1163" s="82" t="s">
        <v>1327</v>
      </c>
      <c r="N1163" s="82" t="s">
        <v>1328</v>
      </c>
      <c r="O1163" s="82" t="s">
        <v>38</v>
      </c>
      <c r="P1163" s="82"/>
      <c r="Q1163" s="82"/>
      <c r="R1163" s="82"/>
      <c r="S1163" s="149"/>
      <c r="T1163" s="193"/>
      <c r="U1163" s="379">
        <f>+SUM(U1164:U1165)</f>
        <v>0</v>
      </c>
      <c r="V1163" s="379"/>
      <c r="W1163" s="682">
        <f>+SUM(W1164:W1165)</f>
        <v>0</v>
      </c>
      <c r="X1163" s="1131"/>
      <c r="Y1163" s="844">
        <f>SUM(Y1164:Y1165)</f>
        <v>0</v>
      </c>
      <c r="Z1163" s="844">
        <f>SUM(Z1164:Z1165)</f>
        <v>0</v>
      </c>
      <c r="AA1163" s="1135">
        <f t="shared" ref="AA1163:AD1163" si="310">SUM(AA1164:AA1165)</f>
        <v>0</v>
      </c>
      <c r="AB1163" s="216">
        <f t="shared" si="310"/>
        <v>0</v>
      </c>
      <c r="AC1163" s="970">
        <f t="shared" si="310"/>
        <v>0</v>
      </c>
      <c r="AD1163" s="1135">
        <f t="shared" si="310"/>
        <v>0</v>
      </c>
      <c r="AE1163" s="257"/>
      <c r="AF1163" s="611"/>
      <c r="AG1163" s="1135">
        <f t="shared" ref="AG1163" si="311">SUM(AG1164:AG1165)</f>
        <v>0</v>
      </c>
      <c r="AH1163" s="512">
        <f>+SUM(AH1164:AH1165)</f>
        <v>0</v>
      </c>
      <c r="AI1163" s="512">
        <f>+SUM(AI1164:AI1165)</f>
        <v>0</v>
      </c>
      <c r="AJ1163" s="512">
        <f>+SUM(AJ1164:AJ1165)</f>
        <v>0</v>
      </c>
      <c r="AK1163" s="152"/>
      <c r="AL1163" s="152"/>
      <c r="AM1163" s="152"/>
      <c r="AN1163" s="82" t="s">
        <v>39</v>
      </c>
      <c r="AO1163" s="82"/>
      <c r="AP1163" s="82"/>
      <c r="AQ1163" s="365"/>
      <c r="AR1163" s="82"/>
      <c r="AS1163" s="483"/>
      <c r="AT1163" s="82"/>
      <c r="AU1163" s="666"/>
      <c r="AV1163" s="358"/>
      <c r="AW1163" s="444"/>
    </row>
    <row r="1164" spans="1:49" ht="26.1" hidden="1" customHeight="1" outlineLevel="2" x14ac:dyDescent="0.25">
      <c r="A1164" s="63" t="str">
        <f t="shared" si="306"/>
        <v>3.13.0.3.1.58-64</v>
      </c>
      <c r="B1164" s="64">
        <v>3</v>
      </c>
      <c r="C1164" s="64">
        <v>13</v>
      </c>
      <c r="D1164" s="64">
        <v>0</v>
      </c>
      <c r="E1164" s="64">
        <v>3</v>
      </c>
      <c r="F1164" s="64">
        <v>1</v>
      </c>
      <c r="G1164" s="64" t="s">
        <v>64</v>
      </c>
      <c r="H1164" s="65"/>
      <c r="I1164" s="65"/>
      <c r="J1164" s="65"/>
      <c r="K1164" s="65" t="s">
        <v>1329</v>
      </c>
      <c r="L1164" s="64" t="s">
        <v>192</v>
      </c>
      <c r="M1164" s="64" t="s">
        <v>1327</v>
      </c>
      <c r="N1164" s="64" t="s">
        <v>1330</v>
      </c>
      <c r="O1164" s="64" t="s">
        <v>38</v>
      </c>
      <c r="P1164" s="64"/>
      <c r="Q1164" s="64"/>
      <c r="R1164" s="64"/>
      <c r="S1164" s="65"/>
      <c r="T1164" s="194"/>
      <c r="U1164" s="370">
        <v>0</v>
      </c>
      <c r="V1164" s="370"/>
      <c r="W1164" s="370">
        <v>0</v>
      </c>
      <c r="X1164" s="1129">
        <v>0</v>
      </c>
      <c r="Y1164" s="370">
        <v>0</v>
      </c>
      <c r="Z1164" s="370">
        <v>0</v>
      </c>
      <c r="AA1164" s="1129">
        <v>0</v>
      </c>
      <c r="AB1164" s="370">
        <v>0</v>
      </c>
      <c r="AC1164" s="370">
        <v>0</v>
      </c>
      <c r="AD1164" s="1129">
        <v>0</v>
      </c>
      <c r="AE1164" s="370">
        <v>0</v>
      </c>
      <c r="AF1164" s="370">
        <v>0</v>
      </c>
      <c r="AG1164" s="1129">
        <v>0</v>
      </c>
      <c r="AH1164" s="505">
        <f>+U1164+Y1164+AB1164+AE1164</f>
        <v>0</v>
      </c>
      <c r="AI1164" s="132"/>
      <c r="AJ1164" s="75">
        <f t="shared" ref="AJ1164:AJ1165" si="312">+W1165+Z1165+AC1165+AF1165</f>
        <v>0</v>
      </c>
      <c r="AK1164" s="75"/>
      <c r="AL1164" s="75"/>
      <c r="AM1164" s="75"/>
      <c r="AN1164" s="64" t="s">
        <v>39</v>
      </c>
      <c r="AO1164" s="64"/>
      <c r="AP1164" s="64"/>
      <c r="AQ1164" s="189"/>
      <c r="AR1164" s="64"/>
      <c r="AS1164" s="476"/>
      <c r="AT1164" s="64"/>
      <c r="AU1164" s="646"/>
      <c r="AV1164" s="259"/>
      <c r="AW1164" s="185"/>
    </row>
    <row r="1165" spans="1:49" ht="36" hidden="1" customHeight="1" outlineLevel="2" x14ac:dyDescent="0.25">
      <c r="A1165" s="63" t="str">
        <f t="shared" si="306"/>
        <v>3.13.0.3.2.58-64</v>
      </c>
      <c r="B1165" s="64">
        <v>3</v>
      </c>
      <c r="C1165" s="64">
        <v>13</v>
      </c>
      <c r="D1165" s="64">
        <v>0</v>
      </c>
      <c r="E1165" s="64">
        <v>3</v>
      </c>
      <c r="F1165" s="64">
        <v>2</v>
      </c>
      <c r="G1165" s="64" t="s">
        <v>64</v>
      </c>
      <c r="H1165" s="65"/>
      <c r="I1165" s="65"/>
      <c r="J1165" s="66"/>
      <c r="K1165" s="67" t="s">
        <v>1331</v>
      </c>
      <c r="L1165" s="64" t="s">
        <v>192</v>
      </c>
      <c r="M1165" s="64" t="s">
        <v>1332</v>
      </c>
      <c r="N1165" s="64" t="s">
        <v>1330</v>
      </c>
      <c r="O1165" s="64" t="s">
        <v>38</v>
      </c>
      <c r="P1165" s="64"/>
      <c r="Q1165" s="64"/>
      <c r="R1165" s="64"/>
      <c r="S1165" s="65"/>
      <c r="T1165" s="194"/>
      <c r="U1165" s="370">
        <v>0</v>
      </c>
      <c r="V1165" s="370"/>
      <c r="W1165" s="370">
        <v>0</v>
      </c>
      <c r="X1165" s="1129">
        <v>0</v>
      </c>
      <c r="Y1165" s="370">
        <v>0</v>
      </c>
      <c r="Z1165" s="370">
        <v>0</v>
      </c>
      <c r="AA1165" s="1129">
        <v>0</v>
      </c>
      <c r="AB1165" s="370">
        <v>0</v>
      </c>
      <c r="AC1165" s="370">
        <v>0</v>
      </c>
      <c r="AD1165" s="1129">
        <v>0</v>
      </c>
      <c r="AE1165" s="370">
        <v>0</v>
      </c>
      <c r="AF1165" s="370">
        <v>0</v>
      </c>
      <c r="AG1165" s="1129">
        <v>0</v>
      </c>
      <c r="AH1165" s="505">
        <f>+U1165+Y1165+AB1165+AE1165</f>
        <v>0</v>
      </c>
      <c r="AI1165" s="132"/>
      <c r="AJ1165" s="75">
        <f t="shared" si="312"/>
        <v>0</v>
      </c>
      <c r="AK1165" s="75"/>
      <c r="AL1165" s="75"/>
      <c r="AM1165" s="75"/>
      <c r="AN1165" s="64" t="s">
        <v>39</v>
      </c>
      <c r="AO1165" s="64"/>
      <c r="AP1165" s="64"/>
      <c r="AQ1165" s="189"/>
      <c r="AR1165" s="64"/>
      <c r="AS1165" s="476"/>
      <c r="AT1165" s="64"/>
      <c r="AU1165" s="646"/>
      <c r="AV1165" s="259"/>
      <c r="AW1165" s="185"/>
    </row>
    <row r="1166" spans="1:49" s="153" customFormat="1" ht="34.5" customHeight="1" outlineLevel="1" collapsed="1" x14ac:dyDescent="0.25">
      <c r="A1166" s="148" t="str">
        <f t="shared" si="306"/>
        <v>3.13.0.4.0.0</v>
      </c>
      <c r="B1166" s="82">
        <v>3</v>
      </c>
      <c r="C1166" s="82">
        <v>13</v>
      </c>
      <c r="D1166" s="82">
        <v>0</v>
      </c>
      <c r="E1166" s="82">
        <v>4</v>
      </c>
      <c r="F1166" s="82">
        <v>0</v>
      </c>
      <c r="G1166" s="82">
        <v>0</v>
      </c>
      <c r="H1166" s="149"/>
      <c r="I1166" s="149"/>
      <c r="J1166" s="1291" t="s">
        <v>1333</v>
      </c>
      <c r="K1166" s="1292"/>
      <c r="L1166" s="82" t="s">
        <v>72</v>
      </c>
      <c r="M1166" s="82" t="s">
        <v>1334</v>
      </c>
      <c r="N1166" s="82" t="s">
        <v>1223</v>
      </c>
      <c r="O1166" s="82" t="s">
        <v>1335</v>
      </c>
      <c r="P1166" s="82"/>
      <c r="Q1166" s="82"/>
      <c r="R1166" s="82"/>
      <c r="S1166" s="149"/>
      <c r="T1166" s="193"/>
      <c r="U1166" s="379">
        <f>+SUM(U1167:U1169)</f>
        <v>0</v>
      </c>
      <c r="V1166" s="379"/>
      <c r="W1166" s="379">
        <f t="shared" ref="W1166:AH1166" si="313">+SUM(W1167:W1169)</f>
        <v>0</v>
      </c>
      <c r="X1166" s="1130">
        <f t="shared" si="313"/>
        <v>0</v>
      </c>
      <c r="Y1166" s="379">
        <f t="shared" si="313"/>
        <v>0</v>
      </c>
      <c r="Z1166" s="379">
        <f t="shared" si="313"/>
        <v>0</v>
      </c>
      <c r="AA1166" s="1130">
        <f t="shared" si="313"/>
        <v>0</v>
      </c>
      <c r="AB1166" s="379">
        <f t="shared" si="313"/>
        <v>0</v>
      </c>
      <c r="AC1166" s="379">
        <f t="shared" si="313"/>
        <v>0</v>
      </c>
      <c r="AD1166" s="1130">
        <f t="shared" si="313"/>
        <v>0</v>
      </c>
      <c r="AE1166" s="379">
        <f t="shared" si="313"/>
        <v>0</v>
      </c>
      <c r="AF1166" s="379">
        <f t="shared" si="313"/>
        <v>0</v>
      </c>
      <c r="AG1166" s="1130">
        <f t="shared" si="313"/>
        <v>0</v>
      </c>
      <c r="AH1166" s="379">
        <f t="shared" si="313"/>
        <v>0</v>
      </c>
      <c r="AI1166" s="512">
        <f>+SUM(AI1167:AI1169)</f>
        <v>0</v>
      </c>
      <c r="AJ1166" s="512">
        <f>+SUM(AJ1167:AJ1170)</f>
        <v>0</v>
      </c>
      <c r="AK1166" s="152"/>
      <c r="AL1166" s="152"/>
      <c r="AM1166" s="152"/>
      <c r="AN1166" s="82" t="s">
        <v>39</v>
      </c>
      <c r="AO1166" s="82"/>
      <c r="AP1166" s="82"/>
      <c r="AQ1166" s="365"/>
      <c r="AR1166" s="82"/>
      <c r="AS1166" s="483"/>
      <c r="AT1166" s="82"/>
      <c r="AU1166" s="666"/>
      <c r="AV1166" s="358"/>
      <c r="AW1166" s="444"/>
    </row>
    <row r="1167" spans="1:49" ht="32.450000000000003" hidden="1" customHeight="1" outlineLevel="3" x14ac:dyDescent="0.25">
      <c r="A1167" s="63" t="str">
        <f t="shared" si="306"/>
        <v>3.13.0.4.1.58-64</v>
      </c>
      <c r="B1167" s="64">
        <v>3</v>
      </c>
      <c r="C1167" s="64">
        <v>13</v>
      </c>
      <c r="D1167" s="64">
        <v>0</v>
      </c>
      <c r="E1167" s="64">
        <v>4</v>
      </c>
      <c r="F1167" s="64">
        <v>1</v>
      </c>
      <c r="G1167" s="64" t="s">
        <v>64</v>
      </c>
      <c r="H1167" s="65"/>
      <c r="I1167" s="65"/>
      <c r="J1167" s="66"/>
      <c r="K1167" s="65" t="s">
        <v>1336</v>
      </c>
      <c r="L1167" s="64" t="s">
        <v>72</v>
      </c>
      <c r="M1167" s="64" t="s">
        <v>1337</v>
      </c>
      <c r="N1167" s="64" t="s">
        <v>1223</v>
      </c>
      <c r="O1167" s="64" t="s">
        <v>359</v>
      </c>
      <c r="P1167" s="64"/>
      <c r="Q1167" s="64"/>
      <c r="R1167" s="64"/>
      <c r="S1167" s="65"/>
      <c r="T1167" s="194"/>
      <c r="U1167" s="370">
        <v>0</v>
      </c>
      <c r="V1167" s="370"/>
      <c r="W1167" s="370">
        <v>0</v>
      </c>
      <c r="X1167" s="1129">
        <v>0</v>
      </c>
      <c r="Y1167" s="370">
        <v>0</v>
      </c>
      <c r="Z1167" s="370">
        <v>0</v>
      </c>
      <c r="AA1167" s="1129">
        <v>0</v>
      </c>
      <c r="AB1167" s="370">
        <v>0</v>
      </c>
      <c r="AC1167" s="370">
        <v>0</v>
      </c>
      <c r="AD1167" s="1129">
        <v>0</v>
      </c>
      <c r="AE1167" s="370">
        <v>0</v>
      </c>
      <c r="AF1167" s="370">
        <v>0</v>
      </c>
      <c r="AG1167" s="1129">
        <v>0</v>
      </c>
      <c r="AH1167" s="505">
        <f>+U1167+Y1167+AB1167+AE1167</f>
        <v>0</v>
      </c>
      <c r="AI1167" s="132"/>
      <c r="AJ1167" s="75">
        <f t="shared" ref="AJ1167:AJ1168" si="314">+W1168+Z1168+AC1168+AF1168</f>
        <v>0</v>
      </c>
      <c r="AK1167" s="75"/>
      <c r="AL1167" s="75"/>
      <c r="AM1167" s="75"/>
      <c r="AN1167" s="64" t="s">
        <v>39</v>
      </c>
      <c r="AO1167" s="64"/>
      <c r="AP1167" s="64"/>
      <c r="AQ1167" s="189"/>
      <c r="AR1167" s="64"/>
      <c r="AS1167" s="476"/>
      <c r="AT1167" s="64"/>
      <c r="AU1167" s="646"/>
      <c r="AV1167" s="259"/>
      <c r="AW1167" s="185"/>
    </row>
    <row r="1168" spans="1:49" ht="32.450000000000003" hidden="1" customHeight="1" outlineLevel="3" x14ac:dyDescent="0.25">
      <c r="A1168" s="63" t="str">
        <f t="shared" si="306"/>
        <v>3.13.0.4.2.58-64</v>
      </c>
      <c r="B1168" s="64">
        <v>3</v>
      </c>
      <c r="C1168" s="64">
        <v>13</v>
      </c>
      <c r="D1168" s="64">
        <v>0</v>
      </c>
      <c r="E1168" s="64">
        <v>4</v>
      </c>
      <c r="F1168" s="64">
        <v>2</v>
      </c>
      <c r="G1168" s="64" t="s">
        <v>64</v>
      </c>
      <c r="H1168" s="65"/>
      <c r="I1168" s="65"/>
      <c r="J1168" s="66"/>
      <c r="K1168" s="67" t="s">
        <v>1874</v>
      </c>
      <c r="L1168" s="64" t="s">
        <v>72</v>
      </c>
      <c r="M1168" s="68" t="s">
        <v>1338</v>
      </c>
      <c r="N1168" s="64" t="s">
        <v>1223</v>
      </c>
      <c r="O1168" s="64" t="s">
        <v>38</v>
      </c>
      <c r="P1168" s="64"/>
      <c r="Q1168" s="64"/>
      <c r="R1168" s="64"/>
      <c r="S1168" s="65"/>
      <c r="T1168" s="194"/>
      <c r="U1168" s="370">
        <v>0</v>
      </c>
      <c r="V1168" s="370"/>
      <c r="W1168" s="370">
        <v>0</v>
      </c>
      <c r="X1168" s="1129">
        <v>0</v>
      </c>
      <c r="Y1168" s="370">
        <v>0</v>
      </c>
      <c r="Z1168" s="370">
        <v>0</v>
      </c>
      <c r="AA1168" s="1129">
        <v>0</v>
      </c>
      <c r="AB1168" s="370">
        <v>0</v>
      </c>
      <c r="AC1168" s="370">
        <v>0</v>
      </c>
      <c r="AD1168" s="1129">
        <v>0</v>
      </c>
      <c r="AE1168" s="370">
        <v>0</v>
      </c>
      <c r="AF1168" s="370">
        <v>0</v>
      </c>
      <c r="AG1168" s="1129">
        <v>0</v>
      </c>
      <c r="AH1168" s="505">
        <f t="shared" ref="AH1168:AH1169" si="315">+U1168+Y1168+AB1168+AE1168</f>
        <v>0</v>
      </c>
      <c r="AI1168" s="132"/>
      <c r="AJ1168" s="75">
        <f t="shared" si="314"/>
        <v>0</v>
      </c>
      <c r="AK1168" s="75"/>
      <c r="AL1168" s="75"/>
      <c r="AM1168" s="75"/>
      <c r="AN1168" s="64" t="s">
        <v>39</v>
      </c>
      <c r="AO1168" s="64"/>
      <c r="AP1168" s="64"/>
      <c r="AQ1168" s="189"/>
      <c r="AR1168" s="64"/>
      <c r="AS1168" s="476"/>
      <c r="AT1168" s="64"/>
      <c r="AU1168" s="646"/>
      <c r="AV1168" s="259"/>
      <c r="AW1168" s="185"/>
    </row>
    <row r="1169" spans="1:49" ht="32.450000000000003" hidden="1" customHeight="1" outlineLevel="3" x14ac:dyDescent="0.25">
      <c r="A1169" s="63" t="str">
        <f t="shared" si="306"/>
        <v>3.13.0.4.3.58-64</v>
      </c>
      <c r="B1169" s="64">
        <v>3</v>
      </c>
      <c r="C1169" s="64">
        <v>13</v>
      </c>
      <c r="D1169" s="64">
        <v>0</v>
      </c>
      <c r="E1169" s="64">
        <v>4</v>
      </c>
      <c r="F1169" s="64">
        <v>3</v>
      </c>
      <c r="G1169" s="64" t="s">
        <v>64</v>
      </c>
      <c r="H1169" s="65"/>
      <c r="I1169" s="65"/>
      <c r="J1169" s="66"/>
      <c r="K1169" s="65" t="s">
        <v>1339</v>
      </c>
      <c r="L1169" s="64" t="s">
        <v>72</v>
      </c>
      <c r="M1169" s="64" t="s">
        <v>1340</v>
      </c>
      <c r="N1169" s="64" t="s">
        <v>1223</v>
      </c>
      <c r="O1169" s="64" t="s">
        <v>1341</v>
      </c>
      <c r="P1169" s="64"/>
      <c r="Q1169" s="64"/>
      <c r="R1169" s="64"/>
      <c r="S1169" s="65"/>
      <c r="T1169" s="194"/>
      <c r="U1169" s="370">
        <v>0</v>
      </c>
      <c r="V1169" s="370"/>
      <c r="W1169" s="370">
        <v>0</v>
      </c>
      <c r="X1169" s="1129">
        <v>0</v>
      </c>
      <c r="Y1169" s="370">
        <v>0</v>
      </c>
      <c r="Z1169" s="370">
        <v>0</v>
      </c>
      <c r="AA1169" s="1129">
        <v>0</v>
      </c>
      <c r="AB1169" s="370">
        <v>0</v>
      </c>
      <c r="AC1169" s="370">
        <v>0</v>
      </c>
      <c r="AD1169" s="1129">
        <v>0</v>
      </c>
      <c r="AE1169" s="370">
        <v>0</v>
      </c>
      <c r="AF1169" s="370">
        <v>0</v>
      </c>
      <c r="AG1169" s="1129">
        <v>0</v>
      </c>
      <c r="AH1169" s="505">
        <f t="shared" si="315"/>
        <v>0</v>
      </c>
      <c r="AI1169" s="132"/>
      <c r="AK1169" s="75"/>
      <c r="AL1169" s="75"/>
      <c r="AM1169" s="75"/>
      <c r="AN1169" s="64" t="s">
        <v>39</v>
      </c>
      <c r="AO1169" s="64"/>
      <c r="AP1169" s="64"/>
      <c r="AQ1169" s="189"/>
      <c r="AR1169" s="64"/>
      <c r="AS1169" s="476"/>
      <c r="AT1169" s="64"/>
      <c r="AU1169" s="646"/>
      <c r="AV1169" s="259"/>
      <c r="AW1169" s="185"/>
    </row>
    <row r="1170" spans="1:49" s="153" customFormat="1" ht="36" customHeight="1" outlineLevel="1" collapsed="1" x14ac:dyDescent="0.25">
      <c r="A1170" s="148" t="str">
        <f t="shared" si="306"/>
        <v>3.13.0.5.0.0</v>
      </c>
      <c r="B1170" s="82">
        <v>3</v>
      </c>
      <c r="C1170" s="82">
        <v>13</v>
      </c>
      <c r="D1170" s="82">
        <v>0</v>
      </c>
      <c r="E1170" s="82">
        <v>5</v>
      </c>
      <c r="F1170" s="82">
        <v>0</v>
      </c>
      <c r="G1170" s="82">
        <v>0</v>
      </c>
      <c r="H1170" s="149"/>
      <c r="I1170" s="149"/>
      <c r="J1170" s="1291" t="s">
        <v>1342</v>
      </c>
      <c r="K1170" s="1292"/>
      <c r="L1170" s="82" t="s">
        <v>1343</v>
      </c>
      <c r="M1170" s="82" t="s">
        <v>1344</v>
      </c>
      <c r="N1170" s="83" t="s">
        <v>1345</v>
      </c>
      <c r="O1170" s="83" t="s">
        <v>1346</v>
      </c>
      <c r="P1170" s="82"/>
      <c r="Q1170" s="82"/>
      <c r="R1170" s="82">
        <f>SUM(R1172+R1173+R1175+R1176+R1177+R1178+R1179+R1180+R1181+R1182+R1183+R1184+R1185)</f>
        <v>442</v>
      </c>
      <c r="S1170" s="149"/>
      <c r="T1170" s="193"/>
      <c r="U1170" s="209">
        <f>SUM(U1171:U1189)</f>
        <v>0</v>
      </c>
      <c r="V1170" s="209"/>
      <c r="W1170" s="209">
        <f t="shared" ref="W1170:AG1170" si="316">SUM(W1171:W1189)</f>
        <v>117000</v>
      </c>
      <c r="X1170" s="1133">
        <f t="shared" si="316"/>
        <v>0</v>
      </c>
      <c r="Y1170" s="209">
        <f>SUM(Y1171:Y1189)</f>
        <v>270700</v>
      </c>
      <c r="Z1170" s="209">
        <f t="shared" si="316"/>
        <v>0</v>
      </c>
      <c r="AA1170" s="1133">
        <f t="shared" si="316"/>
        <v>0</v>
      </c>
      <c r="AB1170" s="209">
        <f t="shared" si="316"/>
        <v>0</v>
      </c>
      <c r="AC1170" s="209">
        <f t="shared" si="316"/>
        <v>0</v>
      </c>
      <c r="AD1170" s="1133">
        <f t="shared" si="316"/>
        <v>0</v>
      </c>
      <c r="AE1170" s="209">
        <f t="shared" si="316"/>
        <v>0</v>
      </c>
      <c r="AF1170" s="209">
        <f>SUM(AF1171:AF1189)</f>
        <v>270700</v>
      </c>
      <c r="AG1170" s="1133">
        <f t="shared" si="316"/>
        <v>0</v>
      </c>
      <c r="AH1170" s="209">
        <f>SUM(AH1171:AH1189)</f>
        <v>270700</v>
      </c>
      <c r="AI1170" s="209">
        <f t="shared" ref="AI1170:AJ1170" si="317">SUM(AI1171:AI1189)</f>
        <v>0</v>
      </c>
      <c r="AJ1170" s="209">
        <f t="shared" si="317"/>
        <v>0</v>
      </c>
      <c r="AK1170" s="152"/>
      <c r="AL1170" s="152"/>
      <c r="AM1170" s="152"/>
      <c r="AN1170" s="82" t="s">
        <v>181</v>
      </c>
      <c r="AO1170" s="82"/>
      <c r="AP1170" s="82"/>
      <c r="AQ1170" s="365"/>
      <c r="AR1170" s="82"/>
      <c r="AS1170" s="483"/>
      <c r="AT1170" s="82"/>
      <c r="AU1170" s="666"/>
      <c r="AV1170" s="379">
        <f t="shared" ref="AV1170" si="318">+SUM(AV1171:AV1186)</f>
        <v>0</v>
      </c>
      <c r="AW1170" s="444"/>
    </row>
    <row r="1171" spans="1:49" ht="23.45" hidden="1" customHeight="1" outlineLevel="2" x14ac:dyDescent="0.25">
      <c r="A1171" s="63" t="str">
        <f t="shared" si="306"/>
        <v>3.13.0.5.1.58-64</v>
      </c>
      <c r="B1171" s="64">
        <v>3</v>
      </c>
      <c r="C1171" s="64">
        <v>13</v>
      </c>
      <c r="D1171" s="64">
        <v>0</v>
      </c>
      <c r="E1171" s="64">
        <v>5</v>
      </c>
      <c r="F1171" s="64">
        <v>1</v>
      </c>
      <c r="G1171" s="64" t="s">
        <v>64</v>
      </c>
      <c r="H1171" s="65"/>
      <c r="I1171" s="65"/>
      <c r="J1171" s="66"/>
      <c r="K1171" s="65" t="s">
        <v>1347</v>
      </c>
      <c r="L1171" s="64" t="s">
        <v>1343</v>
      </c>
      <c r="M1171" s="64" t="s">
        <v>1344</v>
      </c>
      <c r="N1171" s="64" t="s">
        <v>1348</v>
      </c>
      <c r="O1171" s="64" t="s">
        <v>44</v>
      </c>
      <c r="P1171" s="64"/>
      <c r="Q1171" s="64"/>
      <c r="R1171" s="64"/>
      <c r="S1171" s="65"/>
      <c r="T1171" s="194"/>
      <c r="U1171" s="75">
        <v>0</v>
      </c>
      <c r="V1171" s="75"/>
      <c r="W1171" s="75">
        <v>0</v>
      </c>
      <c r="X1171" s="1122">
        <v>0</v>
      </c>
      <c r="Y1171" s="75">
        <v>0</v>
      </c>
      <c r="Z1171" s="75">
        <v>0</v>
      </c>
      <c r="AA1171" s="1122">
        <v>0</v>
      </c>
      <c r="AB1171" s="75">
        <v>0</v>
      </c>
      <c r="AC1171" s="75">
        <v>0</v>
      </c>
      <c r="AD1171" s="1122">
        <v>0</v>
      </c>
      <c r="AE1171" s="75">
        <v>0</v>
      </c>
      <c r="AF1171" s="75">
        <v>0</v>
      </c>
      <c r="AG1171" s="1122">
        <v>0</v>
      </c>
      <c r="AH1171" s="505">
        <f>+U1171+Y1171+AB1171+AE1171</f>
        <v>0</v>
      </c>
      <c r="AI1171" s="132"/>
      <c r="AJ1171" s="75">
        <f t="shared" ref="AJ1171:AJ1185" si="319">+W1172+Z1172+AC1172+AF1172</f>
        <v>0</v>
      </c>
      <c r="AK1171" s="75"/>
      <c r="AL1171" s="75"/>
      <c r="AM1171" s="75"/>
      <c r="AN1171" s="64" t="s">
        <v>181</v>
      </c>
      <c r="AO1171" s="64"/>
      <c r="AP1171" s="64"/>
      <c r="AQ1171" s="189"/>
      <c r="AR1171" s="64"/>
      <c r="AS1171" s="476"/>
      <c r="AT1171" s="64"/>
      <c r="AU1171" s="646"/>
      <c r="AV1171" s="259"/>
      <c r="AW1171" s="185"/>
    </row>
    <row r="1172" spans="1:49" ht="30" hidden="1" outlineLevel="2" x14ac:dyDescent="0.25">
      <c r="A1172" s="63" t="str">
        <f t="shared" si="306"/>
        <v>3.13.0.5.2.58-64</v>
      </c>
      <c r="B1172" s="64">
        <v>3</v>
      </c>
      <c r="C1172" s="64">
        <v>13</v>
      </c>
      <c r="D1172" s="64">
        <v>0</v>
      </c>
      <c r="E1172" s="64">
        <v>5</v>
      </c>
      <c r="F1172" s="64">
        <v>2</v>
      </c>
      <c r="G1172" s="64" t="s">
        <v>64</v>
      </c>
      <c r="H1172" s="65"/>
      <c r="I1172" s="65"/>
      <c r="J1172" s="66"/>
      <c r="K1172" s="65" t="s">
        <v>1349</v>
      </c>
      <c r="L1172" s="64" t="s">
        <v>1343</v>
      </c>
      <c r="M1172" s="64" t="s">
        <v>1350</v>
      </c>
      <c r="N1172" s="68" t="s">
        <v>1351</v>
      </c>
      <c r="O1172" s="64" t="s">
        <v>1352</v>
      </c>
      <c r="P1172" s="69">
        <v>44931</v>
      </c>
      <c r="Q1172" s="69">
        <v>44962</v>
      </c>
      <c r="R1172" s="64">
        <v>29</v>
      </c>
      <c r="S1172" s="67" t="s">
        <v>1350</v>
      </c>
      <c r="T1172" s="194">
        <v>29</v>
      </c>
      <c r="U1172" s="75">
        <v>0</v>
      </c>
      <c r="V1172" s="75"/>
      <c r="W1172" s="75">
        <v>0</v>
      </c>
      <c r="X1172" s="1122">
        <v>0</v>
      </c>
      <c r="Y1172" s="75">
        <v>0</v>
      </c>
      <c r="Z1172" s="75">
        <v>0</v>
      </c>
      <c r="AA1172" s="1122">
        <v>0</v>
      </c>
      <c r="AB1172" s="75">
        <v>0</v>
      </c>
      <c r="AC1172" s="75">
        <v>0</v>
      </c>
      <c r="AD1172" s="1122">
        <v>0</v>
      </c>
      <c r="AE1172" s="75">
        <v>0</v>
      </c>
      <c r="AF1172" s="75">
        <v>0</v>
      </c>
      <c r="AG1172" s="1122">
        <v>0</v>
      </c>
      <c r="AH1172" s="505">
        <f t="shared" ref="AH1172:AH1189" si="320">+U1172+Y1172+AB1172+AE1172</f>
        <v>0</v>
      </c>
      <c r="AI1172" s="132"/>
      <c r="AJ1172" s="75">
        <f t="shared" si="319"/>
        <v>0</v>
      </c>
      <c r="AK1172" s="78"/>
      <c r="AL1172" s="78"/>
      <c r="AM1172" s="78"/>
      <c r="AN1172" s="64" t="s">
        <v>181</v>
      </c>
      <c r="AO1172" s="64"/>
      <c r="AP1172" s="64"/>
      <c r="AQ1172" s="189"/>
      <c r="AR1172" s="64"/>
      <c r="AS1172" s="476"/>
      <c r="AT1172" s="64"/>
      <c r="AU1172" s="646"/>
      <c r="AV1172" s="343" t="s">
        <v>1353</v>
      </c>
      <c r="AW1172" s="185"/>
    </row>
    <row r="1173" spans="1:49" ht="30" hidden="1" outlineLevel="2" x14ac:dyDescent="0.25">
      <c r="A1173" s="63" t="str">
        <f t="shared" si="306"/>
        <v>3.13.0.5.3.58-64</v>
      </c>
      <c r="B1173" s="64">
        <v>3</v>
      </c>
      <c r="C1173" s="64">
        <v>13</v>
      </c>
      <c r="D1173" s="64">
        <v>0</v>
      </c>
      <c r="E1173" s="64">
        <v>5</v>
      </c>
      <c r="F1173" s="64">
        <v>3</v>
      </c>
      <c r="G1173" s="64" t="s">
        <v>64</v>
      </c>
      <c r="H1173" s="65"/>
      <c r="I1173" s="65"/>
      <c r="J1173" s="66"/>
      <c r="K1173" s="65" t="s">
        <v>1354</v>
      </c>
      <c r="L1173" s="64" t="s">
        <v>1343</v>
      </c>
      <c r="M1173" s="64" t="s">
        <v>1350</v>
      </c>
      <c r="N1173" s="68" t="s">
        <v>1351</v>
      </c>
      <c r="O1173" s="64" t="s">
        <v>1352</v>
      </c>
      <c r="P1173" s="69">
        <v>44962</v>
      </c>
      <c r="Q1173" s="69">
        <v>44990</v>
      </c>
      <c r="R1173" s="64">
        <v>28</v>
      </c>
      <c r="S1173" s="67" t="s">
        <v>1350</v>
      </c>
      <c r="T1173" s="194">
        <v>28</v>
      </c>
      <c r="U1173" s="75">
        <v>0</v>
      </c>
      <c r="V1173" s="75"/>
      <c r="W1173" s="75">
        <v>0</v>
      </c>
      <c r="X1173" s="1122">
        <v>0</v>
      </c>
      <c r="Y1173" s="75">
        <v>0</v>
      </c>
      <c r="Z1173" s="75">
        <v>0</v>
      </c>
      <c r="AA1173" s="1122">
        <v>0</v>
      </c>
      <c r="AB1173" s="75">
        <v>0</v>
      </c>
      <c r="AC1173" s="75">
        <v>0</v>
      </c>
      <c r="AD1173" s="1122">
        <v>0</v>
      </c>
      <c r="AE1173" s="75">
        <v>0</v>
      </c>
      <c r="AF1173" s="75">
        <v>0</v>
      </c>
      <c r="AG1173" s="1122">
        <v>0</v>
      </c>
      <c r="AH1173" s="505">
        <f t="shared" si="320"/>
        <v>0</v>
      </c>
      <c r="AI1173" s="132"/>
      <c r="AJ1173" s="75">
        <f t="shared" si="319"/>
        <v>0</v>
      </c>
      <c r="AK1173" s="78"/>
      <c r="AL1173" s="78"/>
      <c r="AM1173" s="78"/>
      <c r="AN1173" s="64" t="s">
        <v>181</v>
      </c>
      <c r="AO1173" s="64"/>
      <c r="AP1173" s="64"/>
      <c r="AQ1173" s="189"/>
      <c r="AR1173" s="64"/>
      <c r="AS1173" s="476"/>
      <c r="AT1173" s="64"/>
      <c r="AU1173" s="646"/>
      <c r="AV1173" s="343" t="s">
        <v>1353</v>
      </c>
      <c r="AW1173" s="185"/>
    </row>
    <row r="1174" spans="1:49" ht="30" hidden="1" outlineLevel="2" x14ac:dyDescent="0.25">
      <c r="A1174" s="63" t="str">
        <f t="shared" si="306"/>
        <v>3.13.0.5.4.58-64</v>
      </c>
      <c r="B1174" s="64">
        <v>3</v>
      </c>
      <c r="C1174" s="64">
        <v>13</v>
      </c>
      <c r="D1174" s="64">
        <v>0</v>
      </c>
      <c r="E1174" s="64">
        <v>5</v>
      </c>
      <c r="F1174" s="64">
        <v>4</v>
      </c>
      <c r="G1174" s="64" t="s">
        <v>64</v>
      </c>
      <c r="H1174" s="65"/>
      <c r="I1174" s="65"/>
      <c r="J1174" s="66"/>
      <c r="K1174" s="65" t="s">
        <v>1355</v>
      </c>
      <c r="L1174" s="64" t="s">
        <v>1343</v>
      </c>
      <c r="M1174" s="64" t="s">
        <v>1350</v>
      </c>
      <c r="N1174" s="68" t="s">
        <v>1351</v>
      </c>
      <c r="O1174" s="64" t="s">
        <v>1352</v>
      </c>
      <c r="P1174" s="69">
        <v>44990</v>
      </c>
      <c r="Q1174" s="69">
        <v>45021</v>
      </c>
      <c r="R1174" s="64">
        <v>24</v>
      </c>
      <c r="S1174" s="67" t="s">
        <v>1350</v>
      </c>
      <c r="T1174" s="194">
        <v>24</v>
      </c>
      <c r="U1174" s="75">
        <v>0</v>
      </c>
      <c r="V1174" s="75"/>
      <c r="W1174" s="75">
        <v>0</v>
      </c>
      <c r="X1174" s="1122">
        <v>0</v>
      </c>
      <c r="Y1174" s="75">
        <v>0</v>
      </c>
      <c r="Z1174" s="75">
        <v>0</v>
      </c>
      <c r="AA1174" s="1122">
        <v>0</v>
      </c>
      <c r="AB1174" s="75">
        <v>0</v>
      </c>
      <c r="AC1174" s="75">
        <v>0</v>
      </c>
      <c r="AD1174" s="1122">
        <v>0</v>
      </c>
      <c r="AE1174" s="75">
        <v>0</v>
      </c>
      <c r="AF1174" s="75">
        <v>0</v>
      </c>
      <c r="AG1174" s="1122">
        <v>0</v>
      </c>
      <c r="AH1174" s="505">
        <f t="shared" si="320"/>
        <v>0</v>
      </c>
      <c r="AI1174" s="132"/>
      <c r="AJ1174" s="75">
        <f t="shared" si="319"/>
        <v>0</v>
      </c>
      <c r="AK1174" s="78"/>
      <c r="AL1174" s="78"/>
      <c r="AM1174" s="78"/>
      <c r="AN1174" s="64" t="s">
        <v>181</v>
      </c>
      <c r="AO1174" s="64"/>
      <c r="AP1174" s="64"/>
      <c r="AQ1174" s="189"/>
      <c r="AR1174" s="64"/>
      <c r="AS1174" s="476"/>
      <c r="AT1174" s="64"/>
      <c r="AU1174" s="646"/>
      <c r="AV1174" s="343" t="s">
        <v>1353</v>
      </c>
      <c r="AW1174" s="185"/>
    </row>
    <row r="1175" spans="1:49" ht="30" hidden="1" outlineLevel="2" x14ac:dyDescent="0.25">
      <c r="A1175" s="63" t="str">
        <f t="shared" si="306"/>
        <v>3.13.0.5.5.58-64</v>
      </c>
      <c r="B1175" s="64">
        <v>3</v>
      </c>
      <c r="C1175" s="64">
        <v>13</v>
      </c>
      <c r="D1175" s="64">
        <v>0</v>
      </c>
      <c r="E1175" s="64">
        <v>5</v>
      </c>
      <c r="F1175" s="64">
        <v>5</v>
      </c>
      <c r="G1175" s="64" t="s">
        <v>64</v>
      </c>
      <c r="H1175" s="65"/>
      <c r="I1175" s="65"/>
      <c r="J1175" s="66"/>
      <c r="K1175" s="65" t="s">
        <v>1356</v>
      </c>
      <c r="L1175" s="64" t="s">
        <v>1343</v>
      </c>
      <c r="M1175" s="64" t="s">
        <v>1350</v>
      </c>
      <c r="N1175" s="68" t="s">
        <v>1351</v>
      </c>
      <c r="O1175" s="64" t="s">
        <v>1352</v>
      </c>
      <c r="P1175" s="69">
        <v>43926</v>
      </c>
      <c r="Q1175" s="69">
        <v>45051</v>
      </c>
      <c r="R1175" s="64">
        <v>9</v>
      </c>
      <c r="S1175" s="67" t="s">
        <v>1350</v>
      </c>
      <c r="T1175" s="194"/>
      <c r="U1175" s="75">
        <v>0</v>
      </c>
      <c r="V1175" s="75"/>
      <c r="W1175" s="75">
        <v>0</v>
      </c>
      <c r="X1175" s="1122">
        <v>0</v>
      </c>
      <c r="Y1175" s="75">
        <v>0</v>
      </c>
      <c r="Z1175" s="75">
        <v>0</v>
      </c>
      <c r="AA1175" s="1122">
        <v>0</v>
      </c>
      <c r="AB1175" s="75">
        <v>0</v>
      </c>
      <c r="AC1175" s="75">
        <v>0</v>
      </c>
      <c r="AD1175" s="1122">
        <v>0</v>
      </c>
      <c r="AE1175" s="75">
        <v>0</v>
      </c>
      <c r="AF1175" s="75">
        <v>0</v>
      </c>
      <c r="AG1175" s="1122">
        <v>0</v>
      </c>
      <c r="AH1175" s="505">
        <f t="shared" si="320"/>
        <v>0</v>
      </c>
      <c r="AI1175" s="132"/>
      <c r="AJ1175" s="75">
        <f t="shared" si="319"/>
        <v>0</v>
      </c>
      <c r="AK1175" s="78"/>
      <c r="AL1175" s="78"/>
      <c r="AM1175" s="78"/>
      <c r="AN1175" s="64" t="s">
        <v>181</v>
      </c>
      <c r="AO1175" s="64"/>
      <c r="AP1175" s="64"/>
      <c r="AQ1175" s="189"/>
      <c r="AR1175" s="64"/>
      <c r="AS1175" s="476"/>
      <c r="AT1175" s="64"/>
      <c r="AU1175" s="646"/>
      <c r="AV1175" s="343" t="s">
        <v>1353</v>
      </c>
      <c r="AW1175" s="185"/>
    </row>
    <row r="1176" spans="1:49" ht="30" hidden="1" outlineLevel="2" x14ac:dyDescent="0.25">
      <c r="A1176" s="63" t="str">
        <f t="shared" si="306"/>
        <v>3.13.0.5.6.58-64</v>
      </c>
      <c r="B1176" s="64">
        <v>3</v>
      </c>
      <c r="C1176" s="64">
        <v>13</v>
      </c>
      <c r="D1176" s="64">
        <v>0</v>
      </c>
      <c r="E1176" s="64">
        <v>5</v>
      </c>
      <c r="F1176" s="64">
        <v>6</v>
      </c>
      <c r="G1176" s="64" t="s">
        <v>64</v>
      </c>
      <c r="H1176" s="65"/>
      <c r="I1176" s="65"/>
      <c r="J1176" s="66"/>
      <c r="K1176" s="65" t="s">
        <v>1357</v>
      </c>
      <c r="L1176" s="64" t="s">
        <v>1343</v>
      </c>
      <c r="M1176" s="64" t="s">
        <v>1350</v>
      </c>
      <c r="N1176" s="64" t="s">
        <v>1351</v>
      </c>
      <c r="O1176" s="64" t="s">
        <v>1352</v>
      </c>
      <c r="P1176" s="69">
        <v>45051</v>
      </c>
      <c r="Q1176" s="69">
        <v>45082</v>
      </c>
      <c r="R1176" s="64">
        <v>27</v>
      </c>
      <c r="S1176" s="67" t="s">
        <v>1350</v>
      </c>
      <c r="T1176" s="194"/>
      <c r="U1176" s="75">
        <v>0</v>
      </c>
      <c r="V1176" s="75"/>
      <c r="W1176" s="75">
        <v>0</v>
      </c>
      <c r="X1176" s="1122">
        <v>0</v>
      </c>
      <c r="Y1176" s="75">
        <v>0</v>
      </c>
      <c r="Z1176" s="75">
        <v>0</v>
      </c>
      <c r="AA1176" s="1122">
        <v>0</v>
      </c>
      <c r="AB1176" s="75">
        <v>0</v>
      </c>
      <c r="AC1176" s="75">
        <v>0</v>
      </c>
      <c r="AD1176" s="1122">
        <v>0</v>
      </c>
      <c r="AE1176" s="75">
        <v>0</v>
      </c>
      <c r="AF1176" s="75">
        <v>0</v>
      </c>
      <c r="AG1176" s="1122">
        <v>0</v>
      </c>
      <c r="AH1176" s="505">
        <f t="shared" si="320"/>
        <v>0</v>
      </c>
      <c r="AI1176" s="132"/>
      <c r="AJ1176" s="75">
        <f t="shared" si="319"/>
        <v>0</v>
      </c>
      <c r="AK1176" s="78"/>
      <c r="AL1176" s="78"/>
      <c r="AM1176" s="78"/>
      <c r="AN1176" s="64" t="s">
        <v>181</v>
      </c>
      <c r="AO1176" s="64"/>
      <c r="AP1176" s="64"/>
      <c r="AQ1176" s="189"/>
      <c r="AR1176" s="64"/>
      <c r="AS1176" s="476"/>
      <c r="AT1176" s="64"/>
      <c r="AU1176" s="646"/>
      <c r="AV1176" s="343" t="s">
        <v>1353</v>
      </c>
      <c r="AW1176" s="185"/>
    </row>
    <row r="1177" spans="1:49" ht="30" hidden="1" outlineLevel="2" x14ac:dyDescent="0.25">
      <c r="A1177" s="63" t="str">
        <f t="shared" si="306"/>
        <v>3.13.0.5.7.58-64</v>
      </c>
      <c r="B1177" s="64">
        <v>3</v>
      </c>
      <c r="C1177" s="64">
        <v>13</v>
      </c>
      <c r="D1177" s="64">
        <v>0</v>
      </c>
      <c r="E1177" s="64">
        <v>5</v>
      </c>
      <c r="F1177" s="64">
        <v>7</v>
      </c>
      <c r="G1177" s="64" t="s">
        <v>64</v>
      </c>
      <c r="H1177" s="65"/>
      <c r="I1177" s="65"/>
      <c r="J1177" s="66"/>
      <c r="K1177" s="65" t="s">
        <v>1358</v>
      </c>
      <c r="L1177" s="64" t="s">
        <v>1343</v>
      </c>
      <c r="M1177" s="64" t="s">
        <v>1350</v>
      </c>
      <c r="N1177" s="64" t="s">
        <v>1351</v>
      </c>
      <c r="O1177" s="64" t="s">
        <v>1352</v>
      </c>
      <c r="P1177" s="69">
        <v>45082</v>
      </c>
      <c r="Q1177" s="69">
        <v>45112</v>
      </c>
      <c r="R1177" s="64">
        <v>108</v>
      </c>
      <c r="S1177" s="67" t="s">
        <v>1350</v>
      </c>
      <c r="T1177" s="194"/>
      <c r="U1177" s="75">
        <v>0</v>
      </c>
      <c r="V1177" s="75"/>
      <c r="W1177" s="75">
        <v>0</v>
      </c>
      <c r="X1177" s="1122">
        <v>0</v>
      </c>
      <c r="Y1177" s="75">
        <v>0</v>
      </c>
      <c r="Z1177" s="75">
        <v>0</v>
      </c>
      <c r="AA1177" s="1122">
        <v>0</v>
      </c>
      <c r="AB1177" s="75">
        <v>0</v>
      </c>
      <c r="AC1177" s="75">
        <v>0</v>
      </c>
      <c r="AD1177" s="1122">
        <v>0</v>
      </c>
      <c r="AE1177" s="75">
        <v>0</v>
      </c>
      <c r="AF1177" s="75">
        <v>0</v>
      </c>
      <c r="AG1177" s="1122">
        <v>0</v>
      </c>
      <c r="AH1177" s="505">
        <f t="shared" si="320"/>
        <v>0</v>
      </c>
      <c r="AI1177" s="132"/>
      <c r="AJ1177" s="75">
        <f t="shared" si="319"/>
        <v>0</v>
      </c>
      <c r="AK1177" s="78"/>
      <c r="AL1177" s="78"/>
      <c r="AM1177" s="78"/>
      <c r="AN1177" s="64" t="s">
        <v>181</v>
      </c>
      <c r="AO1177" s="64"/>
      <c r="AP1177" s="64"/>
      <c r="AQ1177" s="189"/>
      <c r="AR1177" s="64"/>
      <c r="AS1177" s="476"/>
      <c r="AT1177" s="64"/>
      <c r="AU1177" s="646"/>
      <c r="AV1177" s="343" t="s">
        <v>1353</v>
      </c>
      <c r="AW1177" s="185"/>
    </row>
    <row r="1178" spans="1:49" ht="30" hidden="1" outlineLevel="2" x14ac:dyDescent="0.25">
      <c r="A1178" s="63" t="str">
        <f t="shared" si="306"/>
        <v>3.13.0.5.8.58-64</v>
      </c>
      <c r="B1178" s="64">
        <v>3</v>
      </c>
      <c r="C1178" s="64">
        <v>13</v>
      </c>
      <c r="D1178" s="64">
        <v>0</v>
      </c>
      <c r="E1178" s="64">
        <v>5</v>
      </c>
      <c r="F1178" s="64">
        <v>8</v>
      </c>
      <c r="G1178" s="64" t="s">
        <v>64</v>
      </c>
      <c r="H1178" s="65"/>
      <c r="I1178" s="65"/>
      <c r="J1178" s="66"/>
      <c r="K1178" s="65" t="s">
        <v>1359</v>
      </c>
      <c r="L1178" s="64" t="s">
        <v>1343</v>
      </c>
      <c r="M1178" s="64" t="s">
        <v>1350</v>
      </c>
      <c r="N1178" s="64" t="s">
        <v>1351</v>
      </c>
      <c r="O1178" s="64" t="s">
        <v>1352</v>
      </c>
      <c r="P1178" s="69">
        <v>45112</v>
      </c>
      <c r="Q1178" s="69">
        <v>45174</v>
      </c>
      <c r="R1178" s="64">
        <v>41</v>
      </c>
      <c r="S1178" s="67" t="s">
        <v>1350</v>
      </c>
      <c r="T1178" s="194"/>
      <c r="U1178" s="75">
        <v>0</v>
      </c>
      <c r="V1178" s="75"/>
      <c r="W1178" s="75">
        <v>0</v>
      </c>
      <c r="X1178" s="1122">
        <v>0</v>
      </c>
      <c r="Y1178" s="75">
        <v>0</v>
      </c>
      <c r="Z1178" s="75">
        <v>0</v>
      </c>
      <c r="AA1178" s="1122">
        <v>0</v>
      </c>
      <c r="AB1178" s="75">
        <v>0</v>
      </c>
      <c r="AC1178" s="75">
        <v>0</v>
      </c>
      <c r="AD1178" s="1122">
        <v>0</v>
      </c>
      <c r="AE1178" s="75">
        <v>0</v>
      </c>
      <c r="AF1178" s="75">
        <v>0</v>
      </c>
      <c r="AG1178" s="1122">
        <v>0</v>
      </c>
      <c r="AH1178" s="505">
        <f t="shared" si="320"/>
        <v>0</v>
      </c>
      <c r="AI1178" s="132"/>
      <c r="AJ1178" s="75">
        <f t="shared" si="319"/>
        <v>0</v>
      </c>
      <c r="AK1178" s="78"/>
      <c r="AL1178" s="78"/>
      <c r="AM1178" s="78"/>
      <c r="AN1178" s="64" t="s">
        <v>181</v>
      </c>
      <c r="AO1178" s="64"/>
      <c r="AP1178" s="64"/>
      <c r="AQ1178" s="189"/>
      <c r="AR1178" s="64"/>
      <c r="AS1178" s="476"/>
      <c r="AT1178" s="64"/>
      <c r="AU1178" s="646"/>
      <c r="AV1178" s="343" t="s">
        <v>1353</v>
      </c>
      <c r="AW1178" s="185"/>
    </row>
    <row r="1179" spans="1:49" ht="30" hidden="1" outlineLevel="2" x14ac:dyDescent="0.25">
      <c r="A1179" s="63" t="str">
        <f t="shared" si="306"/>
        <v>3.13.0.5.9.58-64</v>
      </c>
      <c r="B1179" s="64">
        <v>3</v>
      </c>
      <c r="C1179" s="64">
        <v>13</v>
      </c>
      <c r="D1179" s="64">
        <v>0</v>
      </c>
      <c r="E1179" s="64">
        <v>5</v>
      </c>
      <c r="F1179" s="64">
        <v>9</v>
      </c>
      <c r="G1179" s="64" t="s">
        <v>64</v>
      </c>
      <c r="H1179" s="65"/>
      <c r="I1179" s="65"/>
      <c r="J1179" s="66"/>
      <c r="K1179" s="65" t="s">
        <v>1360</v>
      </c>
      <c r="L1179" s="64" t="s">
        <v>1343</v>
      </c>
      <c r="M1179" s="64" t="s">
        <v>1350</v>
      </c>
      <c r="N1179" s="64" t="s">
        <v>1351</v>
      </c>
      <c r="O1179" s="64" t="s">
        <v>1352</v>
      </c>
      <c r="P1179" s="69">
        <v>45143</v>
      </c>
      <c r="Q1179" s="69">
        <v>45174</v>
      </c>
      <c r="R1179" s="64">
        <v>16</v>
      </c>
      <c r="S1179" s="67" t="s">
        <v>1350</v>
      </c>
      <c r="T1179" s="194"/>
      <c r="U1179" s="75">
        <v>0</v>
      </c>
      <c r="V1179" s="75"/>
      <c r="W1179" s="75">
        <v>0</v>
      </c>
      <c r="X1179" s="1122">
        <v>0</v>
      </c>
      <c r="Y1179" s="75">
        <v>0</v>
      </c>
      <c r="Z1179" s="75">
        <v>0</v>
      </c>
      <c r="AA1179" s="1122">
        <v>0</v>
      </c>
      <c r="AB1179" s="75">
        <v>0</v>
      </c>
      <c r="AC1179" s="75">
        <v>0</v>
      </c>
      <c r="AD1179" s="1122">
        <v>0</v>
      </c>
      <c r="AE1179" s="75">
        <v>0</v>
      </c>
      <c r="AF1179" s="75">
        <v>0</v>
      </c>
      <c r="AG1179" s="1122">
        <v>0</v>
      </c>
      <c r="AH1179" s="505">
        <f t="shared" si="320"/>
        <v>0</v>
      </c>
      <c r="AI1179" s="132"/>
      <c r="AJ1179" s="75">
        <f t="shared" si="319"/>
        <v>0</v>
      </c>
      <c r="AK1179" s="78"/>
      <c r="AL1179" s="78"/>
      <c r="AM1179" s="78"/>
      <c r="AN1179" s="64" t="s">
        <v>181</v>
      </c>
      <c r="AO1179" s="64"/>
      <c r="AP1179" s="64"/>
      <c r="AQ1179" s="189"/>
      <c r="AR1179" s="64"/>
      <c r="AS1179" s="476"/>
      <c r="AT1179" s="64"/>
      <c r="AU1179" s="646"/>
      <c r="AV1179" s="343" t="s">
        <v>1353</v>
      </c>
      <c r="AW1179" s="185"/>
    </row>
    <row r="1180" spans="1:49" ht="30" hidden="1" outlineLevel="2" x14ac:dyDescent="0.25">
      <c r="A1180" s="63" t="str">
        <f t="shared" si="306"/>
        <v>3.13.0.5.10.58-64</v>
      </c>
      <c r="B1180" s="64">
        <v>3</v>
      </c>
      <c r="C1180" s="64">
        <v>13</v>
      </c>
      <c r="D1180" s="64">
        <v>0</v>
      </c>
      <c r="E1180" s="64">
        <v>5</v>
      </c>
      <c r="F1180" s="64">
        <v>10</v>
      </c>
      <c r="G1180" s="64" t="s">
        <v>64</v>
      </c>
      <c r="H1180" s="65"/>
      <c r="I1180" s="65"/>
      <c r="J1180" s="65"/>
      <c r="K1180" s="65" t="s">
        <v>1361</v>
      </c>
      <c r="L1180" s="64" t="s">
        <v>1343</v>
      </c>
      <c r="M1180" s="64" t="s">
        <v>1350</v>
      </c>
      <c r="N1180" s="64" t="s">
        <v>1351</v>
      </c>
      <c r="O1180" s="64" t="s">
        <v>1352</v>
      </c>
      <c r="P1180" s="69">
        <v>45174</v>
      </c>
      <c r="Q1180" s="69">
        <v>45235</v>
      </c>
      <c r="R1180" s="64">
        <v>4</v>
      </c>
      <c r="S1180" s="67" t="s">
        <v>1350</v>
      </c>
      <c r="T1180" s="194"/>
      <c r="U1180" s="75">
        <v>0</v>
      </c>
      <c r="V1180" s="75"/>
      <c r="W1180" s="75">
        <v>0</v>
      </c>
      <c r="X1180" s="1122">
        <v>0</v>
      </c>
      <c r="Y1180" s="75">
        <v>0</v>
      </c>
      <c r="Z1180" s="75">
        <v>0</v>
      </c>
      <c r="AA1180" s="1122">
        <v>0</v>
      </c>
      <c r="AB1180" s="75">
        <v>0</v>
      </c>
      <c r="AC1180" s="75">
        <v>0</v>
      </c>
      <c r="AD1180" s="1122">
        <v>0</v>
      </c>
      <c r="AE1180" s="75">
        <v>0</v>
      </c>
      <c r="AF1180" s="75">
        <v>0</v>
      </c>
      <c r="AG1180" s="1122">
        <v>0</v>
      </c>
      <c r="AH1180" s="505">
        <f t="shared" si="320"/>
        <v>0</v>
      </c>
      <c r="AI1180" s="132"/>
      <c r="AJ1180" s="75">
        <f t="shared" si="319"/>
        <v>0</v>
      </c>
      <c r="AK1180" s="78"/>
      <c r="AL1180" s="78"/>
      <c r="AM1180" s="78"/>
      <c r="AN1180" s="64" t="s">
        <v>181</v>
      </c>
      <c r="AO1180" s="64"/>
      <c r="AP1180" s="64"/>
      <c r="AQ1180" s="189"/>
      <c r="AR1180" s="64"/>
      <c r="AS1180" s="476"/>
      <c r="AT1180" s="64"/>
      <c r="AU1180" s="646"/>
      <c r="AV1180" s="343" t="s">
        <v>1353</v>
      </c>
      <c r="AW1180" s="185"/>
    </row>
    <row r="1181" spans="1:49" ht="30" hidden="1" outlineLevel="2" x14ac:dyDescent="0.25">
      <c r="A1181" s="63" t="str">
        <f t="shared" si="306"/>
        <v>3.13.0.5.11.58-64</v>
      </c>
      <c r="B1181" s="64">
        <v>3</v>
      </c>
      <c r="C1181" s="64">
        <v>13</v>
      </c>
      <c r="D1181" s="64">
        <v>0</v>
      </c>
      <c r="E1181" s="64">
        <v>5</v>
      </c>
      <c r="F1181" s="64">
        <v>11</v>
      </c>
      <c r="G1181" s="64" t="s">
        <v>64</v>
      </c>
      <c r="H1181" s="65"/>
      <c r="I1181" s="65"/>
      <c r="J1181" s="66"/>
      <c r="K1181" s="65" t="s">
        <v>1362</v>
      </c>
      <c r="L1181" s="64" t="s">
        <v>1343</v>
      </c>
      <c r="M1181" s="64" t="s">
        <v>1350</v>
      </c>
      <c r="N1181" s="64" t="s">
        <v>1351</v>
      </c>
      <c r="O1181" s="64" t="s">
        <v>1352</v>
      </c>
      <c r="P1181" s="69">
        <v>45204</v>
      </c>
      <c r="Q1181" s="69">
        <v>45235</v>
      </c>
      <c r="R1181" s="64">
        <v>20</v>
      </c>
      <c r="S1181" s="67" t="s">
        <v>1350</v>
      </c>
      <c r="T1181" s="194"/>
      <c r="U1181" s="75">
        <v>0</v>
      </c>
      <c r="V1181" s="75"/>
      <c r="W1181" s="75">
        <v>0</v>
      </c>
      <c r="X1181" s="1122">
        <v>0</v>
      </c>
      <c r="Y1181" s="75">
        <v>0</v>
      </c>
      <c r="Z1181" s="75">
        <v>0</v>
      </c>
      <c r="AA1181" s="1122">
        <v>0</v>
      </c>
      <c r="AB1181" s="75">
        <v>0</v>
      </c>
      <c r="AC1181" s="75">
        <v>0</v>
      </c>
      <c r="AD1181" s="1122">
        <v>0</v>
      </c>
      <c r="AE1181" s="75">
        <v>0</v>
      </c>
      <c r="AF1181" s="75">
        <v>0</v>
      </c>
      <c r="AG1181" s="1122">
        <v>0</v>
      </c>
      <c r="AH1181" s="505">
        <f t="shared" si="320"/>
        <v>0</v>
      </c>
      <c r="AI1181" s="132"/>
      <c r="AJ1181" s="75">
        <f t="shared" si="319"/>
        <v>0</v>
      </c>
      <c r="AK1181" s="78"/>
      <c r="AL1181" s="78"/>
      <c r="AM1181" s="78"/>
      <c r="AN1181" s="64" t="s">
        <v>181</v>
      </c>
      <c r="AO1181" s="64"/>
      <c r="AP1181" s="64"/>
      <c r="AQ1181" s="189"/>
      <c r="AR1181" s="64"/>
      <c r="AS1181" s="476"/>
      <c r="AT1181" s="64"/>
      <c r="AU1181" s="646"/>
      <c r="AV1181" s="343" t="s">
        <v>1353</v>
      </c>
      <c r="AW1181" s="185"/>
    </row>
    <row r="1182" spans="1:49" ht="45" hidden="1" outlineLevel="2" x14ac:dyDescent="0.25">
      <c r="A1182" s="63" t="str">
        <f t="shared" si="306"/>
        <v>3.13.0.5.12.58-64</v>
      </c>
      <c r="B1182" s="64">
        <v>3</v>
      </c>
      <c r="C1182" s="64">
        <v>13</v>
      </c>
      <c r="D1182" s="64">
        <v>0</v>
      </c>
      <c r="E1182" s="64">
        <v>5</v>
      </c>
      <c r="F1182" s="64">
        <v>12</v>
      </c>
      <c r="G1182" s="64" t="s">
        <v>64</v>
      </c>
      <c r="H1182" s="65"/>
      <c r="I1182" s="65"/>
      <c r="J1182" s="66"/>
      <c r="K1182" s="65" t="s">
        <v>1363</v>
      </c>
      <c r="L1182" s="64" t="s">
        <v>1343</v>
      </c>
      <c r="M1182" s="64" t="s">
        <v>1350</v>
      </c>
      <c r="N1182" s="64" t="s">
        <v>1351</v>
      </c>
      <c r="O1182" s="64" t="s">
        <v>1352</v>
      </c>
      <c r="P1182" s="69">
        <v>45235</v>
      </c>
      <c r="Q1182" s="69">
        <v>45265</v>
      </c>
      <c r="R1182" s="64">
        <v>15</v>
      </c>
      <c r="S1182" s="67" t="s">
        <v>1350</v>
      </c>
      <c r="T1182" s="194"/>
      <c r="U1182" s="75">
        <v>0</v>
      </c>
      <c r="V1182" s="75"/>
      <c r="W1182" s="75">
        <v>0</v>
      </c>
      <c r="X1182" s="1122">
        <v>0</v>
      </c>
      <c r="Y1182" s="75">
        <v>0</v>
      </c>
      <c r="Z1182" s="75">
        <v>0</v>
      </c>
      <c r="AA1182" s="1122">
        <v>0</v>
      </c>
      <c r="AB1182" s="75">
        <v>0</v>
      </c>
      <c r="AC1182" s="75">
        <v>0</v>
      </c>
      <c r="AD1182" s="1122">
        <v>0</v>
      </c>
      <c r="AE1182" s="75">
        <v>0</v>
      </c>
      <c r="AF1182" s="75">
        <v>0</v>
      </c>
      <c r="AG1182" s="1122">
        <v>0</v>
      </c>
      <c r="AH1182" s="505">
        <f t="shared" si="320"/>
        <v>0</v>
      </c>
      <c r="AI1182" s="132"/>
      <c r="AJ1182" s="75">
        <f t="shared" si="319"/>
        <v>0</v>
      </c>
      <c r="AK1182" s="78"/>
      <c r="AL1182" s="78"/>
      <c r="AM1182" s="78"/>
      <c r="AN1182" s="64" t="s">
        <v>181</v>
      </c>
      <c r="AO1182" s="64"/>
      <c r="AP1182" s="64"/>
      <c r="AQ1182" s="189"/>
      <c r="AR1182" s="64"/>
      <c r="AS1182" s="476"/>
      <c r="AT1182" s="64"/>
      <c r="AU1182" s="646"/>
      <c r="AV1182" s="343" t="s">
        <v>1364</v>
      </c>
      <c r="AW1182" s="185"/>
    </row>
    <row r="1183" spans="1:49" ht="60" hidden="1" outlineLevel="2" x14ac:dyDescent="0.25">
      <c r="A1183" s="63" t="str">
        <f t="shared" si="306"/>
        <v>3.13.0.5.13.58-64</v>
      </c>
      <c r="B1183" s="64">
        <v>3</v>
      </c>
      <c r="C1183" s="64">
        <v>13</v>
      </c>
      <c r="D1183" s="64">
        <v>0</v>
      </c>
      <c r="E1183" s="64">
        <v>5</v>
      </c>
      <c r="F1183" s="64">
        <v>13</v>
      </c>
      <c r="G1183" s="64" t="s">
        <v>64</v>
      </c>
      <c r="H1183" s="65"/>
      <c r="I1183" s="65"/>
      <c r="J1183" s="65"/>
      <c r="K1183" s="65" t="s">
        <v>1365</v>
      </c>
      <c r="L1183" s="64" t="s">
        <v>1343</v>
      </c>
      <c r="M1183" s="64" t="s">
        <v>1350</v>
      </c>
      <c r="N1183" s="64" t="s">
        <v>1351</v>
      </c>
      <c r="O1183" s="64" t="s">
        <v>1352</v>
      </c>
      <c r="P1183" s="69">
        <v>45265</v>
      </c>
      <c r="Q1183" s="69">
        <v>44931</v>
      </c>
      <c r="R1183" s="64">
        <v>15</v>
      </c>
      <c r="S1183" s="67" t="s">
        <v>1350</v>
      </c>
      <c r="T1183" s="194"/>
      <c r="U1183" s="75">
        <v>0</v>
      </c>
      <c r="V1183" s="75"/>
      <c r="W1183" s="75">
        <v>0</v>
      </c>
      <c r="X1183" s="1122">
        <v>0</v>
      </c>
      <c r="Y1183" s="75">
        <v>0</v>
      </c>
      <c r="Z1183" s="75">
        <v>0</v>
      </c>
      <c r="AA1183" s="1122">
        <v>0</v>
      </c>
      <c r="AB1183" s="75">
        <v>0</v>
      </c>
      <c r="AC1183" s="75">
        <v>0</v>
      </c>
      <c r="AD1183" s="1122">
        <v>0</v>
      </c>
      <c r="AE1183" s="75">
        <v>0</v>
      </c>
      <c r="AF1183" s="75">
        <v>0</v>
      </c>
      <c r="AG1183" s="1122">
        <v>0</v>
      </c>
      <c r="AH1183" s="505">
        <f t="shared" si="320"/>
        <v>0</v>
      </c>
      <c r="AI1183" s="132"/>
      <c r="AJ1183" s="75">
        <f t="shared" si="319"/>
        <v>0</v>
      </c>
      <c r="AK1183" s="78"/>
      <c r="AL1183" s="78"/>
      <c r="AM1183" s="78"/>
      <c r="AN1183" s="64" t="s">
        <v>181</v>
      </c>
      <c r="AO1183" s="64"/>
      <c r="AP1183" s="64"/>
      <c r="AQ1183" s="189"/>
      <c r="AR1183" s="64"/>
      <c r="AS1183" s="476"/>
      <c r="AT1183" s="64"/>
      <c r="AU1183" s="646"/>
      <c r="AV1183" s="343" t="s">
        <v>1366</v>
      </c>
      <c r="AW1183" s="185"/>
    </row>
    <row r="1184" spans="1:49" ht="30" hidden="1" outlineLevel="2" x14ac:dyDescent="0.25">
      <c r="A1184" s="63" t="str">
        <f t="shared" si="306"/>
        <v>3.13.0.5.14.58-64</v>
      </c>
      <c r="B1184" s="64">
        <v>3</v>
      </c>
      <c r="C1184" s="64">
        <v>13</v>
      </c>
      <c r="D1184" s="64">
        <v>0</v>
      </c>
      <c r="E1184" s="64">
        <v>5</v>
      </c>
      <c r="F1184" s="64">
        <v>14</v>
      </c>
      <c r="G1184" s="64" t="s">
        <v>64</v>
      </c>
      <c r="H1184" s="65"/>
      <c r="I1184" s="65"/>
      <c r="J1184" s="66"/>
      <c r="K1184" s="65" t="s">
        <v>1367</v>
      </c>
      <c r="L1184" s="64" t="s">
        <v>1343</v>
      </c>
      <c r="M1184" s="64" t="s">
        <v>177</v>
      </c>
      <c r="N1184" s="64" t="s">
        <v>1351</v>
      </c>
      <c r="O1184" s="64" t="s">
        <v>1368</v>
      </c>
      <c r="P1184" s="69">
        <v>44927</v>
      </c>
      <c r="Q1184" s="69">
        <v>45290</v>
      </c>
      <c r="R1184" s="64">
        <v>50</v>
      </c>
      <c r="S1184" s="67" t="s">
        <v>1369</v>
      </c>
      <c r="T1184" s="194">
        <v>11</v>
      </c>
      <c r="U1184" s="75">
        <v>0</v>
      </c>
      <c r="V1184" s="75"/>
      <c r="W1184" s="75">
        <v>0</v>
      </c>
      <c r="X1184" s="1122">
        <v>0</v>
      </c>
      <c r="Y1184" s="75">
        <v>0</v>
      </c>
      <c r="Z1184" s="75">
        <v>0</v>
      </c>
      <c r="AA1184" s="1122">
        <v>0</v>
      </c>
      <c r="AB1184" s="75">
        <v>0</v>
      </c>
      <c r="AC1184" s="75">
        <v>0</v>
      </c>
      <c r="AD1184" s="1122">
        <v>0</v>
      </c>
      <c r="AE1184" s="75">
        <v>0</v>
      </c>
      <c r="AF1184" s="75">
        <v>0</v>
      </c>
      <c r="AG1184" s="1122">
        <v>0</v>
      </c>
      <c r="AH1184" s="505">
        <f t="shared" si="320"/>
        <v>0</v>
      </c>
      <c r="AI1184" s="132"/>
      <c r="AJ1184" s="75">
        <f t="shared" si="319"/>
        <v>0</v>
      </c>
      <c r="AK1184" s="78"/>
      <c r="AL1184" s="78"/>
      <c r="AM1184" s="78"/>
      <c r="AN1184" s="64" t="s">
        <v>181</v>
      </c>
      <c r="AO1184" s="64"/>
      <c r="AP1184" s="64"/>
      <c r="AQ1184" s="189"/>
      <c r="AR1184" s="64"/>
      <c r="AS1184" s="476"/>
      <c r="AT1184" s="64"/>
      <c r="AU1184" s="646"/>
      <c r="AV1184" s="343" t="s">
        <v>1353</v>
      </c>
      <c r="AW1184" s="185"/>
    </row>
    <row r="1185" spans="1:49" ht="36.6" hidden="1" customHeight="1" outlineLevel="2" x14ac:dyDescent="0.25">
      <c r="A1185" s="63" t="str">
        <f t="shared" si="306"/>
        <v>3.13.0.5.15.58-64</v>
      </c>
      <c r="B1185" s="64">
        <v>3</v>
      </c>
      <c r="C1185" s="64">
        <v>13</v>
      </c>
      <c r="D1185" s="64">
        <v>0</v>
      </c>
      <c r="E1185" s="64">
        <v>5</v>
      </c>
      <c r="F1185" s="64">
        <v>15</v>
      </c>
      <c r="G1185" s="64" t="s">
        <v>64</v>
      </c>
      <c r="H1185" s="65"/>
      <c r="I1185" s="65"/>
      <c r="J1185" s="66"/>
      <c r="K1185" s="67" t="s">
        <v>1370</v>
      </c>
      <c r="L1185" s="64" t="s">
        <v>1343</v>
      </c>
      <c r="M1185" s="64" t="s">
        <v>177</v>
      </c>
      <c r="N1185" s="64" t="s">
        <v>1351</v>
      </c>
      <c r="O1185" s="64" t="s">
        <v>179</v>
      </c>
      <c r="P1185" s="69">
        <v>44927</v>
      </c>
      <c r="Q1185" s="69">
        <v>45290</v>
      </c>
      <c r="R1185" s="64">
        <v>80</v>
      </c>
      <c r="S1185" s="67" t="s">
        <v>1369</v>
      </c>
      <c r="T1185" s="194"/>
      <c r="U1185" s="75">
        <v>0</v>
      </c>
      <c r="V1185" s="75"/>
      <c r="W1185" s="75">
        <v>0</v>
      </c>
      <c r="X1185" s="1122">
        <v>0</v>
      </c>
      <c r="Y1185" s="75">
        <v>0</v>
      </c>
      <c r="Z1185" s="75">
        <v>0</v>
      </c>
      <c r="AA1185" s="1122">
        <v>0</v>
      </c>
      <c r="AB1185" s="75">
        <v>0</v>
      </c>
      <c r="AC1185" s="75">
        <v>0</v>
      </c>
      <c r="AD1185" s="1122">
        <v>0</v>
      </c>
      <c r="AE1185" s="75">
        <v>0</v>
      </c>
      <c r="AF1185" s="75">
        <v>0</v>
      </c>
      <c r="AG1185" s="1122">
        <v>0</v>
      </c>
      <c r="AH1185" s="505">
        <f t="shared" si="320"/>
        <v>0</v>
      </c>
      <c r="AI1185" s="132"/>
      <c r="AJ1185" s="75">
        <f t="shared" si="319"/>
        <v>0</v>
      </c>
      <c r="AK1185" s="78"/>
      <c r="AL1185" s="78"/>
      <c r="AM1185" s="78"/>
      <c r="AN1185" s="64" t="s">
        <v>181</v>
      </c>
      <c r="AO1185" s="64"/>
      <c r="AP1185" s="64"/>
      <c r="AQ1185" s="189"/>
      <c r="AR1185" s="64"/>
      <c r="AS1185" s="476"/>
      <c r="AT1185" s="64"/>
      <c r="AU1185" s="646"/>
      <c r="AV1185" s="343" t="s">
        <v>1353</v>
      </c>
      <c r="AW1185" s="185"/>
    </row>
    <row r="1186" spans="1:49" ht="39" hidden="1" customHeight="1" outlineLevel="2" x14ac:dyDescent="0.25">
      <c r="A1186" s="63" t="str">
        <f t="shared" si="306"/>
        <v>3.13.0.5.16.58-65</v>
      </c>
      <c r="B1186" s="64">
        <v>3</v>
      </c>
      <c r="C1186" s="64">
        <v>13</v>
      </c>
      <c r="D1186" s="64">
        <v>0</v>
      </c>
      <c r="E1186" s="64">
        <v>5</v>
      </c>
      <c r="F1186" s="64">
        <v>16</v>
      </c>
      <c r="G1186" s="64" t="s">
        <v>946</v>
      </c>
      <c r="H1186" s="65"/>
      <c r="I1186" s="65"/>
      <c r="J1186" s="66"/>
      <c r="K1186" s="67" t="s">
        <v>1371</v>
      </c>
      <c r="L1186" s="64" t="s">
        <v>1343</v>
      </c>
      <c r="M1186" s="64" t="s">
        <v>1372</v>
      </c>
      <c r="N1186" s="64" t="s">
        <v>1351</v>
      </c>
      <c r="O1186" s="64" t="s">
        <v>1368</v>
      </c>
      <c r="P1186" s="69">
        <v>44927</v>
      </c>
      <c r="Q1186" s="69">
        <v>45290</v>
      </c>
      <c r="R1186" s="64">
        <v>46</v>
      </c>
      <c r="S1186" s="67" t="s">
        <v>1373</v>
      </c>
      <c r="T1186" s="194"/>
      <c r="U1186" s="75">
        <v>0</v>
      </c>
      <c r="V1186" s="75"/>
      <c r="W1186" s="75">
        <v>0</v>
      </c>
      <c r="X1186" s="1122">
        <v>0</v>
      </c>
      <c r="Y1186" s="75">
        <v>0</v>
      </c>
      <c r="Z1186" s="75">
        <v>0</v>
      </c>
      <c r="AA1186" s="1122">
        <v>0</v>
      </c>
      <c r="AB1186" s="75">
        <v>0</v>
      </c>
      <c r="AC1186" s="75">
        <v>0</v>
      </c>
      <c r="AD1186" s="1122">
        <v>0</v>
      </c>
      <c r="AE1186" s="75">
        <v>0</v>
      </c>
      <c r="AF1186" s="75">
        <v>0</v>
      </c>
      <c r="AG1186" s="1122">
        <v>0</v>
      </c>
      <c r="AH1186" s="505">
        <f t="shared" si="320"/>
        <v>0</v>
      </c>
      <c r="AI1186" s="132"/>
      <c r="AJ1186" s="75">
        <f>+W1190+Z1190+AC1190+AF1190</f>
        <v>0</v>
      </c>
      <c r="AK1186" s="78"/>
      <c r="AL1186" s="78"/>
      <c r="AM1186" s="78"/>
      <c r="AN1186" s="64" t="s">
        <v>181</v>
      </c>
      <c r="AO1186" s="64"/>
      <c r="AP1186" s="64"/>
      <c r="AQ1186" s="189"/>
      <c r="AR1186" s="64"/>
      <c r="AS1186" s="476"/>
      <c r="AT1186" s="64"/>
      <c r="AU1186" s="646"/>
      <c r="AV1186" s="343" t="s">
        <v>1353</v>
      </c>
      <c r="AW1186" s="185"/>
    </row>
    <row r="1187" spans="1:49" ht="39" hidden="1" customHeight="1" outlineLevel="2" x14ac:dyDescent="0.25">
      <c r="A1187" s="63" t="str">
        <f t="shared" si="306"/>
        <v>3.13.0.5.17.58-66</v>
      </c>
      <c r="B1187" s="64">
        <v>3</v>
      </c>
      <c r="C1187" s="64">
        <v>13</v>
      </c>
      <c r="D1187" s="64">
        <v>0</v>
      </c>
      <c r="E1187" s="64">
        <v>5</v>
      </c>
      <c r="F1187" s="64">
        <v>17</v>
      </c>
      <c r="G1187" s="64" t="s">
        <v>2741</v>
      </c>
      <c r="H1187" s="65"/>
      <c r="I1187" s="65"/>
      <c r="J1187" s="66"/>
      <c r="K1187" s="67" t="s">
        <v>2763</v>
      </c>
      <c r="L1187" s="64"/>
      <c r="M1187" s="64"/>
      <c r="N1187" s="64"/>
      <c r="O1187" s="64"/>
      <c r="P1187" s="69"/>
      <c r="Q1187" s="69"/>
      <c r="R1187" s="64"/>
      <c r="S1187" s="67"/>
      <c r="T1187" s="194"/>
      <c r="U1187" s="75">
        <v>0</v>
      </c>
      <c r="V1187" s="75"/>
      <c r="W1187" s="75">
        <v>0</v>
      </c>
      <c r="X1187" s="1122">
        <v>0</v>
      </c>
      <c r="Y1187" s="75">
        <v>2700</v>
      </c>
      <c r="Z1187" s="75">
        <v>0</v>
      </c>
      <c r="AA1187" s="1122">
        <v>0</v>
      </c>
      <c r="AB1187" s="75">
        <v>0</v>
      </c>
      <c r="AC1187" s="75">
        <v>0</v>
      </c>
      <c r="AD1187" s="1122">
        <v>0</v>
      </c>
      <c r="AE1187" s="75">
        <v>0</v>
      </c>
      <c r="AF1187" s="505">
        <f>+U1187+Y1187+AB1187+AE1187</f>
        <v>2700</v>
      </c>
      <c r="AG1187" s="1122">
        <v>0</v>
      </c>
      <c r="AH1187" s="505">
        <f t="shared" si="320"/>
        <v>2700</v>
      </c>
      <c r="AI1187" s="132"/>
      <c r="AJ1187" s="75">
        <f>+W1191+Z1191+AC1191+AF1191</f>
        <v>0</v>
      </c>
      <c r="AK1187" s="78"/>
      <c r="AL1187" s="78"/>
      <c r="AM1187" s="78"/>
      <c r="AN1187" s="64" t="s">
        <v>181</v>
      </c>
      <c r="AO1187" s="64"/>
      <c r="AP1187" s="64"/>
      <c r="AQ1187" s="189"/>
      <c r="AR1187" s="64"/>
      <c r="AS1187" s="476"/>
      <c r="AT1187" s="64"/>
      <c r="AU1187" s="646"/>
      <c r="AV1187" s="67"/>
      <c r="AW1187" s="65" t="s">
        <v>2764</v>
      </c>
    </row>
    <row r="1188" spans="1:49" ht="39" hidden="1" customHeight="1" outlineLevel="2" x14ac:dyDescent="0.25">
      <c r="A1188" s="63" t="str">
        <f t="shared" si="306"/>
        <v>3.13.0.5.18.58-64</v>
      </c>
      <c r="B1188" s="64">
        <v>3</v>
      </c>
      <c r="C1188" s="64">
        <v>13</v>
      </c>
      <c r="D1188" s="64">
        <v>0</v>
      </c>
      <c r="E1188" s="64">
        <v>5</v>
      </c>
      <c r="F1188" s="64">
        <v>18</v>
      </c>
      <c r="G1188" s="64" t="s">
        <v>64</v>
      </c>
      <c r="H1188" s="65"/>
      <c r="I1188" s="65"/>
      <c r="J1188" s="66"/>
      <c r="K1188" s="67" t="s">
        <v>2765</v>
      </c>
      <c r="L1188" s="64"/>
      <c r="M1188" s="64"/>
      <c r="N1188" s="64"/>
      <c r="O1188" s="64"/>
      <c r="P1188" s="69"/>
      <c r="Q1188" s="69"/>
      <c r="R1188" s="64"/>
      <c r="S1188" s="67"/>
      <c r="T1188" s="194"/>
      <c r="U1188" s="75">
        <v>0</v>
      </c>
      <c r="V1188" s="75"/>
      <c r="W1188" s="75">
        <v>0</v>
      </c>
      <c r="X1188" s="1122">
        <v>0</v>
      </c>
      <c r="Y1188" s="75">
        <v>160000</v>
      </c>
      <c r="Z1188" s="75">
        <v>0</v>
      </c>
      <c r="AA1188" s="1122">
        <v>0</v>
      </c>
      <c r="AB1188" s="75">
        <v>0</v>
      </c>
      <c r="AC1188" s="75">
        <v>0</v>
      </c>
      <c r="AD1188" s="1122">
        <v>0</v>
      </c>
      <c r="AE1188" s="75">
        <v>0</v>
      </c>
      <c r="AF1188" s="505">
        <f>+U1188+Y1188+AB1188+AE1188</f>
        <v>160000</v>
      </c>
      <c r="AG1188" s="1122">
        <v>0</v>
      </c>
      <c r="AH1188" s="505">
        <f t="shared" si="320"/>
        <v>160000</v>
      </c>
      <c r="AI1188" s="132"/>
      <c r="AJ1188" s="75">
        <f>+W1192+Z1192+AC1192+AF1192</f>
        <v>0</v>
      </c>
      <c r="AK1188" s="78"/>
      <c r="AL1188" s="78"/>
      <c r="AM1188" s="78"/>
      <c r="AN1188" s="64" t="s">
        <v>181</v>
      </c>
      <c r="AO1188" s="64"/>
      <c r="AP1188" s="64"/>
      <c r="AQ1188" s="189"/>
      <c r="AR1188" s="64"/>
      <c r="AS1188" s="476"/>
      <c r="AT1188" s="64"/>
      <c r="AU1188" s="646"/>
      <c r="AV1188" s="67"/>
      <c r="AW1188" s="65" t="s">
        <v>2764</v>
      </c>
    </row>
    <row r="1189" spans="1:49" ht="39" hidden="1" customHeight="1" outlineLevel="2" x14ac:dyDescent="0.25">
      <c r="A1189" s="63" t="str">
        <f t="shared" si="306"/>
        <v>3.13.0.5.19.58-68</v>
      </c>
      <c r="B1189" s="64">
        <v>3</v>
      </c>
      <c r="C1189" s="64">
        <v>13</v>
      </c>
      <c r="D1189" s="64">
        <v>0</v>
      </c>
      <c r="E1189" s="64">
        <v>5</v>
      </c>
      <c r="F1189" s="64">
        <v>19</v>
      </c>
      <c r="G1189" s="64" t="s">
        <v>2749</v>
      </c>
      <c r="H1189" s="65"/>
      <c r="I1189" s="65"/>
      <c r="J1189" s="66"/>
      <c r="K1189" s="67" t="s">
        <v>2766</v>
      </c>
      <c r="L1189" s="64"/>
      <c r="M1189" s="64"/>
      <c r="N1189" s="64"/>
      <c r="O1189" s="64"/>
      <c r="P1189" s="69"/>
      <c r="Q1189" s="69"/>
      <c r="R1189" s="64"/>
      <c r="S1189" s="67"/>
      <c r="T1189" s="194"/>
      <c r="U1189" s="75">
        <v>0</v>
      </c>
      <c r="V1189" s="75"/>
      <c r="W1189" s="75">
        <f>468000/4</f>
        <v>117000</v>
      </c>
      <c r="X1189" s="1122">
        <v>0</v>
      </c>
      <c r="Y1189" s="75">
        <v>108000</v>
      </c>
      <c r="Z1189" s="75">
        <v>0</v>
      </c>
      <c r="AA1189" s="1122">
        <v>0</v>
      </c>
      <c r="AB1189" s="75">
        <v>0</v>
      </c>
      <c r="AC1189" s="75">
        <v>0</v>
      </c>
      <c r="AD1189" s="1122">
        <v>0</v>
      </c>
      <c r="AE1189" s="75">
        <v>0</v>
      </c>
      <c r="AF1189" s="505">
        <f>+U1189+Y1189+AB1189+AE1189</f>
        <v>108000</v>
      </c>
      <c r="AG1189" s="1122">
        <v>0</v>
      </c>
      <c r="AH1189" s="505">
        <f t="shared" si="320"/>
        <v>108000</v>
      </c>
      <c r="AI1189" s="132"/>
      <c r="AJ1189" s="75">
        <f>+W1193+Z1193+AC1193+AF1193</f>
        <v>0</v>
      </c>
      <c r="AK1189" s="78"/>
      <c r="AL1189" s="78"/>
      <c r="AM1189" s="78"/>
      <c r="AN1189" s="64" t="s">
        <v>181</v>
      </c>
      <c r="AO1189" s="64"/>
      <c r="AP1189" s="64"/>
      <c r="AQ1189" s="189"/>
      <c r="AR1189" s="64"/>
      <c r="AS1189" s="476"/>
      <c r="AT1189" s="64"/>
      <c r="AU1189" s="646"/>
      <c r="AV1189" s="67"/>
      <c r="AW1189" s="65" t="s">
        <v>2818</v>
      </c>
    </row>
    <row r="1190" spans="1:49" s="153" customFormat="1" ht="44.45" customHeight="1" outlineLevel="1" collapsed="1" x14ac:dyDescent="0.25">
      <c r="A1190" s="148" t="str">
        <f t="shared" si="306"/>
        <v>3.13.0.6.0.0</v>
      </c>
      <c r="B1190" s="82">
        <v>3</v>
      </c>
      <c r="C1190" s="82">
        <v>13</v>
      </c>
      <c r="D1190" s="82">
        <v>0</v>
      </c>
      <c r="E1190" s="82">
        <v>6</v>
      </c>
      <c r="F1190" s="82">
        <v>0</v>
      </c>
      <c r="G1190" s="82">
        <v>0</v>
      </c>
      <c r="H1190" s="149"/>
      <c r="I1190" s="149"/>
      <c r="J1190" s="1289" t="s">
        <v>1374</v>
      </c>
      <c r="K1190" s="1290"/>
      <c r="L1190" s="82" t="s">
        <v>1026</v>
      </c>
      <c r="M1190" s="82" t="s">
        <v>1375</v>
      </c>
      <c r="N1190" s="82" t="s">
        <v>1376</v>
      </c>
      <c r="O1190" s="82" t="s">
        <v>1377</v>
      </c>
      <c r="P1190" s="84">
        <v>44562</v>
      </c>
      <c r="Q1190" s="84">
        <v>44926</v>
      </c>
      <c r="R1190" s="82">
        <f>+SUM(R1192+R1191)</f>
        <v>22</v>
      </c>
      <c r="S1190" s="149"/>
      <c r="T1190" s="193"/>
      <c r="U1190" s="379">
        <f>+SUM(U1191:U1192)</f>
        <v>0</v>
      </c>
      <c r="V1190" s="379"/>
      <c r="W1190" s="379">
        <f t="shared" ref="W1190:AH1190" si="321">+SUM(W1191:W1192)</f>
        <v>0</v>
      </c>
      <c r="X1190" s="1130">
        <f t="shared" si="321"/>
        <v>0</v>
      </c>
      <c r="Y1190" s="379">
        <f>+SUM(Y1191:Y1192)</f>
        <v>0</v>
      </c>
      <c r="Z1190" s="379">
        <f t="shared" si="321"/>
        <v>0</v>
      </c>
      <c r="AA1190" s="1130">
        <f t="shared" si="321"/>
        <v>0</v>
      </c>
      <c r="AB1190" s="379">
        <f>+SUM(AB1191:AB1192)</f>
        <v>0</v>
      </c>
      <c r="AC1190" s="379">
        <f t="shared" si="321"/>
        <v>0</v>
      </c>
      <c r="AD1190" s="1130">
        <f t="shared" si="321"/>
        <v>0</v>
      </c>
      <c r="AE1190" s="379">
        <f>+SUM(AE1191:AE1192)</f>
        <v>0</v>
      </c>
      <c r="AF1190" s="379">
        <f t="shared" si="321"/>
        <v>0</v>
      </c>
      <c r="AG1190" s="1130">
        <f t="shared" si="321"/>
        <v>0</v>
      </c>
      <c r="AH1190" s="379">
        <f>+SUM(AH1191:AH1192)</f>
        <v>0</v>
      </c>
      <c r="AI1190" s="512">
        <f>+SUM(AI1191:AI1192)</f>
        <v>0</v>
      </c>
      <c r="AJ1190" s="512">
        <f>+SUM(AJ1191:AJ1192)</f>
        <v>0</v>
      </c>
      <c r="AK1190" s="152"/>
      <c r="AL1190" s="152"/>
      <c r="AM1190" s="152"/>
      <c r="AN1190" s="82" t="s">
        <v>181</v>
      </c>
      <c r="AO1190" s="82"/>
      <c r="AP1190" s="82"/>
      <c r="AQ1190" s="365"/>
      <c r="AR1190" s="82"/>
      <c r="AS1190" s="483"/>
      <c r="AT1190" s="82"/>
      <c r="AU1190" s="666"/>
      <c r="AV1190" s="379">
        <f t="shared" ref="AV1190" si="322">+SUM(AV1191:AV1192)</f>
        <v>0</v>
      </c>
      <c r="AW1190" s="444"/>
    </row>
    <row r="1191" spans="1:49" ht="29.45" hidden="1" customHeight="1" outlineLevel="4" x14ac:dyDescent="0.25">
      <c r="A1191" s="63" t="str">
        <f t="shared" si="306"/>
        <v>3.13.0.6.1.58-64</v>
      </c>
      <c r="B1191" s="64">
        <v>3</v>
      </c>
      <c r="C1191" s="64">
        <v>13</v>
      </c>
      <c r="D1191" s="64">
        <v>0</v>
      </c>
      <c r="E1191" s="64">
        <v>6</v>
      </c>
      <c r="F1191" s="64">
        <v>1</v>
      </c>
      <c r="G1191" s="64" t="s">
        <v>64</v>
      </c>
      <c r="H1191" s="65"/>
      <c r="I1191" s="65"/>
      <c r="J1191" s="65"/>
      <c r="K1191" s="65" t="s">
        <v>1378</v>
      </c>
      <c r="L1191" s="64" t="s">
        <v>1026</v>
      </c>
      <c r="M1191" s="64" t="s">
        <v>1375</v>
      </c>
      <c r="N1191" s="64" t="s">
        <v>1376</v>
      </c>
      <c r="O1191" s="64" t="s">
        <v>1379</v>
      </c>
      <c r="P1191" s="69">
        <v>44927</v>
      </c>
      <c r="Q1191" s="69">
        <v>45291</v>
      </c>
      <c r="R1191" s="64">
        <v>10</v>
      </c>
      <c r="S1191" s="65" t="s">
        <v>1380</v>
      </c>
      <c r="T1191" s="194"/>
      <c r="U1191" s="75">
        <v>0</v>
      </c>
      <c r="V1191" s="75"/>
      <c r="W1191" s="75">
        <v>0</v>
      </c>
      <c r="X1191" s="1122">
        <v>0</v>
      </c>
      <c r="Y1191" s="75">
        <v>0</v>
      </c>
      <c r="Z1191" s="75">
        <v>0</v>
      </c>
      <c r="AA1191" s="1122">
        <v>0</v>
      </c>
      <c r="AB1191" s="75">
        <v>0</v>
      </c>
      <c r="AC1191" s="75">
        <v>0</v>
      </c>
      <c r="AD1191" s="1122">
        <v>0</v>
      </c>
      <c r="AE1191" s="75">
        <v>0</v>
      </c>
      <c r="AF1191" s="75">
        <v>0</v>
      </c>
      <c r="AG1191" s="1122">
        <v>0</v>
      </c>
      <c r="AH1191" s="505">
        <f>+U1191+Y1191+AB1191+AE1191</f>
        <v>0</v>
      </c>
      <c r="AI1191" s="132"/>
      <c r="AJ1191" s="75">
        <f t="shared" ref="AJ1191:AJ1192" si="323">+W1192+Z1192+AC1192+AF1192</f>
        <v>0</v>
      </c>
      <c r="AK1191" s="75"/>
      <c r="AL1191" s="75"/>
      <c r="AM1191" s="75"/>
      <c r="AN1191" s="64" t="s">
        <v>181</v>
      </c>
      <c r="AO1191" s="64"/>
      <c r="AP1191" s="64"/>
      <c r="AQ1191" s="189"/>
      <c r="AR1191" s="64"/>
      <c r="AS1191" s="476"/>
      <c r="AT1191" s="64"/>
      <c r="AU1191" s="646"/>
      <c r="AV1191" s="259"/>
      <c r="AW1191" s="185"/>
    </row>
    <row r="1192" spans="1:49" ht="29.45" hidden="1" customHeight="1" outlineLevel="4" x14ac:dyDescent="0.25">
      <c r="A1192" s="63" t="str">
        <f t="shared" si="306"/>
        <v>3.13.0.6.2.58-64</v>
      </c>
      <c r="B1192" s="64">
        <v>3</v>
      </c>
      <c r="C1192" s="64">
        <v>13</v>
      </c>
      <c r="D1192" s="64">
        <v>0</v>
      </c>
      <c r="E1192" s="64">
        <v>6</v>
      </c>
      <c r="F1192" s="64">
        <v>2</v>
      </c>
      <c r="G1192" s="64" t="s">
        <v>64</v>
      </c>
      <c r="H1192" s="65"/>
      <c r="I1192" s="65"/>
      <c r="J1192" s="65"/>
      <c r="K1192" s="65" t="s">
        <v>1381</v>
      </c>
      <c r="L1192" s="64" t="s">
        <v>1026</v>
      </c>
      <c r="M1192" s="64" t="s">
        <v>299</v>
      </c>
      <c r="N1192" s="64" t="s">
        <v>1376</v>
      </c>
      <c r="O1192" s="64" t="s">
        <v>1382</v>
      </c>
      <c r="P1192" s="69">
        <v>44927</v>
      </c>
      <c r="Q1192" s="69">
        <v>45291</v>
      </c>
      <c r="R1192" s="64">
        <v>12</v>
      </c>
      <c r="S1192" s="65" t="s">
        <v>1383</v>
      </c>
      <c r="T1192" s="194"/>
      <c r="U1192" s="75">
        <v>0</v>
      </c>
      <c r="V1192" s="75"/>
      <c r="W1192" s="75">
        <v>0</v>
      </c>
      <c r="X1192" s="1122">
        <v>0</v>
      </c>
      <c r="Y1192" s="75">
        <v>0</v>
      </c>
      <c r="Z1192" s="75">
        <v>0</v>
      </c>
      <c r="AA1192" s="1122">
        <v>0</v>
      </c>
      <c r="AB1192" s="75">
        <v>0</v>
      </c>
      <c r="AC1192" s="75">
        <v>0</v>
      </c>
      <c r="AD1192" s="1122">
        <v>0</v>
      </c>
      <c r="AE1192" s="75">
        <v>0</v>
      </c>
      <c r="AF1192" s="75">
        <v>0</v>
      </c>
      <c r="AG1192" s="1122">
        <v>0</v>
      </c>
      <c r="AH1192" s="505">
        <f>+U1192+Y1192+AB1192+AE1192</f>
        <v>0</v>
      </c>
      <c r="AI1192" s="132"/>
      <c r="AJ1192" s="75">
        <f t="shared" si="323"/>
        <v>0</v>
      </c>
      <c r="AK1192" s="75"/>
      <c r="AL1192" s="75"/>
      <c r="AM1192" s="75"/>
      <c r="AN1192" s="64" t="s">
        <v>181</v>
      </c>
      <c r="AO1192" s="64"/>
      <c r="AP1192" s="64"/>
      <c r="AQ1192" s="189"/>
      <c r="AR1192" s="64"/>
      <c r="AS1192" s="476"/>
      <c r="AT1192" s="64"/>
      <c r="AU1192" s="646"/>
      <c r="AV1192" s="259"/>
      <c r="AW1192" s="185"/>
    </row>
    <row r="1193" spans="1:49" s="153" customFormat="1" ht="35.450000000000003" customHeight="1" outlineLevel="1" collapsed="1" x14ac:dyDescent="0.25">
      <c r="A1193" s="148" t="str">
        <f t="shared" si="306"/>
        <v>3.13.0.7.0.0</v>
      </c>
      <c r="B1193" s="82">
        <v>3</v>
      </c>
      <c r="C1193" s="82">
        <v>13</v>
      </c>
      <c r="D1193" s="82">
        <v>0</v>
      </c>
      <c r="E1193" s="82">
        <v>7</v>
      </c>
      <c r="F1193" s="82">
        <v>0</v>
      </c>
      <c r="G1193" s="82">
        <v>0</v>
      </c>
      <c r="H1193" s="149"/>
      <c r="I1193" s="149"/>
      <c r="J1193" s="1260" t="s">
        <v>1384</v>
      </c>
      <c r="K1193" s="1259"/>
      <c r="L1193" s="82" t="s">
        <v>1385</v>
      </c>
      <c r="M1193" s="82" t="s">
        <v>1139</v>
      </c>
      <c r="N1193" s="82" t="s">
        <v>1386</v>
      </c>
      <c r="O1193" s="82" t="s">
        <v>830</v>
      </c>
      <c r="P1193" s="84">
        <v>44562</v>
      </c>
      <c r="Q1193" s="84">
        <v>44926</v>
      </c>
      <c r="R1193" s="82"/>
      <c r="S1193" s="149"/>
      <c r="T1193" s="193"/>
      <c r="U1193" s="152">
        <f>SUM(U1194:U1202)</f>
        <v>381000</v>
      </c>
      <c r="V1193" s="152"/>
      <c r="W1193" s="152">
        <f t="shared" ref="W1193:AG1193" si="324">SUM(W1194:W1202)</f>
        <v>0</v>
      </c>
      <c r="X1193" s="1131">
        <f t="shared" si="324"/>
        <v>0</v>
      </c>
      <c r="Y1193" s="152">
        <f>SUM(Y1194:Y1202)</f>
        <v>975000</v>
      </c>
      <c r="Z1193" s="152">
        <f t="shared" si="324"/>
        <v>0</v>
      </c>
      <c r="AA1193" s="1131">
        <f t="shared" si="324"/>
        <v>0</v>
      </c>
      <c r="AB1193" s="152">
        <f>SUM(AB1194:AB1202)</f>
        <v>0</v>
      </c>
      <c r="AC1193" s="152">
        <f t="shared" si="324"/>
        <v>0</v>
      </c>
      <c r="AD1193" s="1131">
        <f t="shared" si="324"/>
        <v>0</v>
      </c>
      <c r="AE1193" s="152">
        <f>SUM(AE1194:AE1202)</f>
        <v>0</v>
      </c>
      <c r="AF1193" s="152">
        <f t="shared" si="324"/>
        <v>0</v>
      </c>
      <c r="AG1193" s="1131">
        <f t="shared" si="324"/>
        <v>0</v>
      </c>
      <c r="AH1193" s="152">
        <f>SUM(AH1194:AH1202)</f>
        <v>1356000</v>
      </c>
      <c r="AI1193" s="512">
        <f>+SUM(AI1194:AI1199)</f>
        <v>0</v>
      </c>
      <c r="AJ1193" s="512">
        <f>+SUM(AJ1194:AJ1199)</f>
        <v>0</v>
      </c>
      <c r="AK1193" s="152"/>
      <c r="AL1193" s="152"/>
      <c r="AM1193" s="152"/>
      <c r="AN1193" s="82" t="s">
        <v>39</v>
      </c>
      <c r="AO1193" s="82"/>
      <c r="AP1193" s="82"/>
      <c r="AQ1193" s="365"/>
      <c r="AR1193" s="82"/>
      <c r="AS1193" s="483"/>
      <c r="AT1193" s="82"/>
      <c r="AU1193" s="666"/>
      <c r="AV1193" s="379">
        <f t="shared" ref="AV1193" si="325">+SUM(AV1194:AV1199)</f>
        <v>0</v>
      </c>
      <c r="AW1193" s="444"/>
    </row>
    <row r="1194" spans="1:49" ht="36.6" hidden="1" customHeight="1" outlineLevel="2" x14ac:dyDescent="0.25">
      <c r="A1194" s="63" t="str">
        <f t="shared" si="306"/>
        <v>3.13.0.7.1.58-64</v>
      </c>
      <c r="B1194" s="64">
        <v>3</v>
      </c>
      <c r="C1194" s="64">
        <v>13</v>
      </c>
      <c r="D1194" s="64">
        <v>0</v>
      </c>
      <c r="E1194" s="64">
        <v>7</v>
      </c>
      <c r="F1194" s="64">
        <v>1</v>
      </c>
      <c r="G1194" s="100" t="s">
        <v>64</v>
      </c>
      <c r="H1194" s="65"/>
      <c r="I1194" s="65"/>
      <c r="J1194" s="66"/>
      <c r="K1194" s="67" t="s">
        <v>1387</v>
      </c>
      <c r="L1194" s="64" t="s">
        <v>1388</v>
      </c>
      <c r="M1194" s="64" t="s">
        <v>299</v>
      </c>
      <c r="N1194" s="64" t="s">
        <v>1386</v>
      </c>
      <c r="O1194" s="64" t="s">
        <v>1368</v>
      </c>
      <c r="P1194" s="69">
        <v>44927</v>
      </c>
      <c r="Q1194" s="69">
        <v>45291</v>
      </c>
      <c r="R1194" s="64">
        <v>6</v>
      </c>
      <c r="S1194" s="65" t="s">
        <v>767</v>
      </c>
      <c r="T1194" s="194">
        <v>0</v>
      </c>
      <c r="U1194" s="75">
        <v>0</v>
      </c>
      <c r="V1194" s="75"/>
      <c r="W1194" s="75">
        <v>0</v>
      </c>
      <c r="X1194" s="1122">
        <v>0</v>
      </c>
      <c r="Y1194" s="75">
        <f>700000+165000</f>
        <v>865000</v>
      </c>
      <c r="Z1194" s="75">
        <v>0</v>
      </c>
      <c r="AA1194" s="1122">
        <v>0</v>
      </c>
      <c r="AB1194" s="75">
        <v>0</v>
      </c>
      <c r="AC1194" s="75">
        <v>0</v>
      </c>
      <c r="AD1194" s="1122">
        <v>0</v>
      </c>
      <c r="AE1194" s="75">
        <v>0</v>
      </c>
      <c r="AF1194" s="75">
        <v>0</v>
      </c>
      <c r="AG1194" s="1122">
        <v>0</v>
      </c>
      <c r="AH1194" s="505">
        <f>+U1194+Y1194+AB1194+AE1194</f>
        <v>865000</v>
      </c>
      <c r="AI1194" s="132"/>
      <c r="AJ1194" s="75">
        <f t="shared" ref="AJ1194:AJ1198" si="326">+W1195+Z1195+AC1195+AF1195</f>
        <v>0</v>
      </c>
      <c r="AK1194" s="75"/>
      <c r="AL1194" s="75"/>
      <c r="AM1194" s="75"/>
      <c r="AN1194" s="64" t="s">
        <v>39</v>
      </c>
      <c r="AO1194" s="64"/>
      <c r="AP1194" s="64"/>
      <c r="AQ1194" s="189"/>
      <c r="AR1194" s="69"/>
      <c r="AS1194" s="865"/>
      <c r="AT1194" s="64"/>
      <c r="AU1194" s="964"/>
      <c r="AV1194" s="65"/>
      <c r="AW1194" s="67" t="s">
        <v>2813</v>
      </c>
    </row>
    <row r="1195" spans="1:49" ht="36.6" hidden="1" customHeight="1" outlineLevel="2" x14ac:dyDescent="0.25">
      <c r="A1195" s="63" t="str">
        <f>CONCATENATE(B1195,".",C1195,".",D1195,".",E1195,".",F1195,".",G1195)</f>
        <v>3.13.0.7.2.58-64</v>
      </c>
      <c r="B1195" s="64">
        <v>3</v>
      </c>
      <c r="C1195" s="64">
        <v>13</v>
      </c>
      <c r="D1195" s="64">
        <v>0</v>
      </c>
      <c r="E1195" s="64">
        <v>7</v>
      </c>
      <c r="F1195" s="64">
        <v>2</v>
      </c>
      <c r="G1195" s="100" t="s">
        <v>64</v>
      </c>
      <c r="H1195" s="65"/>
      <c r="I1195" s="65"/>
      <c r="J1195" s="66"/>
      <c r="K1195" s="65" t="s">
        <v>1389</v>
      </c>
      <c r="L1195" s="64" t="s">
        <v>1388</v>
      </c>
      <c r="M1195" s="64" t="s">
        <v>299</v>
      </c>
      <c r="N1195" s="64" t="s">
        <v>1386</v>
      </c>
      <c r="O1195" s="64" t="s">
        <v>1368</v>
      </c>
      <c r="P1195" s="69">
        <v>44927</v>
      </c>
      <c r="Q1195" s="69">
        <v>45291</v>
      </c>
      <c r="R1195" s="64">
        <v>12</v>
      </c>
      <c r="S1195" s="65" t="s">
        <v>1390</v>
      </c>
      <c r="T1195" s="194"/>
      <c r="U1195" s="75">
        <v>0</v>
      </c>
      <c r="V1195" s="75"/>
      <c r="W1195" s="75">
        <v>0</v>
      </c>
      <c r="X1195" s="1122">
        <v>0</v>
      </c>
      <c r="Y1195" s="75">
        <v>0</v>
      </c>
      <c r="Z1195" s="75">
        <v>0</v>
      </c>
      <c r="AA1195" s="1122">
        <v>0</v>
      </c>
      <c r="AB1195" s="75">
        <v>0</v>
      </c>
      <c r="AC1195" s="75">
        <v>0</v>
      </c>
      <c r="AD1195" s="1122">
        <v>0</v>
      </c>
      <c r="AE1195" s="75">
        <v>0</v>
      </c>
      <c r="AF1195" s="75">
        <v>0</v>
      </c>
      <c r="AG1195" s="1122">
        <v>0</v>
      </c>
      <c r="AH1195" s="505">
        <f t="shared" ref="AH1195:AH1202" si="327">+U1195+Y1195+AB1195+AE1195</f>
        <v>0</v>
      </c>
      <c r="AI1195" s="132"/>
      <c r="AJ1195" s="75">
        <f t="shared" si="326"/>
        <v>0</v>
      </c>
      <c r="AK1195" s="75"/>
      <c r="AL1195" s="75"/>
      <c r="AM1195" s="75"/>
      <c r="AN1195" s="64" t="s">
        <v>39</v>
      </c>
      <c r="AO1195" s="64"/>
      <c r="AP1195" s="64"/>
      <c r="AQ1195" s="189"/>
      <c r="AR1195" s="64"/>
      <c r="AS1195" s="476"/>
      <c r="AT1195" s="64"/>
      <c r="AU1195" s="646"/>
      <c r="AV1195" s="65"/>
      <c r="AW1195" s="65"/>
    </row>
    <row r="1196" spans="1:49" ht="36.6" hidden="1" customHeight="1" outlineLevel="2" x14ac:dyDescent="0.25">
      <c r="A1196" s="63" t="str">
        <f t="shared" si="306"/>
        <v>3.13.0.7.3.58-64</v>
      </c>
      <c r="B1196" s="64">
        <v>3</v>
      </c>
      <c r="C1196" s="64">
        <v>13</v>
      </c>
      <c r="D1196" s="64">
        <v>0</v>
      </c>
      <c r="E1196" s="64">
        <v>7</v>
      </c>
      <c r="F1196" s="64">
        <v>3</v>
      </c>
      <c r="G1196" s="100" t="s">
        <v>64</v>
      </c>
      <c r="H1196" s="65"/>
      <c r="I1196" s="65"/>
      <c r="J1196" s="66"/>
      <c r="K1196" s="65" t="s">
        <v>1391</v>
      </c>
      <c r="L1196" s="64" t="s">
        <v>1388</v>
      </c>
      <c r="M1196" s="64" t="s">
        <v>73</v>
      </c>
      <c r="N1196" s="64" t="s">
        <v>1386</v>
      </c>
      <c r="O1196" s="64" t="s">
        <v>1368</v>
      </c>
      <c r="P1196" s="69">
        <v>44927</v>
      </c>
      <c r="Q1196" s="69">
        <v>45291</v>
      </c>
      <c r="R1196" s="64">
        <v>1</v>
      </c>
      <c r="S1196" s="65" t="s">
        <v>1392</v>
      </c>
      <c r="T1196" s="194"/>
      <c r="U1196" s="75">
        <v>0</v>
      </c>
      <c r="V1196" s="75"/>
      <c r="W1196" s="75">
        <v>0</v>
      </c>
      <c r="X1196" s="1122">
        <v>0</v>
      </c>
      <c r="Y1196" s="75">
        <v>50000</v>
      </c>
      <c r="Z1196" s="75">
        <v>0</v>
      </c>
      <c r="AA1196" s="1122">
        <v>0</v>
      </c>
      <c r="AB1196" s="75">
        <v>0</v>
      </c>
      <c r="AC1196" s="75">
        <v>0</v>
      </c>
      <c r="AD1196" s="1122">
        <v>0</v>
      </c>
      <c r="AE1196" s="75">
        <v>0</v>
      </c>
      <c r="AF1196" s="75">
        <v>0</v>
      </c>
      <c r="AG1196" s="1122">
        <v>0</v>
      </c>
      <c r="AH1196" s="505">
        <f t="shared" si="327"/>
        <v>50000</v>
      </c>
      <c r="AI1196" s="132"/>
      <c r="AJ1196" s="75">
        <f t="shared" si="326"/>
        <v>0</v>
      </c>
      <c r="AK1196" s="75"/>
      <c r="AL1196" s="75"/>
      <c r="AM1196" s="75"/>
      <c r="AN1196" s="64" t="s">
        <v>39</v>
      </c>
      <c r="AO1196" s="64"/>
      <c r="AP1196" s="64"/>
      <c r="AQ1196" s="189"/>
      <c r="AR1196" s="64"/>
      <c r="AS1196" s="476"/>
      <c r="AT1196" s="64"/>
      <c r="AU1196" s="646"/>
      <c r="AV1196" s="259"/>
      <c r="AW1196" s="185" t="s">
        <v>2785</v>
      </c>
    </row>
    <row r="1197" spans="1:49" ht="36.6" hidden="1" customHeight="1" outlineLevel="2" x14ac:dyDescent="0.25">
      <c r="A1197" s="63" t="str">
        <f t="shared" si="306"/>
        <v>3.13.0.7.4.58-64</v>
      </c>
      <c r="B1197" s="64">
        <v>3</v>
      </c>
      <c r="C1197" s="64">
        <v>13</v>
      </c>
      <c r="D1197" s="64">
        <v>0</v>
      </c>
      <c r="E1197" s="64">
        <v>7</v>
      </c>
      <c r="F1197" s="64">
        <v>4</v>
      </c>
      <c r="G1197" s="100" t="s">
        <v>64</v>
      </c>
      <c r="H1197" s="65"/>
      <c r="I1197" s="65"/>
      <c r="J1197" s="66"/>
      <c r="K1197" s="65" t="s">
        <v>1393</v>
      </c>
      <c r="L1197" s="64" t="s">
        <v>1388</v>
      </c>
      <c r="M1197" s="64" t="s">
        <v>299</v>
      </c>
      <c r="N1197" s="64" t="s">
        <v>1386</v>
      </c>
      <c r="O1197" s="64" t="s">
        <v>1368</v>
      </c>
      <c r="P1197" s="69">
        <v>44927</v>
      </c>
      <c r="Q1197" s="69">
        <v>45291</v>
      </c>
      <c r="R1197" s="64">
        <v>1</v>
      </c>
      <c r="S1197" s="65" t="s">
        <v>767</v>
      </c>
      <c r="T1197" s="194"/>
      <c r="U1197" s="75">
        <v>0</v>
      </c>
      <c r="V1197" s="75"/>
      <c r="W1197" s="75">
        <v>0</v>
      </c>
      <c r="X1197" s="1122">
        <v>0</v>
      </c>
      <c r="Y1197" s="75">
        <v>0</v>
      </c>
      <c r="Z1197" s="75">
        <v>0</v>
      </c>
      <c r="AA1197" s="1122">
        <v>0</v>
      </c>
      <c r="AB1197" s="75">
        <v>0</v>
      </c>
      <c r="AC1197" s="75">
        <v>0</v>
      </c>
      <c r="AD1197" s="1122">
        <v>0</v>
      </c>
      <c r="AE1197" s="75">
        <v>0</v>
      </c>
      <c r="AF1197" s="75">
        <v>0</v>
      </c>
      <c r="AG1197" s="1122">
        <v>0</v>
      </c>
      <c r="AH1197" s="505">
        <f t="shared" si="327"/>
        <v>0</v>
      </c>
      <c r="AI1197" s="132"/>
      <c r="AJ1197" s="75">
        <f t="shared" si="326"/>
        <v>0</v>
      </c>
      <c r="AK1197" s="75"/>
      <c r="AL1197" s="75"/>
      <c r="AM1197" s="75"/>
      <c r="AN1197" s="64" t="s">
        <v>39</v>
      </c>
      <c r="AO1197" s="64"/>
      <c r="AP1197" s="64"/>
      <c r="AQ1197" s="189"/>
      <c r="AR1197" s="64"/>
      <c r="AS1197" s="476"/>
      <c r="AT1197" s="64"/>
      <c r="AU1197" s="646"/>
      <c r="AV1197" s="259"/>
      <c r="AW1197" s="185"/>
    </row>
    <row r="1198" spans="1:49" ht="36.6" hidden="1" customHeight="1" outlineLevel="2" x14ac:dyDescent="0.25">
      <c r="A1198" s="63" t="str">
        <f t="shared" si="306"/>
        <v>3.13.0.7.6.0</v>
      </c>
      <c r="B1198" s="64">
        <v>3</v>
      </c>
      <c r="C1198" s="64">
        <v>13</v>
      </c>
      <c r="D1198" s="64">
        <v>0</v>
      </c>
      <c r="E1198" s="64">
        <v>7</v>
      </c>
      <c r="F1198" s="64">
        <v>6</v>
      </c>
      <c r="G1198" s="100">
        <v>0</v>
      </c>
      <c r="H1198" s="65"/>
      <c r="I1198" s="65"/>
      <c r="J1198" s="65"/>
      <c r="K1198" s="67" t="s">
        <v>1394</v>
      </c>
      <c r="L1198" s="64" t="s">
        <v>1388</v>
      </c>
      <c r="M1198" s="64" t="s">
        <v>73</v>
      </c>
      <c r="N1198" s="64" t="s">
        <v>1395</v>
      </c>
      <c r="O1198" s="64" t="s">
        <v>1368</v>
      </c>
      <c r="P1198" s="69">
        <v>44927</v>
      </c>
      <c r="Q1198" s="69">
        <v>45291</v>
      </c>
      <c r="R1198" s="170">
        <v>1</v>
      </c>
      <c r="S1198" s="170" t="s">
        <v>1396</v>
      </c>
      <c r="T1198" s="1188"/>
      <c r="U1198" s="75">
        <v>0</v>
      </c>
      <c r="V1198" s="75"/>
      <c r="W1198" s="75">
        <v>0</v>
      </c>
      <c r="X1198" s="1122">
        <v>0</v>
      </c>
      <c r="Y1198" s="75">
        <v>0</v>
      </c>
      <c r="Z1198" s="75">
        <v>0</v>
      </c>
      <c r="AA1198" s="1122">
        <v>0</v>
      </c>
      <c r="AB1198" s="75">
        <v>0</v>
      </c>
      <c r="AC1198" s="75">
        <v>0</v>
      </c>
      <c r="AD1198" s="1122">
        <v>0</v>
      </c>
      <c r="AE1198" s="75">
        <v>0</v>
      </c>
      <c r="AF1198" s="75">
        <v>0</v>
      </c>
      <c r="AG1198" s="1122">
        <v>0</v>
      </c>
      <c r="AH1198" s="505">
        <f t="shared" si="327"/>
        <v>0</v>
      </c>
      <c r="AI1198" s="132"/>
      <c r="AJ1198" s="75">
        <f t="shared" si="326"/>
        <v>0</v>
      </c>
      <c r="AK1198" s="258"/>
      <c r="AL1198" s="258"/>
      <c r="AM1198" s="258"/>
      <c r="AN1198" s="171" t="s">
        <v>39</v>
      </c>
      <c r="AO1198" s="171"/>
      <c r="AP1198" s="171"/>
      <c r="AQ1198" s="418"/>
      <c r="AS1198" s="484"/>
      <c r="AV1198" s="353" t="s">
        <v>1397</v>
      </c>
      <c r="AW1198" s="459" t="s">
        <v>1398</v>
      </c>
    </row>
    <row r="1199" spans="1:49" ht="36.6" hidden="1" customHeight="1" outlineLevel="2" x14ac:dyDescent="0.25">
      <c r="A1199" s="63" t="str">
        <f t="shared" si="306"/>
        <v>3.13.0.7.7.58-64</v>
      </c>
      <c r="B1199" s="64">
        <v>3</v>
      </c>
      <c r="C1199" s="64">
        <v>13</v>
      </c>
      <c r="D1199" s="64">
        <v>0</v>
      </c>
      <c r="E1199" s="64">
        <v>7</v>
      </c>
      <c r="F1199" s="64">
        <v>7</v>
      </c>
      <c r="G1199" s="100" t="s">
        <v>64</v>
      </c>
      <c r="H1199" s="65" t="s">
        <v>330</v>
      </c>
      <c r="I1199" s="65"/>
      <c r="J1199" s="65"/>
      <c r="K1199" s="67" t="s">
        <v>1399</v>
      </c>
      <c r="L1199" s="64" t="s">
        <v>1388</v>
      </c>
      <c r="M1199" s="64" t="s">
        <v>135</v>
      </c>
      <c r="N1199" s="64" t="s">
        <v>1386</v>
      </c>
      <c r="O1199" s="64" t="s">
        <v>1400</v>
      </c>
      <c r="P1199" s="69">
        <v>44927</v>
      </c>
      <c r="Q1199" s="69">
        <v>45291</v>
      </c>
      <c r="R1199" s="170"/>
      <c r="S1199" s="170" t="s">
        <v>1401</v>
      </c>
      <c r="T1199" s="1188"/>
      <c r="U1199" s="75">
        <v>0</v>
      </c>
      <c r="V1199" s="75"/>
      <c r="W1199" s="75">
        <v>0</v>
      </c>
      <c r="X1199" s="1122">
        <v>0</v>
      </c>
      <c r="Y1199" s="75">
        <v>0</v>
      </c>
      <c r="Z1199" s="75">
        <v>0</v>
      </c>
      <c r="AA1199" s="1122">
        <v>0</v>
      </c>
      <c r="AB1199" s="75">
        <v>0</v>
      </c>
      <c r="AC1199" s="75">
        <v>0</v>
      </c>
      <c r="AD1199" s="1122">
        <v>0</v>
      </c>
      <c r="AE1199" s="75">
        <v>0</v>
      </c>
      <c r="AF1199" s="75">
        <v>0</v>
      </c>
      <c r="AG1199" s="1122">
        <v>0</v>
      </c>
      <c r="AH1199" s="505">
        <f t="shared" si="327"/>
        <v>0</v>
      </c>
      <c r="AI1199" s="132"/>
      <c r="AJ1199" s="75">
        <f>+W1203+Z1203+AC1203+AF1203</f>
        <v>0</v>
      </c>
      <c r="AK1199" s="258"/>
      <c r="AL1199" s="258"/>
      <c r="AM1199" s="258"/>
      <c r="AN1199" s="171" t="s">
        <v>39</v>
      </c>
      <c r="AO1199" s="171"/>
      <c r="AP1199" s="171"/>
      <c r="AQ1199" s="418"/>
      <c r="AS1199" s="484"/>
      <c r="AV1199" s="353"/>
      <c r="AW1199" s="185"/>
    </row>
    <row r="1200" spans="1:49" ht="36.6" hidden="1" customHeight="1" outlineLevel="2" x14ac:dyDescent="0.25">
      <c r="A1200" s="63" t="str">
        <f t="shared" si="306"/>
        <v>3.13.0.7.8.58-64</v>
      </c>
      <c r="B1200" s="64">
        <v>3</v>
      </c>
      <c r="C1200" s="64">
        <v>13</v>
      </c>
      <c r="D1200" s="64">
        <v>0</v>
      </c>
      <c r="E1200" s="64">
        <v>7</v>
      </c>
      <c r="F1200" s="64">
        <v>8</v>
      </c>
      <c r="G1200" s="100" t="s">
        <v>64</v>
      </c>
      <c r="H1200" s="65"/>
      <c r="I1200" s="65"/>
      <c r="J1200" s="65"/>
      <c r="K1200" s="67" t="s">
        <v>2814</v>
      </c>
      <c r="L1200" s="64"/>
      <c r="M1200" s="64"/>
      <c r="N1200" s="64"/>
      <c r="O1200" s="64"/>
      <c r="P1200" s="69"/>
      <c r="Q1200" s="69"/>
      <c r="R1200" s="170"/>
      <c r="S1200" s="170"/>
      <c r="T1200" s="1188"/>
      <c r="U1200" s="75">
        <v>5000</v>
      </c>
      <c r="V1200" s="75"/>
      <c r="W1200" s="75">
        <v>0</v>
      </c>
      <c r="X1200" s="1122">
        <v>0</v>
      </c>
      <c r="Y1200" s="75">
        <v>0</v>
      </c>
      <c r="Z1200" s="75">
        <v>0</v>
      </c>
      <c r="AA1200" s="1122">
        <v>0</v>
      </c>
      <c r="AB1200" s="75">
        <v>0</v>
      </c>
      <c r="AC1200" s="75">
        <v>0</v>
      </c>
      <c r="AD1200" s="1122">
        <v>0</v>
      </c>
      <c r="AE1200" s="75">
        <v>0</v>
      </c>
      <c r="AF1200" s="75">
        <v>0</v>
      </c>
      <c r="AG1200" s="1122">
        <v>0</v>
      </c>
      <c r="AH1200" s="505">
        <f t="shared" si="327"/>
        <v>5000</v>
      </c>
      <c r="AI1200" s="132"/>
      <c r="AJ1200" s="75">
        <f>+W1204+Z1204+AC1204+AF1204</f>
        <v>0</v>
      </c>
      <c r="AK1200" s="258"/>
      <c r="AL1200" s="258"/>
      <c r="AM1200" s="258"/>
      <c r="AN1200" s="171" t="s">
        <v>39</v>
      </c>
      <c r="AO1200" s="171"/>
      <c r="AP1200" s="171"/>
      <c r="AQ1200" s="418"/>
      <c r="AS1200" s="484"/>
      <c r="AV1200" s="1097"/>
      <c r="AW1200" s="185" t="s">
        <v>2813</v>
      </c>
    </row>
    <row r="1201" spans="1:49" ht="36.6" hidden="1" customHeight="1" outlineLevel="2" x14ac:dyDescent="0.25">
      <c r="A1201" s="63" t="str">
        <f t="shared" si="306"/>
        <v>3.13.0.7.9.58-64</v>
      </c>
      <c r="B1201" s="64">
        <v>3</v>
      </c>
      <c r="C1201" s="64">
        <v>13</v>
      </c>
      <c r="D1201" s="64">
        <v>0</v>
      </c>
      <c r="E1201" s="64">
        <v>7</v>
      </c>
      <c r="F1201" s="64">
        <v>9</v>
      </c>
      <c r="G1201" s="100" t="s">
        <v>64</v>
      </c>
      <c r="H1201" s="65"/>
      <c r="I1201" s="65"/>
      <c r="J1201" s="65"/>
      <c r="K1201" s="67" t="s">
        <v>2815</v>
      </c>
      <c r="L1201" s="64"/>
      <c r="M1201" s="64"/>
      <c r="N1201" s="64"/>
      <c r="O1201" s="64"/>
      <c r="P1201" s="69"/>
      <c r="Q1201" s="69"/>
      <c r="R1201" s="170"/>
      <c r="S1201" s="170"/>
      <c r="T1201" s="1188"/>
      <c r="U1201" s="75">
        <v>316000</v>
      </c>
      <c r="V1201" s="75"/>
      <c r="W1201" s="75">
        <v>0</v>
      </c>
      <c r="X1201" s="1122">
        <v>0</v>
      </c>
      <c r="Y1201" s="75">
        <v>0</v>
      </c>
      <c r="Z1201" s="75">
        <v>0</v>
      </c>
      <c r="AA1201" s="1122">
        <v>0</v>
      </c>
      <c r="AB1201" s="75">
        <v>0</v>
      </c>
      <c r="AC1201" s="75">
        <v>0</v>
      </c>
      <c r="AD1201" s="1122">
        <v>0</v>
      </c>
      <c r="AE1201" s="75">
        <v>0</v>
      </c>
      <c r="AF1201" s="75">
        <v>0</v>
      </c>
      <c r="AG1201" s="1122">
        <v>0</v>
      </c>
      <c r="AH1201" s="505">
        <f t="shared" si="327"/>
        <v>316000</v>
      </c>
      <c r="AI1201" s="132"/>
      <c r="AJ1201" s="75">
        <f>+W1205+Z1205+AC1205+AF1205</f>
        <v>0</v>
      </c>
      <c r="AK1201" s="258"/>
      <c r="AL1201" s="258"/>
      <c r="AM1201" s="258"/>
      <c r="AN1201" s="171" t="s">
        <v>39</v>
      </c>
      <c r="AO1201" s="171"/>
      <c r="AP1201" s="171"/>
      <c r="AQ1201" s="418"/>
      <c r="AS1201" s="484"/>
      <c r="AV1201" s="1097"/>
      <c r="AW1201" s="185" t="s">
        <v>2813</v>
      </c>
    </row>
    <row r="1202" spans="1:49" ht="36.6" hidden="1" customHeight="1" outlineLevel="2" x14ac:dyDescent="0.25">
      <c r="A1202" s="63" t="str">
        <f t="shared" si="306"/>
        <v>3.13.0.7.10.58-64</v>
      </c>
      <c r="B1202" s="64">
        <v>3</v>
      </c>
      <c r="C1202" s="64">
        <v>13</v>
      </c>
      <c r="D1202" s="64">
        <v>0</v>
      </c>
      <c r="E1202" s="64">
        <v>7</v>
      </c>
      <c r="F1202" s="64">
        <v>10</v>
      </c>
      <c r="G1202" s="100" t="s">
        <v>64</v>
      </c>
      <c r="H1202" s="65"/>
      <c r="I1202" s="65"/>
      <c r="J1202" s="65"/>
      <c r="K1202" s="67" t="s">
        <v>2816</v>
      </c>
      <c r="L1202" s="64"/>
      <c r="M1202" s="64"/>
      <c r="N1202" s="64"/>
      <c r="O1202" s="64"/>
      <c r="P1202" s="69"/>
      <c r="Q1202" s="69"/>
      <c r="R1202" s="170"/>
      <c r="S1202" s="170"/>
      <c r="T1202" s="1188"/>
      <c r="U1202" s="75">
        <v>60000</v>
      </c>
      <c r="V1202" s="75"/>
      <c r="W1202" s="75">
        <v>0</v>
      </c>
      <c r="X1202" s="1122">
        <v>0</v>
      </c>
      <c r="Y1202" s="75">
        <v>60000</v>
      </c>
      <c r="Z1202" s="75">
        <v>0</v>
      </c>
      <c r="AA1202" s="1122">
        <v>0</v>
      </c>
      <c r="AB1202" s="75">
        <v>0</v>
      </c>
      <c r="AC1202" s="75">
        <v>0</v>
      </c>
      <c r="AD1202" s="1122">
        <v>0</v>
      </c>
      <c r="AE1202" s="75">
        <v>0</v>
      </c>
      <c r="AF1202" s="75">
        <v>0</v>
      </c>
      <c r="AG1202" s="1122">
        <v>0</v>
      </c>
      <c r="AH1202" s="505">
        <f t="shared" si="327"/>
        <v>120000</v>
      </c>
      <c r="AI1202" s="132"/>
      <c r="AJ1202" s="75">
        <f>+W1206+Z1206+AC1206+AF1206</f>
        <v>0</v>
      </c>
      <c r="AK1202" s="258"/>
      <c r="AL1202" s="258"/>
      <c r="AM1202" s="258"/>
      <c r="AN1202" s="171" t="s">
        <v>39</v>
      </c>
      <c r="AO1202" s="171"/>
      <c r="AP1202" s="171"/>
      <c r="AQ1202" s="418"/>
      <c r="AS1202" s="484"/>
      <c r="AV1202" s="1097"/>
      <c r="AW1202" s="185" t="s">
        <v>2813</v>
      </c>
    </row>
    <row r="1203" spans="1:49" s="153" customFormat="1" ht="32.450000000000003" customHeight="1" outlineLevel="1" collapsed="1" x14ac:dyDescent="0.25">
      <c r="A1203" s="148" t="str">
        <f t="shared" si="306"/>
        <v>3.13.0.8.0.0</v>
      </c>
      <c r="B1203" s="82">
        <v>3</v>
      </c>
      <c r="C1203" s="82">
        <v>13</v>
      </c>
      <c r="D1203" s="82">
        <v>0</v>
      </c>
      <c r="E1203" s="82">
        <v>8</v>
      </c>
      <c r="F1203" s="82">
        <v>0</v>
      </c>
      <c r="G1203" s="82">
        <v>0</v>
      </c>
      <c r="H1203" s="149"/>
      <c r="I1203" s="149"/>
      <c r="J1203" s="1289" t="s">
        <v>1193</v>
      </c>
      <c r="K1203" s="1290"/>
      <c r="L1203" s="82" t="s">
        <v>208</v>
      </c>
      <c r="M1203" s="82" t="s">
        <v>1195</v>
      </c>
      <c r="N1203" s="82" t="s">
        <v>198</v>
      </c>
      <c r="O1203" s="82" t="s">
        <v>359</v>
      </c>
      <c r="P1203" s="82"/>
      <c r="Q1203" s="82"/>
      <c r="R1203" s="82"/>
      <c r="S1203" s="149"/>
      <c r="T1203" s="193"/>
      <c r="U1203" s="379">
        <f>SUM(U1204:U1206)</f>
        <v>0</v>
      </c>
      <c r="V1203" s="379"/>
      <c r="W1203" s="379">
        <f t="shared" ref="W1203:AJ1203" si="328">SUM(W1204:W1206)</f>
        <v>0</v>
      </c>
      <c r="X1203" s="1130">
        <f t="shared" si="328"/>
        <v>0</v>
      </c>
      <c r="Y1203" s="379">
        <f>SUM(Y1204:Y1206)</f>
        <v>0</v>
      </c>
      <c r="Z1203" s="379">
        <f t="shared" si="328"/>
        <v>0</v>
      </c>
      <c r="AA1203" s="1130">
        <f t="shared" si="328"/>
        <v>0</v>
      </c>
      <c r="AB1203" s="379">
        <f>SUM(AB1204:AB1206)</f>
        <v>0</v>
      </c>
      <c r="AC1203" s="379">
        <f t="shared" si="328"/>
        <v>0</v>
      </c>
      <c r="AD1203" s="1130">
        <f t="shared" si="328"/>
        <v>0</v>
      </c>
      <c r="AE1203" s="379">
        <f>SUM(AE1204:AE1206)</f>
        <v>0</v>
      </c>
      <c r="AF1203" s="379">
        <f t="shared" si="328"/>
        <v>0</v>
      </c>
      <c r="AG1203" s="1130">
        <f t="shared" si="328"/>
        <v>0</v>
      </c>
      <c r="AH1203" s="379">
        <f>SUM(AH1204:AH1206)</f>
        <v>0</v>
      </c>
      <c r="AI1203" s="379">
        <f t="shared" si="328"/>
        <v>0</v>
      </c>
      <c r="AJ1203" s="379">
        <f t="shared" si="328"/>
        <v>0</v>
      </c>
      <c r="AK1203" s="152"/>
      <c r="AL1203" s="152"/>
      <c r="AM1203" s="152"/>
      <c r="AN1203" s="82" t="s">
        <v>39</v>
      </c>
      <c r="AO1203" s="82"/>
      <c r="AP1203" s="82"/>
      <c r="AQ1203" s="365"/>
      <c r="AR1203" s="82"/>
      <c r="AS1203" s="483"/>
      <c r="AT1203" s="82"/>
      <c r="AU1203" s="666"/>
      <c r="AV1203" s="379">
        <f t="shared" ref="AV1203" si="329">SUM(AV1204:AV1206)</f>
        <v>0</v>
      </c>
      <c r="AW1203" s="444"/>
    </row>
    <row r="1204" spans="1:49" ht="24" hidden="1" customHeight="1" outlineLevel="3" x14ac:dyDescent="0.25">
      <c r="A1204" s="63" t="str">
        <f t="shared" si="306"/>
        <v>3.13.0.8.1.58-64</v>
      </c>
      <c r="B1204" s="64">
        <v>3</v>
      </c>
      <c r="C1204" s="64">
        <v>13</v>
      </c>
      <c r="D1204" s="64">
        <v>0</v>
      </c>
      <c r="E1204" s="64">
        <v>8</v>
      </c>
      <c r="F1204" s="64">
        <v>1</v>
      </c>
      <c r="G1204" s="64" t="s">
        <v>64</v>
      </c>
      <c r="H1204" s="65"/>
      <c r="I1204" s="65"/>
      <c r="J1204" s="66"/>
      <c r="K1204" s="65" t="s">
        <v>1402</v>
      </c>
      <c r="L1204" s="64" t="s">
        <v>208</v>
      </c>
      <c r="M1204" s="64" t="s">
        <v>1195</v>
      </c>
      <c r="N1204" s="64" t="s">
        <v>198</v>
      </c>
      <c r="O1204" s="64" t="s">
        <v>359</v>
      </c>
      <c r="P1204" s="69">
        <v>44927</v>
      </c>
      <c r="Q1204" s="69">
        <v>45291</v>
      </c>
      <c r="R1204" s="64">
        <f>T1204+X1204+AA1204+AD1204</f>
        <v>13</v>
      </c>
      <c r="S1204" s="65" t="s">
        <v>760</v>
      </c>
      <c r="T1204" s="194">
        <v>13</v>
      </c>
      <c r="U1204" s="75">
        <v>0</v>
      </c>
      <c r="V1204" s="75"/>
      <c r="W1204" s="75">
        <v>0</v>
      </c>
      <c r="X1204" s="1122">
        <v>0</v>
      </c>
      <c r="Y1204" s="75">
        <v>0</v>
      </c>
      <c r="Z1204" s="75">
        <v>0</v>
      </c>
      <c r="AA1204" s="1122">
        <v>0</v>
      </c>
      <c r="AB1204" s="75">
        <v>0</v>
      </c>
      <c r="AC1204" s="75">
        <v>0</v>
      </c>
      <c r="AD1204" s="1122">
        <v>0</v>
      </c>
      <c r="AE1204" s="75">
        <v>0</v>
      </c>
      <c r="AF1204" s="75">
        <v>0</v>
      </c>
      <c r="AG1204" s="1122">
        <v>0</v>
      </c>
      <c r="AH1204" s="505">
        <f>+U1204+Y1204+AB1204+AE1204</f>
        <v>0</v>
      </c>
      <c r="AI1204" s="132"/>
      <c r="AJ1204" s="75">
        <f t="shared" ref="AJ1204:AJ1209" si="330">+W1205+Z1205+AC1205+AF1205</f>
        <v>0</v>
      </c>
      <c r="AK1204" s="75"/>
      <c r="AL1204" s="75"/>
      <c r="AM1204" s="75"/>
      <c r="AN1204" s="64" t="s">
        <v>39</v>
      </c>
      <c r="AO1204" s="64"/>
      <c r="AP1204" s="64"/>
      <c r="AQ1204" s="189"/>
      <c r="AR1204" s="64"/>
      <c r="AS1204" s="476"/>
      <c r="AT1204" s="64"/>
      <c r="AU1204" s="646"/>
      <c r="AV1204" s="259" t="s">
        <v>765</v>
      </c>
      <c r="AW1204" s="185" t="s">
        <v>1029</v>
      </c>
    </row>
    <row r="1205" spans="1:49" ht="24" hidden="1" customHeight="1" outlineLevel="3" x14ac:dyDescent="0.25">
      <c r="A1205" s="63" t="str">
        <f>CONCATENATE(B1205,".",C1205,".",D1205,".",E1205,".",F1205,".",G1205)</f>
        <v>3.13.0.8.2.58-64</v>
      </c>
      <c r="B1205" s="64">
        <v>3</v>
      </c>
      <c r="C1205" s="64">
        <v>13</v>
      </c>
      <c r="D1205" s="64">
        <v>0</v>
      </c>
      <c r="E1205" s="64">
        <v>8</v>
      </c>
      <c r="F1205" s="64">
        <v>2</v>
      </c>
      <c r="G1205" s="64" t="s">
        <v>64</v>
      </c>
      <c r="H1205" s="65"/>
      <c r="I1205" s="65"/>
      <c r="J1205" s="66"/>
      <c r="K1205" s="65" t="s">
        <v>1403</v>
      </c>
      <c r="L1205" s="64" t="s">
        <v>208</v>
      </c>
      <c r="M1205" s="64" t="s">
        <v>1195</v>
      </c>
      <c r="N1205" s="64" t="s">
        <v>198</v>
      </c>
      <c r="O1205" s="64" t="s">
        <v>359</v>
      </c>
      <c r="P1205" s="69">
        <v>44927</v>
      </c>
      <c r="Q1205" s="69">
        <v>45291</v>
      </c>
      <c r="R1205" s="64">
        <f>T1205+X1205+AA1205+AD1205</f>
        <v>1</v>
      </c>
      <c r="S1205" s="65" t="s">
        <v>760</v>
      </c>
      <c r="T1205" s="194">
        <v>1</v>
      </c>
      <c r="U1205" s="75">
        <v>0</v>
      </c>
      <c r="V1205" s="75"/>
      <c r="W1205" s="75">
        <v>0</v>
      </c>
      <c r="X1205" s="1122">
        <v>0</v>
      </c>
      <c r="Y1205" s="75">
        <v>0</v>
      </c>
      <c r="Z1205" s="75">
        <v>0</v>
      </c>
      <c r="AA1205" s="1122">
        <v>0</v>
      </c>
      <c r="AB1205" s="75">
        <v>0</v>
      </c>
      <c r="AC1205" s="75">
        <v>0</v>
      </c>
      <c r="AD1205" s="1122">
        <v>0</v>
      </c>
      <c r="AE1205" s="75">
        <v>0</v>
      </c>
      <c r="AF1205" s="75">
        <v>0</v>
      </c>
      <c r="AG1205" s="1122">
        <v>0</v>
      </c>
      <c r="AH1205" s="505">
        <f t="shared" ref="AH1205:AH1206" si="331">+U1205+Y1205+AB1205+AE1205</f>
        <v>0</v>
      </c>
      <c r="AI1205" s="132"/>
      <c r="AJ1205" s="75">
        <f t="shared" si="330"/>
        <v>0</v>
      </c>
      <c r="AK1205" s="75"/>
      <c r="AL1205" s="75"/>
      <c r="AM1205" s="75"/>
      <c r="AN1205" s="64" t="s">
        <v>39</v>
      </c>
      <c r="AO1205" s="64"/>
      <c r="AP1205" s="64"/>
      <c r="AQ1205" s="189"/>
      <c r="AR1205" s="64"/>
      <c r="AS1205" s="476"/>
      <c r="AT1205" s="64"/>
      <c r="AU1205" s="646"/>
      <c r="AV1205" s="259" t="s">
        <v>765</v>
      </c>
      <c r="AW1205" s="185" t="s">
        <v>1029</v>
      </c>
    </row>
    <row r="1206" spans="1:49" ht="24" hidden="1" customHeight="1" outlineLevel="3" x14ac:dyDescent="0.25">
      <c r="A1206" s="63" t="str">
        <f t="shared" si="306"/>
        <v>3.13.0.8.3.58-64</v>
      </c>
      <c r="B1206" s="64">
        <v>3</v>
      </c>
      <c r="C1206" s="64">
        <v>13</v>
      </c>
      <c r="D1206" s="64">
        <v>0</v>
      </c>
      <c r="E1206" s="64">
        <v>8</v>
      </c>
      <c r="F1206" s="64">
        <v>3</v>
      </c>
      <c r="G1206" s="64" t="s">
        <v>64</v>
      </c>
      <c r="H1206" s="65"/>
      <c r="I1206" s="65"/>
      <c r="J1206" s="66"/>
      <c r="K1206" s="65" t="s">
        <v>1404</v>
      </c>
      <c r="L1206" s="64" t="s">
        <v>208</v>
      </c>
      <c r="M1206" s="64" t="s">
        <v>1195</v>
      </c>
      <c r="N1206" s="64" t="s">
        <v>198</v>
      </c>
      <c r="O1206" s="64" t="s">
        <v>359</v>
      </c>
      <c r="P1206" s="69">
        <v>44927</v>
      </c>
      <c r="Q1206" s="69">
        <v>45291</v>
      </c>
      <c r="R1206" s="64">
        <f>T1206+X1206+AA1206+AD1206</f>
        <v>0</v>
      </c>
      <c r="S1206" s="65" t="s">
        <v>760</v>
      </c>
      <c r="T1206" s="194">
        <v>0</v>
      </c>
      <c r="U1206" s="75">
        <v>0</v>
      </c>
      <c r="V1206" s="75"/>
      <c r="W1206" s="75">
        <v>0</v>
      </c>
      <c r="X1206" s="1122">
        <v>0</v>
      </c>
      <c r="Y1206" s="75">
        <v>0</v>
      </c>
      <c r="Z1206" s="75">
        <v>0</v>
      </c>
      <c r="AA1206" s="1122">
        <v>0</v>
      </c>
      <c r="AB1206" s="75">
        <v>0</v>
      </c>
      <c r="AC1206" s="75">
        <v>0</v>
      </c>
      <c r="AD1206" s="1122">
        <v>0</v>
      </c>
      <c r="AE1206" s="75">
        <v>0</v>
      </c>
      <c r="AF1206" s="75">
        <v>0</v>
      </c>
      <c r="AG1206" s="1122">
        <v>0</v>
      </c>
      <c r="AH1206" s="505">
        <f t="shared" si="331"/>
        <v>0</v>
      </c>
      <c r="AI1206" s="132"/>
      <c r="AJ1206" s="75">
        <f t="shared" si="330"/>
        <v>0</v>
      </c>
      <c r="AK1206" s="75"/>
      <c r="AL1206" s="75"/>
      <c r="AM1206" s="75"/>
      <c r="AN1206" s="64" t="s">
        <v>39</v>
      </c>
      <c r="AO1206" s="64"/>
      <c r="AP1206" s="64"/>
      <c r="AQ1206" s="189"/>
      <c r="AR1206" s="64"/>
      <c r="AS1206" s="476"/>
      <c r="AT1206" s="64"/>
      <c r="AU1206" s="646"/>
      <c r="AV1206" s="259" t="s">
        <v>765</v>
      </c>
      <c r="AW1206" s="185" t="s">
        <v>1029</v>
      </c>
    </row>
    <row r="1207" spans="1:49" s="153" customFormat="1" ht="33.6" customHeight="1" outlineLevel="1" collapsed="1" x14ac:dyDescent="0.25">
      <c r="A1207" s="148" t="str">
        <f t="shared" si="306"/>
        <v>3.13.0.9.0.0</v>
      </c>
      <c r="B1207" s="82">
        <v>3</v>
      </c>
      <c r="C1207" s="82">
        <v>13</v>
      </c>
      <c r="D1207" s="82">
        <v>0</v>
      </c>
      <c r="E1207" s="82">
        <v>9</v>
      </c>
      <c r="F1207" s="82">
        <v>0</v>
      </c>
      <c r="G1207" s="82">
        <v>0</v>
      </c>
      <c r="H1207" s="149"/>
      <c r="I1207" s="149"/>
      <c r="J1207" s="1289" t="s">
        <v>1405</v>
      </c>
      <c r="K1207" s="1290"/>
      <c r="L1207" s="82" t="s">
        <v>208</v>
      </c>
      <c r="M1207" s="82"/>
      <c r="N1207" s="82"/>
      <c r="O1207" s="82"/>
      <c r="P1207" s="82"/>
      <c r="Q1207" s="82"/>
      <c r="R1207" s="82"/>
      <c r="S1207" s="149"/>
      <c r="T1207" s="193"/>
      <c r="U1207" s="379">
        <f>SUM(U1208:U1209)</f>
        <v>0</v>
      </c>
      <c r="V1207" s="379"/>
      <c r="W1207" s="379">
        <f t="shared" ref="W1207:AH1207" si="332">SUM(W1208:W1209)</f>
        <v>0</v>
      </c>
      <c r="X1207" s="1130">
        <f t="shared" si="332"/>
        <v>0</v>
      </c>
      <c r="Y1207" s="379">
        <f>SUM(Y1208:Y1209)</f>
        <v>0</v>
      </c>
      <c r="Z1207" s="379">
        <f t="shared" si="332"/>
        <v>0</v>
      </c>
      <c r="AA1207" s="1130">
        <f t="shared" si="332"/>
        <v>0</v>
      </c>
      <c r="AB1207" s="379">
        <f>SUM(AB1208:AB1209)</f>
        <v>0</v>
      </c>
      <c r="AC1207" s="379">
        <f t="shared" si="332"/>
        <v>0</v>
      </c>
      <c r="AD1207" s="1130">
        <f t="shared" si="332"/>
        <v>0</v>
      </c>
      <c r="AE1207" s="379">
        <f>SUM(AE1208:AE1209)</f>
        <v>0</v>
      </c>
      <c r="AF1207" s="379">
        <f t="shared" si="332"/>
        <v>0</v>
      </c>
      <c r="AG1207" s="1130">
        <f t="shared" si="332"/>
        <v>0</v>
      </c>
      <c r="AH1207" s="379">
        <f>SUM(AH1208:AH1209)</f>
        <v>0</v>
      </c>
      <c r="AI1207" s="379"/>
      <c r="AJ1207" s="379">
        <f t="shared" si="330"/>
        <v>0</v>
      </c>
      <c r="AK1207" s="152"/>
      <c r="AL1207" s="152"/>
      <c r="AM1207" s="152"/>
      <c r="AN1207" s="82" t="s">
        <v>39</v>
      </c>
      <c r="AO1207" s="82"/>
      <c r="AP1207" s="82"/>
      <c r="AQ1207" s="365"/>
      <c r="AR1207" s="82"/>
      <c r="AS1207" s="483"/>
      <c r="AT1207" s="82"/>
      <c r="AU1207" s="666"/>
      <c r="AV1207" s="379">
        <f t="shared" ref="AV1207" si="333">SUM(AV1208:AV1209)</f>
        <v>0</v>
      </c>
      <c r="AW1207" s="444"/>
    </row>
    <row r="1208" spans="1:49" ht="24" hidden="1" customHeight="1" outlineLevel="2" x14ac:dyDescent="0.25">
      <c r="A1208" s="63" t="str">
        <f t="shared" si="306"/>
        <v>3.13.0.9.1.58-64</v>
      </c>
      <c r="B1208" s="64">
        <v>3</v>
      </c>
      <c r="C1208" s="64">
        <v>13</v>
      </c>
      <c r="D1208" s="64">
        <v>0</v>
      </c>
      <c r="E1208" s="64">
        <v>9</v>
      </c>
      <c r="F1208" s="64">
        <v>1</v>
      </c>
      <c r="G1208" s="64" t="s">
        <v>64</v>
      </c>
      <c r="H1208" s="65"/>
      <c r="I1208" s="65"/>
      <c r="J1208" s="66"/>
      <c r="K1208" s="65" t="s">
        <v>1406</v>
      </c>
      <c r="L1208" s="64" t="s">
        <v>208</v>
      </c>
      <c r="M1208" s="64" t="s">
        <v>1195</v>
      </c>
      <c r="N1208" s="64" t="s">
        <v>1407</v>
      </c>
      <c r="O1208" s="64" t="s">
        <v>359</v>
      </c>
      <c r="P1208" s="69">
        <v>44951</v>
      </c>
      <c r="Q1208" s="69">
        <v>45285</v>
      </c>
      <c r="R1208" s="64">
        <f>T1208+X1208+AA1208+AD1208</f>
        <v>3</v>
      </c>
      <c r="S1208" s="65" t="s">
        <v>760</v>
      </c>
      <c r="T1208" s="194">
        <v>3</v>
      </c>
      <c r="U1208" s="75">
        <v>0</v>
      </c>
      <c r="V1208" s="75"/>
      <c r="W1208" s="75">
        <v>0</v>
      </c>
      <c r="X1208" s="1122">
        <v>0</v>
      </c>
      <c r="Y1208" s="75">
        <v>0</v>
      </c>
      <c r="Z1208" s="75">
        <v>0</v>
      </c>
      <c r="AA1208" s="1122">
        <v>0</v>
      </c>
      <c r="AB1208" s="75">
        <v>0</v>
      </c>
      <c r="AC1208" s="75">
        <v>0</v>
      </c>
      <c r="AD1208" s="1122">
        <v>0</v>
      </c>
      <c r="AE1208" s="75">
        <v>0</v>
      </c>
      <c r="AF1208" s="75">
        <v>0</v>
      </c>
      <c r="AG1208" s="1122">
        <v>0</v>
      </c>
      <c r="AH1208" s="505">
        <f>+U1208+Y1208+AB1208+AE1208</f>
        <v>0</v>
      </c>
      <c r="AI1208" s="132"/>
      <c r="AJ1208" s="75">
        <f t="shared" si="330"/>
        <v>0</v>
      </c>
      <c r="AK1208" s="75"/>
      <c r="AL1208" s="75"/>
      <c r="AM1208" s="75"/>
      <c r="AN1208" s="64" t="s">
        <v>39</v>
      </c>
      <c r="AO1208" s="64"/>
      <c r="AP1208" s="64"/>
      <c r="AQ1208" s="189"/>
      <c r="AR1208" s="64"/>
      <c r="AS1208" s="476"/>
      <c r="AT1208" s="64"/>
      <c r="AU1208" s="646"/>
      <c r="AV1208" s="259" t="s">
        <v>765</v>
      </c>
      <c r="AW1208" s="185"/>
    </row>
    <row r="1209" spans="1:49" ht="24" hidden="1" customHeight="1" outlineLevel="2" x14ac:dyDescent="0.25">
      <c r="A1209" s="63" t="str">
        <f t="shared" si="306"/>
        <v>3.13.0.9.2.58-64</v>
      </c>
      <c r="B1209" s="64">
        <v>3</v>
      </c>
      <c r="C1209" s="64">
        <v>13</v>
      </c>
      <c r="D1209" s="64">
        <v>0</v>
      </c>
      <c r="E1209" s="64">
        <v>9</v>
      </c>
      <c r="F1209" s="64">
        <v>2</v>
      </c>
      <c r="G1209" s="64" t="s">
        <v>64</v>
      </c>
      <c r="H1209" s="65"/>
      <c r="I1209" s="65"/>
      <c r="J1209" s="66"/>
      <c r="K1209" s="65" t="s">
        <v>1408</v>
      </c>
      <c r="L1209" s="64" t="s">
        <v>208</v>
      </c>
      <c r="M1209" s="64" t="s">
        <v>1195</v>
      </c>
      <c r="N1209" s="64" t="s">
        <v>1407</v>
      </c>
      <c r="O1209" s="64" t="s">
        <v>359</v>
      </c>
      <c r="P1209" s="69">
        <v>44952</v>
      </c>
      <c r="Q1209" s="69">
        <v>45286</v>
      </c>
      <c r="R1209" s="64">
        <f>T1209+X1209+AA1209+AD1209</f>
        <v>3</v>
      </c>
      <c r="S1209" s="65" t="s">
        <v>760</v>
      </c>
      <c r="T1209" s="194">
        <v>3</v>
      </c>
      <c r="U1209" s="75">
        <v>0</v>
      </c>
      <c r="V1209" s="75"/>
      <c r="W1209" s="75">
        <v>0</v>
      </c>
      <c r="X1209" s="1122">
        <v>0</v>
      </c>
      <c r="Y1209" s="75">
        <v>0</v>
      </c>
      <c r="Z1209" s="75">
        <v>0</v>
      </c>
      <c r="AA1209" s="1122">
        <v>0</v>
      </c>
      <c r="AB1209" s="75">
        <v>0</v>
      </c>
      <c r="AC1209" s="75">
        <v>0</v>
      </c>
      <c r="AD1209" s="1122">
        <v>0</v>
      </c>
      <c r="AE1209" s="75">
        <v>0</v>
      </c>
      <c r="AF1209" s="75">
        <v>0</v>
      </c>
      <c r="AG1209" s="1122">
        <v>0</v>
      </c>
      <c r="AH1209" s="505">
        <f>+U1209+Y1209+AB1209+AE1209</f>
        <v>0</v>
      </c>
      <c r="AI1209" s="132"/>
      <c r="AJ1209" s="75">
        <f t="shared" si="330"/>
        <v>850000</v>
      </c>
      <c r="AK1209" s="75"/>
      <c r="AL1209" s="75"/>
      <c r="AM1209" s="75"/>
      <c r="AN1209" s="64" t="s">
        <v>39</v>
      </c>
      <c r="AO1209" s="64"/>
      <c r="AP1209" s="64"/>
      <c r="AQ1209" s="189"/>
      <c r="AR1209" s="64"/>
      <c r="AS1209" s="476"/>
      <c r="AT1209" s="64"/>
      <c r="AU1209" s="646"/>
      <c r="AV1209" s="259" t="s">
        <v>765</v>
      </c>
      <c r="AW1209" s="185"/>
    </row>
    <row r="1210" spans="1:49" s="153" customFormat="1" ht="36" customHeight="1" outlineLevel="1" x14ac:dyDescent="0.25">
      <c r="A1210" s="108" t="str">
        <f t="shared" si="306"/>
        <v>3.14.0.0.0.0</v>
      </c>
      <c r="B1210" s="109">
        <v>3</v>
      </c>
      <c r="C1210" s="109">
        <v>14</v>
      </c>
      <c r="D1210" s="109">
        <v>0</v>
      </c>
      <c r="E1210" s="109">
        <v>0</v>
      </c>
      <c r="F1210" s="109">
        <v>0</v>
      </c>
      <c r="G1210" s="109">
        <v>0</v>
      </c>
      <c r="H1210" s="110"/>
      <c r="I1210" s="1258" t="s">
        <v>1409</v>
      </c>
      <c r="J1210" s="1259"/>
      <c r="K1210" s="1259"/>
      <c r="L1210" s="109" t="s">
        <v>1410</v>
      </c>
      <c r="M1210" s="109">
        <v>0</v>
      </c>
      <c r="N1210" s="109">
        <v>0</v>
      </c>
      <c r="O1210" s="109">
        <v>0</v>
      </c>
      <c r="P1210" s="109"/>
      <c r="Q1210" s="109"/>
      <c r="R1210" s="109"/>
      <c r="S1210" s="110"/>
      <c r="T1210" s="1183"/>
      <c r="U1210" s="374">
        <f t="shared" ref="U1210:AH1210" si="334">+SUM(U1225+U1215+U1211+U1235)</f>
        <v>1313750</v>
      </c>
      <c r="V1210" s="374"/>
      <c r="W1210" s="374">
        <f t="shared" si="334"/>
        <v>60000</v>
      </c>
      <c r="X1210" s="1144">
        <f t="shared" si="334"/>
        <v>0</v>
      </c>
      <c r="Y1210" s="374">
        <f t="shared" si="334"/>
        <v>3160444.36</v>
      </c>
      <c r="Z1210" s="374">
        <f t="shared" si="334"/>
        <v>790000</v>
      </c>
      <c r="AA1210" s="1144">
        <f t="shared" si="334"/>
        <v>0</v>
      </c>
      <c r="AB1210" s="374">
        <f t="shared" si="334"/>
        <v>2120000</v>
      </c>
      <c r="AC1210" s="374">
        <f t="shared" si="334"/>
        <v>0</v>
      </c>
      <c r="AD1210" s="1144">
        <f t="shared" si="334"/>
        <v>0</v>
      </c>
      <c r="AE1210" s="374">
        <f t="shared" si="334"/>
        <v>1370000</v>
      </c>
      <c r="AF1210" s="374">
        <f t="shared" si="334"/>
        <v>0</v>
      </c>
      <c r="AG1210" s="1144">
        <f t="shared" si="334"/>
        <v>0</v>
      </c>
      <c r="AH1210" s="374">
        <f t="shared" si="334"/>
        <v>7964194.3599999994</v>
      </c>
      <c r="AI1210" s="514">
        <f>+SUM(AI1225+AI1215+AI1211+AI1235)</f>
        <v>0</v>
      </c>
      <c r="AJ1210" s="514">
        <f>+SUM(AJ1225+AJ1215+AJ1211+AJ1235)</f>
        <v>850000</v>
      </c>
      <c r="AK1210" s="112"/>
      <c r="AL1210" s="112"/>
      <c r="AM1210" s="112"/>
      <c r="AN1210" s="109" t="s">
        <v>181</v>
      </c>
      <c r="AO1210" s="109"/>
      <c r="AP1210" s="109"/>
      <c r="AQ1210" s="411"/>
      <c r="AR1210" s="109"/>
      <c r="AS1210" s="473"/>
      <c r="AT1210" s="109"/>
      <c r="AU1210" s="659"/>
      <c r="AV1210" s="374"/>
      <c r="AW1210" s="429"/>
    </row>
    <row r="1211" spans="1:49" s="153" customFormat="1" ht="25.5" customHeight="1" outlineLevel="1" collapsed="1" x14ac:dyDescent="0.25">
      <c r="A1211" s="148" t="str">
        <f t="shared" si="306"/>
        <v>3.14.0.1.0.0</v>
      </c>
      <c r="B1211" s="82">
        <v>3</v>
      </c>
      <c r="C1211" s="82">
        <v>14</v>
      </c>
      <c r="D1211" s="82">
        <v>0</v>
      </c>
      <c r="E1211" s="82">
        <v>1</v>
      </c>
      <c r="F1211" s="82">
        <v>0</v>
      </c>
      <c r="G1211" s="82">
        <v>0</v>
      </c>
      <c r="H1211" s="149"/>
      <c r="I1211" s="149"/>
      <c r="J1211" s="1260" t="s">
        <v>1412</v>
      </c>
      <c r="K1211" s="1259"/>
      <c r="L1211" s="82" t="s">
        <v>1410</v>
      </c>
      <c r="M1211" s="82" t="s">
        <v>1413</v>
      </c>
      <c r="N1211" s="82" t="s">
        <v>1414</v>
      </c>
      <c r="O1211" s="84" t="s">
        <v>1415</v>
      </c>
      <c r="P1211" s="84"/>
      <c r="Q1211" s="84"/>
      <c r="R1211" s="82" t="s">
        <v>887</v>
      </c>
      <c r="S1211" s="149" t="s">
        <v>1416</v>
      </c>
      <c r="T1211" s="193" t="s">
        <v>887</v>
      </c>
      <c r="U1211" s="379">
        <f>+SUM(U1212:U1214)</f>
        <v>3750</v>
      </c>
      <c r="V1211" s="379"/>
      <c r="W1211" s="379">
        <f t="shared" ref="W1211:AH1211" si="335">+SUM(W1212:W1214)</f>
        <v>0</v>
      </c>
      <c r="X1211" s="1130">
        <f t="shared" si="335"/>
        <v>0</v>
      </c>
      <c r="Y1211" s="379">
        <f>+SUM(Y1212:Y1214)</f>
        <v>0</v>
      </c>
      <c r="Z1211" s="379">
        <f t="shared" si="335"/>
        <v>0</v>
      </c>
      <c r="AA1211" s="1130">
        <f t="shared" si="335"/>
        <v>0</v>
      </c>
      <c r="AB1211" s="379">
        <f>+SUM(AB1212:AB1214)</f>
        <v>0</v>
      </c>
      <c r="AC1211" s="379">
        <f t="shared" si="335"/>
        <v>0</v>
      </c>
      <c r="AD1211" s="1130">
        <f t="shared" si="335"/>
        <v>0</v>
      </c>
      <c r="AE1211" s="379">
        <f>+SUM(AE1212:AE1214)</f>
        <v>0</v>
      </c>
      <c r="AF1211" s="379">
        <f t="shared" si="335"/>
        <v>0</v>
      </c>
      <c r="AG1211" s="1130">
        <f t="shared" si="335"/>
        <v>0</v>
      </c>
      <c r="AH1211" s="379">
        <f>+SUM(AH1212:AH1214)</f>
        <v>3750</v>
      </c>
      <c r="AI1211" s="512">
        <f>+SUM(AI1212:AI1213)</f>
        <v>0</v>
      </c>
      <c r="AJ1211" s="512">
        <f>+SUM(AJ1212:AJ1213)</f>
        <v>0</v>
      </c>
      <c r="AK1211" s="152"/>
      <c r="AL1211" s="152"/>
      <c r="AM1211" s="152"/>
      <c r="AN1211" s="82" t="s">
        <v>181</v>
      </c>
      <c r="AO1211" s="82"/>
      <c r="AP1211" s="82"/>
      <c r="AQ1211" s="365"/>
      <c r="AR1211" s="82"/>
      <c r="AS1211" s="483"/>
      <c r="AT1211" s="82"/>
      <c r="AU1211" s="666"/>
      <c r="AV1211" s="379"/>
      <c r="AW1211" s="444"/>
    </row>
    <row r="1212" spans="1:49" ht="39" hidden="1" customHeight="1" outlineLevel="3" x14ac:dyDescent="0.25">
      <c r="A1212" s="63" t="str">
        <f t="shared" si="306"/>
        <v>3.14.0.1.1.0</v>
      </c>
      <c r="B1212" s="64">
        <v>3</v>
      </c>
      <c r="C1212" s="64">
        <v>14</v>
      </c>
      <c r="D1212" s="64">
        <v>0</v>
      </c>
      <c r="E1212" s="64">
        <v>1</v>
      </c>
      <c r="F1212" s="64">
        <v>1</v>
      </c>
      <c r="G1212" s="64">
        <v>0</v>
      </c>
      <c r="H1212" s="65"/>
      <c r="I1212" s="65"/>
      <c r="J1212" s="66"/>
      <c r="K1212" s="67" t="s">
        <v>1417</v>
      </c>
      <c r="L1212" s="64" t="s">
        <v>1410</v>
      </c>
      <c r="M1212" s="64" t="s">
        <v>1418</v>
      </c>
      <c r="N1212" s="64" t="s">
        <v>1414</v>
      </c>
      <c r="O1212" s="64" t="s">
        <v>44</v>
      </c>
      <c r="P1212" s="69">
        <v>44927</v>
      </c>
      <c r="Q1212" s="69">
        <v>45261</v>
      </c>
      <c r="R1212" s="64" t="s">
        <v>887</v>
      </c>
      <c r="S1212" s="65" t="s">
        <v>1419</v>
      </c>
      <c r="T1212" s="194" t="s">
        <v>887</v>
      </c>
      <c r="U1212" s="75">
        <v>0</v>
      </c>
      <c r="V1212" s="75"/>
      <c r="W1212" s="75">
        <v>0</v>
      </c>
      <c r="X1212" s="1122">
        <v>0</v>
      </c>
      <c r="Y1212" s="75">
        <v>0</v>
      </c>
      <c r="Z1212" s="75">
        <v>0</v>
      </c>
      <c r="AA1212" s="1122">
        <v>0</v>
      </c>
      <c r="AB1212" s="75">
        <v>0</v>
      </c>
      <c r="AC1212" s="75">
        <v>0</v>
      </c>
      <c r="AD1212" s="1122">
        <v>0</v>
      </c>
      <c r="AE1212" s="75">
        <v>0</v>
      </c>
      <c r="AF1212" s="75">
        <v>0</v>
      </c>
      <c r="AG1212" s="1122">
        <v>0</v>
      </c>
      <c r="AH1212" s="505">
        <f>+U1212+Y1212+AB1212+AE1212</f>
        <v>0</v>
      </c>
      <c r="AI1212" s="132"/>
      <c r="AJ1212" s="75">
        <f t="shared" ref="AJ1212" si="336">+W1213+Z1213+AC1213+AF1213</f>
        <v>0</v>
      </c>
      <c r="AK1212" s="75"/>
      <c r="AL1212" s="75"/>
      <c r="AM1212" s="75"/>
      <c r="AN1212" s="64" t="s">
        <v>181</v>
      </c>
      <c r="AO1212" s="64"/>
      <c r="AP1212" s="64"/>
      <c r="AQ1212" s="189"/>
      <c r="AR1212" s="64"/>
      <c r="AS1212" s="476"/>
      <c r="AT1212" s="64"/>
      <c r="AU1212" s="646"/>
      <c r="AV1212" s="65"/>
      <c r="AW1212" s="65"/>
    </row>
    <row r="1213" spans="1:49" ht="24.6" hidden="1" customHeight="1" outlineLevel="3" x14ac:dyDescent="0.25">
      <c r="A1213" s="63" t="str">
        <f t="shared" si="306"/>
        <v>3.14.0.1.2.0</v>
      </c>
      <c r="B1213" s="64">
        <v>3</v>
      </c>
      <c r="C1213" s="64">
        <v>14</v>
      </c>
      <c r="D1213" s="64">
        <v>0</v>
      </c>
      <c r="E1213" s="64">
        <v>1</v>
      </c>
      <c r="F1213" s="64">
        <v>2</v>
      </c>
      <c r="G1213" s="64">
        <v>0</v>
      </c>
      <c r="H1213" s="65"/>
      <c r="I1213" s="65"/>
      <c r="J1213" s="66"/>
      <c r="K1213" s="65" t="s">
        <v>1420</v>
      </c>
      <c r="L1213" s="64" t="s">
        <v>1410</v>
      </c>
      <c r="M1213" s="64" t="s">
        <v>1421</v>
      </c>
      <c r="N1213" s="64"/>
      <c r="O1213" s="64"/>
      <c r="P1213" s="69"/>
      <c r="Q1213" s="69"/>
      <c r="R1213" s="64"/>
      <c r="S1213" s="65"/>
      <c r="T1213" s="194"/>
      <c r="U1213" s="75">
        <v>0</v>
      </c>
      <c r="V1213" s="75"/>
      <c r="W1213" s="75">
        <v>0</v>
      </c>
      <c r="X1213" s="1122">
        <v>0</v>
      </c>
      <c r="Y1213" s="75">
        <v>0</v>
      </c>
      <c r="Z1213" s="75">
        <v>0</v>
      </c>
      <c r="AA1213" s="1122">
        <v>0</v>
      </c>
      <c r="AB1213" s="75">
        <v>0</v>
      </c>
      <c r="AC1213" s="75">
        <v>0</v>
      </c>
      <c r="AD1213" s="1122">
        <v>0</v>
      </c>
      <c r="AE1213" s="75">
        <v>0</v>
      </c>
      <c r="AF1213" s="75">
        <v>0</v>
      </c>
      <c r="AG1213" s="1122">
        <v>0</v>
      </c>
      <c r="AH1213" s="505">
        <f t="shared" ref="AH1213:AH1214" si="337">+U1213+Y1213+AB1213+AE1213</f>
        <v>0</v>
      </c>
      <c r="AI1213" s="132"/>
      <c r="AJ1213" s="75">
        <f>+W1215+Z1215+AC1215+AF1215</f>
        <v>0</v>
      </c>
      <c r="AK1213" s="75"/>
      <c r="AL1213" s="75"/>
      <c r="AM1213" s="75"/>
      <c r="AN1213" s="64" t="s">
        <v>181</v>
      </c>
      <c r="AO1213" s="64"/>
      <c r="AP1213" s="64"/>
      <c r="AQ1213" s="189"/>
      <c r="AR1213" s="64"/>
      <c r="AS1213" s="476"/>
      <c r="AT1213" s="64"/>
      <c r="AU1213" s="646"/>
      <c r="AV1213" s="65"/>
      <c r="AW1213" s="65"/>
    </row>
    <row r="1214" spans="1:49" ht="37.35" hidden="1" customHeight="1" outlineLevel="3" x14ac:dyDescent="0.25">
      <c r="A1214" s="63" t="str">
        <f t="shared" si="306"/>
        <v>3.14.0.1.2.0</v>
      </c>
      <c r="B1214" s="64">
        <v>3</v>
      </c>
      <c r="C1214" s="64">
        <v>14</v>
      </c>
      <c r="D1214" s="64">
        <v>0</v>
      </c>
      <c r="E1214" s="64">
        <v>1</v>
      </c>
      <c r="F1214" s="64">
        <v>2</v>
      </c>
      <c r="G1214" s="64">
        <v>0</v>
      </c>
      <c r="H1214" s="65"/>
      <c r="I1214" s="65"/>
      <c r="J1214" s="66"/>
      <c r="K1214" s="67" t="s">
        <v>2756</v>
      </c>
      <c r="L1214" s="64"/>
      <c r="M1214" s="64"/>
      <c r="N1214" s="64"/>
      <c r="O1214" s="64"/>
      <c r="P1214" s="69"/>
      <c r="Q1214" s="69"/>
      <c r="R1214" s="64"/>
      <c r="S1214" s="65"/>
      <c r="T1214" s="194"/>
      <c r="U1214" s="75">
        <v>3750</v>
      </c>
      <c r="V1214" s="75"/>
      <c r="W1214" s="75">
        <v>0</v>
      </c>
      <c r="X1214" s="1122">
        <v>0</v>
      </c>
      <c r="Y1214" s="75">
        <v>0</v>
      </c>
      <c r="Z1214" s="75">
        <v>0</v>
      </c>
      <c r="AA1214" s="1122">
        <v>0</v>
      </c>
      <c r="AB1214" s="75">
        <v>0</v>
      </c>
      <c r="AC1214" s="75">
        <v>0</v>
      </c>
      <c r="AD1214" s="1122">
        <v>0</v>
      </c>
      <c r="AE1214" s="75">
        <v>0</v>
      </c>
      <c r="AF1214" s="75">
        <v>0</v>
      </c>
      <c r="AG1214" s="1122">
        <v>0</v>
      </c>
      <c r="AH1214" s="505">
        <f t="shared" si="337"/>
        <v>3750</v>
      </c>
      <c r="AI1214" s="132"/>
      <c r="AJ1214" s="75">
        <f>+W1216+Z1216+AC1216+AF1216</f>
        <v>0</v>
      </c>
      <c r="AK1214" s="75"/>
      <c r="AL1214" s="75"/>
      <c r="AM1214" s="75"/>
      <c r="AN1214" s="64" t="s">
        <v>181</v>
      </c>
      <c r="AO1214" s="64"/>
      <c r="AP1214" s="64"/>
      <c r="AQ1214" s="189"/>
      <c r="AR1214" s="64"/>
      <c r="AS1214" s="476"/>
      <c r="AT1214" s="64"/>
      <c r="AU1214" s="646"/>
      <c r="AV1214" s="65"/>
      <c r="AW1214" s="65" t="s">
        <v>2755</v>
      </c>
    </row>
    <row r="1215" spans="1:49" s="153" customFormat="1" ht="27" customHeight="1" outlineLevel="1" collapsed="1" x14ac:dyDescent="0.25">
      <c r="A1215" s="148" t="str">
        <f t="shared" si="306"/>
        <v>3.14.0.2.0.0</v>
      </c>
      <c r="B1215" s="82">
        <v>3</v>
      </c>
      <c r="C1215" s="82">
        <v>14</v>
      </c>
      <c r="D1215" s="82">
        <v>0</v>
      </c>
      <c r="E1215" s="82">
        <v>2</v>
      </c>
      <c r="F1215" s="82">
        <v>0</v>
      </c>
      <c r="G1215" s="82">
        <v>0</v>
      </c>
      <c r="H1215" s="149"/>
      <c r="I1215" s="149"/>
      <c r="J1215" s="1260" t="s">
        <v>1422</v>
      </c>
      <c r="K1215" s="1259"/>
      <c r="L1215" s="82" t="s">
        <v>1410</v>
      </c>
      <c r="M1215" s="82" t="s">
        <v>1413</v>
      </c>
      <c r="N1215" s="82" t="s">
        <v>1414</v>
      </c>
      <c r="O1215" s="84" t="s">
        <v>1415</v>
      </c>
      <c r="P1215" s="84">
        <v>44562</v>
      </c>
      <c r="Q1215" s="84">
        <v>44926</v>
      </c>
      <c r="R1215" s="82" t="s">
        <v>887</v>
      </c>
      <c r="S1215" s="82" t="s">
        <v>1416</v>
      </c>
      <c r="T1215" s="193" t="s">
        <v>887</v>
      </c>
      <c r="U1215" s="379">
        <f>+SUM(U1216:U1224)</f>
        <v>1250000</v>
      </c>
      <c r="V1215" s="379"/>
      <c r="W1215" s="379">
        <f t="shared" ref="W1215:AG1215" si="338">+SUM(W1216:W1224)</f>
        <v>0</v>
      </c>
      <c r="X1215" s="1130">
        <f t="shared" si="338"/>
        <v>0</v>
      </c>
      <c r="Y1215" s="379">
        <f>+SUM(Y1216:Y1224)</f>
        <v>1743562</v>
      </c>
      <c r="Z1215" s="379">
        <f t="shared" si="338"/>
        <v>0</v>
      </c>
      <c r="AA1215" s="1130">
        <f t="shared" si="338"/>
        <v>0</v>
      </c>
      <c r="AB1215" s="379">
        <f>+SUM(AB1216:AB1224)</f>
        <v>1370000</v>
      </c>
      <c r="AC1215" s="379">
        <f t="shared" si="338"/>
        <v>0</v>
      </c>
      <c r="AD1215" s="1130">
        <f t="shared" si="338"/>
        <v>0</v>
      </c>
      <c r="AE1215" s="379">
        <f>+SUM(AE1216:AE1224)</f>
        <v>1370000</v>
      </c>
      <c r="AF1215" s="379">
        <f t="shared" si="338"/>
        <v>0</v>
      </c>
      <c r="AG1215" s="1130">
        <f t="shared" si="338"/>
        <v>0</v>
      </c>
      <c r="AH1215" s="379">
        <f>+SUM(AH1216:AH1224)</f>
        <v>5733562</v>
      </c>
      <c r="AI1215" s="512">
        <f>+SUM(AI1216)</f>
        <v>0</v>
      </c>
      <c r="AJ1215" s="512">
        <f>+SUM(AJ1216)</f>
        <v>0</v>
      </c>
      <c r="AK1215" s="152"/>
      <c r="AL1215" s="152"/>
      <c r="AM1215" s="152"/>
      <c r="AN1215" s="82" t="s">
        <v>181</v>
      </c>
      <c r="AO1215" s="82"/>
      <c r="AP1215" s="82"/>
      <c r="AQ1215" s="365"/>
      <c r="AR1215" s="82"/>
      <c r="AS1215" s="483"/>
      <c r="AT1215" s="82"/>
      <c r="AU1215" s="666"/>
      <c r="AV1215" s="379">
        <f t="shared" ref="AV1215" si="339">+SUM(AV1216)</f>
        <v>0</v>
      </c>
      <c r="AW1215" s="444"/>
    </row>
    <row r="1216" spans="1:49" s="272" customFormat="1" ht="56.25" hidden="1" customHeight="1" outlineLevel="2" x14ac:dyDescent="0.25">
      <c r="A1216" s="65" t="str">
        <f t="shared" si="306"/>
        <v>3.14.0.2.1.0</v>
      </c>
      <c r="B1216" s="64">
        <v>3</v>
      </c>
      <c r="C1216" s="64">
        <v>14</v>
      </c>
      <c r="D1216" s="64">
        <v>0</v>
      </c>
      <c r="E1216" s="64">
        <v>2</v>
      </c>
      <c r="F1216" s="64">
        <v>1</v>
      </c>
      <c r="G1216" s="100">
        <v>0</v>
      </c>
      <c r="H1216" s="64"/>
      <c r="I1216" s="64"/>
      <c r="J1216" s="270"/>
      <c r="K1216" s="65" t="s">
        <v>1423</v>
      </c>
      <c r="L1216" s="64" t="s">
        <v>1410</v>
      </c>
      <c r="M1216" s="64" t="s">
        <v>76</v>
      </c>
      <c r="N1216" s="64" t="s">
        <v>2869</v>
      </c>
      <c r="O1216" s="64" t="s">
        <v>1424</v>
      </c>
      <c r="P1216" s="69">
        <v>44927</v>
      </c>
      <c r="Q1216" s="69">
        <v>45291</v>
      </c>
      <c r="R1216" s="64">
        <v>3</v>
      </c>
      <c r="S1216" s="64" t="s">
        <v>73</v>
      </c>
      <c r="T1216" s="194">
        <v>3</v>
      </c>
      <c r="U1216" s="75">
        <v>1250000</v>
      </c>
      <c r="V1216" s="75"/>
      <c r="W1216" s="75">
        <v>0</v>
      </c>
      <c r="X1216" s="1122">
        <v>0</v>
      </c>
      <c r="Y1216" s="75">
        <v>1250000</v>
      </c>
      <c r="Z1216" s="75">
        <v>0</v>
      </c>
      <c r="AA1216" s="1122">
        <v>0</v>
      </c>
      <c r="AB1216" s="75">
        <v>1250000</v>
      </c>
      <c r="AC1216" s="75">
        <v>0</v>
      </c>
      <c r="AD1216" s="1122">
        <v>0</v>
      </c>
      <c r="AE1216" s="75">
        <v>1250000</v>
      </c>
      <c r="AF1216" s="75">
        <v>0</v>
      </c>
      <c r="AG1216" s="1122">
        <v>0</v>
      </c>
      <c r="AH1216" s="505">
        <f>+U1216+Y1216+AB1216+AE1216</f>
        <v>5000000</v>
      </c>
      <c r="AI1216" s="132"/>
      <c r="AJ1216" s="75">
        <f>+W1216+Z1216+AC1216+AF1216</f>
        <v>0</v>
      </c>
      <c r="AK1216" s="271"/>
      <c r="AL1216" s="271"/>
      <c r="AM1216" s="271"/>
      <c r="AN1216" s="64" t="s">
        <v>181</v>
      </c>
      <c r="AO1216" s="100"/>
      <c r="AP1216" s="100"/>
      <c r="AQ1216" s="993"/>
      <c r="AR1216" s="104"/>
      <c r="AS1216" s="104"/>
      <c r="AT1216" s="104"/>
      <c r="AU1216" s="964"/>
      <c r="AV1216" s="64"/>
      <c r="AW1216" s="65" t="s">
        <v>2872</v>
      </c>
    </row>
    <row r="1217" spans="1:49" s="272" customFormat="1" ht="56.25" hidden="1" customHeight="1" outlineLevel="2" x14ac:dyDescent="0.25">
      <c r="A1217" s="65" t="str">
        <f t="shared" si="306"/>
        <v>3.14.0.2.2.0</v>
      </c>
      <c r="B1217" s="64">
        <v>3</v>
      </c>
      <c r="C1217" s="64">
        <v>14</v>
      </c>
      <c r="D1217" s="64">
        <v>0</v>
      </c>
      <c r="E1217" s="64">
        <v>2</v>
      </c>
      <c r="F1217" s="64">
        <v>2</v>
      </c>
      <c r="G1217" s="100">
        <v>0</v>
      </c>
      <c r="H1217" s="64"/>
      <c r="I1217" s="64"/>
      <c r="J1217" s="270"/>
      <c r="K1217" s="65" t="s">
        <v>2767</v>
      </c>
      <c r="L1217" s="64"/>
      <c r="M1217" s="64"/>
      <c r="N1217" s="64"/>
      <c r="O1217" s="64"/>
      <c r="P1217" s="69"/>
      <c r="Q1217" s="69"/>
      <c r="R1217" s="64"/>
      <c r="S1217" s="64"/>
      <c r="T1217" s="194"/>
      <c r="U1217" s="75">
        <v>0</v>
      </c>
      <c r="V1217" s="75"/>
      <c r="W1217" s="75">
        <v>0</v>
      </c>
      <c r="X1217" s="1122">
        <v>0</v>
      </c>
      <c r="Y1217" s="75">
        <v>72507</v>
      </c>
      <c r="Z1217" s="75">
        <v>0</v>
      </c>
      <c r="AA1217" s="1122">
        <v>0</v>
      </c>
      <c r="AB1217" s="75">
        <v>0</v>
      </c>
      <c r="AC1217" s="75">
        <v>0</v>
      </c>
      <c r="AD1217" s="1122">
        <v>0</v>
      </c>
      <c r="AE1217" s="75">
        <v>0</v>
      </c>
      <c r="AF1217" s="75">
        <v>0</v>
      </c>
      <c r="AG1217" s="1122">
        <v>0</v>
      </c>
      <c r="AH1217" s="505">
        <f t="shared" ref="AH1217:AH1224" si="340">+U1217+Y1217+AB1217+AE1217</f>
        <v>72507</v>
      </c>
      <c r="AI1217" s="132"/>
      <c r="AJ1217" s="75">
        <f t="shared" ref="AJ1217:AJ1224" si="341">+W1217+Z1217+AC1217+AF1217</f>
        <v>0</v>
      </c>
      <c r="AK1217" s="271"/>
      <c r="AL1217" s="271"/>
      <c r="AM1217" s="271"/>
      <c r="AN1217" s="64" t="s">
        <v>181</v>
      </c>
      <c r="AO1217" s="100"/>
      <c r="AP1217" s="100"/>
      <c r="AQ1217" s="993"/>
      <c r="AR1217" s="104"/>
      <c r="AS1217" s="1095"/>
      <c r="AT1217" s="104"/>
      <c r="AU1217" s="964"/>
      <c r="AV1217" s="64"/>
      <c r="AW1217" s="65" t="s">
        <v>2871</v>
      </c>
    </row>
    <row r="1218" spans="1:49" s="272" customFormat="1" ht="56.25" hidden="1" customHeight="1" outlineLevel="2" x14ac:dyDescent="0.25">
      <c r="A1218" s="65" t="str">
        <f t="shared" si="306"/>
        <v>3.14.0.2.3.0</v>
      </c>
      <c r="B1218" s="64">
        <v>3</v>
      </c>
      <c r="C1218" s="64">
        <v>14</v>
      </c>
      <c r="D1218" s="64">
        <v>0</v>
      </c>
      <c r="E1218" s="64">
        <v>2</v>
      </c>
      <c r="F1218" s="64">
        <v>3</v>
      </c>
      <c r="G1218" s="100">
        <v>0</v>
      </c>
      <c r="H1218" s="64"/>
      <c r="I1218" s="64"/>
      <c r="J1218" s="270"/>
      <c r="K1218" s="65" t="s">
        <v>2737</v>
      </c>
      <c r="L1218" s="64"/>
      <c r="M1218" s="64"/>
      <c r="N1218" s="64"/>
      <c r="O1218" s="64"/>
      <c r="P1218" s="69"/>
      <c r="Q1218" s="69"/>
      <c r="R1218" s="64"/>
      <c r="S1218" s="64"/>
      <c r="T1218" s="194"/>
      <c r="U1218" s="75">
        <v>0</v>
      </c>
      <c r="V1218" s="75"/>
      <c r="W1218" s="75">
        <v>0</v>
      </c>
      <c r="X1218" s="1122">
        <v>0</v>
      </c>
      <c r="Y1218" s="75">
        <v>14400</v>
      </c>
      <c r="Z1218" s="75">
        <v>0</v>
      </c>
      <c r="AA1218" s="1122">
        <v>0</v>
      </c>
      <c r="AB1218" s="75">
        <v>0</v>
      </c>
      <c r="AC1218" s="75">
        <v>0</v>
      </c>
      <c r="AD1218" s="1122">
        <v>0</v>
      </c>
      <c r="AE1218" s="75">
        <v>0</v>
      </c>
      <c r="AF1218" s="75">
        <v>0</v>
      </c>
      <c r="AG1218" s="1122">
        <v>0</v>
      </c>
      <c r="AH1218" s="505">
        <f t="shared" si="340"/>
        <v>14400</v>
      </c>
      <c r="AI1218" s="132"/>
      <c r="AJ1218" s="75">
        <f t="shared" si="341"/>
        <v>0</v>
      </c>
      <c r="AK1218" s="271"/>
      <c r="AL1218" s="271"/>
      <c r="AM1218" s="271"/>
      <c r="AN1218" s="64" t="s">
        <v>181</v>
      </c>
      <c r="AO1218" s="100"/>
      <c r="AP1218" s="100"/>
      <c r="AQ1218" s="993"/>
      <c r="AR1218" s="104"/>
      <c r="AS1218" s="1095"/>
      <c r="AT1218" s="104"/>
      <c r="AU1218" s="964"/>
      <c r="AV1218" s="460"/>
      <c r="AW1218" s="185" t="s">
        <v>2768</v>
      </c>
    </row>
    <row r="1219" spans="1:49" s="272" customFormat="1" ht="56.25" hidden="1" customHeight="1" outlineLevel="2" x14ac:dyDescent="0.25">
      <c r="A1219" s="65" t="str">
        <f t="shared" si="306"/>
        <v>3.14.0.2.4.0</v>
      </c>
      <c r="B1219" s="64">
        <v>3</v>
      </c>
      <c r="C1219" s="64">
        <v>14</v>
      </c>
      <c r="D1219" s="64">
        <v>0</v>
      </c>
      <c r="E1219" s="64">
        <v>2</v>
      </c>
      <c r="F1219" s="64">
        <v>4</v>
      </c>
      <c r="G1219" s="100">
        <v>0</v>
      </c>
      <c r="H1219" s="64"/>
      <c r="I1219" s="64"/>
      <c r="J1219" s="270"/>
      <c r="K1219" s="65" t="s">
        <v>1584</v>
      </c>
      <c r="L1219" s="64"/>
      <c r="M1219" s="64"/>
      <c r="N1219" s="64"/>
      <c r="O1219" s="64"/>
      <c r="P1219" s="69"/>
      <c r="Q1219" s="69"/>
      <c r="R1219" s="64"/>
      <c r="S1219" s="64"/>
      <c r="T1219" s="194"/>
      <c r="U1219" s="75">
        <v>0</v>
      </c>
      <c r="V1219" s="75"/>
      <c r="W1219" s="75">
        <v>0</v>
      </c>
      <c r="X1219" s="1122">
        <v>0</v>
      </c>
      <c r="Y1219" s="75">
        <v>120000</v>
      </c>
      <c r="Z1219" s="75">
        <v>0</v>
      </c>
      <c r="AA1219" s="1122">
        <v>0</v>
      </c>
      <c r="AB1219" s="75">
        <v>120000</v>
      </c>
      <c r="AC1219" s="75">
        <v>0</v>
      </c>
      <c r="AD1219" s="1122">
        <v>0</v>
      </c>
      <c r="AE1219" s="75">
        <v>120000</v>
      </c>
      <c r="AF1219" s="75">
        <v>0</v>
      </c>
      <c r="AG1219" s="1122">
        <v>0</v>
      </c>
      <c r="AH1219" s="505">
        <f t="shared" si="340"/>
        <v>360000</v>
      </c>
      <c r="AI1219" s="132"/>
      <c r="AJ1219" s="75">
        <f t="shared" si="341"/>
        <v>0</v>
      </c>
      <c r="AK1219" s="271"/>
      <c r="AL1219" s="271"/>
      <c r="AM1219" s="271"/>
      <c r="AN1219" s="64" t="s">
        <v>181</v>
      </c>
      <c r="AO1219" s="100"/>
      <c r="AP1219" s="100"/>
      <c r="AQ1219" s="993"/>
      <c r="AR1219" s="104"/>
      <c r="AS1219" s="1095"/>
      <c r="AT1219" s="104"/>
      <c r="AU1219" s="964"/>
      <c r="AV1219" s="460"/>
      <c r="AW1219" s="185" t="s">
        <v>2768</v>
      </c>
    </row>
    <row r="1220" spans="1:49" s="272" customFormat="1" ht="56.25" hidden="1" customHeight="1" outlineLevel="2" x14ac:dyDescent="0.25">
      <c r="A1220" s="65" t="str">
        <f t="shared" si="306"/>
        <v>3.14.0.2.5.0</v>
      </c>
      <c r="B1220" s="64">
        <v>3</v>
      </c>
      <c r="C1220" s="64">
        <v>14</v>
      </c>
      <c r="D1220" s="64">
        <v>0</v>
      </c>
      <c r="E1220" s="64">
        <v>2</v>
      </c>
      <c r="F1220" s="64">
        <v>5</v>
      </c>
      <c r="G1220" s="100">
        <v>0</v>
      </c>
      <c r="H1220" s="64"/>
      <c r="I1220" s="64"/>
      <c r="J1220" s="270"/>
      <c r="K1220" s="65" t="s">
        <v>1229</v>
      </c>
      <c r="L1220" s="64"/>
      <c r="M1220" s="64"/>
      <c r="N1220" s="64"/>
      <c r="O1220" s="64"/>
      <c r="P1220" s="69"/>
      <c r="Q1220" s="69"/>
      <c r="R1220" s="64"/>
      <c r="S1220" s="64"/>
      <c r="T1220" s="194"/>
      <c r="U1220" s="75">
        <v>0</v>
      </c>
      <c r="V1220" s="75"/>
      <c r="W1220" s="75">
        <v>0</v>
      </c>
      <c r="X1220" s="1122">
        <v>0</v>
      </c>
      <c r="Y1220" s="75">
        <v>73500</v>
      </c>
      <c r="Z1220" s="75">
        <v>0</v>
      </c>
      <c r="AA1220" s="1122">
        <v>0</v>
      </c>
      <c r="AB1220" s="75">
        <v>0</v>
      </c>
      <c r="AC1220" s="75">
        <v>0</v>
      </c>
      <c r="AD1220" s="1122">
        <v>0</v>
      </c>
      <c r="AE1220" s="75">
        <v>0</v>
      </c>
      <c r="AF1220" s="75">
        <v>0</v>
      </c>
      <c r="AG1220" s="1122">
        <v>0</v>
      </c>
      <c r="AH1220" s="505">
        <f t="shared" si="340"/>
        <v>73500</v>
      </c>
      <c r="AI1220" s="132"/>
      <c r="AJ1220" s="75">
        <f t="shared" si="341"/>
        <v>0</v>
      </c>
      <c r="AK1220" s="271"/>
      <c r="AL1220" s="271"/>
      <c r="AM1220" s="271"/>
      <c r="AN1220" s="64" t="s">
        <v>181</v>
      </c>
      <c r="AO1220" s="100"/>
      <c r="AP1220" s="100"/>
      <c r="AQ1220" s="993"/>
      <c r="AR1220" s="104"/>
      <c r="AS1220" s="1095"/>
      <c r="AT1220" s="104"/>
      <c r="AU1220" s="964"/>
      <c r="AV1220" s="460"/>
      <c r="AW1220" s="185" t="s">
        <v>2769</v>
      </c>
    </row>
    <row r="1221" spans="1:49" s="272" customFormat="1" ht="56.25" hidden="1" customHeight="1" outlineLevel="2" x14ac:dyDescent="0.25">
      <c r="A1221" s="65" t="str">
        <f t="shared" si="306"/>
        <v>3.14.0.2.6.0</v>
      </c>
      <c r="B1221" s="64">
        <v>3</v>
      </c>
      <c r="C1221" s="64">
        <v>14</v>
      </c>
      <c r="D1221" s="64">
        <v>0</v>
      </c>
      <c r="E1221" s="64">
        <v>2</v>
      </c>
      <c r="F1221" s="64">
        <v>6</v>
      </c>
      <c r="G1221" s="100">
        <v>0</v>
      </c>
      <c r="H1221" s="64"/>
      <c r="I1221" s="64"/>
      <c r="J1221" s="270"/>
      <c r="K1221" s="65" t="s">
        <v>2770</v>
      </c>
      <c r="L1221" s="64"/>
      <c r="M1221" s="64"/>
      <c r="N1221" s="64"/>
      <c r="O1221" s="64"/>
      <c r="P1221" s="69"/>
      <c r="Q1221" s="69"/>
      <c r="R1221" s="64"/>
      <c r="S1221" s="64"/>
      <c r="T1221" s="194"/>
      <c r="U1221" s="75">
        <v>0</v>
      </c>
      <c r="V1221" s="75"/>
      <c r="W1221" s="75">
        <v>0</v>
      </c>
      <c r="X1221" s="1122">
        <v>0</v>
      </c>
      <c r="Y1221" s="75">
        <v>16468</v>
      </c>
      <c r="Z1221" s="75">
        <v>0</v>
      </c>
      <c r="AA1221" s="1122">
        <v>0</v>
      </c>
      <c r="AB1221" s="75">
        <v>0</v>
      </c>
      <c r="AC1221" s="75">
        <v>0</v>
      </c>
      <c r="AD1221" s="1122">
        <v>0</v>
      </c>
      <c r="AE1221" s="75">
        <v>0</v>
      </c>
      <c r="AF1221" s="75">
        <v>0</v>
      </c>
      <c r="AG1221" s="1122">
        <v>0</v>
      </c>
      <c r="AH1221" s="505">
        <f t="shared" si="340"/>
        <v>16468</v>
      </c>
      <c r="AI1221" s="132"/>
      <c r="AJ1221" s="75">
        <f t="shared" si="341"/>
        <v>0</v>
      </c>
      <c r="AK1221" s="271"/>
      <c r="AL1221" s="271"/>
      <c r="AM1221" s="271"/>
      <c r="AN1221" s="64" t="s">
        <v>181</v>
      </c>
      <c r="AO1221" s="100"/>
      <c r="AP1221" s="100"/>
      <c r="AQ1221" s="993"/>
      <c r="AR1221" s="104"/>
      <c r="AS1221" s="1095"/>
      <c r="AT1221" s="104"/>
      <c r="AU1221" s="964"/>
      <c r="AV1221" s="460"/>
      <c r="AW1221" s="185" t="s">
        <v>2771</v>
      </c>
    </row>
    <row r="1222" spans="1:49" s="272" customFormat="1" ht="56.25" hidden="1" customHeight="1" outlineLevel="2" x14ac:dyDescent="0.25">
      <c r="A1222" s="65" t="str">
        <f t="shared" si="306"/>
        <v>3.14.0.2.7.0</v>
      </c>
      <c r="B1222" s="64">
        <v>3</v>
      </c>
      <c r="C1222" s="64">
        <v>14</v>
      </c>
      <c r="D1222" s="64">
        <v>0</v>
      </c>
      <c r="E1222" s="64">
        <v>2</v>
      </c>
      <c r="F1222" s="64">
        <v>7</v>
      </c>
      <c r="G1222" s="100">
        <v>0</v>
      </c>
      <c r="H1222" s="64"/>
      <c r="I1222" s="64"/>
      <c r="J1222" s="270"/>
      <c r="K1222" s="65" t="s">
        <v>2772</v>
      </c>
      <c r="L1222" s="64"/>
      <c r="M1222" s="64"/>
      <c r="N1222" s="64"/>
      <c r="O1222" s="64"/>
      <c r="P1222" s="69"/>
      <c r="Q1222" s="69"/>
      <c r="R1222" s="64"/>
      <c r="S1222" s="64"/>
      <c r="T1222" s="194"/>
      <c r="U1222" s="75">
        <v>0</v>
      </c>
      <c r="V1222" s="75"/>
      <c r="W1222" s="75">
        <v>0</v>
      </c>
      <c r="X1222" s="1122">
        <v>0</v>
      </c>
      <c r="Y1222" s="75">
        <v>30000</v>
      </c>
      <c r="Z1222" s="75">
        <v>0</v>
      </c>
      <c r="AA1222" s="1122">
        <v>0</v>
      </c>
      <c r="AB1222" s="75">
        <v>0</v>
      </c>
      <c r="AC1222" s="75">
        <v>0</v>
      </c>
      <c r="AD1222" s="1122">
        <v>0</v>
      </c>
      <c r="AE1222" s="75">
        <v>0</v>
      </c>
      <c r="AF1222" s="75">
        <v>0</v>
      </c>
      <c r="AG1222" s="1122">
        <v>0</v>
      </c>
      <c r="AH1222" s="505">
        <f t="shared" si="340"/>
        <v>30000</v>
      </c>
      <c r="AI1222" s="132"/>
      <c r="AJ1222" s="75">
        <f t="shared" si="341"/>
        <v>0</v>
      </c>
      <c r="AK1222" s="271"/>
      <c r="AL1222" s="271"/>
      <c r="AM1222" s="271"/>
      <c r="AN1222" s="64" t="s">
        <v>181</v>
      </c>
      <c r="AO1222" s="100"/>
      <c r="AP1222" s="100"/>
      <c r="AQ1222" s="993"/>
      <c r="AR1222" s="104"/>
      <c r="AS1222" s="1095"/>
      <c r="AT1222" s="104"/>
      <c r="AU1222" s="964"/>
      <c r="AV1222" s="460"/>
      <c r="AW1222" s="185" t="s">
        <v>2771</v>
      </c>
    </row>
    <row r="1223" spans="1:49" s="272" customFormat="1" ht="56.25" hidden="1" customHeight="1" outlineLevel="2" x14ac:dyDescent="0.25">
      <c r="A1223" s="65" t="str">
        <f t="shared" si="306"/>
        <v>3.14.0.2.8.0</v>
      </c>
      <c r="B1223" s="64">
        <v>3</v>
      </c>
      <c r="C1223" s="64">
        <v>14</v>
      </c>
      <c r="D1223" s="64">
        <v>0</v>
      </c>
      <c r="E1223" s="64">
        <v>2</v>
      </c>
      <c r="F1223" s="64">
        <v>8</v>
      </c>
      <c r="G1223" s="100">
        <v>0</v>
      </c>
      <c r="H1223" s="64"/>
      <c r="I1223" s="64"/>
      <c r="J1223" s="270"/>
      <c r="K1223" s="65" t="s">
        <v>2773</v>
      </c>
      <c r="L1223" s="64"/>
      <c r="M1223" s="64"/>
      <c r="N1223" s="64"/>
      <c r="O1223" s="64"/>
      <c r="P1223" s="69"/>
      <c r="Q1223" s="69"/>
      <c r="R1223" s="64"/>
      <c r="S1223" s="64"/>
      <c r="T1223" s="194"/>
      <c r="U1223" s="75">
        <v>0</v>
      </c>
      <c r="V1223" s="75"/>
      <c r="W1223" s="75">
        <v>0</v>
      </c>
      <c r="X1223" s="1122">
        <v>0</v>
      </c>
      <c r="Y1223" s="75">
        <v>7187</v>
      </c>
      <c r="Z1223" s="75">
        <v>0</v>
      </c>
      <c r="AA1223" s="1122">
        <v>0</v>
      </c>
      <c r="AB1223" s="75">
        <v>0</v>
      </c>
      <c r="AC1223" s="75">
        <v>0</v>
      </c>
      <c r="AD1223" s="1122">
        <v>0</v>
      </c>
      <c r="AE1223" s="75">
        <v>0</v>
      </c>
      <c r="AF1223" s="75">
        <v>0</v>
      </c>
      <c r="AG1223" s="1122">
        <v>0</v>
      </c>
      <c r="AH1223" s="505">
        <f t="shared" si="340"/>
        <v>7187</v>
      </c>
      <c r="AI1223" s="132"/>
      <c r="AJ1223" s="75">
        <f t="shared" si="341"/>
        <v>0</v>
      </c>
      <c r="AK1223" s="271"/>
      <c r="AL1223" s="271"/>
      <c r="AM1223" s="271"/>
      <c r="AN1223" s="64" t="s">
        <v>181</v>
      </c>
      <c r="AO1223" s="100"/>
      <c r="AP1223" s="100"/>
      <c r="AQ1223" s="993"/>
      <c r="AR1223" s="104"/>
      <c r="AS1223" s="1095"/>
      <c r="AT1223" s="104"/>
      <c r="AU1223" s="964"/>
      <c r="AV1223" s="460"/>
      <c r="AW1223" s="185" t="s">
        <v>2774</v>
      </c>
    </row>
    <row r="1224" spans="1:49" s="272" customFormat="1" ht="56.25" hidden="1" customHeight="1" outlineLevel="2" x14ac:dyDescent="0.25">
      <c r="A1224" s="65" t="str">
        <f t="shared" si="306"/>
        <v>3.14.0.2.9.0</v>
      </c>
      <c r="B1224" s="64">
        <v>3</v>
      </c>
      <c r="C1224" s="64">
        <v>14</v>
      </c>
      <c r="D1224" s="64">
        <v>0</v>
      </c>
      <c r="E1224" s="64">
        <v>2</v>
      </c>
      <c r="F1224" s="64">
        <v>9</v>
      </c>
      <c r="G1224" s="100">
        <v>0</v>
      </c>
      <c r="H1224" s="64"/>
      <c r="I1224" s="64"/>
      <c r="J1224" s="270"/>
      <c r="K1224" s="65" t="s">
        <v>2775</v>
      </c>
      <c r="L1224" s="64"/>
      <c r="M1224" s="64"/>
      <c r="N1224" s="64"/>
      <c r="O1224" s="64"/>
      <c r="P1224" s="69"/>
      <c r="Q1224" s="69"/>
      <c r="R1224" s="64"/>
      <c r="S1224" s="64"/>
      <c r="T1224" s="194"/>
      <c r="U1224" s="75">
        <v>0</v>
      </c>
      <c r="V1224" s="75"/>
      <c r="W1224" s="75">
        <v>0</v>
      </c>
      <c r="X1224" s="1122">
        <v>0</v>
      </c>
      <c r="Y1224" s="75">
        <v>159500</v>
      </c>
      <c r="Z1224" s="75">
        <v>0</v>
      </c>
      <c r="AA1224" s="1122">
        <v>0</v>
      </c>
      <c r="AB1224" s="75">
        <v>0</v>
      </c>
      <c r="AC1224" s="75">
        <v>0</v>
      </c>
      <c r="AD1224" s="1122">
        <v>0</v>
      </c>
      <c r="AE1224" s="75">
        <v>0</v>
      </c>
      <c r="AF1224" s="75">
        <v>0</v>
      </c>
      <c r="AG1224" s="1122">
        <v>0</v>
      </c>
      <c r="AH1224" s="505">
        <f t="shared" si="340"/>
        <v>159500</v>
      </c>
      <c r="AI1224" s="132"/>
      <c r="AJ1224" s="75">
        <f t="shared" si="341"/>
        <v>0</v>
      </c>
      <c r="AK1224" s="271"/>
      <c r="AL1224" s="271"/>
      <c r="AM1224" s="271"/>
      <c r="AN1224" s="64" t="s">
        <v>181</v>
      </c>
      <c r="AO1224" s="100"/>
      <c r="AP1224" s="100"/>
      <c r="AQ1224" s="993"/>
      <c r="AR1224" s="104"/>
      <c r="AS1224" s="1095"/>
      <c r="AT1224" s="104"/>
      <c r="AU1224" s="964"/>
      <c r="AV1224" s="460"/>
      <c r="AW1224" s="185" t="s">
        <v>2774</v>
      </c>
    </row>
    <row r="1225" spans="1:49" s="153" customFormat="1" ht="24" customHeight="1" outlineLevel="1" collapsed="1" x14ac:dyDescent="0.25">
      <c r="A1225" s="148" t="str">
        <f t="shared" si="306"/>
        <v>3.14.1.3.0.0</v>
      </c>
      <c r="B1225" s="82">
        <v>3</v>
      </c>
      <c r="C1225" s="82">
        <v>14</v>
      </c>
      <c r="D1225" s="82">
        <v>1</v>
      </c>
      <c r="E1225" s="82">
        <v>3</v>
      </c>
      <c r="F1225" s="82">
        <v>0</v>
      </c>
      <c r="G1225" s="82">
        <v>0</v>
      </c>
      <c r="H1225" s="149"/>
      <c r="I1225" s="149"/>
      <c r="J1225" s="1260" t="s">
        <v>1425</v>
      </c>
      <c r="K1225" s="1259"/>
      <c r="L1225" s="82" t="s">
        <v>1410</v>
      </c>
      <c r="M1225" s="82" t="s">
        <v>1426</v>
      </c>
      <c r="N1225" s="82" t="s">
        <v>1414</v>
      </c>
      <c r="O1225" s="82" t="s">
        <v>1415</v>
      </c>
      <c r="P1225" s="84">
        <v>44562</v>
      </c>
      <c r="Q1225" s="84">
        <v>44926</v>
      </c>
      <c r="R1225" s="82" t="s">
        <v>887</v>
      </c>
      <c r="S1225" s="82" t="s">
        <v>1416</v>
      </c>
      <c r="T1225" s="1205" t="s">
        <v>887</v>
      </c>
      <c r="U1225" s="152">
        <f>SUM(U1226:U1234)</f>
        <v>0</v>
      </c>
      <c r="V1225" s="152"/>
      <c r="W1225" s="152">
        <f t="shared" ref="W1225:AG1225" si="342">SUM(W1226:W1234)</f>
        <v>0</v>
      </c>
      <c r="X1225" s="1131">
        <f t="shared" si="342"/>
        <v>0</v>
      </c>
      <c r="Y1225" s="152">
        <f>SUM(Y1226:Y1234)</f>
        <v>721882.35999999987</v>
      </c>
      <c r="Z1225" s="152">
        <f t="shared" si="342"/>
        <v>790000</v>
      </c>
      <c r="AA1225" s="1131">
        <f t="shared" si="342"/>
        <v>0</v>
      </c>
      <c r="AB1225" s="152">
        <f>SUM(AB1226:AB1234)</f>
        <v>750000</v>
      </c>
      <c r="AC1225" s="152">
        <f t="shared" si="342"/>
        <v>0</v>
      </c>
      <c r="AD1225" s="1131">
        <f t="shared" si="342"/>
        <v>0</v>
      </c>
      <c r="AE1225" s="152">
        <f>SUM(AE1226:AE1234)</f>
        <v>0</v>
      </c>
      <c r="AF1225" s="152">
        <f t="shared" si="342"/>
        <v>0</v>
      </c>
      <c r="AG1225" s="1131">
        <f t="shared" si="342"/>
        <v>0</v>
      </c>
      <c r="AH1225" s="152">
        <f>SUM(AH1226:AH1234)</f>
        <v>1471882.3599999999</v>
      </c>
      <c r="AI1225" s="512">
        <f t="shared" ref="AI1225:AM1225" si="343">+SUM(AI1226:AI1229)</f>
        <v>0</v>
      </c>
      <c r="AJ1225" s="512">
        <f>+SUM(AJ1226:AJ1234)</f>
        <v>850000</v>
      </c>
      <c r="AK1225" s="512">
        <f t="shared" si="343"/>
        <v>0</v>
      </c>
      <c r="AL1225" s="512">
        <f t="shared" si="343"/>
        <v>0</v>
      </c>
      <c r="AM1225" s="512">
        <f t="shared" si="343"/>
        <v>0</v>
      </c>
      <c r="AN1225" s="82" t="s">
        <v>181</v>
      </c>
      <c r="AO1225" s="82"/>
      <c r="AP1225" s="82"/>
      <c r="AQ1225" s="365"/>
      <c r="AR1225" s="82"/>
      <c r="AS1225" s="483"/>
      <c r="AT1225" s="82"/>
      <c r="AU1225" s="666"/>
      <c r="AV1225" s="379">
        <f t="shared" ref="AV1225" si="344">+SUM(AV1226:AV1229)</f>
        <v>0</v>
      </c>
      <c r="AW1225" s="444"/>
    </row>
    <row r="1226" spans="1:49" ht="26.25" hidden="1" customHeight="1" outlineLevel="3" x14ac:dyDescent="0.25">
      <c r="A1226" s="63" t="str">
        <f t="shared" si="306"/>
        <v>3.14.1.3.1.0</v>
      </c>
      <c r="B1226" s="64">
        <v>3</v>
      </c>
      <c r="C1226" s="64">
        <v>14</v>
      </c>
      <c r="D1226" s="64">
        <v>1</v>
      </c>
      <c r="E1226" s="64">
        <v>3</v>
      </c>
      <c r="F1226" s="64">
        <v>1</v>
      </c>
      <c r="G1226" s="64">
        <v>0</v>
      </c>
      <c r="H1226" s="65"/>
      <c r="I1226" s="65"/>
      <c r="J1226" s="65"/>
      <c r="K1226" s="65" t="s">
        <v>1875</v>
      </c>
      <c r="L1226" s="64" t="s">
        <v>1410</v>
      </c>
      <c r="M1226" s="64" t="s">
        <v>1427</v>
      </c>
      <c r="N1226" s="64" t="s">
        <v>1428</v>
      </c>
      <c r="O1226" s="68" t="s">
        <v>1429</v>
      </c>
      <c r="P1226" s="69">
        <v>44927</v>
      </c>
      <c r="Q1226" s="69">
        <v>45291</v>
      </c>
      <c r="R1226" s="64" t="s">
        <v>887</v>
      </c>
      <c r="S1226" s="65" t="s">
        <v>1430</v>
      </c>
      <c r="T1226" s="194"/>
      <c r="U1226" s="75">
        <v>0</v>
      </c>
      <c r="V1226" s="75"/>
      <c r="W1226" s="75">
        <v>0</v>
      </c>
      <c r="X1226" s="1122">
        <v>0</v>
      </c>
      <c r="Y1226" s="75">
        <v>0</v>
      </c>
      <c r="Z1226" s="75">
        <v>0</v>
      </c>
      <c r="AA1226" s="1122">
        <v>0</v>
      </c>
      <c r="AB1226" s="75">
        <v>0</v>
      </c>
      <c r="AC1226" s="75">
        <v>0</v>
      </c>
      <c r="AD1226" s="1122">
        <v>0</v>
      </c>
      <c r="AE1226" s="75">
        <v>0</v>
      </c>
      <c r="AF1226" s="75">
        <v>0</v>
      </c>
      <c r="AG1226" s="1122">
        <v>0</v>
      </c>
      <c r="AH1226" s="505">
        <f>+U1226+Y1226+AB1226+AE1226</f>
        <v>0</v>
      </c>
      <c r="AI1226" s="132"/>
      <c r="AJ1226" s="75">
        <f t="shared" ref="AJ1226:AJ1228" si="345">+W1227+Z1227+AC1227+AF1227</f>
        <v>5000</v>
      </c>
      <c r="AK1226" s="75"/>
      <c r="AL1226" s="75"/>
      <c r="AM1226" s="75"/>
      <c r="AN1226" s="64" t="s">
        <v>181</v>
      </c>
      <c r="AO1226" s="64"/>
      <c r="AP1226" s="64"/>
      <c r="AQ1226" s="413"/>
      <c r="AR1226" s="165"/>
      <c r="AS1226" s="475"/>
      <c r="AT1226" s="64"/>
      <c r="AU1226" s="646"/>
      <c r="AV1226" s="65"/>
      <c r="AW1226" s="65"/>
    </row>
    <row r="1227" spans="1:49" ht="23.45" hidden="1" customHeight="1" outlineLevel="3" x14ac:dyDescent="0.25">
      <c r="A1227" s="63" t="str">
        <f t="shared" si="306"/>
        <v>3.14.1.3.2.0</v>
      </c>
      <c r="B1227" s="64">
        <v>3</v>
      </c>
      <c r="C1227" s="64">
        <v>14</v>
      </c>
      <c r="D1227" s="64">
        <v>1</v>
      </c>
      <c r="E1227" s="64">
        <v>3</v>
      </c>
      <c r="F1227" s="64">
        <v>2</v>
      </c>
      <c r="G1227" s="64">
        <v>0</v>
      </c>
      <c r="H1227" s="65"/>
      <c r="I1227" s="65"/>
      <c r="J1227" s="65"/>
      <c r="K1227" s="65" t="s">
        <v>1876</v>
      </c>
      <c r="L1227" s="64" t="s">
        <v>1410</v>
      </c>
      <c r="M1227" s="64" t="s">
        <v>299</v>
      </c>
      <c r="N1227" s="64" t="s">
        <v>1428</v>
      </c>
      <c r="O1227" s="64" t="s">
        <v>1429</v>
      </c>
      <c r="P1227" s="69">
        <v>44927</v>
      </c>
      <c r="Q1227" s="69">
        <v>45291</v>
      </c>
      <c r="R1227" s="64" t="s">
        <v>887</v>
      </c>
      <c r="S1227" s="65" t="s">
        <v>2865</v>
      </c>
      <c r="T1227" s="194"/>
      <c r="U1227" s="75">
        <v>0</v>
      </c>
      <c r="V1227" s="75"/>
      <c r="W1227" s="75">
        <v>0</v>
      </c>
      <c r="X1227" s="1122">
        <v>0</v>
      </c>
      <c r="Y1227" s="75">
        <v>0</v>
      </c>
      <c r="Z1227" s="75">
        <v>5000</v>
      </c>
      <c r="AA1227" s="1122">
        <v>0</v>
      </c>
      <c r="AB1227" s="75">
        <v>0</v>
      </c>
      <c r="AC1227" s="75">
        <v>0</v>
      </c>
      <c r="AD1227" s="1122">
        <v>0</v>
      </c>
      <c r="AE1227" s="75">
        <v>0</v>
      </c>
      <c r="AF1227" s="75">
        <v>0</v>
      </c>
      <c r="AG1227" s="1122">
        <v>0</v>
      </c>
      <c r="AH1227" s="505">
        <f t="shared" ref="AH1227:AH1234" si="346">+U1227+Y1227+AB1227+AE1227</f>
        <v>0</v>
      </c>
      <c r="AI1227" s="132"/>
      <c r="AJ1227" s="75">
        <f t="shared" si="345"/>
        <v>785000</v>
      </c>
      <c r="AK1227" s="75"/>
      <c r="AL1227" s="75"/>
      <c r="AM1227" s="75"/>
      <c r="AN1227" s="64" t="s">
        <v>181</v>
      </c>
      <c r="AO1227" s="64"/>
      <c r="AP1227" s="189"/>
      <c r="AQ1227" s="64"/>
      <c r="AR1227" s="64"/>
      <c r="AS1227" s="64"/>
      <c r="AT1227" s="460"/>
      <c r="AU1227" s="646"/>
      <c r="AV1227" s="65"/>
      <c r="AW1227" s="65" t="s">
        <v>2727</v>
      </c>
    </row>
    <row r="1228" spans="1:49" ht="30" hidden="1" customHeight="1" outlineLevel="3" x14ac:dyDescent="0.25">
      <c r="A1228" s="63" t="str">
        <f t="shared" si="306"/>
        <v>3.14.1.3.3.0</v>
      </c>
      <c r="B1228" s="64">
        <v>3</v>
      </c>
      <c r="C1228" s="64">
        <v>14</v>
      </c>
      <c r="D1228" s="64">
        <v>1</v>
      </c>
      <c r="E1228" s="64">
        <v>3</v>
      </c>
      <c r="F1228" s="64">
        <v>3</v>
      </c>
      <c r="G1228" s="64">
        <v>0</v>
      </c>
      <c r="H1228" s="65"/>
      <c r="I1228" s="65"/>
      <c r="J1228" s="65"/>
      <c r="K1228" s="65" t="s">
        <v>1877</v>
      </c>
      <c r="L1228" s="64" t="s">
        <v>1410</v>
      </c>
      <c r="M1228" s="64" t="s">
        <v>76</v>
      </c>
      <c r="N1228" s="64" t="s">
        <v>74</v>
      </c>
      <c r="O1228" s="64" t="s">
        <v>1432</v>
      </c>
      <c r="P1228" s="69">
        <v>44927</v>
      </c>
      <c r="Q1228" s="69">
        <v>45107</v>
      </c>
      <c r="R1228" s="64" t="s">
        <v>887</v>
      </c>
      <c r="S1228" s="65" t="s">
        <v>73</v>
      </c>
      <c r="T1228" s="194"/>
      <c r="U1228" s="75">
        <v>0</v>
      </c>
      <c r="V1228" s="75"/>
      <c r="W1228" s="75">
        <v>0</v>
      </c>
      <c r="X1228" s="1122">
        <v>0</v>
      </c>
      <c r="Y1228" s="75">
        <v>0</v>
      </c>
      <c r="Z1228" s="75">
        <v>785000</v>
      </c>
      <c r="AA1228" s="1122">
        <v>0</v>
      </c>
      <c r="AB1228" s="75">
        <v>0</v>
      </c>
      <c r="AC1228" s="75">
        <v>0</v>
      </c>
      <c r="AD1228" s="1122">
        <v>0</v>
      </c>
      <c r="AE1228" s="75">
        <v>0</v>
      </c>
      <c r="AF1228" s="75">
        <v>0</v>
      </c>
      <c r="AG1228" s="1122">
        <v>0</v>
      </c>
      <c r="AH1228" s="505">
        <f t="shared" si="346"/>
        <v>0</v>
      </c>
      <c r="AI1228" s="132"/>
      <c r="AJ1228" s="75">
        <f t="shared" si="345"/>
        <v>0</v>
      </c>
      <c r="AK1228" s="75"/>
      <c r="AL1228" s="75"/>
      <c r="AM1228" s="75"/>
      <c r="AN1228" s="64" t="s">
        <v>181</v>
      </c>
      <c r="AO1228" s="64"/>
      <c r="AP1228" s="64"/>
      <c r="AQ1228" s="416"/>
      <c r="AR1228" s="245"/>
      <c r="AS1228" s="480"/>
      <c r="AT1228" s="64"/>
      <c r="AU1228" s="646"/>
      <c r="AV1228" s="67"/>
      <c r="AW1228" s="65" t="s">
        <v>2728</v>
      </c>
    </row>
    <row r="1229" spans="1:49" ht="26.45" hidden="1" customHeight="1" outlineLevel="3" x14ac:dyDescent="0.25">
      <c r="A1229" s="63" t="str">
        <f t="shared" si="306"/>
        <v>3.14.1.3.4.0</v>
      </c>
      <c r="B1229" s="64">
        <v>3</v>
      </c>
      <c r="C1229" s="64">
        <v>14</v>
      </c>
      <c r="D1229" s="64">
        <v>1</v>
      </c>
      <c r="E1229" s="64">
        <v>3</v>
      </c>
      <c r="F1229" s="64">
        <v>4</v>
      </c>
      <c r="G1229" s="64">
        <v>0</v>
      </c>
      <c r="H1229" s="65"/>
      <c r="I1229" s="65"/>
      <c r="J1229" s="65"/>
      <c r="K1229" s="65" t="s">
        <v>1434</v>
      </c>
      <c r="L1229" s="64" t="s">
        <v>1410</v>
      </c>
      <c r="M1229" s="64" t="s">
        <v>76</v>
      </c>
      <c r="N1229" s="64" t="s">
        <v>74</v>
      </c>
      <c r="O1229" s="64" t="s">
        <v>1432</v>
      </c>
      <c r="P1229" s="69">
        <v>44927</v>
      </c>
      <c r="Q1229" s="69">
        <v>45107</v>
      </c>
      <c r="R1229" s="64" t="s">
        <v>887</v>
      </c>
      <c r="S1229" s="65" t="s">
        <v>73</v>
      </c>
      <c r="T1229" s="194"/>
      <c r="U1229" s="75">
        <v>0</v>
      </c>
      <c r="V1229" s="75"/>
      <c r="W1229" s="75">
        <v>0</v>
      </c>
      <c r="X1229" s="1122">
        <v>0</v>
      </c>
      <c r="Y1229" s="75">
        <v>18066.84</v>
      </c>
      <c r="Z1229" s="75">
        <v>0</v>
      </c>
      <c r="AA1229" s="1122">
        <v>0</v>
      </c>
      <c r="AB1229" s="75">
        <v>0</v>
      </c>
      <c r="AC1229" s="75">
        <v>0</v>
      </c>
      <c r="AD1229" s="1122">
        <v>0</v>
      </c>
      <c r="AE1229" s="75">
        <v>0</v>
      </c>
      <c r="AF1229" s="75">
        <v>0</v>
      </c>
      <c r="AG1229" s="1122">
        <v>0</v>
      </c>
      <c r="AH1229" s="505">
        <f t="shared" si="346"/>
        <v>18066.84</v>
      </c>
      <c r="AI1229" s="132"/>
      <c r="AJ1229" s="75">
        <f t="shared" ref="AJ1229:AJ1231" si="347">+W1235+Z1235+AC1235+AF1235</f>
        <v>60000</v>
      </c>
      <c r="AK1229" s="75"/>
      <c r="AL1229" s="75"/>
      <c r="AM1229" s="75"/>
      <c r="AN1229" s="64" t="s">
        <v>181</v>
      </c>
      <c r="AO1229" s="64"/>
      <c r="AP1229" s="64"/>
      <c r="AQ1229" s="189"/>
      <c r="AR1229" s="64"/>
      <c r="AS1229" s="476"/>
      <c r="AT1229" s="64"/>
      <c r="AU1229" s="646"/>
      <c r="AV1229" s="65"/>
      <c r="AW1229" s="65" t="s">
        <v>2727</v>
      </c>
    </row>
    <row r="1230" spans="1:49" ht="26.45" hidden="1" customHeight="1" outlineLevel="3" x14ac:dyDescent="0.25">
      <c r="A1230" s="63" t="str">
        <f t="shared" si="306"/>
        <v>3.14.1.3.5.0</v>
      </c>
      <c r="B1230" s="64">
        <v>3</v>
      </c>
      <c r="C1230" s="64">
        <v>14</v>
      </c>
      <c r="D1230" s="64">
        <v>1</v>
      </c>
      <c r="E1230" s="64">
        <v>3</v>
      </c>
      <c r="F1230" s="64">
        <v>5</v>
      </c>
      <c r="G1230" s="64">
        <v>0</v>
      </c>
      <c r="H1230" s="65"/>
      <c r="I1230" s="65"/>
      <c r="J1230" s="65"/>
      <c r="K1230" s="65" t="s">
        <v>1237</v>
      </c>
      <c r="L1230" s="64"/>
      <c r="M1230" s="64"/>
      <c r="N1230" s="64"/>
      <c r="O1230" s="64"/>
      <c r="P1230" s="69"/>
      <c r="Q1230" s="69"/>
      <c r="R1230" s="64"/>
      <c r="S1230" s="65"/>
      <c r="T1230" s="194"/>
      <c r="U1230" s="75">
        <v>0</v>
      </c>
      <c r="V1230" s="75"/>
      <c r="W1230" s="75">
        <v>0</v>
      </c>
      <c r="X1230" s="1122">
        <v>0</v>
      </c>
      <c r="Y1230" s="75">
        <v>60000</v>
      </c>
      <c r="Z1230" s="75">
        <v>0</v>
      </c>
      <c r="AA1230" s="1122">
        <v>0</v>
      </c>
      <c r="AB1230" s="75">
        <v>0</v>
      </c>
      <c r="AC1230" s="75">
        <v>0</v>
      </c>
      <c r="AD1230" s="1122">
        <v>0</v>
      </c>
      <c r="AE1230" s="75">
        <v>0</v>
      </c>
      <c r="AF1230" s="75">
        <v>0</v>
      </c>
      <c r="AG1230" s="1122">
        <v>0</v>
      </c>
      <c r="AH1230" s="505">
        <f t="shared" si="346"/>
        <v>60000</v>
      </c>
      <c r="AI1230" s="132"/>
      <c r="AJ1230" s="75">
        <f t="shared" si="347"/>
        <v>0</v>
      </c>
      <c r="AK1230" s="75"/>
      <c r="AL1230" s="75"/>
      <c r="AM1230" s="75"/>
      <c r="AN1230" s="64" t="s">
        <v>181</v>
      </c>
      <c r="AO1230" s="64"/>
      <c r="AP1230" s="64"/>
      <c r="AQ1230" s="189"/>
      <c r="AR1230" s="64"/>
      <c r="AS1230" s="476"/>
      <c r="AT1230" s="64"/>
      <c r="AU1230" s="646"/>
      <c r="AV1230" s="65"/>
      <c r="AW1230" s="65" t="s">
        <v>2727</v>
      </c>
    </row>
    <row r="1231" spans="1:49" ht="26.45" hidden="1" customHeight="1" outlineLevel="3" x14ac:dyDescent="0.25">
      <c r="A1231" s="63" t="str">
        <f t="shared" si="306"/>
        <v>3.14.1.3.6.0</v>
      </c>
      <c r="B1231" s="64">
        <v>3</v>
      </c>
      <c r="C1231" s="64">
        <v>14</v>
      </c>
      <c r="D1231" s="64">
        <v>1</v>
      </c>
      <c r="E1231" s="64">
        <v>3</v>
      </c>
      <c r="F1231" s="64">
        <v>6</v>
      </c>
      <c r="G1231" s="64">
        <v>0</v>
      </c>
      <c r="H1231" s="65"/>
      <c r="I1231" s="65"/>
      <c r="J1231" s="65"/>
      <c r="K1231" s="65" t="s">
        <v>2729</v>
      </c>
      <c r="L1231" s="64"/>
      <c r="M1231" s="64"/>
      <c r="N1231" s="64"/>
      <c r="O1231" s="64"/>
      <c r="P1231" s="69"/>
      <c r="Q1231" s="69"/>
      <c r="R1231" s="64"/>
      <c r="S1231" s="65"/>
      <c r="T1231" s="194"/>
      <c r="U1231" s="75">
        <v>0</v>
      </c>
      <c r="V1231" s="75"/>
      <c r="W1231" s="75">
        <v>0</v>
      </c>
      <c r="X1231" s="1122">
        <v>0</v>
      </c>
      <c r="Y1231" s="75">
        <v>601117.32999999996</v>
      </c>
      <c r="Z1231" s="75">
        <v>0</v>
      </c>
      <c r="AA1231" s="1122">
        <v>0</v>
      </c>
      <c r="AB1231" s="75">
        <v>0</v>
      </c>
      <c r="AC1231" s="75">
        <v>0</v>
      </c>
      <c r="AD1231" s="1122">
        <v>0</v>
      </c>
      <c r="AE1231" s="75">
        <v>0</v>
      </c>
      <c r="AF1231" s="75">
        <v>0</v>
      </c>
      <c r="AG1231" s="1122">
        <v>0</v>
      </c>
      <c r="AH1231" s="505">
        <f t="shared" si="346"/>
        <v>601117.32999999996</v>
      </c>
      <c r="AI1231" s="132"/>
      <c r="AJ1231" s="75">
        <f t="shared" si="347"/>
        <v>0</v>
      </c>
      <c r="AK1231" s="75"/>
      <c r="AL1231" s="75"/>
      <c r="AM1231" s="75"/>
      <c r="AN1231" s="64" t="s">
        <v>181</v>
      </c>
      <c r="AO1231" s="64"/>
      <c r="AP1231" s="64"/>
      <c r="AQ1231" s="189"/>
      <c r="AR1231" s="64"/>
      <c r="AS1231" s="476"/>
      <c r="AT1231" s="64"/>
      <c r="AU1231" s="646"/>
      <c r="AV1231" s="65"/>
      <c r="AW1231" s="65"/>
    </row>
    <row r="1232" spans="1:49" ht="26.45" hidden="1" customHeight="1" outlineLevel="3" x14ac:dyDescent="0.25">
      <c r="A1232" s="63" t="str">
        <f t="shared" si="306"/>
        <v>3.14.1.3.7.0</v>
      </c>
      <c r="B1232" s="64">
        <v>3</v>
      </c>
      <c r="C1232" s="64">
        <v>14</v>
      </c>
      <c r="D1232" s="64">
        <v>1</v>
      </c>
      <c r="E1232" s="64">
        <v>3</v>
      </c>
      <c r="F1232" s="64">
        <v>7</v>
      </c>
      <c r="G1232" s="64">
        <v>0</v>
      </c>
      <c r="H1232" s="65"/>
      <c r="I1232" s="65"/>
      <c r="J1232" s="65"/>
      <c r="K1232" s="65" t="s">
        <v>2730</v>
      </c>
      <c r="L1232" s="64"/>
      <c r="M1232" s="64"/>
      <c r="N1232" s="64"/>
      <c r="O1232" s="64"/>
      <c r="P1232" s="69"/>
      <c r="Q1232" s="69"/>
      <c r="R1232" s="64"/>
      <c r="S1232" s="65"/>
      <c r="T1232" s="194"/>
      <c r="U1232" s="75">
        <v>0</v>
      </c>
      <c r="V1232" s="75"/>
      <c r="W1232" s="75">
        <v>0</v>
      </c>
      <c r="X1232" s="1122">
        <v>0</v>
      </c>
      <c r="Y1232" s="75">
        <f>8516.71+8775</f>
        <v>17291.71</v>
      </c>
      <c r="Z1232" s="75">
        <v>0</v>
      </c>
      <c r="AA1232" s="1122">
        <v>0</v>
      </c>
      <c r="AB1232" s="75">
        <v>0</v>
      </c>
      <c r="AC1232" s="75">
        <v>0</v>
      </c>
      <c r="AD1232" s="1122">
        <v>0</v>
      </c>
      <c r="AE1232" s="75">
        <v>0</v>
      </c>
      <c r="AF1232" s="75">
        <v>0</v>
      </c>
      <c r="AG1232" s="1122">
        <v>0</v>
      </c>
      <c r="AH1232" s="505">
        <f t="shared" si="346"/>
        <v>17291.71</v>
      </c>
      <c r="AI1232" s="132"/>
      <c r="AJ1232" s="75">
        <f>+W1241+Z1241+AC1241+AF1241</f>
        <v>0</v>
      </c>
      <c r="AK1232" s="75"/>
      <c r="AL1232" s="75"/>
      <c r="AM1232" s="75"/>
      <c r="AN1232" s="64" t="s">
        <v>181</v>
      </c>
      <c r="AO1232" s="64"/>
      <c r="AP1232" s="64"/>
      <c r="AQ1232" s="189"/>
      <c r="AR1232" s="64"/>
      <c r="AS1232" s="476"/>
      <c r="AT1232" s="64"/>
      <c r="AU1232" s="646"/>
      <c r="AV1232" s="65"/>
      <c r="AW1232" s="65" t="s">
        <v>2806</v>
      </c>
    </row>
    <row r="1233" spans="1:49" ht="26.45" hidden="1" customHeight="1" outlineLevel="3" x14ac:dyDescent="0.25">
      <c r="A1233" s="63" t="str">
        <f t="shared" si="306"/>
        <v>3.14.1.3.8.0</v>
      </c>
      <c r="B1233" s="64">
        <v>3</v>
      </c>
      <c r="C1233" s="64">
        <v>14</v>
      </c>
      <c r="D1233" s="64">
        <v>1</v>
      </c>
      <c r="E1233" s="64">
        <v>3</v>
      </c>
      <c r="F1233" s="64">
        <v>8</v>
      </c>
      <c r="G1233" s="64">
        <v>0</v>
      </c>
      <c r="H1233" s="65"/>
      <c r="I1233" s="65"/>
      <c r="J1233" s="65"/>
      <c r="K1233" s="65" t="s">
        <v>2733</v>
      </c>
      <c r="L1233" s="64"/>
      <c r="M1233" s="64"/>
      <c r="N1233" s="64"/>
      <c r="O1233" s="64"/>
      <c r="P1233" s="69"/>
      <c r="Q1233" s="69"/>
      <c r="R1233" s="64"/>
      <c r="S1233" s="65"/>
      <c r="T1233" s="194"/>
      <c r="U1233" s="75">
        <v>0</v>
      </c>
      <c r="V1233" s="75"/>
      <c r="W1233" s="75">
        <v>0</v>
      </c>
      <c r="X1233" s="1122">
        <v>0</v>
      </c>
      <c r="Y1233" s="75">
        <v>25406.48</v>
      </c>
      <c r="Z1233" s="75">
        <v>0</v>
      </c>
      <c r="AA1233" s="1122">
        <v>0</v>
      </c>
      <c r="AB1233" s="75">
        <v>0</v>
      </c>
      <c r="AC1233" s="75">
        <v>0</v>
      </c>
      <c r="AD1233" s="1122">
        <v>0</v>
      </c>
      <c r="AE1233" s="75">
        <v>0</v>
      </c>
      <c r="AF1233" s="75">
        <v>0</v>
      </c>
      <c r="AG1233" s="1122">
        <v>0</v>
      </c>
      <c r="AH1233" s="505">
        <f t="shared" si="346"/>
        <v>25406.48</v>
      </c>
      <c r="AI1233" s="132"/>
      <c r="AJ1233" s="75">
        <f>+W1242+Z1242+AC1242+AF1242</f>
        <v>0</v>
      </c>
      <c r="AK1233" s="75"/>
      <c r="AL1233" s="75"/>
      <c r="AM1233" s="75"/>
      <c r="AN1233" s="64" t="s">
        <v>181</v>
      </c>
      <c r="AO1233" s="64"/>
      <c r="AP1233" s="64"/>
      <c r="AQ1233" s="189"/>
      <c r="AR1233" s="64"/>
      <c r="AS1233" s="476"/>
      <c r="AT1233" s="64"/>
      <c r="AU1233" s="646"/>
      <c r="AV1233" s="65"/>
      <c r="AW1233" s="65" t="s">
        <v>2731</v>
      </c>
    </row>
    <row r="1234" spans="1:49" ht="26.45" hidden="1" customHeight="1" outlineLevel="3" x14ac:dyDescent="0.25">
      <c r="A1234" s="63" t="str">
        <f t="shared" si="306"/>
        <v>3.14.1.3.9.0</v>
      </c>
      <c r="B1234" s="64">
        <v>3</v>
      </c>
      <c r="C1234" s="64">
        <v>14</v>
      </c>
      <c r="D1234" s="64">
        <v>1</v>
      </c>
      <c r="E1234" s="64">
        <v>3</v>
      </c>
      <c r="F1234" s="64">
        <v>9</v>
      </c>
      <c r="G1234" s="64">
        <v>0</v>
      </c>
      <c r="H1234" s="65"/>
      <c r="I1234" s="65"/>
      <c r="J1234" s="65"/>
      <c r="K1234" s="65" t="s">
        <v>2734</v>
      </c>
      <c r="L1234" s="64"/>
      <c r="M1234" s="64"/>
      <c r="N1234" s="64"/>
      <c r="O1234" s="64"/>
      <c r="P1234" s="69"/>
      <c r="Q1234" s="69"/>
      <c r="R1234" s="64"/>
      <c r="S1234" s="65"/>
      <c r="T1234" s="194"/>
      <c r="U1234" s="75">
        <v>0</v>
      </c>
      <c r="V1234" s="75"/>
      <c r="W1234" s="75">
        <v>0</v>
      </c>
      <c r="X1234" s="1122">
        <v>0</v>
      </c>
      <c r="Y1234" s="75">
        <v>0</v>
      </c>
      <c r="Z1234" s="75">
        <v>0</v>
      </c>
      <c r="AA1234" s="1122">
        <v>0</v>
      </c>
      <c r="AB1234" s="75">
        <v>750000</v>
      </c>
      <c r="AC1234" s="75">
        <v>0</v>
      </c>
      <c r="AD1234" s="1122">
        <v>0</v>
      </c>
      <c r="AE1234" s="75">
        <v>0</v>
      </c>
      <c r="AF1234" s="75">
        <v>0</v>
      </c>
      <c r="AG1234" s="1122">
        <v>0</v>
      </c>
      <c r="AH1234" s="505">
        <f t="shared" si="346"/>
        <v>750000</v>
      </c>
      <c r="AI1234" s="132"/>
      <c r="AJ1234" s="75">
        <f>+W1243+Z1243+AC1243+AF1243</f>
        <v>0</v>
      </c>
      <c r="AK1234" s="75"/>
      <c r="AL1234" s="75"/>
      <c r="AM1234" s="75"/>
      <c r="AN1234" s="64" t="s">
        <v>181</v>
      </c>
      <c r="AO1234" s="64"/>
      <c r="AP1234" s="64"/>
      <c r="AQ1234" s="189"/>
      <c r="AR1234" s="64"/>
      <c r="AS1234" s="476"/>
      <c r="AT1234" s="64"/>
      <c r="AU1234" s="646"/>
      <c r="AV1234" s="65"/>
      <c r="AW1234" s="65" t="s">
        <v>2727</v>
      </c>
    </row>
    <row r="1235" spans="1:49" s="153" customFormat="1" ht="29.1" customHeight="1" outlineLevel="1" collapsed="1" x14ac:dyDescent="0.25">
      <c r="A1235" s="148" t="str">
        <f t="shared" si="306"/>
        <v>3.14.0.4.0.0</v>
      </c>
      <c r="B1235" s="82">
        <v>3</v>
      </c>
      <c r="C1235" s="82">
        <v>14</v>
      </c>
      <c r="D1235" s="82">
        <v>0</v>
      </c>
      <c r="E1235" s="82">
        <v>4</v>
      </c>
      <c r="F1235" s="82">
        <v>0</v>
      </c>
      <c r="G1235" s="82">
        <v>0</v>
      </c>
      <c r="H1235" s="149"/>
      <c r="I1235" s="149"/>
      <c r="J1235" s="1260" t="s">
        <v>1436</v>
      </c>
      <c r="K1235" s="1259"/>
      <c r="L1235" s="82" t="s">
        <v>1410</v>
      </c>
      <c r="M1235" s="82" t="s">
        <v>299</v>
      </c>
      <c r="N1235" s="82" t="s">
        <v>1437</v>
      </c>
      <c r="O1235" s="83" t="s">
        <v>1438</v>
      </c>
      <c r="P1235" s="84"/>
      <c r="Q1235" s="84"/>
      <c r="R1235" s="82"/>
      <c r="S1235" s="149"/>
      <c r="T1235" s="193"/>
      <c r="U1235" s="379">
        <f>SUM(U1236:U1240)</f>
        <v>60000</v>
      </c>
      <c r="V1235" s="379"/>
      <c r="W1235" s="379">
        <f t="shared" ref="W1235:AH1235" si="348">SUM(W1236:W1240)</f>
        <v>60000</v>
      </c>
      <c r="X1235" s="1130">
        <f t="shared" si="348"/>
        <v>0</v>
      </c>
      <c r="Y1235" s="379">
        <f>SUM(Y1236:Y1240)</f>
        <v>695000</v>
      </c>
      <c r="Z1235" s="379">
        <f t="shared" si="348"/>
        <v>0</v>
      </c>
      <c r="AA1235" s="1130">
        <f t="shared" si="348"/>
        <v>0</v>
      </c>
      <c r="AB1235" s="379">
        <f>SUM(AB1236:AB1240)</f>
        <v>0</v>
      </c>
      <c r="AC1235" s="379">
        <f t="shared" si="348"/>
        <v>0</v>
      </c>
      <c r="AD1235" s="1130">
        <f t="shared" si="348"/>
        <v>0</v>
      </c>
      <c r="AE1235" s="379">
        <f>SUM(AE1236:AE1240)</f>
        <v>0</v>
      </c>
      <c r="AF1235" s="379">
        <f t="shared" si="348"/>
        <v>0</v>
      </c>
      <c r="AG1235" s="1130">
        <f t="shared" si="348"/>
        <v>0</v>
      </c>
      <c r="AH1235" s="379">
        <f>SUM(AH1236:AH1240)</f>
        <v>755000</v>
      </c>
      <c r="AI1235" s="512">
        <f>SUM(AI1236:AI1237)</f>
        <v>0</v>
      </c>
      <c r="AJ1235" s="512">
        <f>SUM(AJ1236:AJ1240)</f>
        <v>0</v>
      </c>
      <c r="AK1235" s="152"/>
      <c r="AL1235" s="152"/>
      <c r="AM1235" s="152"/>
      <c r="AN1235" s="82" t="s">
        <v>181</v>
      </c>
      <c r="AO1235" s="82"/>
      <c r="AP1235" s="82"/>
      <c r="AQ1235" s="365"/>
      <c r="AR1235" s="82"/>
      <c r="AS1235" s="483"/>
      <c r="AT1235" s="82"/>
      <c r="AU1235" s="666"/>
      <c r="AV1235" s="379">
        <f t="shared" ref="AV1235" si="349">SUM(AV1236:AV1237)</f>
        <v>0</v>
      </c>
      <c r="AW1235" s="444"/>
    </row>
    <row r="1236" spans="1:49" ht="26.45" hidden="1" customHeight="1" outlineLevel="2" x14ac:dyDescent="0.25">
      <c r="A1236" s="63" t="str">
        <f t="shared" si="306"/>
        <v>3.14.0.4.1.58-64</v>
      </c>
      <c r="B1236" s="64">
        <v>3</v>
      </c>
      <c r="C1236" s="64">
        <v>14</v>
      </c>
      <c r="D1236" s="64">
        <v>0</v>
      </c>
      <c r="E1236" s="64">
        <v>4</v>
      </c>
      <c r="F1236" s="64">
        <v>1</v>
      </c>
      <c r="G1236" s="64" t="s">
        <v>64</v>
      </c>
      <c r="H1236" s="65"/>
      <c r="I1236" s="65"/>
      <c r="J1236" s="65"/>
      <c r="K1236" s="65" t="s">
        <v>1439</v>
      </c>
      <c r="L1236" s="64" t="s">
        <v>1410</v>
      </c>
      <c r="M1236" s="64" t="s">
        <v>299</v>
      </c>
      <c r="N1236" s="64" t="s">
        <v>1437</v>
      </c>
      <c r="O1236" s="64" t="s">
        <v>38</v>
      </c>
      <c r="P1236" s="69">
        <v>44927</v>
      </c>
      <c r="Q1236" s="69">
        <v>45291</v>
      </c>
      <c r="R1236" s="170" t="s">
        <v>887</v>
      </c>
      <c r="S1236" s="170" t="s">
        <v>299</v>
      </c>
      <c r="T1236" s="1188" t="s">
        <v>887</v>
      </c>
      <c r="U1236" s="97">
        <v>0</v>
      </c>
      <c r="V1236" s="97"/>
      <c r="W1236" s="97">
        <v>0</v>
      </c>
      <c r="X1236" s="1134">
        <v>0</v>
      </c>
      <c r="Y1236" s="97">
        <v>0</v>
      </c>
      <c r="Z1236" s="97">
        <v>0</v>
      </c>
      <c r="AA1236" s="1134">
        <v>0</v>
      </c>
      <c r="AB1236" s="97">
        <v>0</v>
      </c>
      <c r="AC1236" s="97">
        <v>0</v>
      </c>
      <c r="AD1236" s="1134">
        <v>0</v>
      </c>
      <c r="AE1236" s="97">
        <v>0</v>
      </c>
      <c r="AF1236" s="97">
        <v>0</v>
      </c>
      <c r="AG1236" s="1134">
        <v>0</v>
      </c>
      <c r="AH1236" s="505">
        <f>+U1236+Y1236+AB1236+AE1236</f>
        <v>0</v>
      </c>
      <c r="AI1236" s="132"/>
      <c r="AJ1236" s="75">
        <f t="shared" ref="AJ1236" si="350">+W1237+Z1237+AC1237+AF1237</f>
        <v>0</v>
      </c>
      <c r="AK1236" s="258"/>
      <c r="AL1236" s="258"/>
      <c r="AM1236" s="258"/>
      <c r="AN1236" s="171" t="s">
        <v>181</v>
      </c>
      <c r="AO1236" s="171"/>
      <c r="AP1236" s="171"/>
      <c r="AQ1236" s="418"/>
      <c r="AS1236" s="484"/>
      <c r="AV1236" s="1010"/>
      <c r="AW1236" s="65"/>
    </row>
    <row r="1237" spans="1:49" ht="32.1" hidden="1" customHeight="1" outlineLevel="2" x14ac:dyDescent="0.25">
      <c r="A1237" s="63" t="str">
        <f t="shared" si="306"/>
        <v>3.14.0.4.2.58-64</v>
      </c>
      <c r="B1237" s="64">
        <v>3</v>
      </c>
      <c r="C1237" s="64">
        <v>14</v>
      </c>
      <c r="D1237" s="64">
        <v>0</v>
      </c>
      <c r="E1237" s="64">
        <v>4</v>
      </c>
      <c r="F1237" s="64">
        <v>2</v>
      </c>
      <c r="G1237" s="64" t="s">
        <v>64</v>
      </c>
      <c r="H1237" s="65"/>
      <c r="I1237" s="65"/>
      <c r="J1237" s="65"/>
      <c r="K1237" s="65" t="s">
        <v>1440</v>
      </c>
      <c r="L1237" s="64" t="s">
        <v>72</v>
      </c>
      <c r="M1237" s="64" t="s">
        <v>76</v>
      </c>
      <c r="N1237" s="64" t="s">
        <v>74</v>
      </c>
      <c r="O1237" s="64" t="s">
        <v>1438</v>
      </c>
      <c r="P1237" s="69">
        <v>45017</v>
      </c>
      <c r="Q1237" s="69" t="s">
        <v>2611</v>
      </c>
      <c r="R1237" s="170">
        <v>1</v>
      </c>
      <c r="S1237" s="170" t="s">
        <v>73</v>
      </c>
      <c r="T1237" s="1188">
        <v>0</v>
      </c>
      <c r="U1237" s="97">
        <v>0</v>
      </c>
      <c r="V1237" s="97"/>
      <c r="W1237" s="97">
        <v>0</v>
      </c>
      <c r="X1237" s="1134">
        <v>0</v>
      </c>
      <c r="Y1237" s="97">
        <v>3000</v>
      </c>
      <c r="Z1237" s="97">
        <v>0</v>
      </c>
      <c r="AA1237" s="1134">
        <v>0</v>
      </c>
      <c r="AB1237" s="97">
        <v>0</v>
      </c>
      <c r="AC1237" s="97">
        <v>0</v>
      </c>
      <c r="AD1237" s="1134">
        <v>0</v>
      </c>
      <c r="AE1237" s="97">
        <v>0</v>
      </c>
      <c r="AF1237" s="97">
        <v>0</v>
      </c>
      <c r="AG1237" s="1134">
        <v>0</v>
      </c>
      <c r="AH1237" s="505">
        <f>+U1237+Y1237+AB1237+AE1237</f>
        <v>3000</v>
      </c>
      <c r="AI1237" s="132"/>
      <c r="AJ1237" s="75">
        <f>+W1241+Z1241+AC1241+AF1241</f>
        <v>0</v>
      </c>
      <c r="AK1237" s="75"/>
      <c r="AL1237" s="75"/>
      <c r="AM1237" s="75"/>
      <c r="AN1237" s="171" t="s">
        <v>181</v>
      </c>
      <c r="AO1237" s="171"/>
      <c r="AP1237" s="171"/>
      <c r="AQ1237" s="418"/>
      <c r="AS1237" s="484"/>
      <c r="AV1237" s="1010"/>
      <c r="AW1237" s="67" t="s">
        <v>2760</v>
      </c>
    </row>
    <row r="1238" spans="1:49" ht="32.1" hidden="1" customHeight="1" outlineLevel="2" x14ac:dyDescent="0.25">
      <c r="A1238" s="63" t="str">
        <f t="shared" si="306"/>
        <v>3.14.0.4.3.58-64</v>
      </c>
      <c r="B1238" s="64">
        <v>3</v>
      </c>
      <c r="C1238" s="64">
        <v>14</v>
      </c>
      <c r="D1238" s="64">
        <v>0</v>
      </c>
      <c r="E1238" s="64">
        <v>4</v>
      </c>
      <c r="F1238" s="64">
        <v>3</v>
      </c>
      <c r="G1238" s="64" t="s">
        <v>64</v>
      </c>
      <c r="H1238" s="65"/>
      <c r="I1238" s="65"/>
      <c r="J1238" s="65"/>
      <c r="K1238" s="185" t="s">
        <v>2797</v>
      </c>
      <c r="L1238" s="64"/>
      <c r="M1238" s="64"/>
      <c r="N1238" s="64"/>
      <c r="O1238" s="64"/>
      <c r="P1238" s="69"/>
      <c r="Q1238" s="69"/>
      <c r="R1238" s="170"/>
      <c r="S1238" s="170"/>
      <c r="T1238" s="1188"/>
      <c r="U1238" s="97">
        <v>0</v>
      </c>
      <c r="V1238" s="97"/>
      <c r="W1238" s="97">
        <v>0</v>
      </c>
      <c r="X1238" s="1134">
        <v>0</v>
      </c>
      <c r="Y1238" s="97">
        <v>150000</v>
      </c>
      <c r="Z1238" s="97">
        <v>0</v>
      </c>
      <c r="AA1238" s="1134">
        <v>0</v>
      </c>
      <c r="AB1238" s="97">
        <v>0</v>
      </c>
      <c r="AC1238" s="97">
        <v>0</v>
      </c>
      <c r="AD1238" s="1134">
        <v>0</v>
      </c>
      <c r="AE1238" s="97">
        <v>0</v>
      </c>
      <c r="AF1238" s="97">
        <v>0</v>
      </c>
      <c r="AG1238" s="1134">
        <v>0</v>
      </c>
      <c r="AH1238" s="505">
        <f>+U1238+Y1238+AB1238+AE1238</f>
        <v>150000</v>
      </c>
      <c r="AI1238" s="132"/>
      <c r="AJ1238" s="75">
        <f>+W1242+Z1242+AC1242+AF1242</f>
        <v>0</v>
      </c>
      <c r="AK1238" s="75"/>
      <c r="AL1238" s="75"/>
      <c r="AM1238" s="75"/>
      <c r="AN1238" s="171" t="s">
        <v>181</v>
      </c>
      <c r="AO1238" s="171"/>
      <c r="AP1238" s="171"/>
      <c r="AQ1238" s="418"/>
      <c r="AS1238" s="484"/>
      <c r="AV1238" s="1097"/>
      <c r="AW1238" s="335" t="s">
        <v>2799</v>
      </c>
    </row>
    <row r="1239" spans="1:49" ht="32.1" hidden="1" customHeight="1" outlineLevel="2" x14ac:dyDescent="0.25">
      <c r="A1239" s="63" t="str">
        <f t="shared" si="306"/>
        <v>3.14.0.4.4.58-64</v>
      </c>
      <c r="B1239" s="64">
        <v>3</v>
      </c>
      <c r="C1239" s="64">
        <v>14</v>
      </c>
      <c r="D1239" s="64">
        <v>0</v>
      </c>
      <c r="E1239" s="64">
        <v>4</v>
      </c>
      <c r="F1239" s="64">
        <v>4</v>
      </c>
      <c r="G1239" s="64" t="s">
        <v>64</v>
      </c>
      <c r="H1239" s="63"/>
      <c r="I1239" s="63"/>
      <c r="J1239" s="63"/>
      <c r="K1239" s="185" t="s">
        <v>2798</v>
      </c>
      <c r="L1239" s="64"/>
      <c r="M1239" s="64"/>
      <c r="N1239" s="64"/>
      <c r="O1239" s="64"/>
      <c r="P1239" s="69"/>
      <c r="Q1239" s="69"/>
      <c r="R1239" s="170"/>
      <c r="S1239" s="170"/>
      <c r="T1239" s="1188"/>
      <c r="U1239" s="97">
        <v>60000</v>
      </c>
      <c r="V1239" s="97"/>
      <c r="W1239" s="97">
        <v>0</v>
      </c>
      <c r="X1239" s="1134">
        <v>0</v>
      </c>
      <c r="Y1239" s="97">
        <f>510000+32000</f>
        <v>542000</v>
      </c>
      <c r="Z1239" s="97">
        <v>0</v>
      </c>
      <c r="AA1239" s="1134">
        <v>0</v>
      </c>
      <c r="AB1239" s="97">
        <v>0</v>
      </c>
      <c r="AC1239" s="97">
        <v>0</v>
      </c>
      <c r="AD1239" s="1134">
        <v>0</v>
      </c>
      <c r="AE1239" s="97">
        <v>0</v>
      </c>
      <c r="AF1239" s="97">
        <v>0</v>
      </c>
      <c r="AG1239" s="1134">
        <v>0</v>
      </c>
      <c r="AH1239" s="505">
        <f>+U1239+Y1239+AB1239+AE1239</f>
        <v>602000</v>
      </c>
      <c r="AI1239" s="132"/>
      <c r="AJ1239" s="75">
        <f>+W1243+Z1243+AC1243+AF1243</f>
        <v>0</v>
      </c>
      <c r="AK1239" s="75"/>
      <c r="AL1239" s="75"/>
      <c r="AM1239" s="75"/>
      <c r="AN1239" s="171" t="s">
        <v>181</v>
      </c>
      <c r="AO1239" s="171"/>
      <c r="AP1239" s="171"/>
      <c r="AQ1239" s="418"/>
      <c r="AS1239" s="484"/>
      <c r="AV1239" s="1097"/>
      <c r="AW1239" s="335" t="s">
        <v>2802</v>
      </c>
    </row>
    <row r="1240" spans="1:49" ht="32.1" hidden="1" customHeight="1" outlineLevel="2" x14ac:dyDescent="0.25">
      <c r="A1240" s="63" t="str">
        <f t="shared" si="306"/>
        <v>3.14.0.4.5.58-64</v>
      </c>
      <c r="B1240" s="64">
        <v>3</v>
      </c>
      <c r="C1240" s="64">
        <v>14</v>
      </c>
      <c r="D1240" s="64">
        <v>0</v>
      </c>
      <c r="E1240" s="64">
        <v>4</v>
      </c>
      <c r="F1240" s="64">
        <v>5</v>
      </c>
      <c r="G1240" s="64" t="s">
        <v>64</v>
      </c>
      <c r="H1240" s="63"/>
      <c r="I1240" s="63"/>
      <c r="J1240" s="63"/>
      <c r="K1240" s="185" t="s">
        <v>2763</v>
      </c>
      <c r="L1240" s="64"/>
      <c r="M1240" s="64"/>
      <c r="N1240" s="64"/>
      <c r="O1240" s="64"/>
      <c r="P1240" s="69"/>
      <c r="Q1240" s="69"/>
      <c r="R1240" s="170"/>
      <c r="S1240" s="170"/>
      <c r="T1240" s="1188"/>
      <c r="U1240" s="97">
        <v>0</v>
      </c>
      <c r="V1240" s="97"/>
      <c r="W1240" s="97">
        <v>60000</v>
      </c>
      <c r="X1240" s="1134">
        <v>0</v>
      </c>
      <c r="Y1240" s="97">
        <v>0</v>
      </c>
      <c r="Z1240" s="97">
        <v>0</v>
      </c>
      <c r="AA1240" s="1134">
        <v>0</v>
      </c>
      <c r="AB1240" s="97">
        <v>0</v>
      </c>
      <c r="AC1240" s="97">
        <v>0</v>
      </c>
      <c r="AD1240" s="1134">
        <v>0</v>
      </c>
      <c r="AE1240" s="97">
        <v>0</v>
      </c>
      <c r="AF1240" s="97">
        <v>0</v>
      </c>
      <c r="AG1240" s="1134">
        <v>0</v>
      </c>
      <c r="AH1240" s="505">
        <f>+U1240+Y1240+AB1240+AE1240</f>
        <v>0</v>
      </c>
      <c r="AI1240" s="132"/>
      <c r="AJ1240" s="75">
        <f>+W1244+Z1244+AC1244+AF1244</f>
        <v>0</v>
      </c>
      <c r="AK1240" s="75"/>
      <c r="AL1240" s="75"/>
      <c r="AM1240" s="75"/>
      <c r="AN1240" s="171" t="s">
        <v>181</v>
      </c>
      <c r="AO1240" s="171"/>
      <c r="AP1240" s="171"/>
      <c r="AQ1240" s="418"/>
      <c r="AS1240" s="484"/>
      <c r="AV1240" s="1097"/>
      <c r="AW1240" s="335" t="s">
        <v>2801</v>
      </c>
    </row>
    <row r="1241" spans="1:49" s="153" customFormat="1" ht="29.1" customHeight="1" x14ac:dyDescent="0.25">
      <c r="A1241" s="246" t="str">
        <f t="shared" si="306"/>
        <v>4.0.0.0.0.0</v>
      </c>
      <c r="B1241" s="44">
        <v>4</v>
      </c>
      <c r="C1241" s="44">
        <v>0</v>
      </c>
      <c r="D1241" s="44">
        <v>0</v>
      </c>
      <c r="E1241" s="44">
        <v>0</v>
      </c>
      <c r="F1241" s="44">
        <v>0</v>
      </c>
      <c r="G1241" s="44">
        <v>0</v>
      </c>
      <c r="H1241" s="1269" t="s">
        <v>1442</v>
      </c>
      <c r="I1241" s="1270"/>
      <c r="J1241" s="1270"/>
      <c r="K1241" s="1271"/>
      <c r="L1241" s="44" t="s">
        <v>1443</v>
      </c>
      <c r="M1241" s="44">
        <v>0</v>
      </c>
      <c r="N1241" s="44" t="s">
        <v>1444</v>
      </c>
      <c r="O1241" s="44" t="s">
        <v>1445</v>
      </c>
      <c r="P1241" s="44"/>
      <c r="Q1241" s="44"/>
      <c r="R1241" s="44"/>
      <c r="S1241" s="247"/>
      <c r="T1241" s="1200"/>
      <c r="U1241" s="248">
        <f>+U1242+U1387+U1429</f>
        <v>4584094.4275000002</v>
      </c>
      <c r="V1241" s="248"/>
      <c r="W1241" s="248">
        <f>+W1242+W1387+W1429</f>
        <v>0</v>
      </c>
      <c r="X1241" s="1157">
        <f t="shared" ref="X1241:AG1241" si="351">+X1242+X1387+X1429</f>
        <v>0</v>
      </c>
      <c r="Y1241" s="391">
        <f t="shared" si="351"/>
        <v>4587454.4275000002</v>
      </c>
      <c r="Z1241" s="391">
        <f t="shared" si="351"/>
        <v>0</v>
      </c>
      <c r="AA1241" s="1157">
        <f t="shared" si="351"/>
        <v>0</v>
      </c>
      <c r="AB1241" s="391">
        <f t="shared" si="351"/>
        <v>4584094.4275000002</v>
      </c>
      <c r="AC1241" s="391">
        <f t="shared" si="351"/>
        <v>0</v>
      </c>
      <c r="AD1241" s="1157">
        <f t="shared" si="351"/>
        <v>0</v>
      </c>
      <c r="AE1241" s="391">
        <f t="shared" si="351"/>
        <v>4584094.4275000002</v>
      </c>
      <c r="AF1241" s="391">
        <f t="shared" si="351"/>
        <v>0</v>
      </c>
      <c r="AG1241" s="1157">
        <f t="shared" si="351"/>
        <v>0</v>
      </c>
      <c r="AH1241" s="391">
        <f>+AH1242+AH1387+AH1429</f>
        <v>18339737.710000001</v>
      </c>
      <c r="AI1241" s="527">
        <f>+AI1242+AI1387+AI1429</f>
        <v>0</v>
      </c>
      <c r="AJ1241" s="527">
        <f>+AJ1242+AJ1387+AJ1429</f>
        <v>0</v>
      </c>
      <c r="AK1241" s="273"/>
      <c r="AL1241" s="273"/>
      <c r="AM1241" s="273"/>
      <c r="AN1241" s="44" t="s">
        <v>181</v>
      </c>
      <c r="AO1241" s="44"/>
      <c r="AP1241" s="44"/>
      <c r="AQ1241" s="420"/>
      <c r="AR1241" s="44"/>
      <c r="AS1241" s="486"/>
      <c r="AT1241" s="44"/>
      <c r="AU1241" s="658"/>
      <c r="AV1241" s="391">
        <f t="shared" ref="AV1241" si="352">+AV1242+AV1387+AV1429</f>
        <v>0</v>
      </c>
      <c r="AW1241" s="426"/>
    </row>
    <row r="1242" spans="1:49" s="153" customFormat="1" ht="32.25" customHeight="1" outlineLevel="2" x14ac:dyDescent="0.25">
      <c r="A1242" s="108" t="str">
        <f t="shared" si="306"/>
        <v>4.14.3.0.0.0</v>
      </c>
      <c r="B1242" s="109">
        <v>4</v>
      </c>
      <c r="C1242" s="109">
        <v>14</v>
      </c>
      <c r="D1242" s="109">
        <v>3</v>
      </c>
      <c r="E1242" s="109">
        <v>0</v>
      </c>
      <c r="F1242" s="109">
        <v>0</v>
      </c>
      <c r="G1242" s="109">
        <v>0</v>
      </c>
      <c r="H1242" s="110"/>
      <c r="I1242" s="1265" t="s">
        <v>1446</v>
      </c>
      <c r="J1242" s="1266"/>
      <c r="K1242" s="1267"/>
      <c r="L1242" s="109" t="s">
        <v>612</v>
      </c>
      <c r="M1242" s="109">
        <v>0</v>
      </c>
      <c r="N1242" s="109" t="s">
        <v>1444</v>
      </c>
      <c r="O1242" s="109">
        <v>0</v>
      </c>
      <c r="P1242" s="109"/>
      <c r="Q1242" s="109"/>
      <c r="R1242" s="109"/>
      <c r="S1242" s="110"/>
      <c r="T1242" s="1183"/>
      <c r="U1242" s="112">
        <f>+U1243+U1252+U1261+U1270+U1279+U1288+U1297+U1306+U1356+U1361+U1367+U1372+U1377+U1382</f>
        <v>4584094.4275000002</v>
      </c>
      <c r="V1242" s="112"/>
      <c r="W1242" s="112">
        <f t="shared" ref="W1242:AH1242" si="353">+W1243+W1252+W1261+W1270+W1279+W1288+W1297+W1306+W1356+W1361+W1367+W1372+W1377+W1382</f>
        <v>0</v>
      </c>
      <c r="X1242" s="1116">
        <f t="shared" si="353"/>
        <v>0</v>
      </c>
      <c r="Y1242" s="112">
        <f t="shared" si="353"/>
        <v>4587454.4275000002</v>
      </c>
      <c r="Z1242" s="112">
        <f t="shared" si="353"/>
        <v>0</v>
      </c>
      <c r="AA1242" s="1116">
        <f t="shared" si="353"/>
        <v>0</v>
      </c>
      <c r="AB1242" s="112">
        <f t="shared" si="353"/>
        <v>4584094.4275000002</v>
      </c>
      <c r="AC1242" s="112">
        <f t="shared" si="353"/>
        <v>0</v>
      </c>
      <c r="AD1242" s="1116">
        <f t="shared" si="353"/>
        <v>0</v>
      </c>
      <c r="AE1242" s="112">
        <f t="shared" si="353"/>
        <v>4584094.4275000002</v>
      </c>
      <c r="AF1242" s="112">
        <f t="shared" si="353"/>
        <v>0</v>
      </c>
      <c r="AG1242" s="1116">
        <f t="shared" si="353"/>
        <v>0</v>
      </c>
      <c r="AH1242" s="112">
        <f>+AH1243+AH1252+AH1261+AH1270+AH1279+AH1288+AH1297+AH1306+AH1356+AH1361+AH1367+AH1372+AH1377+AH1382</f>
        <v>18339737.710000001</v>
      </c>
      <c r="AI1242" s="528">
        <f>+AI1243+AI1252+AI1261+AI1270+AI1279+AI1288+AI1297+AI1306+AI1356+AI1361+AI1367+AI1372+AI1377+AI1382</f>
        <v>0</v>
      </c>
      <c r="AJ1242" s="528">
        <f>+AJ1243+AJ1252+AJ1261+AJ1270+AJ1279+AJ1288+AJ1297+AJ1306+AJ1356+AJ1361+AJ1367+AJ1372+AJ1377+AJ1382</f>
        <v>0</v>
      </c>
      <c r="AK1242" s="274"/>
      <c r="AL1242" s="274"/>
      <c r="AM1242" s="274"/>
      <c r="AN1242" s="109" t="s">
        <v>181</v>
      </c>
      <c r="AO1242" s="109"/>
      <c r="AP1242" s="109"/>
      <c r="AQ1242" s="411"/>
      <c r="AR1242" s="109"/>
      <c r="AS1242" s="473"/>
      <c r="AT1242" s="109"/>
      <c r="AU1242" s="659"/>
      <c r="AV1242" s="392">
        <f t="shared" ref="AV1242" si="354">+AV1243+AV1252+AV1261+AV1270+AV1279+AV1288+AV1297+AV1306+AV1356+AV1361+AV1367+AV1372+AV1377+AV1382</f>
        <v>0</v>
      </c>
      <c r="AW1242" s="445"/>
    </row>
    <row r="1243" spans="1:49" ht="48.75" customHeight="1" outlineLevel="2" collapsed="1" x14ac:dyDescent="0.25">
      <c r="A1243" s="148" t="str">
        <f t="shared" si="306"/>
        <v>4.14.3.1.0.0</v>
      </c>
      <c r="B1243" s="82">
        <v>4</v>
      </c>
      <c r="C1243" s="82">
        <v>14</v>
      </c>
      <c r="D1243" s="82">
        <v>3</v>
      </c>
      <c r="E1243" s="82">
        <v>1</v>
      </c>
      <c r="F1243" s="82">
        <v>0</v>
      </c>
      <c r="G1243" s="82">
        <v>0</v>
      </c>
      <c r="H1243" s="148"/>
      <c r="I1243" s="148"/>
      <c r="J1243" s="1260" t="s">
        <v>1447</v>
      </c>
      <c r="K1243" s="1259"/>
      <c r="L1243" s="251" t="s">
        <v>1448</v>
      </c>
      <c r="M1243" s="251" t="s">
        <v>1449</v>
      </c>
      <c r="N1243" s="251" t="s">
        <v>1444</v>
      </c>
      <c r="O1243" s="251" t="s">
        <v>1445</v>
      </c>
      <c r="P1243" s="275"/>
      <c r="Q1243" s="275"/>
      <c r="R1243" s="275"/>
      <c r="S1243" s="275"/>
      <c r="T1243" s="1206"/>
      <c r="U1243" s="178">
        <f>SUM(U1244:U1251)</f>
        <v>906990.63250000007</v>
      </c>
      <c r="V1243" s="178"/>
      <c r="W1243" s="178">
        <f t="shared" ref="W1243:AG1243" si="355">SUM(W1244:W1251)</f>
        <v>0</v>
      </c>
      <c r="X1243" s="1127">
        <f t="shared" si="355"/>
        <v>0</v>
      </c>
      <c r="Y1243" s="178">
        <f t="shared" si="355"/>
        <v>906990.63250000007</v>
      </c>
      <c r="Z1243" s="178">
        <f t="shared" si="355"/>
        <v>0</v>
      </c>
      <c r="AA1243" s="1127">
        <f t="shared" si="355"/>
        <v>0</v>
      </c>
      <c r="AB1243" s="178">
        <f t="shared" si="355"/>
        <v>906990.63250000007</v>
      </c>
      <c r="AC1243" s="178">
        <f t="shared" si="355"/>
        <v>0</v>
      </c>
      <c r="AD1243" s="1127">
        <f t="shared" si="355"/>
        <v>0</v>
      </c>
      <c r="AE1243" s="178">
        <f t="shared" si="355"/>
        <v>906990.63250000007</v>
      </c>
      <c r="AF1243" s="178">
        <f t="shared" si="355"/>
        <v>0</v>
      </c>
      <c r="AG1243" s="1127">
        <f t="shared" si="355"/>
        <v>0</v>
      </c>
      <c r="AH1243" s="178">
        <f>SUM(AH1244:AH1251)</f>
        <v>3627962.5300000003</v>
      </c>
      <c r="AI1243" s="513">
        <f>+SUM(AI1244:AI1251)</f>
        <v>0</v>
      </c>
      <c r="AJ1243" s="513">
        <f>+SUM(AJ1244:AJ1251)</f>
        <v>0</v>
      </c>
      <c r="AK1243" s="198"/>
      <c r="AL1243" s="198"/>
      <c r="AM1243" s="198"/>
      <c r="AN1243" s="82" t="s">
        <v>181</v>
      </c>
      <c r="AO1243" s="82"/>
      <c r="AP1243" s="82"/>
      <c r="AQ1243" s="365"/>
      <c r="AR1243" s="82"/>
      <c r="AS1243" s="483"/>
      <c r="AT1243" s="82"/>
      <c r="AU1243" s="666"/>
      <c r="AV1243" s="380">
        <f t="shared" ref="AV1243" si="356">+SUM(AV1244:AV1251)</f>
        <v>0</v>
      </c>
      <c r="AW1243" s="449" t="s">
        <v>1450</v>
      </c>
    </row>
    <row r="1244" spans="1:49" ht="34.35" hidden="1" customHeight="1" outlineLevel="3" x14ac:dyDescent="0.25">
      <c r="A1244" s="63" t="str">
        <f t="shared" si="306"/>
        <v>4.14.3.1.1.58</v>
      </c>
      <c r="B1244" s="64">
        <v>4</v>
      </c>
      <c r="C1244" s="64">
        <v>14</v>
      </c>
      <c r="D1244" s="64">
        <v>3</v>
      </c>
      <c r="E1244" s="64">
        <v>1</v>
      </c>
      <c r="F1244" s="64">
        <v>1</v>
      </c>
      <c r="G1244" s="64">
        <v>58</v>
      </c>
      <c r="H1244" s="65"/>
      <c r="I1244" s="65"/>
      <c r="J1244" s="66"/>
      <c r="K1244" s="65" t="s">
        <v>1451</v>
      </c>
      <c r="L1244" s="64" t="s">
        <v>1452</v>
      </c>
      <c r="M1244" s="64" t="s">
        <v>1453</v>
      </c>
      <c r="N1244" s="64" t="s">
        <v>1444</v>
      </c>
      <c r="O1244" s="64" t="s">
        <v>1204</v>
      </c>
      <c r="P1244" s="69">
        <v>44571</v>
      </c>
      <c r="Q1244" s="69">
        <v>44925</v>
      </c>
      <c r="R1244" s="124">
        <v>13000</v>
      </c>
      <c r="S1244" s="65" t="s">
        <v>1454</v>
      </c>
      <c r="T1244" s="194"/>
      <c r="U1244" s="75">
        <v>0</v>
      </c>
      <c r="V1244" s="75"/>
      <c r="W1244" s="75">
        <v>0</v>
      </c>
      <c r="X1244" s="1122">
        <v>0</v>
      </c>
      <c r="Y1244" s="75">
        <v>0</v>
      </c>
      <c r="Z1244" s="75">
        <v>0</v>
      </c>
      <c r="AA1244" s="1122">
        <v>0</v>
      </c>
      <c r="AB1244" s="75">
        <v>0</v>
      </c>
      <c r="AC1244" s="75">
        <v>0</v>
      </c>
      <c r="AD1244" s="1122">
        <v>0</v>
      </c>
      <c r="AE1244" s="75">
        <v>0</v>
      </c>
      <c r="AF1244" s="75">
        <v>0</v>
      </c>
      <c r="AG1244" s="1122">
        <v>0</v>
      </c>
      <c r="AH1244" s="505">
        <f>+U1244+Y1244+AB1244+AE1244</f>
        <v>0</v>
      </c>
      <c r="AI1244" s="132"/>
      <c r="AJ1244" s="75">
        <f t="shared" ref="AJ1244:AJ1251" si="357">+W1245+Z1245+AC1245+AF1245</f>
        <v>0</v>
      </c>
      <c r="AK1244" s="75"/>
      <c r="AL1244" s="75"/>
      <c r="AM1244" s="75"/>
      <c r="AN1244" s="98" t="s">
        <v>181</v>
      </c>
      <c r="AO1244" s="98"/>
      <c r="AP1244" s="98"/>
      <c r="AQ1244" s="184"/>
      <c r="AR1244" s="98"/>
      <c r="AS1244" s="481"/>
      <c r="AT1244" s="98"/>
      <c r="AU1244" s="646"/>
      <c r="AV1244" s="259"/>
      <c r="AW1244" s="441"/>
    </row>
    <row r="1245" spans="1:49" ht="34.35" hidden="1" customHeight="1" outlineLevel="3" x14ac:dyDescent="0.25">
      <c r="A1245" s="63" t="str">
        <f t="shared" si="306"/>
        <v>4.14.3.1.2.58</v>
      </c>
      <c r="B1245" s="64">
        <v>4</v>
      </c>
      <c r="C1245" s="64">
        <v>14</v>
      </c>
      <c r="D1245" s="64">
        <v>3</v>
      </c>
      <c r="E1245" s="64">
        <v>1</v>
      </c>
      <c r="F1245" s="64">
        <v>2</v>
      </c>
      <c r="G1245" s="100">
        <v>58</v>
      </c>
      <c r="H1245" s="65"/>
      <c r="I1245" s="65"/>
      <c r="J1245" s="66"/>
      <c r="K1245" s="65" t="s">
        <v>1455</v>
      </c>
      <c r="L1245" s="64" t="s">
        <v>1452</v>
      </c>
      <c r="M1245" s="64" t="s">
        <v>535</v>
      </c>
      <c r="N1245" s="64" t="s">
        <v>1444</v>
      </c>
      <c r="O1245" s="64" t="s">
        <v>1335</v>
      </c>
      <c r="P1245" s="69">
        <v>44571</v>
      </c>
      <c r="Q1245" s="69">
        <v>44925</v>
      </c>
      <c r="R1245" s="124">
        <f>676000/2</f>
        <v>338000</v>
      </c>
      <c r="S1245" s="65" t="s">
        <v>1456</v>
      </c>
      <c r="T1245" s="194"/>
      <c r="U1245" s="75">
        <v>0</v>
      </c>
      <c r="V1245" s="75"/>
      <c r="W1245" s="75">
        <v>0</v>
      </c>
      <c r="X1245" s="1122">
        <v>0</v>
      </c>
      <c r="Y1245" s="75">
        <v>0</v>
      </c>
      <c r="Z1245" s="75">
        <v>0</v>
      </c>
      <c r="AA1245" s="1122">
        <v>0</v>
      </c>
      <c r="AB1245" s="75">
        <v>0</v>
      </c>
      <c r="AC1245" s="75">
        <v>0</v>
      </c>
      <c r="AD1245" s="1122">
        <v>0</v>
      </c>
      <c r="AE1245" s="75">
        <v>0</v>
      </c>
      <c r="AF1245" s="75">
        <v>0</v>
      </c>
      <c r="AG1245" s="1122">
        <v>0</v>
      </c>
      <c r="AH1245" s="505">
        <f t="shared" ref="AH1245:AH1251" si="358">+U1245+Y1245+AB1245+AE1245</f>
        <v>0</v>
      </c>
      <c r="AI1245" s="132"/>
      <c r="AJ1245" s="75">
        <f t="shared" si="357"/>
        <v>0</v>
      </c>
      <c r="AK1245" s="75"/>
      <c r="AL1245" s="75"/>
      <c r="AM1245" s="75"/>
      <c r="AN1245" s="64" t="s">
        <v>181</v>
      </c>
      <c r="AO1245" s="64"/>
      <c r="AP1245" s="64"/>
      <c r="AQ1245" s="64"/>
      <c r="AR1245" s="64"/>
      <c r="AS1245" s="64"/>
      <c r="AT1245" s="64"/>
      <c r="AU1245" s="646"/>
      <c r="AV1245" s="259" t="s">
        <v>535</v>
      </c>
      <c r="AW1245" s="493"/>
    </row>
    <row r="1246" spans="1:49" ht="34.35" hidden="1" customHeight="1" outlineLevel="3" x14ac:dyDescent="0.25">
      <c r="A1246" s="63" t="str">
        <f t="shared" si="306"/>
        <v>4.14.3.1.3.58</v>
      </c>
      <c r="B1246" s="64">
        <v>4</v>
      </c>
      <c r="C1246" s="64">
        <v>14</v>
      </c>
      <c r="D1246" s="64">
        <v>3</v>
      </c>
      <c r="E1246" s="64">
        <v>1</v>
      </c>
      <c r="F1246" s="64">
        <v>3</v>
      </c>
      <c r="G1246" s="100">
        <v>58</v>
      </c>
      <c r="H1246" s="65"/>
      <c r="I1246" s="65"/>
      <c r="J1246" s="66"/>
      <c r="K1246" s="65" t="s">
        <v>1457</v>
      </c>
      <c r="L1246" s="64" t="s">
        <v>72</v>
      </c>
      <c r="M1246" s="64" t="s">
        <v>1458</v>
      </c>
      <c r="N1246" s="64" t="s">
        <v>1444</v>
      </c>
      <c r="O1246" s="64" t="s">
        <v>1445</v>
      </c>
      <c r="P1246" s="69">
        <v>44571</v>
      </c>
      <c r="Q1246" s="69">
        <v>44925</v>
      </c>
      <c r="R1246" s="124">
        <v>420</v>
      </c>
      <c r="S1246" s="65" t="s">
        <v>1459</v>
      </c>
      <c r="T1246" s="194">
        <f>420*125*22*12/4</f>
        <v>3465000</v>
      </c>
      <c r="U1246" s="75">
        <f>1611962.53/4</f>
        <v>402990.63250000001</v>
      </c>
      <c r="V1246" s="75"/>
      <c r="W1246" s="75">
        <v>0</v>
      </c>
      <c r="X1246" s="1122">
        <v>0</v>
      </c>
      <c r="Y1246" s="75">
        <v>402990.63250000001</v>
      </c>
      <c r="Z1246" s="75">
        <v>0</v>
      </c>
      <c r="AA1246" s="1122">
        <v>0</v>
      </c>
      <c r="AB1246" s="75">
        <v>402990.63250000001</v>
      </c>
      <c r="AC1246" s="75">
        <v>0</v>
      </c>
      <c r="AD1246" s="1122">
        <v>0</v>
      </c>
      <c r="AE1246" s="75">
        <v>402990.63250000001</v>
      </c>
      <c r="AF1246" s="75">
        <v>0</v>
      </c>
      <c r="AG1246" s="1122">
        <v>0</v>
      </c>
      <c r="AH1246" s="505">
        <f t="shared" si="358"/>
        <v>1611962.53</v>
      </c>
      <c r="AI1246" s="132"/>
      <c r="AJ1246" s="75">
        <f t="shared" si="357"/>
        <v>0</v>
      </c>
      <c r="AK1246" s="75"/>
      <c r="AL1246" s="75"/>
      <c r="AM1246" s="75"/>
      <c r="AN1246" s="64" t="s">
        <v>181</v>
      </c>
      <c r="AO1246" s="100"/>
      <c r="AP1246" s="100"/>
      <c r="AQ1246" s="100"/>
      <c r="AR1246" s="104"/>
      <c r="AS1246" s="104"/>
      <c r="AT1246" s="100"/>
      <c r="AU1246" s="964"/>
      <c r="AV1246" s="101"/>
      <c r="AW1246" s="103" t="s">
        <v>2762</v>
      </c>
    </row>
    <row r="1247" spans="1:49" ht="34.35" hidden="1" customHeight="1" outlineLevel="3" x14ac:dyDescent="0.25">
      <c r="A1247" s="63" t="str">
        <f t="shared" si="306"/>
        <v>4.14.3.1.4.58</v>
      </c>
      <c r="B1247" s="64">
        <v>4</v>
      </c>
      <c r="C1247" s="64">
        <v>14</v>
      </c>
      <c r="D1247" s="64">
        <v>3</v>
      </c>
      <c r="E1247" s="64">
        <v>1</v>
      </c>
      <c r="F1247" s="64">
        <v>4</v>
      </c>
      <c r="G1247" s="64">
        <v>58</v>
      </c>
      <c r="H1247" s="65"/>
      <c r="I1247" s="65"/>
      <c r="J1247" s="66"/>
      <c r="K1247" s="67" t="s">
        <v>1460</v>
      </c>
      <c r="L1247" s="64" t="s">
        <v>72</v>
      </c>
      <c r="M1247" s="64" t="s">
        <v>76</v>
      </c>
      <c r="N1247" s="64" t="s">
        <v>1444</v>
      </c>
      <c r="O1247" s="64" t="s">
        <v>1445</v>
      </c>
      <c r="P1247" s="69">
        <v>44571</v>
      </c>
      <c r="Q1247" s="69">
        <v>44925</v>
      </c>
      <c r="R1247" s="124">
        <v>2</v>
      </c>
      <c r="S1247" s="65" t="s">
        <v>1461</v>
      </c>
      <c r="T1247" s="194" t="e">
        <f>+#REF!/2</f>
        <v>#REF!</v>
      </c>
      <c r="U1247" s="75">
        <v>0</v>
      </c>
      <c r="V1247" s="75"/>
      <c r="W1247" s="75">
        <v>0</v>
      </c>
      <c r="X1247" s="1122">
        <v>0</v>
      </c>
      <c r="Y1247" s="75">
        <v>0</v>
      </c>
      <c r="Z1247" s="75">
        <v>0</v>
      </c>
      <c r="AA1247" s="1122">
        <v>0</v>
      </c>
      <c r="AB1247" s="75">
        <v>0</v>
      </c>
      <c r="AC1247" s="75">
        <v>0</v>
      </c>
      <c r="AD1247" s="1122">
        <v>0</v>
      </c>
      <c r="AE1247" s="75">
        <v>0</v>
      </c>
      <c r="AF1247" s="75">
        <v>0</v>
      </c>
      <c r="AG1247" s="1122">
        <v>0</v>
      </c>
      <c r="AH1247" s="505">
        <f t="shared" si="358"/>
        <v>0</v>
      </c>
      <c r="AI1247" s="132"/>
      <c r="AJ1247" s="75">
        <f t="shared" si="357"/>
        <v>0</v>
      </c>
      <c r="AK1247" s="75"/>
      <c r="AL1247" s="75"/>
      <c r="AM1247" s="75"/>
      <c r="AN1247" s="64" t="s">
        <v>181</v>
      </c>
      <c r="AO1247" s="64" t="s">
        <v>1819</v>
      </c>
      <c r="AP1247" s="68" t="s">
        <v>2612</v>
      </c>
      <c r="AQ1247" s="68" t="s">
        <v>2613</v>
      </c>
      <c r="AR1247" s="189" t="s">
        <v>1826</v>
      </c>
      <c r="AS1247" s="69">
        <v>45239</v>
      </c>
      <c r="AT1247" s="553">
        <v>45171</v>
      </c>
      <c r="AU1247" s="646">
        <v>124</v>
      </c>
      <c r="AV1247" s="259" t="s">
        <v>1462</v>
      </c>
      <c r="AW1247" s="495"/>
    </row>
    <row r="1248" spans="1:49" s="212" customFormat="1" ht="34.35" hidden="1" customHeight="1" outlineLevel="3" x14ac:dyDescent="0.25">
      <c r="A1248" s="210" t="str">
        <f t="shared" si="306"/>
        <v>4.14.3.1.5.58</v>
      </c>
      <c r="B1248" s="136">
        <v>4</v>
      </c>
      <c r="C1248" s="136">
        <v>14</v>
      </c>
      <c r="D1248" s="136">
        <v>3</v>
      </c>
      <c r="E1248" s="136">
        <v>1</v>
      </c>
      <c r="F1248" s="136">
        <v>5</v>
      </c>
      <c r="G1248" s="136">
        <v>58</v>
      </c>
      <c r="H1248" s="125"/>
      <c r="I1248" s="125"/>
      <c r="J1248" s="213"/>
      <c r="K1248" s="125" t="s">
        <v>1463</v>
      </c>
      <c r="L1248" s="136" t="s">
        <v>1452</v>
      </c>
      <c r="M1248" s="136" t="s">
        <v>1464</v>
      </c>
      <c r="N1248" s="136" t="s">
        <v>1444</v>
      </c>
      <c r="O1248" s="136" t="s">
        <v>1204</v>
      </c>
      <c r="P1248" s="214">
        <v>44571</v>
      </c>
      <c r="Q1248" s="214">
        <v>44925</v>
      </c>
      <c r="R1248" s="136">
        <v>12</v>
      </c>
      <c r="S1248" s="125" t="s">
        <v>1465</v>
      </c>
      <c r="T1248" s="194" t="e">
        <f>+#REF!/4</f>
        <v>#REF!</v>
      </c>
      <c r="U1248" s="75">
        <v>0</v>
      </c>
      <c r="V1248" s="75"/>
      <c r="W1248" s="75">
        <v>0</v>
      </c>
      <c r="X1248" s="1122">
        <v>0</v>
      </c>
      <c r="Y1248" s="75">
        <v>0</v>
      </c>
      <c r="Z1248" s="75">
        <v>0</v>
      </c>
      <c r="AA1248" s="1122">
        <v>0</v>
      </c>
      <c r="AB1248" s="75">
        <v>0</v>
      </c>
      <c r="AC1248" s="75">
        <v>0</v>
      </c>
      <c r="AD1248" s="1122">
        <v>0</v>
      </c>
      <c r="AE1248" s="75">
        <v>0</v>
      </c>
      <c r="AF1248" s="75">
        <v>0</v>
      </c>
      <c r="AG1248" s="1122">
        <v>0</v>
      </c>
      <c r="AH1248" s="505">
        <f t="shared" si="358"/>
        <v>0</v>
      </c>
      <c r="AI1248" s="132"/>
      <c r="AJ1248" s="75">
        <f t="shared" si="357"/>
        <v>0</v>
      </c>
      <c r="AK1248" s="75"/>
      <c r="AL1248" s="75"/>
      <c r="AM1248" s="75"/>
      <c r="AN1248" s="64" t="s">
        <v>181</v>
      </c>
      <c r="AO1248" s="64"/>
      <c r="AP1248" s="64"/>
      <c r="AQ1248" s="64"/>
      <c r="AR1248" s="64"/>
      <c r="AS1248" s="64"/>
      <c r="AT1248" s="64"/>
      <c r="AU1248" s="646"/>
      <c r="AV1248" s="349" t="s">
        <v>1466</v>
      </c>
      <c r="AW1248" s="491"/>
    </row>
    <row r="1249" spans="1:49" ht="34.35" hidden="1" customHeight="1" outlineLevel="3" x14ac:dyDescent="0.25">
      <c r="A1249" s="63" t="str">
        <f t="shared" si="306"/>
        <v>4.14.3.1.6.58</v>
      </c>
      <c r="B1249" s="64">
        <v>4</v>
      </c>
      <c r="C1249" s="64">
        <v>14</v>
      </c>
      <c r="D1249" s="64">
        <v>3</v>
      </c>
      <c r="E1249" s="64">
        <v>1</v>
      </c>
      <c r="F1249" s="64">
        <v>6</v>
      </c>
      <c r="G1249" s="64">
        <v>58</v>
      </c>
      <c r="H1249" s="65"/>
      <c r="I1249" s="65"/>
      <c r="J1249" s="66"/>
      <c r="K1249" s="65" t="s">
        <v>1467</v>
      </c>
      <c r="L1249" s="64" t="s">
        <v>264</v>
      </c>
      <c r="M1249" s="64" t="s">
        <v>144</v>
      </c>
      <c r="N1249" s="64" t="s">
        <v>265</v>
      </c>
      <c r="O1249" s="64" t="s">
        <v>668</v>
      </c>
      <c r="P1249" s="69">
        <v>44571</v>
      </c>
      <c r="Q1249" s="69">
        <v>44925</v>
      </c>
      <c r="R1249" s="64">
        <v>385</v>
      </c>
      <c r="S1249" s="65" t="s">
        <v>1468</v>
      </c>
      <c r="T1249" s="194"/>
      <c r="U1249" s="75">
        <v>0</v>
      </c>
      <c r="V1249" s="75"/>
      <c r="W1249" s="75">
        <v>0</v>
      </c>
      <c r="X1249" s="1122">
        <v>0</v>
      </c>
      <c r="Y1249" s="75">
        <v>0</v>
      </c>
      <c r="Z1249" s="75">
        <v>0</v>
      </c>
      <c r="AA1249" s="1122">
        <v>0</v>
      </c>
      <c r="AB1249" s="75">
        <v>0</v>
      </c>
      <c r="AC1249" s="75">
        <v>0</v>
      </c>
      <c r="AD1249" s="1122">
        <v>0</v>
      </c>
      <c r="AE1249" s="75">
        <v>0</v>
      </c>
      <c r="AF1249" s="75">
        <v>0</v>
      </c>
      <c r="AG1249" s="1122">
        <v>0</v>
      </c>
      <c r="AH1249" s="505">
        <f t="shared" si="358"/>
        <v>0</v>
      </c>
      <c r="AI1249" s="132"/>
      <c r="AJ1249" s="75">
        <f t="shared" si="357"/>
        <v>0</v>
      </c>
      <c r="AK1249" s="75"/>
      <c r="AL1249" s="75"/>
      <c r="AM1249" s="75"/>
      <c r="AN1249" s="64" t="s">
        <v>181</v>
      </c>
      <c r="AO1249" s="64"/>
      <c r="AP1249" s="64"/>
      <c r="AQ1249" s="64"/>
      <c r="AR1249" s="64"/>
      <c r="AS1249" s="64"/>
      <c r="AT1249" s="64"/>
      <c r="AU1249" s="646"/>
      <c r="AV1249" s="259" t="s">
        <v>1469</v>
      </c>
      <c r="AW1249" s="491"/>
    </row>
    <row r="1250" spans="1:49" ht="34.35" hidden="1" customHeight="1" outlineLevel="3" x14ac:dyDescent="0.25">
      <c r="A1250" s="63" t="str">
        <f t="shared" si="306"/>
        <v>4.14.3.1.7.58</v>
      </c>
      <c r="B1250" s="64">
        <v>4</v>
      </c>
      <c r="C1250" s="64">
        <v>14</v>
      </c>
      <c r="D1250" s="64">
        <v>3</v>
      </c>
      <c r="E1250" s="64">
        <v>1</v>
      </c>
      <c r="F1250" s="64">
        <v>7</v>
      </c>
      <c r="G1250" s="64">
        <v>58</v>
      </c>
      <c r="H1250" s="65"/>
      <c r="I1250" s="65"/>
      <c r="J1250" s="65"/>
      <c r="K1250" s="65" t="s">
        <v>1883</v>
      </c>
      <c r="L1250" s="64" t="s">
        <v>264</v>
      </c>
      <c r="M1250" s="64" t="s">
        <v>144</v>
      </c>
      <c r="N1250" s="64" t="s">
        <v>265</v>
      </c>
      <c r="O1250" s="64" t="s">
        <v>668</v>
      </c>
      <c r="P1250" s="69">
        <v>44571</v>
      </c>
      <c r="Q1250" s="69">
        <v>44925</v>
      </c>
      <c r="R1250" s="124">
        <v>385</v>
      </c>
      <c r="S1250" s="65" t="s">
        <v>1470</v>
      </c>
      <c r="T1250" s="194">
        <f>+(35*500*22*12)+(385*450*22*12)/4</f>
        <v>16054500</v>
      </c>
      <c r="U1250" s="75">
        <f>2016000/4</f>
        <v>504000</v>
      </c>
      <c r="V1250" s="75"/>
      <c r="W1250" s="75">
        <v>0</v>
      </c>
      <c r="X1250" s="1122">
        <v>0</v>
      </c>
      <c r="Y1250" s="75">
        <v>504000</v>
      </c>
      <c r="Z1250" s="75">
        <v>0</v>
      </c>
      <c r="AA1250" s="1122">
        <v>0</v>
      </c>
      <c r="AB1250" s="75">
        <v>504000</v>
      </c>
      <c r="AC1250" s="75">
        <v>0</v>
      </c>
      <c r="AD1250" s="1122">
        <v>0</v>
      </c>
      <c r="AE1250" s="75">
        <v>504000</v>
      </c>
      <c r="AF1250" s="75">
        <v>0</v>
      </c>
      <c r="AG1250" s="1122">
        <v>0</v>
      </c>
      <c r="AH1250" s="505">
        <f t="shared" si="358"/>
        <v>2016000</v>
      </c>
      <c r="AI1250" s="132"/>
      <c r="AJ1250" s="75">
        <f t="shared" si="357"/>
        <v>0</v>
      </c>
      <c r="AK1250" s="276"/>
      <c r="AL1250" s="276"/>
      <c r="AM1250" s="276"/>
      <c r="AN1250" s="64" t="s">
        <v>181</v>
      </c>
      <c r="AO1250" s="533" t="s">
        <v>1839</v>
      </c>
      <c r="AP1250" s="533" t="s">
        <v>649</v>
      </c>
      <c r="AQ1250" s="533" t="s">
        <v>649</v>
      </c>
      <c r="AR1250" s="554">
        <v>44562</v>
      </c>
      <c r="AS1250" s="554">
        <v>45291</v>
      </c>
      <c r="AT1250" s="64" t="s">
        <v>1814</v>
      </c>
      <c r="AU1250" s="877" t="s">
        <v>2079</v>
      </c>
      <c r="AV1250" s="259" t="s">
        <v>1471</v>
      </c>
      <c r="AW1250" s="638" t="s">
        <v>2614</v>
      </c>
    </row>
    <row r="1251" spans="1:49" ht="23.45" hidden="1" customHeight="1" outlineLevel="3" x14ac:dyDescent="0.25">
      <c r="A1251" s="63" t="str">
        <f t="shared" si="306"/>
        <v>4.14.3.1.8.58</v>
      </c>
      <c r="B1251" s="64">
        <v>4</v>
      </c>
      <c r="C1251" s="64">
        <v>14</v>
      </c>
      <c r="D1251" s="64">
        <v>3</v>
      </c>
      <c r="E1251" s="64">
        <v>1</v>
      </c>
      <c r="F1251" s="64">
        <v>8</v>
      </c>
      <c r="G1251" s="64">
        <v>58</v>
      </c>
      <c r="H1251" s="65"/>
      <c r="I1251" s="65"/>
      <c r="J1251" s="65"/>
      <c r="K1251" s="125" t="s">
        <v>1472</v>
      </c>
      <c r="L1251" s="64" t="s">
        <v>72</v>
      </c>
      <c r="M1251" s="64" t="s">
        <v>1473</v>
      </c>
      <c r="N1251" s="64" t="s">
        <v>1249</v>
      </c>
      <c r="O1251" s="64" t="s">
        <v>72</v>
      </c>
      <c r="P1251" s="69">
        <v>44571</v>
      </c>
      <c r="Q1251" s="69">
        <v>44925</v>
      </c>
      <c r="R1251" s="124"/>
      <c r="S1251" s="65"/>
      <c r="T1251" s="194"/>
      <c r="U1251" s="75">
        <v>0</v>
      </c>
      <c r="V1251" s="75"/>
      <c r="W1251" s="75">
        <v>0</v>
      </c>
      <c r="X1251" s="1122">
        <v>0</v>
      </c>
      <c r="Y1251" s="75">
        <v>0</v>
      </c>
      <c r="Z1251" s="75">
        <v>0</v>
      </c>
      <c r="AA1251" s="1122">
        <v>0</v>
      </c>
      <c r="AB1251" s="75">
        <v>0</v>
      </c>
      <c r="AC1251" s="75">
        <v>0</v>
      </c>
      <c r="AD1251" s="1122">
        <v>0</v>
      </c>
      <c r="AE1251" s="75">
        <v>0</v>
      </c>
      <c r="AF1251" s="75">
        <v>0</v>
      </c>
      <c r="AG1251" s="1122">
        <v>0</v>
      </c>
      <c r="AH1251" s="505">
        <f t="shared" si="358"/>
        <v>0</v>
      </c>
      <c r="AI1251" s="132"/>
      <c r="AJ1251" s="75">
        <f t="shared" si="357"/>
        <v>0</v>
      </c>
      <c r="AK1251" s="75"/>
      <c r="AL1251" s="75"/>
      <c r="AM1251" s="75"/>
      <c r="AN1251" s="64" t="s">
        <v>181</v>
      </c>
      <c r="AO1251" s="64"/>
      <c r="AP1251" s="64"/>
      <c r="AQ1251" s="64"/>
      <c r="AR1251" s="64"/>
      <c r="AS1251" s="64"/>
      <c r="AT1251" s="64"/>
      <c r="AU1251" s="646"/>
      <c r="AV1251" s="259"/>
      <c r="AW1251" s="491"/>
    </row>
    <row r="1252" spans="1:49" s="153" customFormat="1" ht="74.25" customHeight="1" outlineLevel="2" collapsed="1" x14ac:dyDescent="0.25">
      <c r="A1252" s="148" t="str">
        <f t="shared" si="306"/>
        <v>4.14.3.2.0.0</v>
      </c>
      <c r="B1252" s="82">
        <v>4</v>
      </c>
      <c r="C1252" s="82">
        <v>14</v>
      </c>
      <c r="D1252" s="82">
        <v>3</v>
      </c>
      <c r="E1252" s="82">
        <v>2</v>
      </c>
      <c r="F1252" s="82">
        <v>0</v>
      </c>
      <c r="G1252" s="82">
        <v>0</v>
      </c>
      <c r="H1252" s="149"/>
      <c r="I1252" s="149"/>
      <c r="J1252" s="1260" t="s">
        <v>1474</v>
      </c>
      <c r="K1252" s="1259"/>
      <c r="L1252" s="82" t="s">
        <v>1475</v>
      </c>
      <c r="M1252" s="83" t="s">
        <v>1449</v>
      </c>
      <c r="N1252" s="83" t="s">
        <v>1444</v>
      </c>
      <c r="O1252" s="82" t="s">
        <v>1445</v>
      </c>
      <c r="P1252" s="82"/>
      <c r="Q1252" s="82"/>
      <c r="R1252" s="82"/>
      <c r="S1252" s="149"/>
      <c r="T1252" s="193"/>
      <c r="U1252" s="209">
        <f>SUM(U1253:U1260)</f>
        <v>465150.63250000001</v>
      </c>
      <c r="V1252" s="209"/>
      <c r="W1252" s="209">
        <f t="shared" ref="W1252:AG1252" si="359">SUM(W1253:W1260)</f>
        <v>0</v>
      </c>
      <c r="X1252" s="1133">
        <f t="shared" si="359"/>
        <v>0</v>
      </c>
      <c r="Y1252" s="209">
        <f t="shared" si="359"/>
        <v>465150.63250000001</v>
      </c>
      <c r="Z1252" s="209">
        <f t="shared" si="359"/>
        <v>0</v>
      </c>
      <c r="AA1252" s="1133">
        <f t="shared" si="359"/>
        <v>0</v>
      </c>
      <c r="AB1252" s="209">
        <f t="shared" si="359"/>
        <v>465150.63250000001</v>
      </c>
      <c r="AC1252" s="209">
        <f t="shared" si="359"/>
        <v>0</v>
      </c>
      <c r="AD1252" s="1133">
        <f t="shared" si="359"/>
        <v>0</v>
      </c>
      <c r="AE1252" s="209">
        <f t="shared" si="359"/>
        <v>465150.63250000001</v>
      </c>
      <c r="AF1252" s="209">
        <f t="shared" si="359"/>
        <v>0</v>
      </c>
      <c r="AG1252" s="1133">
        <f t="shared" si="359"/>
        <v>0</v>
      </c>
      <c r="AH1252" s="209">
        <f>SUM(AH1253:AH1260)</f>
        <v>1860602.53</v>
      </c>
      <c r="AI1252" s="198"/>
      <c r="AJ1252" s="198">
        <f>SUM(AJ1253:AJ1260)</f>
        <v>0</v>
      </c>
      <c r="AK1252" s="198"/>
      <c r="AL1252" s="198"/>
      <c r="AM1252" s="198"/>
      <c r="AN1252" s="82" t="s">
        <v>181</v>
      </c>
      <c r="AO1252" s="320"/>
      <c r="AP1252" s="320"/>
      <c r="AQ1252" s="423"/>
      <c r="AR1252" s="82"/>
      <c r="AS1252" s="489"/>
      <c r="AT1252" s="82"/>
      <c r="AU1252" s="666"/>
      <c r="AV1252" s="380">
        <f t="shared" ref="AV1252" si="360">+SUM(AV1253:AV1260)</f>
        <v>0</v>
      </c>
      <c r="AW1252" s="491"/>
    </row>
    <row r="1253" spans="1:49" ht="33" hidden="1" customHeight="1" outlineLevel="3" x14ac:dyDescent="0.25">
      <c r="A1253" s="63" t="str">
        <f t="shared" si="306"/>
        <v>4.14.3.2.1.59</v>
      </c>
      <c r="B1253" s="64">
        <v>4</v>
      </c>
      <c r="C1253" s="64">
        <v>14</v>
      </c>
      <c r="D1253" s="64">
        <v>3</v>
      </c>
      <c r="E1253" s="64">
        <v>2</v>
      </c>
      <c r="F1253" s="64">
        <v>1</v>
      </c>
      <c r="G1253" s="64">
        <v>59</v>
      </c>
      <c r="H1253" s="65"/>
      <c r="I1253" s="65"/>
      <c r="J1253" s="66"/>
      <c r="K1253" s="65" t="s">
        <v>1451</v>
      </c>
      <c r="L1253" s="64" t="s">
        <v>1452</v>
      </c>
      <c r="M1253" s="64" t="s">
        <v>1453</v>
      </c>
      <c r="N1253" s="64" t="s">
        <v>1444</v>
      </c>
      <c r="O1253" s="64" t="s">
        <v>1204</v>
      </c>
      <c r="P1253" s="69">
        <v>44571</v>
      </c>
      <c r="Q1253" s="69">
        <v>44925</v>
      </c>
      <c r="R1253" s="277">
        <v>95000</v>
      </c>
      <c r="S1253" s="170" t="s">
        <v>1454</v>
      </c>
      <c r="T1253" s="1207"/>
      <c r="U1253" s="75">
        <v>0</v>
      </c>
      <c r="V1253" s="75"/>
      <c r="W1253" s="75">
        <v>0</v>
      </c>
      <c r="X1253" s="1122">
        <v>0</v>
      </c>
      <c r="Y1253" s="75">
        <v>0</v>
      </c>
      <c r="Z1253" s="75">
        <v>0</v>
      </c>
      <c r="AA1253" s="1122">
        <v>0</v>
      </c>
      <c r="AB1253" s="75">
        <v>0</v>
      </c>
      <c r="AC1253" s="75">
        <v>0</v>
      </c>
      <c r="AD1253" s="1122">
        <v>0</v>
      </c>
      <c r="AE1253" s="75">
        <v>0</v>
      </c>
      <c r="AF1253" s="75">
        <v>0</v>
      </c>
      <c r="AG1253" s="1122">
        <v>0</v>
      </c>
      <c r="AH1253" s="505">
        <f>+U1253+Y1253+AB1253+AE1253</f>
        <v>0</v>
      </c>
      <c r="AI1253" s="132"/>
      <c r="AJ1253" s="75">
        <f t="shared" ref="AJ1253:AJ1260" si="361">+W1254+Z1254+AC1254+AF1254</f>
        <v>0</v>
      </c>
      <c r="AK1253" s="132"/>
      <c r="AL1253" s="132"/>
      <c r="AM1253" s="132"/>
      <c r="AN1253" s="64" t="s">
        <v>181</v>
      </c>
      <c r="AO1253" s="64"/>
      <c r="AP1253" s="64"/>
      <c r="AQ1253" s="64"/>
      <c r="AR1253" s="64"/>
      <c r="AS1253" s="64"/>
      <c r="AT1253" s="64"/>
      <c r="AU1253" s="646"/>
      <c r="AV1253" s="353"/>
      <c r="AW1253" s="491"/>
    </row>
    <row r="1254" spans="1:49" ht="33" hidden="1" customHeight="1" outlineLevel="3" x14ac:dyDescent="0.25">
      <c r="A1254" s="63" t="str">
        <f t="shared" si="306"/>
        <v>4.14.3.2.2.59</v>
      </c>
      <c r="B1254" s="64">
        <v>4</v>
      </c>
      <c r="C1254" s="64">
        <v>14</v>
      </c>
      <c r="D1254" s="64">
        <v>3</v>
      </c>
      <c r="E1254" s="64">
        <v>2</v>
      </c>
      <c r="F1254" s="64">
        <v>2</v>
      </c>
      <c r="G1254" s="100">
        <v>59</v>
      </c>
      <c r="H1254" s="65"/>
      <c r="I1254" s="65"/>
      <c r="J1254" s="66"/>
      <c r="K1254" s="65" t="s">
        <v>1455</v>
      </c>
      <c r="L1254" s="64" t="s">
        <v>1452</v>
      </c>
      <c r="M1254" s="64" t="s">
        <v>535</v>
      </c>
      <c r="N1254" s="64" t="s">
        <v>1444</v>
      </c>
      <c r="O1254" s="64" t="s">
        <v>1335</v>
      </c>
      <c r="P1254" s="69">
        <v>44571</v>
      </c>
      <c r="Q1254" s="69">
        <v>44925</v>
      </c>
      <c r="R1254" s="124">
        <f>494000/2</f>
        <v>247000</v>
      </c>
      <c r="S1254" s="65" t="s">
        <v>1456</v>
      </c>
      <c r="T1254" s="194"/>
      <c r="U1254" s="75">
        <v>0</v>
      </c>
      <c r="V1254" s="75"/>
      <c r="W1254" s="75">
        <v>0</v>
      </c>
      <c r="X1254" s="1122">
        <v>0</v>
      </c>
      <c r="Y1254" s="75">
        <v>0</v>
      </c>
      <c r="Z1254" s="75">
        <v>0</v>
      </c>
      <c r="AA1254" s="1122">
        <v>0</v>
      </c>
      <c r="AB1254" s="75">
        <v>0</v>
      </c>
      <c r="AC1254" s="75">
        <v>0</v>
      </c>
      <c r="AD1254" s="1122">
        <v>0</v>
      </c>
      <c r="AE1254" s="75">
        <v>0</v>
      </c>
      <c r="AF1254" s="75">
        <v>0</v>
      </c>
      <c r="AG1254" s="1122">
        <v>0</v>
      </c>
      <c r="AH1254" s="505">
        <f t="shared" ref="AH1254:AH1260" si="362">+U1254+Y1254+AB1254+AE1254</f>
        <v>0</v>
      </c>
      <c r="AI1254" s="132"/>
      <c r="AJ1254" s="75">
        <f t="shared" si="361"/>
        <v>0</v>
      </c>
      <c r="AK1254" s="132"/>
      <c r="AL1254" s="132"/>
      <c r="AM1254" s="132"/>
      <c r="AN1254" s="64" t="s">
        <v>181</v>
      </c>
      <c r="AO1254" s="64"/>
      <c r="AP1254" s="64"/>
      <c r="AQ1254" s="64"/>
      <c r="AR1254" s="64"/>
      <c r="AS1254" s="64"/>
      <c r="AT1254" s="64"/>
      <c r="AU1254" s="646"/>
      <c r="AV1254" s="259" t="s">
        <v>535</v>
      </c>
      <c r="AW1254" s="491"/>
    </row>
    <row r="1255" spans="1:49" ht="33" hidden="1" customHeight="1" outlineLevel="3" x14ac:dyDescent="0.25">
      <c r="A1255" s="63" t="str">
        <f t="shared" si="306"/>
        <v>4.14.3.2.3.59</v>
      </c>
      <c r="B1255" s="64">
        <v>4</v>
      </c>
      <c r="C1255" s="64">
        <v>14</v>
      </c>
      <c r="D1255" s="64">
        <v>3</v>
      </c>
      <c r="E1255" s="64">
        <v>2</v>
      </c>
      <c r="F1255" s="64">
        <v>3</v>
      </c>
      <c r="G1255" s="100">
        <v>59</v>
      </c>
      <c r="H1255" s="65"/>
      <c r="I1255" s="65"/>
      <c r="J1255" s="66"/>
      <c r="K1255" s="65" t="s">
        <v>1457</v>
      </c>
      <c r="L1255" s="64" t="s">
        <v>72</v>
      </c>
      <c r="M1255" s="64" t="s">
        <v>1458</v>
      </c>
      <c r="N1255" s="64" t="s">
        <v>1444</v>
      </c>
      <c r="O1255" s="64" t="s">
        <v>1445</v>
      </c>
      <c r="P1255" s="69">
        <v>44571</v>
      </c>
      <c r="Q1255" s="69">
        <v>44925</v>
      </c>
      <c r="R1255" s="124">
        <v>252</v>
      </c>
      <c r="S1255" s="65" t="s">
        <v>1459</v>
      </c>
      <c r="T1255" s="1203">
        <f>252*125*22*12/4</f>
        <v>2079000</v>
      </c>
      <c r="U1255" s="75">
        <f>(1611962.53/4)-840</f>
        <v>402150.63250000001</v>
      </c>
      <c r="V1255" s="75"/>
      <c r="W1255" s="75">
        <v>0</v>
      </c>
      <c r="X1255" s="1122">
        <v>0</v>
      </c>
      <c r="Y1255" s="75">
        <v>402150.63250000001</v>
      </c>
      <c r="Z1255" s="75">
        <v>0</v>
      </c>
      <c r="AA1255" s="1122">
        <v>0</v>
      </c>
      <c r="AB1255" s="75">
        <v>402150.63250000001</v>
      </c>
      <c r="AC1255" s="75">
        <v>0</v>
      </c>
      <c r="AD1255" s="1122">
        <v>0</v>
      </c>
      <c r="AE1255" s="75">
        <v>402150.63250000001</v>
      </c>
      <c r="AF1255" s="75">
        <v>0</v>
      </c>
      <c r="AG1255" s="1122">
        <v>0</v>
      </c>
      <c r="AH1255" s="505">
        <f t="shared" si="362"/>
        <v>1608602.53</v>
      </c>
      <c r="AI1255" s="132"/>
      <c r="AJ1255" s="75">
        <f t="shared" si="361"/>
        <v>0</v>
      </c>
      <c r="AK1255" s="132"/>
      <c r="AL1255" s="132"/>
      <c r="AM1255" s="132"/>
      <c r="AN1255" s="64" t="s">
        <v>181</v>
      </c>
      <c r="AO1255" s="100"/>
      <c r="AP1255" s="100"/>
      <c r="AQ1255" s="100"/>
      <c r="AR1255" s="104"/>
      <c r="AS1255" s="104"/>
      <c r="AT1255" s="100"/>
      <c r="AU1255" s="964"/>
      <c r="AV1255" s="101"/>
      <c r="AW1255" s="103" t="s">
        <v>2762</v>
      </c>
    </row>
    <row r="1256" spans="1:49" ht="33" hidden="1" customHeight="1" outlineLevel="3" x14ac:dyDescent="0.25">
      <c r="A1256" s="63" t="str">
        <f t="shared" si="306"/>
        <v>4.14.3.2.4.59</v>
      </c>
      <c r="B1256" s="64">
        <v>4</v>
      </c>
      <c r="C1256" s="64">
        <v>14</v>
      </c>
      <c r="D1256" s="64">
        <v>3</v>
      </c>
      <c r="E1256" s="64">
        <v>2</v>
      </c>
      <c r="F1256" s="64">
        <v>4</v>
      </c>
      <c r="G1256" s="64">
        <v>59</v>
      </c>
      <c r="H1256" s="65"/>
      <c r="I1256" s="65"/>
      <c r="J1256" s="66"/>
      <c r="K1256" s="67" t="s">
        <v>1460</v>
      </c>
      <c r="L1256" s="64" t="s">
        <v>72</v>
      </c>
      <c r="M1256" s="64" t="s">
        <v>76</v>
      </c>
      <c r="N1256" s="64" t="s">
        <v>1444</v>
      </c>
      <c r="O1256" s="64" t="s">
        <v>1445</v>
      </c>
      <c r="P1256" s="69">
        <v>44571</v>
      </c>
      <c r="Q1256" s="69">
        <v>44925</v>
      </c>
      <c r="R1256" s="124">
        <v>2</v>
      </c>
      <c r="S1256" s="65" t="s">
        <v>1461</v>
      </c>
      <c r="T1256" s="1208" t="e">
        <f>+#REF!/2</f>
        <v>#REF!</v>
      </c>
      <c r="U1256" s="75">
        <v>0</v>
      </c>
      <c r="V1256" s="75"/>
      <c r="W1256" s="75">
        <v>0</v>
      </c>
      <c r="X1256" s="1122">
        <v>0</v>
      </c>
      <c r="Y1256" s="75">
        <v>0</v>
      </c>
      <c r="Z1256" s="75">
        <v>0</v>
      </c>
      <c r="AA1256" s="1122">
        <v>0</v>
      </c>
      <c r="AB1256" s="75">
        <v>0</v>
      </c>
      <c r="AC1256" s="75">
        <v>0</v>
      </c>
      <c r="AD1256" s="1122">
        <v>0</v>
      </c>
      <c r="AE1256" s="75">
        <v>0</v>
      </c>
      <c r="AF1256" s="75">
        <v>0</v>
      </c>
      <c r="AG1256" s="1122">
        <v>0</v>
      </c>
      <c r="AH1256" s="505">
        <f t="shared" si="362"/>
        <v>0</v>
      </c>
      <c r="AI1256" s="132"/>
      <c r="AJ1256" s="75">
        <f t="shared" si="361"/>
        <v>0</v>
      </c>
      <c r="AK1256" s="555"/>
      <c r="AL1256" s="555"/>
      <c r="AM1256" s="555"/>
      <c r="AN1256" s="533" t="s">
        <v>181</v>
      </c>
      <c r="AO1256" s="533" t="s">
        <v>1819</v>
      </c>
      <c r="AP1256" s="538" t="s">
        <v>2612</v>
      </c>
      <c r="AQ1256" s="538" t="s">
        <v>2613</v>
      </c>
      <c r="AR1256" s="189" t="s">
        <v>1826</v>
      </c>
      <c r="AS1256" s="554">
        <v>45239</v>
      </c>
      <c r="AT1256" s="554">
        <v>45171</v>
      </c>
      <c r="AU1256" s="646">
        <v>124</v>
      </c>
      <c r="AV1256" s="259" t="s">
        <v>1462</v>
      </c>
      <c r="AW1256" s="495"/>
    </row>
    <row r="1257" spans="1:49" s="212" customFormat="1" ht="33" hidden="1" customHeight="1" outlineLevel="3" x14ac:dyDescent="0.25">
      <c r="A1257" s="210" t="str">
        <f t="shared" si="306"/>
        <v>4.14.3.2.5.59</v>
      </c>
      <c r="B1257" s="136">
        <v>4</v>
      </c>
      <c r="C1257" s="136">
        <v>14</v>
      </c>
      <c r="D1257" s="136">
        <v>3</v>
      </c>
      <c r="E1257" s="136">
        <v>2</v>
      </c>
      <c r="F1257" s="136">
        <v>5</v>
      </c>
      <c r="G1257" s="136">
        <v>59</v>
      </c>
      <c r="H1257" s="125"/>
      <c r="I1257" s="125"/>
      <c r="J1257" s="213"/>
      <c r="K1257" s="125" t="s">
        <v>1463</v>
      </c>
      <c r="L1257" s="136" t="s">
        <v>1452</v>
      </c>
      <c r="M1257" s="136" t="s">
        <v>1464</v>
      </c>
      <c r="N1257" s="136" t="s">
        <v>1444</v>
      </c>
      <c r="O1257" s="136" t="s">
        <v>1204</v>
      </c>
      <c r="P1257" s="214">
        <v>44571</v>
      </c>
      <c r="Q1257" s="214">
        <v>44925</v>
      </c>
      <c r="R1257" s="136">
        <v>12</v>
      </c>
      <c r="S1257" s="125" t="s">
        <v>1465</v>
      </c>
      <c r="T1257" s="194" t="e">
        <f>+#REF!/4</f>
        <v>#REF!</v>
      </c>
      <c r="U1257" s="75">
        <v>0</v>
      </c>
      <c r="V1257" s="75"/>
      <c r="W1257" s="75">
        <v>0</v>
      </c>
      <c r="X1257" s="1122">
        <v>0</v>
      </c>
      <c r="Y1257" s="75">
        <v>0</v>
      </c>
      <c r="Z1257" s="75">
        <v>0</v>
      </c>
      <c r="AA1257" s="1122">
        <v>0</v>
      </c>
      <c r="AB1257" s="75">
        <v>0</v>
      </c>
      <c r="AC1257" s="75">
        <v>0</v>
      </c>
      <c r="AD1257" s="1122">
        <v>0</v>
      </c>
      <c r="AE1257" s="75">
        <v>0</v>
      </c>
      <c r="AF1257" s="75">
        <v>0</v>
      </c>
      <c r="AG1257" s="1122">
        <v>0</v>
      </c>
      <c r="AH1257" s="505">
        <f t="shared" si="362"/>
        <v>0</v>
      </c>
      <c r="AI1257" s="132"/>
      <c r="AJ1257" s="75">
        <f t="shared" si="361"/>
        <v>0</v>
      </c>
      <c r="AK1257" s="132"/>
      <c r="AL1257" s="132"/>
      <c r="AM1257" s="132"/>
      <c r="AN1257" s="136" t="s">
        <v>181</v>
      </c>
      <c r="AO1257" s="136"/>
      <c r="AP1257" s="136"/>
      <c r="AQ1257" s="136"/>
      <c r="AR1257" s="136"/>
      <c r="AS1257" s="136"/>
      <c r="AT1257" s="136"/>
      <c r="AU1257" s="646"/>
      <c r="AV1257" s="349" t="s">
        <v>1466</v>
      </c>
      <c r="AW1257" s="491"/>
    </row>
    <row r="1258" spans="1:49" ht="33" hidden="1" customHeight="1" outlineLevel="3" x14ac:dyDescent="0.25">
      <c r="A1258" s="63" t="str">
        <f t="shared" si="306"/>
        <v>4.14.3.2.6.59</v>
      </c>
      <c r="B1258" s="64">
        <v>4</v>
      </c>
      <c r="C1258" s="64">
        <v>14</v>
      </c>
      <c r="D1258" s="64">
        <v>3</v>
      </c>
      <c r="E1258" s="64">
        <v>2</v>
      </c>
      <c r="F1258" s="64">
        <v>6</v>
      </c>
      <c r="G1258" s="64">
        <v>59</v>
      </c>
      <c r="H1258" s="65"/>
      <c r="I1258" s="65"/>
      <c r="J1258" s="66"/>
      <c r="K1258" s="65" t="s">
        <v>1467</v>
      </c>
      <c r="L1258" s="64" t="s">
        <v>264</v>
      </c>
      <c r="M1258" s="64" t="s">
        <v>144</v>
      </c>
      <c r="N1258" s="64" t="s">
        <v>1476</v>
      </c>
      <c r="O1258" s="64" t="s">
        <v>668</v>
      </c>
      <c r="P1258" s="69">
        <v>44571</v>
      </c>
      <c r="Q1258" s="69">
        <v>44925</v>
      </c>
      <c r="R1258" s="64">
        <v>252</v>
      </c>
      <c r="S1258" s="65" t="s">
        <v>1468</v>
      </c>
      <c r="T1258" s="194"/>
      <c r="U1258" s="75">
        <v>0</v>
      </c>
      <c r="V1258" s="75"/>
      <c r="W1258" s="75">
        <v>0</v>
      </c>
      <c r="X1258" s="1122">
        <v>0</v>
      </c>
      <c r="Y1258" s="75">
        <v>0</v>
      </c>
      <c r="Z1258" s="75">
        <v>0</v>
      </c>
      <c r="AA1258" s="1122">
        <v>0</v>
      </c>
      <c r="AB1258" s="75">
        <v>0</v>
      </c>
      <c r="AC1258" s="75">
        <v>0</v>
      </c>
      <c r="AD1258" s="1122">
        <v>0</v>
      </c>
      <c r="AE1258" s="75">
        <v>0</v>
      </c>
      <c r="AF1258" s="75">
        <v>0</v>
      </c>
      <c r="AG1258" s="1122">
        <v>0</v>
      </c>
      <c r="AH1258" s="505">
        <f t="shared" si="362"/>
        <v>0</v>
      </c>
      <c r="AI1258" s="132"/>
      <c r="AJ1258" s="75">
        <f t="shared" si="361"/>
        <v>0</v>
      </c>
      <c r="AK1258" s="132"/>
      <c r="AL1258" s="132"/>
      <c r="AM1258" s="132"/>
      <c r="AN1258" s="64" t="s">
        <v>181</v>
      </c>
      <c r="AO1258" s="64"/>
      <c r="AP1258" s="64"/>
      <c r="AQ1258" s="64"/>
      <c r="AR1258" s="64"/>
      <c r="AS1258" s="64"/>
      <c r="AT1258" s="64"/>
      <c r="AU1258" s="646"/>
      <c r="AV1258" s="259"/>
      <c r="AW1258" s="491"/>
    </row>
    <row r="1259" spans="1:49" ht="33" hidden="1" customHeight="1" outlineLevel="3" x14ac:dyDescent="0.25">
      <c r="A1259" s="63" t="str">
        <f t="shared" si="306"/>
        <v>4.14.3.2.7.59</v>
      </c>
      <c r="B1259" s="64">
        <v>4</v>
      </c>
      <c r="C1259" s="64">
        <v>14</v>
      </c>
      <c r="D1259" s="64">
        <v>3</v>
      </c>
      <c r="E1259" s="64">
        <v>2</v>
      </c>
      <c r="F1259" s="64">
        <v>7</v>
      </c>
      <c r="G1259" s="64">
        <v>59</v>
      </c>
      <c r="H1259" s="65"/>
      <c r="I1259" s="65"/>
      <c r="J1259" s="65"/>
      <c r="K1259" s="65" t="s">
        <v>1884</v>
      </c>
      <c r="L1259" s="64" t="s">
        <v>264</v>
      </c>
      <c r="M1259" s="64" t="s">
        <v>144</v>
      </c>
      <c r="N1259" s="64" t="s">
        <v>265</v>
      </c>
      <c r="O1259" s="64" t="s">
        <v>668</v>
      </c>
      <c r="P1259" s="69">
        <v>44571</v>
      </c>
      <c r="Q1259" s="69">
        <v>44925</v>
      </c>
      <c r="R1259" s="124">
        <v>231</v>
      </c>
      <c r="S1259" s="65" t="s">
        <v>1470</v>
      </c>
      <c r="T1259" s="1209">
        <f>+(21*500*22*12)+(231*450*22*12)/4</f>
        <v>9632700</v>
      </c>
      <c r="U1259" s="75">
        <f>252000/4</f>
        <v>63000</v>
      </c>
      <c r="V1259" s="75"/>
      <c r="W1259" s="75">
        <v>0</v>
      </c>
      <c r="X1259" s="1122">
        <v>0</v>
      </c>
      <c r="Y1259" s="75">
        <v>63000</v>
      </c>
      <c r="Z1259" s="75">
        <v>0</v>
      </c>
      <c r="AA1259" s="1122">
        <v>0</v>
      </c>
      <c r="AB1259" s="75">
        <v>63000</v>
      </c>
      <c r="AC1259" s="75">
        <v>0</v>
      </c>
      <c r="AD1259" s="1122">
        <v>0</v>
      </c>
      <c r="AE1259" s="75">
        <v>63000</v>
      </c>
      <c r="AF1259" s="75">
        <v>0</v>
      </c>
      <c r="AG1259" s="1122">
        <v>0</v>
      </c>
      <c r="AH1259" s="505">
        <f t="shared" si="362"/>
        <v>252000</v>
      </c>
      <c r="AI1259" s="132"/>
      <c r="AJ1259" s="75">
        <f t="shared" si="361"/>
        <v>0</v>
      </c>
      <c r="AK1259" s="281"/>
      <c r="AL1259" s="281"/>
      <c r="AM1259" s="281"/>
      <c r="AN1259" s="64" t="s">
        <v>181</v>
      </c>
      <c r="AO1259" s="533" t="s">
        <v>1839</v>
      </c>
      <c r="AP1259" s="533" t="s">
        <v>649</v>
      </c>
      <c r="AQ1259" s="533" t="s">
        <v>649</v>
      </c>
      <c r="AR1259" s="554">
        <v>44562</v>
      </c>
      <c r="AS1259" s="554">
        <v>45291</v>
      </c>
      <c r="AT1259" s="64" t="s">
        <v>1814</v>
      </c>
      <c r="AU1259" s="877" t="s">
        <v>2081</v>
      </c>
      <c r="AV1259" s="259" t="s">
        <v>1477</v>
      </c>
      <c r="AW1259" s="638" t="s">
        <v>2082</v>
      </c>
    </row>
    <row r="1260" spans="1:49" s="284" customFormat="1" ht="27.6" hidden="1" customHeight="1" outlineLevel="3" x14ac:dyDescent="0.25">
      <c r="A1260" s="210" t="str">
        <f t="shared" si="306"/>
        <v>4.14.3.2.8.59</v>
      </c>
      <c r="B1260" s="136">
        <v>4</v>
      </c>
      <c r="C1260" s="136">
        <v>14</v>
      </c>
      <c r="D1260" s="136">
        <v>3</v>
      </c>
      <c r="E1260" s="136">
        <v>2</v>
      </c>
      <c r="F1260" s="136">
        <v>8</v>
      </c>
      <c r="G1260" s="136">
        <v>59</v>
      </c>
      <c r="H1260" s="133"/>
      <c r="I1260" s="133"/>
      <c r="J1260" s="133"/>
      <c r="K1260" s="125" t="s">
        <v>1472</v>
      </c>
      <c r="L1260" s="136" t="s">
        <v>72</v>
      </c>
      <c r="M1260" s="136" t="s">
        <v>1473</v>
      </c>
      <c r="N1260" s="136" t="s">
        <v>1249</v>
      </c>
      <c r="O1260" s="136" t="s">
        <v>72</v>
      </c>
      <c r="P1260" s="214">
        <v>44571</v>
      </c>
      <c r="Q1260" s="214">
        <v>44925</v>
      </c>
      <c r="R1260" s="282"/>
      <c r="S1260" s="133"/>
      <c r="T1260" s="1210"/>
      <c r="U1260" s="75">
        <v>0</v>
      </c>
      <c r="V1260" s="75"/>
      <c r="W1260" s="75">
        <v>0</v>
      </c>
      <c r="X1260" s="1122">
        <v>0</v>
      </c>
      <c r="Y1260" s="75">
        <v>0</v>
      </c>
      <c r="Z1260" s="75">
        <v>0</v>
      </c>
      <c r="AA1260" s="1122">
        <v>0</v>
      </c>
      <c r="AB1260" s="75">
        <v>0</v>
      </c>
      <c r="AC1260" s="75">
        <v>0</v>
      </c>
      <c r="AD1260" s="1122">
        <v>0</v>
      </c>
      <c r="AE1260" s="75">
        <v>0</v>
      </c>
      <c r="AF1260" s="75">
        <v>0</v>
      </c>
      <c r="AG1260" s="1122">
        <v>0</v>
      </c>
      <c r="AH1260" s="505">
        <f t="shared" si="362"/>
        <v>0</v>
      </c>
      <c r="AI1260" s="132"/>
      <c r="AJ1260" s="75">
        <f t="shared" si="361"/>
        <v>0</v>
      </c>
      <c r="AK1260" s="132"/>
      <c r="AL1260" s="132"/>
      <c r="AM1260" s="132"/>
      <c r="AN1260" s="136" t="s">
        <v>181</v>
      </c>
      <c r="AO1260" s="321"/>
      <c r="AP1260" s="321"/>
      <c r="AQ1260" s="317"/>
      <c r="AR1260" s="571"/>
      <c r="AS1260" s="478"/>
      <c r="AT1260" s="136"/>
      <c r="AU1260" s="646"/>
      <c r="AV1260" s="366"/>
      <c r="AW1260" s="491"/>
    </row>
    <row r="1261" spans="1:49" s="153" customFormat="1" ht="51.75" customHeight="1" outlineLevel="2" collapsed="1" x14ac:dyDescent="0.25">
      <c r="A1261" s="148" t="str">
        <f t="shared" si="306"/>
        <v>4.14.3.3.0.0</v>
      </c>
      <c r="B1261" s="82">
        <v>4</v>
      </c>
      <c r="C1261" s="82">
        <v>14</v>
      </c>
      <c r="D1261" s="82">
        <v>3</v>
      </c>
      <c r="E1261" s="82">
        <v>3</v>
      </c>
      <c r="F1261" s="82">
        <v>0</v>
      </c>
      <c r="G1261" s="82">
        <v>0</v>
      </c>
      <c r="H1261" s="149"/>
      <c r="I1261" s="149"/>
      <c r="J1261" s="1260" t="s">
        <v>1478</v>
      </c>
      <c r="K1261" s="1259"/>
      <c r="L1261" s="82" t="s">
        <v>1475</v>
      </c>
      <c r="M1261" s="83" t="s">
        <v>1449</v>
      </c>
      <c r="N1261" s="82" t="s">
        <v>1444</v>
      </c>
      <c r="O1261" s="82" t="s">
        <v>1445</v>
      </c>
      <c r="P1261" s="82"/>
      <c r="Q1261" s="82"/>
      <c r="R1261" s="82"/>
      <c r="S1261" s="149"/>
      <c r="T1261" s="193"/>
      <c r="U1261" s="209">
        <f>SUM(U1262:U1269)</f>
        <v>465990.63250000001</v>
      </c>
      <c r="V1261" s="209"/>
      <c r="W1261" s="209">
        <f t="shared" ref="W1261:AG1261" si="363">SUM(W1262:W1269)</f>
        <v>0</v>
      </c>
      <c r="X1261" s="1133">
        <f t="shared" si="363"/>
        <v>0</v>
      </c>
      <c r="Y1261" s="209">
        <f t="shared" si="363"/>
        <v>465990.63250000001</v>
      </c>
      <c r="Z1261" s="209">
        <f t="shared" si="363"/>
        <v>0</v>
      </c>
      <c r="AA1261" s="1133">
        <f t="shared" si="363"/>
        <v>0</v>
      </c>
      <c r="AB1261" s="209">
        <f t="shared" si="363"/>
        <v>465990.63250000001</v>
      </c>
      <c r="AC1261" s="209">
        <f t="shared" si="363"/>
        <v>0</v>
      </c>
      <c r="AD1261" s="1133">
        <f t="shared" si="363"/>
        <v>0</v>
      </c>
      <c r="AE1261" s="209">
        <f t="shared" si="363"/>
        <v>465990.63250000001</v>
      </c>
      <c r="AF1261" s="209">
        <f t="shared" si="363"/>
        <v>0</v>
      </c>
      <c r="AG1261" s="1133">
        <f t="shared" si="363"/>
        <v>0</v>
      </c>
      <c r="AH1261" s="209">
        <f>SUM(AH1262:AH1269)</f>
        <v>1863962.53</v>
      </c>
      <c r="AI1261" s="513">
        <f>+SUM(AI1262:AI1269)</f>
        <v>0</v>
      </c>
      <c r="AJ1261" s="513">
        <f>+SUM(AJ1262:AJ1269)</f>
        <v>0</v>
      </c>
      <c r="AK1261" s="198"/>
      <c r="AL1261" s="198"/>
      <c r="AM1261" s="198"/>
      <c r="AN1261" s="82" t="s">
        <v>181</v>
      </c>
      <c r="AO1261" s="82"/>
      <c r="AP1261" s="82"/>
      <c r="AQ1261" s="82"/>
      <c r="AR1261" s="82"/>
      <c r="AS1261" s="82"/>
      <c r="AT1261" s="82"/>
      <c r="AU1261" s="666"/>
      <c r="AV1261" s="380">
        <f t="shared" ref="AV1261" si="364">+SUM(AV1262:AV1269)</f>
        <v>0</v>
      </c>
      <c r="AW1261" s="491"/>
    </row>
    <row r="1262" spans="1:49" ht="34.35" hidden="1" customHeight="1" outlineLevel="3" x14ac:dyDescent="0.25">
      <c r="A1262" s="63" t="str">
        <f t="shared" si="306"/>
        <v>4.14.3.3.1.63</v>
      </c>
      <c r="B1262" s="64">
        <v>4</v>
      </c>
      <c r="C1262" s="64">
        <v>14</v>
      </c>
      <c r="D1262" s="64">
        <v>3</v>
      </c>
      <c r="E1262" s="64">
        <v>3</v>
      </c>
      <c r="F1262" s="64">
        <v>1</v>
      </c>
      <c r="G1262" s="64">
        <v>63</v>
      </c>
      <c r="H1262" s="65"/>
      <c r="I1262" s="65"/>
      <c r="J1262" s="66"/>
      <c r="K1262" s="65" t="s">
        <v>1451</v>
      </c>
      <c r="L1262" s="64" t="s">
        <v>1452</v>
      </c>
      <c r="M1262" s="64" t="s">
        <v>1453</v>
      </c>
      <c r="N1262" s="64" t="s">
        <v>1444</v>
      </c>
      <c r="O1262" s="64" t="s">
        <v>1204</v>
      </c>
      <c r="P1262" s="69">
        <v>44571</v>
      </c>
      <c r="Q1262" s="69">
        <v>44925</v>
      </c>
      <c r="R1262" s="170">
        <v>8000</v>
      </c>
      <c r="S1262" s="170" t="s">
        <v>1454</v>
      </c>
      <c r="T1262" s="1207">
        <v>0</v>
      </c>
      <c r="U1262" s="75">
        <v>0</v>
      </c>
      <c r="V1262" s="75"/>
      <c r="W1262" s="75">
        <v>0</v>
      </c>
      <c r="X1262" s="1122">
        <v>0</v>
      </c>
      <c r="Y1262" s="75">
        <v>0</v>
      </c>
      <c r="Z1262" s="75">
        <v>0</v>
      </c>
      <c r="AA1262" s="1122">
        <v>0</v>
      </c>
      <c r="AB1262" s="75">
        <v>0</v>
      </c>
      <c r="AC1262" s="75">
        <v>0</v>
      </c>
      <c r="AD1262" s="1122">
        <v>0</v>
      </c>
      <c r="AE1262" s="75">
        <v>0</v>
      </c>
      <c r="AF1262" s="75">
        <v>0</v>
      </c>
      <c r="AG1262" s="1122">
        <v>0</v>
      </c>
      <c r="AH1262" s="505">
        <f>+U1262+Y1262+AB1262+AE1262</f>
        <v>0</v>
      </c>
      <c r="AI1262" s="132"/>
      <c r="AJ1262" s="75">
        <f t="shared" ref="AJ1262:AJ1269" si="365">+W1263+Z1263+AC1263+AF1263</f>
        <v>0</v>
      </c>
      <c r="AK1262" s="132"/>
      <c r="AL1262" s="132"/>
      <c r="AM1262" s="132"/>
      <c r="AN1262" s="64" t="s">
        <v>181</v>
      </c>
      <c r="AO1262" s="319"/>
      <c r="AP1262" s="319"/>
      <c r="AQ1262" s="316"/>
      <c r="AR1262" s="245"/>
      <c r="AS1262" s="272"/>
      <c r="AT1262" s="64"/>
      <c r="AU1262" s="646"/>
      <c r="AV1262" s="259"/>
      <c r="AW1262" s="491"/>
    </row>
    <row r="1263" spans="1:49" ht="34.35" hidden="1" customHeight="1" outlineLevel="3" x14ac:dyDescent="0.25">
      <c r="A1263" s="63" t="str">
        <f t="shared" si="306"/>
        <v>4.14.3.3.2.63</v>
      </c>
      <c r="B1263" s="64">
        <v>4</v>
      </c>
      <c r="C1263" s="64">
        <v>14</v>
      </c>
      <c r="D1263" s="64">
        <v>3</v>
      </c>
      <c r="E1263" s="64">
        <v>3</v>
      </c>
      <c r="F1263" s="64">
        <v>2</v>
      </c>
      <c r="G1263" s="100">
        <v>63</v>
      </c>
      <c r="H1263" s="65"/>
      <c r="I1263" s="65"/>
      <c r="J1263" s="66"/>
      <c r="K1263" s="65" t="s">
        <v>1455</v>
      </c>
      <c r="L1263" s="64" t="s">
        <v>1452</v>
      </c>
      <c r="M1263" s="64" t="s">
        <v>535</v>
      </c>
      <c r="N1263" s="64" t="s">
        <v>1444</v>
      </c>
      <c r="O1263" s="64" t="s">
        <v>1335</v>
      </c>
      <c r="P1263" s="69">
        <v>44571</v>
      </c>
      <c r="Q1263" s="69">
        <v>44925</v>
      </c>
      <c r="R1263" s="124">
        <f>416000/2</f>
        <v>208000</v>
      </c>
      <c r="S1263" s="65" t="s">
        <v>1456</v>
      </c>
      <c r="T1263" s="1208"/>
      <c r="U1263" s="75">
        <v>0</v>
      </c>
      <c r="V1263" s="75"/>
      <c r="W1263" s="75">
        <v>0</v>
      </c>
      <c r="X1263" s="1122">
        <v>0</v>
      </c>
      <c r="Y1263" s="75">
        <v>0</v>
      </c>
      <c r="Z1263" s="75">
        <v>0</v>
      </c>
      <c r="AA1263" s="1122">
        <v>0</v>
      </c>
      <c r="AB1263" s="75">
        <v>0</v>
      </c>
      <c r="AC1263" s="75">
        <v>0</v>
      </c>
      <c r="AD1263" s="1122">
        <v>0</v>
      </c>
      <c r="AE1263" s="75">
        <v>0</v>
      </c>
      <c r="AF1263" s="75">
        <v>0</v>
      </c>
      <c r="AG1263" s="1122">
        <v>0</v>
      </c>
      <c r="AH1263" s="505">
        <f t="shared" ref="AH1263:AH1269" si="366">+U1263+Y1263+AB1263+AE1263</f>
        <v>0</v>
      </c>
      <c r="AI1263" s="132"/>
      <c r="AJ1263" s="75">
        <f t="shared" si="365"/>
        <v>0</v>
      </c>
      <c r="AK1263" s="132"/>
      <c r="AL1263" s="132"/>
      <c r="AM1263" s="132"/>
      <c r="AN1263" s="64" t="s">
        <v>181</v>
      </c>
      <c r="AO1263" s="319"/>
      <c r="AP1263" s="319"/>
      <c r="AQ1263" s="316"/>
      <c r="AR1263" s="64"/>
      <c r="AS1263" s="272"/>
      <c r="AT1263" s="64"/>
      <c r="AU1263" s="646"/>
      <c r="AV1263" s="259" t="s">
        <v>535</v>
      </c>
      <c r="AW1263" s="491"/>
    </row>
    <row r="1264" spans="1:49" ht="34.35" hidden="1" customHeight="1" outlineLevel="3" x14ac:dyDescent="0.25">
      <c r="A1264" s="63" t="str">
        <f t="shared" si="306"/>
        <v>4.14.3.3.3.63</v>
      </c>
      <c r="B1264" s="64">
        <v>4</v>
      </c>
      <c r="C1264" s="64">
        <v>14</v>
      </c>
      <c r="D1264" s="64">
        <v>3</v>
      </c>
      <c r="E1264" s="64">
        <v>3</v>
      </c>
      <c r="F1264" s="64">
        <v>3</v>
      </c>
      <c r="G1264" s="100">
        <v>63</v>
      </c>
      <c r="H1264" s="65"/>
      <c r="I1264" s="65"/>
      <c r="J1264" s="66"/>
      <c r="K1264" s="65" t="s">
        <v>1457</v>
      </c>
      <c r="L1264" s="64" t="s">
        <v>72</v>
      </c>
      <c r="M1264" s="64" t="s">
        <v>1458</v>
      </c>
      <c r="N1264" s="64" t="s">
        <v>1444</v>
      </c>
      <c r="O1264" s="64" t="s">
        <v>1445</v>
      </c>
      <c r="P1264" s="69">
        <v>44571</v>
      </c>
      <c r="Q1264" s="69">
        <v>44925</v>
      </c>
      <c r="R1264" s="124">
        <v>216</v>
      </c>
      <c r="S1264" s="65" t="s">
        <v>1459</v>
      </c>
      <c r="T1264" s="194"/>
      <c r="U1264" s="75">
        <f>1611962.53/4</f>
        <v>402990.63250000001</v>
      </c>
      <c r="V1264" s="75"/>
      <c r="W1264" s="75">
        <v>0</v>
      </c>
      <c r="X1264" s="1122">
        <v>0</v>
      </c>
      <c r="Y1264" s="75">
        <v>402990.63250000001</v>
      </c>
      <c r="Z1264" s="75">
        <v>0</v>
      </c>
      <c r="AA1264" s="1122">
        <v>0</v>
      </c>
      <c r="AB1264" s="75">
        <v>402990.63250000001</v>
      </c>
      <c r="AC1264" s="75">
        <v>0</v>
      </c>
      <c r="AD1264" s="1122">
        <v>0</v>
      </c>
      <c r="AE1264" s="75">
        <v>402990.63250000001</v>
      </c>
      <c r="AF1264" s="75">
        <v>0</v>
      </c>
      <c r="AG1264" s="1122">
        <v>0</v>
      </c>
      <c r="AH1264" s="505">
        <f t="shared" si="366"/>
        <v>1611962.53</v>
      </c>
      <c r="AI1264" s="132"/>
      <c r="AJ1264" s="75">
        <f t="shared" si="365"/>
        <v>0</v>
      </c>
      <c r="AK1264" s="132"/>
      <c r="AL1264" s="132"/>
      <c r="AM1264" s="132"/>
      <c r="AN1264" s="64" t="s">
        <v>181</v>
      </c>
      <c r="AO1264" s="100"/>
      <c r="AP1264" s="100"/>
      <c r="AQ1264" s="100"/>
      <c r="AR1264" s="104"/>
      <c r="AS1264" s="104"/>
      <c r="AT1264" s="100"/>
      <c r="AU1264" s="964"/>
      <c r="AV1264" s="101"/>
      <c r="AW1264" s="103" t="s">
        <v>2762</v>
      </c>
    </row>
    <row r="1265" spans="1:49" ht="34.35" hidden="1" customHeight="1" outlineLevel="3" x14ac:dyDescent="0.25">
      <c r="A1265" s="63" t="str">
        <f t="shared" si="306"/>
        <v>4.14.3.3.4.63</v>
      </c>
      <c r="B1265" s="64">
        <v>4</v>
      </c>
      <c r="C1265" s="64">
        <v>14</v>
      </c>
      <c r="D1265" s="64">
        <v>3</v>
      </c>
      <c r="E1265" s="64">
        <v>3</v>
      </c>
      <c r="F1265" s="64">
        <v>4</v>
      </c>
      <c r="G1265" s="64">
        <v>63</v>
      </c>
      <c r="H1265" s="65"/>
      <c r="I1265" s="65"/>
      <c r="J1265" s="66"/>
      <c r="K1265" s="67" t="s">
        <v>1460</v>
      </c>
      <c r="L1265" s="64" t="s">
        <v>72</v>
      </c>
      <c r="M1265" s="64" t="s">
        <v>76</v>
      </c>
      <c r="N1265" s="64" t="s">
        <v>1444</v>
      </c>
      <c r="O1265" s="64" t="s">
        <v>1445</v>
      </c>
      <c r="P1265" s="69">
        <v>44571</v>
      </c>
      <c r="Q1265" s="69">
        <v>44925</v>
      </c>
      <c r="R1265" s="124">
        <v>2</v>
      </c>
      <c r="S1265" s="65" t="s">
        <v>1461</v>
      </c>
      <c r="T1265" s="1209">
        <f>18*23000</f>
        <v>414000</v>
      </c>
      <c r="U1265" s="75">
        <v>0</v>
      </c>
      <c r="V1265" s="75"/>
      <c r="W1265" s="75">
        <v>0</v>
      </c>
      <c r="X1265" s="1122">
        <v>0</v>
      </c>
      <c r="Y1265" s="75">
        <v>0</v>
      </c>
      <c r="Z1265" s="75">
        <v>0</v>
      </c>
      <c r="AA1265" s="1122">
        <v>0</v>
      </c>
      <c r="AB1265" s="75">
        <v>0</v>
      </c>
      <c r="AC1265" s="75">
        <v>0</v>
      </c>
      <c r="AD1265" s="1122">
        <v>0</v>
      </c>
      <c r="AE1265" s="75">
        <v>0</v>
      </c>
      <c r="AF1265" s="75">
        <v>0</v>
      </c>
      <c r="AG1265" s="1122">
        <v>0</v>
      </c>
      <c r="AH1265" s="505">
        <f t="shared" si="366"/>
        <v>0</v>
      </c>
      <c r="AI1265" s="132"/>
      <c r="AJ1265" s="75">
        <f t="shared" si="365"/>
        <v>0</v>
      </c>
      <c r="AK1265" s="132"/>
      <c r="AL1265" s="132"/>
      <c r="AM1265" s="132"/>
      <c r="AN1265" s="64" t="s">
        <v>181</v>
      </c>
      <c r="AO1265" s="319" t="s">
        <v>1819</v>
      </c>
      <c r="AP1265" s="319" t="s">
        <v>2612</v>
      </c>
      <c r="AQ1265" s="316" t="s">
        <v>2613</v>
      </c>
      <c r="AR1265" s="189" t="s">
        <v>1826</v>
      </c>
      <c r="AS1265" s="554">
        <v>45239</v>
      </c>
      <c r="AT1265" s="554">
        <v>45171</v>
      </c>
      <c r="AU1265" s="646">
        <v>124</v>
      </c>
      <c r="AV1265" s="259" t="s">
        <v>1462</v>
      </c>
      <c r="AW1265" s="495"/>
    </row>
    <row r="1266" spans="1:49" s="212" customFormat="1" ht="34.35" hidden="1" customHeight="1" outlineLevel="3" x14ac:dyDescent="0.25">
      <c r="A1266" s="210" t="str">
        <f t="shared" si="306"/>
        <v>4.14.3.3.5.63</v>
      </c>
      <c r="B1266" s="136">
        <v>4</v>
      </c>
      <c r="C1266" s="136">
        <v>14</v>
      </c>
      <c r="D1266" s="136">
        <v>3</v>
      </c>
      <c r="E1266" s="136">
        <v>3</v>
      </c>
      <c r="F1266" s="136">
        <v>5</v>
      </c>
      <c r="G1266" s="136">
        <v>63</v>
      </c>
      <c r="H1266" s="125"/>
      <c r="I1266" s="125"/>
      <c r="J1266" s="213"/>
      <c r="K1266" s="125" t="s">
        <v>1463</v>
      </c>
      <c r="L1266" s="136" t="s">
        <v>1452</v>
      </c>
      <c r="M1266" s="136" t="s">
        <v>1464</v>
      </c>
      <c r="N1266" s="136" t="s">
        <v>1444</v>
      </c>
      <c r="O1266" s="136" t="s">
        <v>1204</v>
      </c>
      <c r="P1266" s="214">
        <v>44571</v>
      </c>
      <c r="Q1266" s="214">
        <v>44925</v>
      </c>
      <c r="R1266" s="136">
        <v>12</v>
      </c>
      <c r="S1266" s="125" t="s">
        <v>1465</v>
      </c>
      <c r="T1266" s="194" t="e">
        <f>+#REF!/4</f>
        <v>#REF!</v>
      </c>
      <c r="U1266" s="75">
        <v>0</v>
      </c>
      <c r="V1266" s="75"/>
      <c r="W1266" s="75">
        <v>0</v>
      </c>
      <c r="X1266" s="1122">
        <v>0</v>
      </c>
      <c r="Y1266" s="75">
        <v>0</v>
      </c>
      <c r="Z1266" s="75">
        <v>0</v>
      </c>
      <c r="AA1266" s="1122">
        <v>0</v>
      </c>
      <c r="AB1266" s="75">
        <v>0</v>
      </c>
      <c r="AC1266" s="75">
        <v>0</v>
      </c>
      <c r="AD1266" s="1122">
        <v>0</v>
      </c>
      <c r="AE1266" s="75">
        <v>0</v>
      </c>
      <c r="AF1266" s="75">
        <v>0</v>
      </c>
      <c r="AG1266" s="1122">
        <v>0</v>
      </c>
      <c r="AH1266" s="505">
        <f t="shared" si="366"/>
        <v>0</v>
      </c>
      <c r="AI1266" s="132"/>
      <c r="AJ1266" s="75">
        <f t="shared" si="365"/>
        <v>0</v>
      </c>
      <c r="AK1266" s="132"/>
      <c r="AL1266" s="132"/>
      <c r="AM1266" s="132"/>
      <c r="AN1266" s="136" t="s">
        <v>181</v>
      </c>
      <c r="AO1266" s="321"/>
      <c r="AP1266" s="321"/>
      <c r="AQ1266" s="317"/>
      <c r="AR1266" s="136"/>
      <c r="AS1266" s="478"/>
      <c r="AT1266" s="136"/>
      <c r="AU1266" s="646"/>
      <c r="AV1266" s="349" t="s">
        <v>1466</v>
      </c>
      <c r="AW1266" s="491"/>
    </row>
    <row r="1267" spans="1:49" ht="34.35" hidden="1" customHeight="1" outlineLevel="3" x14ac:dyDescent="0.25">
      <c r="A1267" s="63" t="str">
        <f t="shared" si="306"/>
        <v>4.14.3.3.6.63</v>
      </c>
      <c r="B1267" s="64">
        <v>4</v>
      </c>
      <c r="C1267" s="64">
        <v>14</v>
      </c>
      <c r="D1267" s="64">
        <v>3</v>
      </c>
      <c r="E1267" s="64">
        <v>3</v>
      </c>
      <c r="F1267" s="64">
        <v>6</v>
      </c>
      <c r="G1267" s="64">
        <v>63</v>
      </c>
      <c r="H1267" s="65"/>
      <c r="I1267" s="65"/>
      <c r="J1267" s="66"/>
      <c r="K1267" s="65" t="s">
        <v>1467</v>
      </c>
      <c r="L1267" s="64" t="s">
        <v>264</v>
      </c>
      <c r="M1267" s="64" t="s">
        <v>144</v>
      </c>
      <c r="N1267" s="64" t="s">
        <v>265</v>
      </c>
      <c r="O1267" s="64" t="s">
        <v>668</v>
      </c>
      <c r="P1267" s="69">
        <v>44571</v>
      </c>
      <c r="Q1267" s="69">
        <v>44925</v>
      </c>
      <c r="R1267" s="64">
        <v>216</v>
      </c>
      <c r="S1267" s="65" t="s">
        <v>1468</v>
      </c>
      <c r="T1267" s="194"/>
      <c r="U1267" s="75">
        <v>0</v>
      </c>
      <c r="V1267" s="75"/>
      <c r="W1267" s="75">
        <v>0</v>
      </c>
      <c r="X1267" s="1122">
        <v>0</v>
      </c>
      <c r="Y1267" s="75">
        <v>0</v>
      </c>
      <c r="Z1267" s="75">
        <v>0</v>
      </c>
      <c r="AA1267" s="1122">
        <v>0</v>
      </c>
      <c r="AB1267" s="75">
        <v>0</v>
      </c>
      <c r="AC1267" s="75">
        <v>0</v>
      </c>
      <c r="AD1267" s="1122">
        <v>0</v>
      </c>
      <c r="AE1267" s="75">
        <v>0</v>
      </c>
      <c r="AF1267" s="75">
        <v>0</v>
      </c>
      <c r="AG1267" s="1122">
        <v>0</v>
      </c>
      <c r="AH1267" s="505">
        <f t="shared" si="366"/>
        <v>0</v>
      </c>
      <c r="AI1267" s="132"/>
      <c r="AJ1267" s="75">
        <f t="shared" si="365"/>
        <v>0</v>
      </c>
      <c r="AK1267" s="132"/>
      <c r="AL1267" s="132"/>
      <c r="AM1267" s="132"/>
      <c r="AN1267" s="64" t="s">
        <v>181</v>
      </c>
      <c r="AO1267" s="319"/>
      <c r="AP1267" s="319"/>
      <c r="AQ1267" s="316"/>
      <c r="AR1267" s="64"/>
      <c r="AS1267" s="272"/>
      <c r="AT1267" s="64"/>
      <c r="AU1267" s="646"/>
      <c r="AV1267" s="259" t="s">
        <v>1469</v>
      </c>
      <c r="AW1267" s="491"/>
    </row>
    <row r="1268" spans="1:49" ht="34.35" hidden="1" customHeight="1" outlineLevel="3" x14ac:dyDescent="0.25">
      <c r="A1268" s="63" t="str">
        <f t="shared" si="306"/>
        <v>4.14.3.3.7.63</v>
      </c>
      <c r="B1268" s="64">
        <v>4</v>
      </c>
      <c r="C1268" s="64">
        <v>14</v>
      </c>
      <c r="D1268" s="64">
        <v>3</v>
      </c>
      <c r="E1268" s="64">
        <v>3</v>
      </c>
      <c r="F1268" s="64">
        <v>7</v>
      </c>
      <c r="G1268" s="64">
        <v>63</v>
      </c>
      <c r="H1268" s="65"/>
      <c r="I1268" s="65"/>
      <c r="J1268" s="65"/>
      <c r="K1268" s="65" t="s">
        <v>1882</v>
      </c>
      <c r="L1268" s="64" t="s">
        <v>264</v>
      </c>
      <c r="M1268" s="64" t="s">
        <v>144</v>
      </c>
      <c r="N1268" s="64" t="s">
        <v>265</v>
      </c>
      <c r="O1268" s="64" t="s">
        <v>668</v>
      </c>
      <c r="P1268" s="69">
        <v>44571</v>
      </c>
      <c r="Q1268" s="69">
        <v>44925</v>
      </c>
      <c r="R1268" s="124">
        <v>198</v>
      </c>
      <c r="S1268" s="65" t="s">
        <v>1470</v>
      </c>
      <c r="T1268" s="194" t="e">
        <f>+#REF!/4</f>
        <v>#REF!</v>
      </c>
      <c r="U1268" s="75">
        <f>252000/4</f>
        <v>63000</v>
      </c>
      <c r="V1268" s="75"/>
      <c r="W1268" s="75">
        <v>0</v>
      </c>
      <c r="X1268" s="1122">
        <v>0</v>
      </c>
      <c r="Y1268" s="75">
        <v>63000</v>
      </c>
      <c r="Z1268" s="75">
        <v>0</v>
      </c>
      <c r="AA1268" s="1122">
        <v>0</v>
      </c>
      <c r="AB1268" s="75">
        <v>63000</v>
      </c>
      <c r="AC1268" s="75">
        <v>0</v>
      </c>
      <c r="AD1268" s="1122">
        <v>0</v>
      </c>
      <c r="AE1268" s="75">
        <v>63000</v>
      </c>
      <c r="AF1268" s="75">
        <v>0</v>
      </c>
      <c r="AG1268" s="1122">
        <v>0</v>
      </c>
      <c r="AH1268" s="505">
        <f t="shared" si="366"/>
        <v>252000</v>
      </c>
      <c r="AI1268" s="132"/>
      <c r="AJ1268" s="75">
        <f t="shared" si="365"/>
        <v>0</v>
      </c>
      <c r="AK1268" s="281"/>
      <c r="AL1268" s="281"/>
      <c r="AM1268" s="281"/>
      <c r="AN1268" s="64" t="s">
        <v>181</v>
      </c>
      <c r="AO1268" s="533" t="s">
        <v>1839</v>
      </c>
      <c r="AP1268" s="533" t="s">
        <v>649</v>
      </c>
      <c r="AQ1268" s="533" t="s">
        <v>649</v>
      </c>
      <c r="AR1268" s="554">
        <v>44562</v>
      </c>
      <c r="AS1268" s="554">
        <v>44926</v>
      </c>
      <c r="AT1268" s="64" t="s">
        <v>1814</v>
      </c>
      <c r="AU1268" s="877" t="s">
        <v>2084</v>
      </c>
      <c r="AV1268" s="259" t="s">
        <v>1479</v>
      </c>
      <c r="AW1268" s="67" t="s">
        <v>2083</v>
      </c>
    </row>
    <row r="1269" spans="1:49" s="284" customFormat="1" ht="34.35" hidden="1" customHeight="1" outlineLevel="3" x14ac:dyDescent="0.25">
      <c r="A1269" s="210" t="str">
        <f t="shared" si="306"/>
        <v>4.14.3.3.8.63</v>
      </c>
      <c r="B1269" s="136">
        <v>4</v>
      </c>
      <c r="C1269" s="136">
        <v>14</v>
      </c>
      <c r="D1269" s="136">
        <v>3</v>
      </c>
      <c r="E1269" s="136">
        <v>3</v>
      </c>
      <c r="F1269" s="136">
        <v>8</v>
      </c>
      <c r="G1269" s="136">
        <v>63</v>
      </c>
      <c r="H1269" s="133"/>
      <c r="I1269" s="133"/>
      <c r="J1269" s="133"/>
      <c r="K1269" s="125" t="s">
        <v>1472</v>
      </c>
      <c r="L1269" s="136" t="s">
        <v>72</v>
      </c>
      <c r="M1269" s="136" t="s">
        <v>1473</v>
      </c>
      <c r="N1269" s="136" t="s">
        <v>1249</v>
      </c>
      <c r="O1269" s="136" t="s">
        <v>72</v>
      </c>
      <c r="P1269" s="214">
        <v>44571</v>
      </c>
      <c r="Q1269" s="214">
        <v>44925</v>
      </c>
      <c r="R1269" s="282"/>
      <c r="S1269" s="133"/>
      <c r="T1269" s="1210"/>
      <c r="U1269" s="75">
        <v>0</v>
      </c>
      <c r="V1269" s="75"/>
      <c r="W1269" s="75">
        <v>0</v>
      </c>
      <c r="X1269" s="1122">
        <v>0</v>
      </c>
      <c r="Y1269" s="75">
        <v>0</v>
      </c>
      <c r="Z1269" s="75">
        <v>0</v>
      </c>
      <c r="AA1269" s="1122">
        <v>0</v>
      </c>
      <c r="AB1269" s="75">
        <v>0</v>
      </c>
      <c r="AC1269" s="75">
        <v>0</v>
      </c>
      <c r="AD1269" s="1122">
        <v>0</v>
      </c>
      <c r="AE1269" s="75">
        <v>0</v>
      </c>
      <c r="AF1269" s="75">
        <v>0</v>
      </c>
      <c r="AG1269" s="1122">
        <v>0</v>
      </c>
      <c r="AH1269" s="505">
        <f t="shared" si="366"/>
        <v>0</v>
      </c>
      <c r="AI1269" s="132"/>
      <c r="AJ1269" s="75">
        <f t="shared" si="365"/>
        <v>0</v>
      </c>
      <c r="AK1269" s="132"/>
      <c r="AL1269" s="132"/>
      <c r="AM1269" s="132"/>
      <c r="AN1269" s="136" t="s">
        <v>181</v>
      </c>
      <c r="AO1269" s="136"/>
      <c r="AP1269" s="136"/>
      <c r="AQ1269" s="136"/>
      <c r="AR1269" s="136"/>
      <c r="AS1269" s="136"/>
      <c r="AT1269" s="136"/>
      <c r="AU1269" s="646"/>
      <c r="AV1269" s="366"/>
      <c r="AW1269" s="491"/>
    </row>
    <row r="1270" spans="1:49" s="153" customFormat="1" ht="50.25" customHeight="1" outlineLevel="2" collapsed="1" x14ac:dyDescent="0.25">
      <c r="A1270" s="148" t="str">
        <f t="shared" si="306"/>
        <v>4.14.3.4.0.0</v>
      </c>
      <c r="B1270" s="82">
        <v>4</v>
      </c>
      <c r="C1270" s="82">
        <v>14</v>
      </c>
      <c r="D1270" s="82">
        <v>3</v>
      </c>
      <c r="E1270" s="82">
        <v>4</v>
      </c>
      <c r="F1270" s="82">
        <v>0</v>
      </c>
      <c r="G1270" s="82">
        <v>0</v>
      </c>
      <c r="H1270" s="149"/>
      <c r="I1270" s="149"/>
      <c r="J1270" s="1260" t="s">
        <v>1480</v>
      </c>
      <c r="K1270" s="1259"/>
      <c r="L1270" s="82" t="s">
        <v>1475</v>
      </c>
      <c r="M1270" s="83" t="s">
        <v>1449</v>
      </c>
      <c r="N1270" s="82" t="s">
        <v>1444</v>
      </c>
      <c r="O1270" s="82" t="s">
        <v>1445</v>
      </c>
      <c r="P1270" s="82"/>
      <c r="Q1270" s="82"/>
      <c r="R1270" s="82"/>
      <c r="S1270" s="149"/>
      <c r="T1270" s="193"/>
      <c r="U1270" s="513">
        <f>+SUM(U1271:U1278)</f>
        <v>780990.63250000007</v>
      </c>
      <c r="V1270" s="513"/>
      <c r="W1270" s="513">
        <f t="shared" ref="W1270:AG1270" si="367">+SUM(W1271:W1278)</f>
        <v>0</v>
      </c>
      <c r="X1270" s="1158">
        <f t="shared" si="367"/>
        <v>0</v>
      </c>
      <c r="Y1270" s="513">
        <f t="shared" si="367"/>
        <v>780990.63250000007</v>
      </c>
      <c r="Z1270" s="513">
        <f t="shared" si="367"/>
        <v>0</v>
      </c>
      <c r="AA1270" s="1158">
        <f t="shared" si="367"/>
        <v>0</v>
      </c>
      <c r="AB1270" s="513">
        <f t="shared" si="367"/>
        <v>780990.63250000007</v>
      </c>
      <c r="AC1270" s="513">
        <f t="shared" si="367"/>
        <v>0</v>
      </c>
      <c r="AD1270" s="1158">
        <f t="shared" si="367"/>
        <v>0</v>
      </c>
      <c r="AE1270" s="513">
        <f t="shared" si="367"/>
        <v>780990.63250000007</v>
      </c>
      <c r="AF1270" s="513">
        <f t="shared" si="367"/>
        <v>0</v>
      </c>
      <c r="AG1270" s="1158">
        <f t="shared" si="367"/>
        <v>0</v>
      </c>
      <c r="AH1270" s="513">
        <f>+SUM(AH1271:AH1278)</f>
        <v>3123962.5300000003</v>
      </c>
      <c r="AI1270" s="513">
        <f t="shared" ref="AI1270" si="368">+SUM(AI1271:AI1278)</f>
        <v>0</v>
      </c>
      <c r="AJ1270" s="513">
        <f>+SUM(AJ1271:AJ1278)</f>
        <v>0</v>
      </c>
      <c r="AK1270" s="513">
        <f t="shared" ref="AK1270:AM1270" si="369">+SUM(AK1271:AK1278)</f>
        <v>0</v>
      </c>
      <c r="AL1270" s="513">
        <f t="shared" si="369"/>
        <v>0</v>
      </c>
      <c r="AM1270" s="513">
        <f t="shared" si="369"/>
        <v>0</v>
      </c>
      <c r="AN1270" s="82" t="s">
        <v>181</v>
      </c>
      <c r="AO1270" s="82"/>
      <c r="AP1270" s="82"/>
      <c r="AQ1270" s="82"/>
      <c r="AR1270" s="82"/>
      <c r="AS1270" s="82"/>
      <c r="AT1270" s="82"/>
      <c r="AU1270" s="666"/>
      <c r="AV1270" s="513">
        <f t="shared" ref="AV1270" si="370">+SUM(AV1271:AV1278)</f>
        <v>0</v>
      </c>
      <c r="AW1270" s="491"/>
    </row>
    <row r="1271" spans="1:49" ht="34.35" hidden="1" customHeight="1" outlineLevel="4" x14ac:dyDescent="0.25">
      <c r="A1271" s="63" t="str">
        <f t="shared" si="306"/>
        <v>4.14.3.4.1.64</v>
      </c>
      <c r="B1271" s="64">
        <v>4</v>
      </c>
      <c r="C1271" s="64">
        <v>14</v>
      </c>
      <c r="D1271" s="64">
        <v>3</v>
      </c>
      <c r="E1271" s="64">
        <v>4</v>
      </c>
      <c r="F1271" s="64">
        <v>1</v>
      </c>
      <c r="G1271" s="64">
        <v>64</v>
      </c>
      <c r="H1271" s="65"/>
      <c r="I1271" s="65"/>
      <c r="J1271" s="66"/>
      <c r="K1271" s="65" t="s">
        <v>1451</v>
      </c>
      <c r="L1271" s="64" t="s">
        <v>1452</v>
      </c>
      <c r="M1271" s="64" t="s">
        <v>1453</v>
      </c>
      <c r="N1271" s="64" t="s">
        <v>1444</v>
      </c>
      <c r="O1271" s="64" t="s">
        <v>1204</v>
      </c>
      <c r="P1271" s="69">
        <v>44571</v>
      </c>
      <c r="Q1271" s="69">
        <v>44925</v>
      </c>
      <c r="R1271" s="170">
        <v>11500</v>
      </c>
      <c r="S1271" s="170" t="s">
        <v>1454</v>
      </c>
      <c r="T1271" s="1207">
        <v>0</v>
      </c>
      <c r="U1271" s="179">
        <v>0</v>
      </c>
      <c r="V1271" s="179"/>
      <c r="W1271" s="179">
        <v>0</v>
      </c>
      <c r="X1271" s="1159">
        <v>0</v>
      </c>
      <c r="Y1271" s="179">
        <v>0</v>
      </c>
      <c r="Z1271" s="179">
        <v>0</v>
      </c>
      <c r="AA1271" s="1159">
        <v>0</v>
      </c>
      <c r="AB1271" s="179">
        <v>0</v>
      </c>
      <c r="AC1271" s="179">
        <v>0</v>
      </c>
      <c r="AD1271" s="1159">
        <v>0</v>
      </c>
      <c r="AE1271" s="179">
        <v>0</v>
      </c>
      <c r="AF1271" s="179">
        <v>0</v>
      </c>
      <c r="AG1271" s="1159">
        <v>0</v>
      </c>
      <c r="AH1271" s="505">
        <f>+U1271+Y1271+AB1271+AE1271</f>
        <v>0</v>
      </c>
      <c r="AI1271" s="132"/>
      <c r="AJ1271" s="75">
        <f t="shared" ref="AJ1271:AJ1278" si="371">+W1272+Z1272+AC1272+AF1272</f>
        <v>0</v>
      </c>
      <c r="AK1271" s="75"/>
      <c r="AL1271" s="75"/>
      <c r="AM1271" s="75"/>
      <c r="AN1271" s="64" t="s">
        <v>181</v>
      </c>
      <c r="AO1271" s="64"/>
      <c r="AP1271" s="64"/>
      <c r="AQ1271" s="64"/>
      <c r="AR1271" s="64"/>
      <c r="AS1271" s="64"/>
      <c r="AT1271" s="64"/>
      <c r="AU1271" s="646"/>
      <c r="AV1271" s="259"/>
      <c r="AW1271" s="491"/>
    </row>
    <row r="1272" spans="1:49" ht="34.35" hidden="1" customHeight="1" outlineLevel="4" x14ac:dyDescent="0.25">
      <c r="A1272" s="63" t="str">
        <f t="shared" si="306"/>
        <v>4.14.3.4.2.64</v>
      </c>
      <c r="B1272" s="64">
        <v>4</v>
      </c>
      <c r="C1272" s="64">
        <v>14</v>
      </c>
      <c r="D1272" s="64">
        <v>3</v>
      </c>
      <c r="E1272" s="64">
        <v>4</v>
      </c>
      <c r="F1272" s="64">
        <v>2</v>
      </c>
      <c r="G1272" s="100">
        <v>64</v>
      </c>
      <c r="H1272" s="65"/>
      <c r="I1272" s="65"/>
      <c r="J1272" s="65"/>
      <c r="K1272" s="65" t="s">
        <v>1455</v>
      </c>
      <c r="L1272" s="64" t="s">
        <v>1452</v>
      </c>
      <c r="M1272" s="64" t="s">
        <v>535</v>
      </c>
      <c r="N1272" s="64" t="s">
        <v>1444</v>
      </c>
      <c r="O1272" s="64" t="s">
        <v>1335</v>
      </c>
      <c r="P1272" s="69">
        <v>44571</v>
      </c>
      <c r="Q1272" s="69">
        <v>44925</v>
      </c>
      <c r="R1272" s="170">
        <f>598000/2</f>
        <v>299000</v>
      </c>
      <c r="S1272" s="170" t="s">
        <v>1456</v>
      </c>
      <c r="T1272" s="1211"/>
      <c r="U1272" s="179">
        <v>0</v>
      </c>
      <c r="V1272" s="179"/>
      <c r="W1272" s="179">
        <v>0</v>
      </c>
      <c r="X1272" s="1159">
        <v>0</v>
      </c>
      <c r="Y1272" s="179">
        <v>0</v>
      </c>
      <c r="Z1272" s="179">
        <v>0</v>
      </c>
      <c r="AA1272" s="1159">
        <v>0</v>
      </c>
      <c r="AB1272" s="179">
        <v>0</v>
      </c>
      <c r="AC1272" s="179">
        <v>0</v>
      </c>
      <c r="AD1272" s="1159">
        <v>0</v>
      </c>
      <c r="AE1272" s="179">
        <v>0</v>
      </c>
      <c r="AF1272" s="179">
        <v>0</v>
      </c>
      <c r="AG1272" s="1159">
        <v>0</v>
      </c>
      <c r="AH1272" s="505">
        <f t="shared" ref="AH1272:AH1278" si="372">+U1272+Y1272+AB1272+AE1272</f>
        <v>0</v>
      </c>
      <c r="AI1272" s="132"/>
      <c r="AJ1272" s="75">
        <f t="shared" si="371"/>
        <v>0</v>
      </c>
      <c r="AK1272" s="75"/>
      <c r="AL1272" s="75"/>
      <c r="AM1272" s="75"/>
      <c r="AN1272" s="171" t="s">
        <v>181</v>
      </c>
      <c r="AO1272" s="171"/>
      <c r="AP1272" s="171"/>
      <c r="AQ1272" s="171"/>
      <c r="AS1272" s="171"/>
      <c r="AV1272" s="353" t="s">
        <v>535</v>
      </c>
      <c r="AW1272" s="491"/>
    </row>
    <row r="1273" spans="1:49" ht="34.35" hidden="1" customHeight="1" outlineLevel="4" x14ac:dyDescent="0.25">
      <c r="A1273" s="63" t="str">
        <f t="shared" si="306"/>
        <v>4.14.3.4.3.64</v>
      </c>
      <c r="B1273" s="64">
        <v>4</v>
      </c>
      <c r="C1273" s="64">
        <v>14</v>
      </c>
      <c r="D1273" s="64">
        <v>3</v>
      </c>
      <c r="E1273" s="64">
        <v>4</v>
      </c>
      <c r="F1273" s="64">
        <v>3</v>
      </c>
      <c r="G1273" s="100">
        <v>64</v>
      </c>
      <c r="H1273" s="65"/>
      <c r="I1273" s="65"/>
      <c r="J1273" s="66"/>
      <c r="K1273" s="65" t="s">
        <v>1457</v>
      </c>
      <c r="L1273" s="64" t="s">
        <v>72</v>
      </c>
      <c r="M1273" s="64" t="s">
        <v>1458</v>
      </c>
      <c r="N1273" s="64" t="s">
        <v>1444</v>
      </c>
      <c r="O1273" s="64" t="s">
        <v>1445</v>
      </c>
      <c r="P1273" s="69">
        <v>44571</v>
      </c>
      <c r="Q1273" s="69">
        <v>44925</v>
      </c>
      <c r="R1273" s="124">
        <v>324</v>
      </c>
      <c r="S1273" s="65" t="s">
        <v>1459</v>
      </c>
      <c r="T1273" s="1209">
        <f>324*125*22*12/4</f>
        <v>2673000</v>
      </c>
      <c r="U1273" s="75">
        <f>1611962.53/4</f>
        <v>402990.63250000001</v>
      </c>
      <c r="V1273" s="75"/>
      <c r="W1273" s="179">
        <v>0</v>
      </c>
      <c r="X1273" s="1159">
        <v>0</v>
      </c>
      <c r="Y1273" s="75">
        <v>402990.63250000001</v>
      </c>
      <c r="Z1273" s="179">
        <v>0</v>
      </c>
      <c r="AA1273" s="1159">
        <v>0</v>
      </c>
      <c r="AB1273" s="75">
        <v>402990.63250000001</v>
      </c>
      <c r="AC1273" s="179">
        <v>0</v>
      </c>
      <c r="AD1273" s="1159">
        <v>0</v>
      </c>
      <c r="AE1273" s="75">
        <v>402990.63250000001</v>
      </c>
      <c r="AF1273" s="179">
        <v>0</v>
      </c>
      <c r="AG1273" s="1159">
        <v>0</v>
      </c>
      <c r="AH1273" s="505">
        <f t="shared" si="372"/>
        <v>1611962.53</v>
      </c>
      <c r="AI1273" s="132"/>
      <c r="AJ1273" s="75">
        <f t="shared" si="371"/>
        <v>0</v>
      </c>
      <c r="AK1273" s="132"/>
      <c r="AL1273" s="132"/>
      <c r="AM1273" s="132"/>
      <c r="AN1273" s="64" t="s">
        <v>181</v>
      </c>
      <c r="AO1273" s="100"/>
      <c r="AP1273" s="100"/>
      <c r="AQ1273" s="100"/>
      <c r="AR1273" s="104"/>
      <c r="AS1273" s="104"/>
      <c r="AT1273" s="100"/>
      <c r="AU1273" s="964"/>
      <c r="AV1273" s="101"/>
      <c r="AW1273" s="103" t="s">
        <v>2762</v>
      </c>
    </row>
    <row r="1274" spans="1:49" ht="34.35" hidden="1" customHeight="1" outlineLevel="4" x14ac:dyDescent="0.25">
      <c r="A1274" s="63" t="str">
        <f t="shared" si="306"/>
        <v>4.14.3.4.4.64</v>
      </c>
      <c r="B1274" s="64">
        <v>4</v>
      </c>
      <c r="C1274" s="64">
        <v>14</v>
      </c>
      <c r="D1274" s="64">
        <v>3</v>
      </c>
      <c r="E1274" s="64">
        <v>4</v>
      </c>
      <c r="F1274" s="64">
        <v>4</v>
      </c>
      <c r="G1274" s="64">
        <v>64</v>
      </c>
      <c r="H1274" s="65"/>
      <c r="I1274" s="65"/>
      <c r="J1274" s="66"/>
      <c r="K1274" s="67" t="s">
        <v>1460</v>
      </c>
      <c r="L1274" s="64" t="s">
        <v>72</v>
      </c>
      <c r="M1274" s="64" t="s">
        <v>76</v>
      </c>
      <c r="N1274" s="64" t="s">
        <v>1444</v>
      </c>
      <c r="O1274" s="64" t="s">
        <v>1445</v>
      </c>
      <c r="P1274" s="69">
        <v>44571</v>
      </c>
      <c r="Q1274" s="69">
        <v>44925</v>
      </c>
      <c r="R1274" s="124">
        <v>2</v>
      </c>
      <c r="S1274" s="65" t="s">
        <v>1461</v>
      </c>
      <c r="T1274" s="1209">
        <f>27*23000</f>
        <v>621000</v>
      </c>
      <c r="U1274" s="179">
        <v>0</v>
      </c>
      <c r="V1274" s="179"/>
      <c r="W1274" s="179">
        <v>0</v>
      </c>
      <c r="X1274" s="1159">
        <v>0</v>
      </c>
      <c r="Y1274" s="179">
        <v>0</v>
      </c>
      <c r="Z1274" s="179">
        <v>0</v>
      </c>
      <c r="AA1274" s="1159">
        <v>0</v>
      </c>
      <c r="AB1274" s="179">
        <v>0</v>
      </c>
      <c r="AC1274" s="179">
        <v>0</v>
      </c>
      <c r="AD1274" s="1159">
        <v>0</v>
      </c>
      <c r="AE1274" s="179">
        <v>0</v>
      </c>
      <c r="AF1274" s="179">
        <v>0</v>
      </c>
      <c r="AG1274" s="1159">
        <v>0</v>
      </c>
      <c r="AH1274" s="505">
        <f t="shared" si="372"/>
        <v>0</v>
      </c>
      <c r="AI1274" s="132"/>
      <c r="AJ1274" s="75">
        <f t="shared" si="371"/>
        <v>0</v>
      </c>
      <c r="AK1274" s="132"/>
      <c r="AL1274" s="132"/>
      <c r="AM1274" s="132"/>
      <c r="AN1274" s="64" t="s">
        <v>181</v>
      </c>
      <c r="AO1274" s="64" t="s">
        <v>1819</v>
      </c>
      <c r="AP1274" s="64" t="s">
        <v>2612</v>
      </c>
      <c r="AQ1274" s="64" t="s">
        <v>2613</v>
      </c>
      <c r="AR1274" s="189" t="s">
        <v>1826</v>
      </c>
      <c r="AS1274" s="554">
        <v>45239</v>
      </c>
      <c r="AT1274" s="554">
        <v>45171</v>
      </c>
      <c r="AU1274" s="646">
        <v>124</v>
      </c>
      <c r="AV1274" s="259" t="s">
        <v>1462</v>
      </c>
      <c r="AW1274" s="495"/>
    </row>
    <row r="1275" spans="1:49" s="212" customFormat="1" ht="34.35" hidden="1" customHeight="1" outlineLevel="3" x14ac:dyDescent="0.25">
      <c r="A1275" s="210" t="str">
        <f t="shared" si="306"/>
        <v>4.14.3.4.5.64</v>
      </c>
      <c r="B1275" s="136">
        <v>4</v>
      </c>
      <c r="C1275" s="136">
        <v>14</v>
      </c>
      <c r="D1275" s="136">
        <v>3</v>
      </c>
      <c r="E1275" s="136">
        <v>4</v>
      </c>
      <c r="F1275" s="136">
        <v>5</v>
      </c>
      <c r="G1275" s="136">
        <v>64</v>
      </c>
      <c r="H1275" s="125"/>
      <c r="I1275" s="125"/>
      <c r="J1275" s="213"/>
      <c r="K1275" s="125" t="s">
        <v>1463</v>
      </c>
      <c r="L1275" s="136" t="s">
        <v>1452</v>
      </c>
      <c r="M1275" s="136" t="s">
        <v>1464</v>
      </c>
      <c r="N1275" s="136" t="s">
        <v>1444</v>
      </c>
      <c r="O1275" s="136" t="s">
        <v>1204</v>
      </c>
      <c r="P1275" s="214">
        <v>44571</v>
      </c>
      <c r="Q1275" s="214">
        <v>44925</v>
      </c>
      <c r="R1275" s="136">
        <v>12</v>
      </c>
      <c r="S1275" s="125" t="s">
        <v>1465</v>
      </c>
      <c r="T1275" s="194" t="e">
        <f>+#REF!/4</f>
        <v>#REF!</v>
      </c>
      <c r="U1275" s="179">
        <v>0</v>
      </c>
      <c r="V1275" s="179"/>
      <c r="W1275" s="179">
        <v>0</v>
      </c>
      <c r="X1275" s="1159">
        <v>0</v>
      </c>
      <c r="Y1275" s="179">
        <v>0</v>
      </c>
      <c r="Z1275" s="179">
        <v>0</v>
      </c>
      <c r="AA1275" s="1159">
        <v>0</v>
      </c>
      <c r="AB1275" s="179">
        <v>0</v>
      </c>
      <c r="AC1275" s="179">
        <v>0</v>
      </c>
      <c r="AD1275" s="1159">
        <v>0</v>
      </c>
      <c r="AE1275" s="179">
        <v>0</v>
      </c>
      <c r="AF1275" s="179">
        <v>0</v>
      </c>
      <c r="AG1275" s="1159">
        <v>0</v>
      </c>
      <c r="AH1275" s="505">
        <f t="shared" si="372"/>
        <v>0</v>
      </c>
      <c r="AI1275" s="132"/>
      <c r="AJ1275" s="75">
        <f t="shared" si="371"/>
        <v>0</v>
      </c>
      <c r="AK1275" s="132"/>
      <c r="AL1275" s="132"/>
      <c r="AM1275" s="132"/>
      <c r="AN1275" s="136" t="s">
        <v>181</v>
      </c>
      <c r="AO1275" s="136"/>
      <c r="AP1275" s="136"/>
      <c r="AQ1275" s="136"/>
      <c r="AR1275" s="136"/>
      <c r="AS1275" s="136"/>
      <c r="AT1275" s="136"/>
      <c r="AU1275" s="646"/>
      <c r="AV1275" s="349" t="s">
        <v>1466</v>
      </c>
      <c r="AW1275" s="491"/>
    </row>
    <row r="1276" spans="1:49" ht="34.35" hidden="1" customHeight="1" outlineLevel="4" x14ac:dyDescent="0.25">
      <c r="A1276" s="63" t="str">
        <f t="shared" si="306"/>
        <v>4.14.3.4.6.64</v>
      </c>
      <c r="B1276" s="64">
        <v>4</v>
      </c>
      <c r="C1276" s="64">
        <v>14</v>
      </c>
      <c r="D1276" s="64">
        <v>3</v>
      </c>
      <c r="E1276" s="64">
        <v>4</v>
      </c>
      <c r="F1276" s="64">
        <v>6</v>
      </c>
      <c r="G1276" s="64">
        <v>64</v>
      </c>
      <c r="H1276" s="65"/>
      <c r="I1276" s="65"/>
      <c r="J1276" s="66"/>
      <c r="K1276" s="65" t="s">
        <v>1467</v>
      </c>
      <c r="L1276" s="64" t="s">
        <v>264</v>
      </c>
      <c r="M1276" s="64" t="s">
        <v>144</v>
      </c>
      <c r="N1276" s="64" t="s">
        <v>265</v>
      </c>
      <c r="O1276" s="64" t="s">
        <v>668</v>
      </c>
      <c r="P1276" s="69">
        <v>44571</v>
      </c>
      <c r="Q1276" s="69">
        <v>44925</v>
      </c>
      <c r="R1276" s="64">
        <v>324</v>
      </c>
      <c r="S1276" s="65" t="s">
        <v>1468</v>
      </c>
      <c r="T1276" s="194"/>
      <c r="U1276" s="179">
        <v>0</v>
      </c>
      <c r="V1276" s="179"/>
      <c r="W1276" s="179">
        <v>0</v>
      </c>
      <c r="X1276" s="1159">
        <v>0</v>
      </c>
      <c r="Y1276" s="179">
        <v>0</v>
      </c>
      <c r="Z1276" s="179">
        <v>0</v>
      </c>
      <c r="AA1276" s="1159">
        <v>0</v>
      </c>
      <c r="AB1276" s="179">
        <v>0</v>
      </c>
      <c r="AC1276" s="179">
        <v>0</v>
      </c>
      <c r="AD1276" s="1159">
        <v>0</v>
      </c>
      <c r="AE1276" s="179">
        <v>0</v>
      </c>
      <c r="AF1276" s="179">
        <v>0</v>
      </c>
      <c r="AG1276" s="1159">
        <v>0</v>
      </c>
      <c r="AH1276" s="505">
        <f t="shared" si="372"/>
        <v>0</v>
      </c>
      <c r="AI1276" s="132"/>
      <c r="AJ1276" s="75">
        <f t="shared" si="371"/>
        <v>0</v>
      </c>
      <c r="AK1276" s="132"/>
      <c r="AL1276" s="132"/>
      <c r="AM1276" s="132"/>
      <c r="AN1276" s="64" t="s">
        <v>181</v>
      </c>
      <c r="AO1276" s="64"/>
      <c r="AP1276" s="64"/>
      <c r="AQ1276" s="64"/>
      <c r="AR1276" s="64"/>
      <c r="AS1276" s="64"/>
      <c r="AT1276" s="64"/>
      <c r="AU1276" s="646"/>
      <c r="AV1276" s="259" t="s">
        <v>1469</v>
      </c>
      <c r="AW1276" s="491"/>
    </row>
    <row r="1277" spans="1:49" ht="34.35" hidden="1" customHeight="1" outlineLevel="4" x14ac:dyDescent="0.25">
      <c r="A1277" s="63" t="str">
        <f t="shared" si="306"/>
        <v>4.14.3.4.7.64</v>
      </c>
      <c r="B1277" s="64">
        <v>4</v>
      </c>
      <c r="C1277" s="64">
        <v>14</v>
      </c>
      <c r="D1277" s="64">
        <v>3</v>
      </c>
      <c r="E1277" s="64">
        <v>4</v>
      </c>
      <c r="F1277" s="64">
        <v>7</v>
      </c>
      <c r="G1277" s="64">
        <v>64</v>
      </c>
      <c r="H1277" s="65"/>
      <c r="I1277" s="65"/>
      <c r="J1277" s="65"/>
      <c r="K1277" s="65" t="s">
        <v>1885</v>
      </c>
      <c r="L1277" s="64" t="s">
        <v>264</v>
      </c>
      <c r="M1277" s="64" t="s">
        <v>144</v>
      </c>
      <c r="N1277" s="64" t="s">
        <v>1476</v>
      </c>
      <c r="O1277" s="64" t="s">
        <v>668</v>
      </c>
      <c r="P1277" s="69">
        <v>44571</v>
      </c>
      <c r="Q1277" s="69">
        <v>44925</v>
      </c>
      <c r="R1277" s="124">
        <v>297</v>
      </c>
      <c r="S1277" s="65" t="s">
        <v>1470</v>
      </c>
      <c r="T1277" s="1209" t="e">
        <f>+#REF!/4</f>
        <v>#REF!</v>
      </c>
      <c r="U1277" s="179">
        <f>1512000/4</f>
        <v>378000</v>
      </c>
      <c r="V1277" s="179"/>
      <c r="W1277" s="179">
        <v>0</v>
      </c>
      <c r="X1277" s="1159">
        <v>0</v>
      </c>
      <c r="Y1277" s="179">
        <v>378000</v>
      </c>
      <c r="Z1277" s="179">
        <v>0</v>
      </c>
      <c r="AA1277" s="1159">
        <v>0</v>
      </c>
      <c r="AB1277" s="179">
        <v>378000</v>
      </c>
      <c r="AC1277" s="179">
        <v>0</v>
      </c>
      <c r="AD1277" s="1159">
        <v>0</v>
      </c>
      <c r="AE1277" s="179">
        <v>378000</v>
      </c>
      <c r="AF1277" s="179">
        <v>0</v>
      </c>
      <c r="AG1277" s="1159">
        <v>0</v>
      </c>
      <c r="AH1277" s="505">
        <f t="shared" si="372"/>
        <v>1512000</v>
      </c>
      <c r="AI1277" s="132"/>
      <c r="AJ1277" s="75">
        <f t="shared" si="371"/>
        <v>0</v>
      </c>
      <c r="AK1277" s="281"/>
      <c r="AL1277" s="281"/>
      <c r="AM1277" s="281"/>
      <c r="AN1277" s="64" t="s">
        <v>181</v>
      </c>
      <c r="AO1277" s="543" t="s">
        <v>1839</v>
      </c>
      <c r="AP1277" s="543" t="s">
        <v>649</v>
      </c>
      <c r="AQ1277" s="543" t="s">
        <v>649</v>
      </c>
      <c r="AR1277" s="554">
        <v>44562</v>
      </c>
      <c r="AS1277" s="554">
        <v>44926</v>
      </c>
      <c r="AT1277" s="64" t="s">
        <v>1814</v>
      </c>
      <c r="AU1277" s="877" t="s">
        <v>2085</v>
      </c>
      <c r="AV1277" s="259" t="s">
        <v>672</v>
      </c>
      <c r="AW1277" s="67" t="s">
        <v>2086</v>
      </c>
    </row>
    <row r="1278" spans="1:49" ht="34.35" hidden="1" customHeight="1" outlineLevel="3" x14ac:dyDescent="0.25">
      <c r="A1278" s="63" t="str">
        <f t="shared" si="306"/>
        <v>4.14.3.4.8.64</v>
      </c>
      <c r="B1278" s="64">
        <v>4</v>
      </c>
      <c r="C1278" s="64">
        <v>14</v>
      </c>
      <c r="D1278" s="64">
        <v>3</v>
      </c>
      <c r="E1278" s="64">
        <v>4</v>
      </c>
      <c r="F1278" s="64">
        <v>8</v>
      </c>
      <c r="G1278" s="64">
        <v>64</v>
      </c>
      <c r="H1278" s="65"/>
      <c r="I1278" s="65"/>
      <c r="J1278" s="65"/>
      <c r="K1278" s="125" t="s">
        <v>1472</v>
      </c>
      <c r="L1278" s="64" t="s">
        <v>72</v>
      </c>
      <c r="M1278" s="64" t="s">
        <v>1473</v>
      </c>
      <c r="N1278" s="64" t="s">
        <v>1249</v>
      </c>
      <c r="O1278" s="64" t="s">
        <v>72</v>
      </c>
      <c r="P1278" s="69">
        <v>44571</v>
      </c>
      <c r="Q1278" s="69">
        <v>44925</v>
      </c>
      <c r="R1278" s="124"/>
      <c r="S1278" s="65"/>
      <c r="T1278" s="194"/>
      <c r="U1278" s="179">
        <v>0</v>
      </c>
      <c r="V1278" s="179"/>
      <c r="W1278" s="179">
        <v>0</v>
      </c>
      <c r="X1278" s="1159">
        <v>0</v>
      </c>
      <c r="Y1278" s="179">
        <v>0</v>
      </c>
      <c r="Z1278" s="179">
        <v>0</v>
      </c>
      <c r="AA1278" s="1159">
        <v>0</v>
      </c>
      <c r="AB1278" s="179">
        <v>0</v>
      </c>
      <c r="AC1278" s="179">
        <v>0</v>
      </c>
      <c r="AD1278" s="1159">
        <v>0</v>
      </c>
      <c r="AE1278" s="179">
        <v>0</v>
      </c>
      <c r="AF1278" s="179">
        <v>0</v>
      </c>
      <c r="AG1278" s="1159">
        <v>0</v>
      </c>
      <c r="AH1278" s="505">
        <f t="shared" si="372"/>
        <v>0</v>
      </c>
      <c r="AI1278" s="132"/>
      <c r="AJ1278" s="75">
        <f t="shared" si="371"/>
        <v>0</v>
      </c>
      <c r="AK1278" s="75"/>
      <c r="AL1278" s="75"/>
      <c r="AM1278" s="75"/>
      <c r="AN1278" s="64" t="s">
        <v>181</v>
      </c>
      <c r="AO1278" s="64"/>
      <c r="AP1278" s="64"/>
      <c r="AQ1278" s="64"/>
      <c r="AR1278" s="64"/>
      <c r="AS1278" s="64"/>
      <c r="AT1278" s="64"/>
      <c r="AU1278" s="646"/>
      <c r="AV1278" s="259"/>
      <c r="AW1278" s="491"/>
    </row>
    <row r="1279" spans="1:49" s="153" customFormat="1" ht="46.5" customHeight="1" outlineLevel="2" collapsed="1" x14ac:dyDescent="0.25">
      <c r="A1279" s="148" t="str">
        <f t="shared" si="306"/>
        <v>4.14.3.5.0.0</v>
      </c>
      <c r="B1279" s="82">
        <v>4</v>
      </c>
      <c r="C1279" s="82">
        <v>14</v>
      </c>
      <c r="D1279" s="82">
        <v>3</v>
      </c>
      <c r="E1279" s="82">
        <v>5</v>
      </c>
      <c r="F1279" s="82">
        <v>0</v>
      </c>
      <c r="G1279" s="82">
        <v>0</v>
      </c>
      <c r="H1279" s="149"/>
      <c r="I1279" s="149"/>
      <c r="J1279" s="1260" t="s">
        <v>1481</v>
      </c>
      <c r="K1279" s="1259"/>
      <c r="L1279" s="82" t="s">
        <v>1475</v>
      </c>
      <c r="M1279" s="83" t="s">
        <v>1449</v>
      </c>
      <c r="N1279" s="82" t="s">
        <v>1444</v>
      </c>
      <c r="O1279" s="82" t="s">
        <v>1445</v>
      </c>
      <c r="P1279" s="82"/>
      <c r="Q1279" s="82"/>
      <c r="R1279" s="82"/>
      <c r="S1279" s="149"/>
      <c r="T1279" s="193"/>
      <c r="U1279" s="513">
        <f>+SUM(U1280:U1287)</f>
        <v>1032990.6325000001</v>
      </c>
      <c r="V1279" s="513"/>
      <c r="W1279" s="513">
        <f t="shared" ref="W1279:AG1279" si="373">+SUM(W1280:W1287)</f>
        <v>0</v>
      </c>
      <c r="X1279" s="1158">
        <f t="shared" si="373"/>
        <v>0</v>
      </c>
      <c r="Y1279" s="513">
        <f>+SUM(Y1280:Y1287)</f>
        <v>1032990.6325000001</v>
      </c>
      <c r="Z1279" s="513">
        <f t="shared" si="373"/>
        <v>0</v>
      </c>
      <c r="AA1279" s="1158">
        <f t="shared" si="373"/>
        <v>0</v>
      </c>
      <c r="AB1279" s="513">
        <f>+SUM(AB1280:AB1287)</f>
        <v>1032990.6325000001</v>
      </c>
      <c r="AC1279" s="513">
        <f t="shared" si="373"/>
        <v>0</v>
      </c>
      <c r="AD1279" s="1158">
        <f t="shared" si="373"/>
        <v>0</v>
      </c>
      <c r="AE1279" s="513">
        <f>+SUM(AE1280:AE1287)</f>
        <v>1032990.6325000001</v>
      </c>
      <c r="AF1279" s="513">
        <f t="shared" si="373"/>
        <v>0</v>
      </c>
      <c r="AG1279" s="1158">
        <f t="shared" si="373"/>
        <v>0</v>
      </c>
      <c r="AH1279" s="513">
        <f>+SUM(AH1280:AH1287)</f>
        <v>4131962.5300000003</v>
      </c>
      <c r="AI1279" s="513">
        <f t="shared" ref="AI1279" si="374">+SUM(AI1280:AI1287)</f>
        <v>0</v>
      </c>
      <c r="AJ1279" s="513">
        <f>+SUM(AJ1280:AJ1287)</f>
        <v>0</v>
      </c>
      <c r="AK1279" s="198"/>
      <c r="AL1279" s="198"/>
      <c r="AM1279" s="198"/>
      <c r="AN1279" s="82" t="s">
        <v>181</v>
      </c>
      <c r="AO1279" s="82"/>
      <c r="AP1279" s="82"/>
      <c r="AQ1279" s="82"/>
      <c r="AR1279" s="82"/>
      <c r="AS1279" s="489"/>
      <c r="AT1279" s="82"/>
      <c r="AU1279" s="666"/>
      <c r="AV1279" s="513">
        <f t="shared" ref="AV1279" si="375">+SUM(AV1280:AV1287)</f>
        <v>0</v>
      </c>
      <c r="AW1279" s="491"/>
    </row>
    <row r="1280" spans="1:49" ht="39.6" hidden="1" customHeight="1" outlineLevel="3" x14ac:dyDescent="0.25">
      <c r="A1280" s="63" t="str">
        <f t="shared" si="306"/>
        <v>4.14.3.5.1.61</v>
      </c>
      <c r="B1280" s="64">
        <v>4</v>
      </c>
      <c r="C1280" s="64">
        <v>14</v>
      </c>
      <c r="D1280" s="64">
        <v>3</v>
      </c>
      <c r="E1280" s="64">
        <v>5</v>
      </c>
      <c r="F1280" s="64">
        <v>1</v>
      </c>
      <c r="G1280" s="64">
        <v>61</v>
      </c>
      <c r="H1280" s="65"/>
      <c r="I1280" s="65"/>
      <c r="J1280" s="66"/>
      <c r="K1280" s="65" t="s">
        <v>1451</v>
      </c>
      <c r="L1280" s="64" t="s">
        <v>1452</v>
      </c>
      <c r="M1280" s="64" t="s">
        <v>1453</v>
      </c>
      <c r="N1280" s="64" t="s">
        <v>1444</v>
      </c>
      <c r="O1280" s="64" t="s">
        <v>1204</v>
      </c>
      <c r="P1280" s="69">
        <v>44571</v>
      </c>
      <c r="Q1280" s="69">
        <v>44925</v>
      </c>
      <c r="R1280" s="124">
        <v>12200</v>
      </c>
      <c r="S1280" s="170" t="s">
        <v>1454</v>
      </c>
      <c r="T1280" s="1207">
        <v>0</v>
      </c>
      <c r="U1280" s="179">
        <v>0</v>
      </c>
      <c r="V1280" s="179"/>
      <c r="W1280" s="179">
        <v>0</v>
      </c>
      <c r="X1280" s="1159">
        <v>0</v>
      </c>
      <c r="Y1280" s="179">
        <v>0</v>
      </c>
      <c r="Z1280" s="179">
        <v>0</v>
      </c>
      <c r="AA1280" s="1159">
        <v>0</v>
      </c>
      <c r="AB1280" s="179">
        <v>0</v>
      </c>
      <c r="AC1280" s="179">
        <v>0</v>
      </c>
      <c r="AD1280" s="1159">
        <v>0</v>
      </c>
      <c r="AE1280" s="179">
        <v>0</v>
      </c>
      <c r="AF1280" s="179">
        <v>0</v>
      </c>
      <c r="AG1280" s="1159">
        <v>0</v>
      </c>
      <c r="AH1280" s="505">
        <f>+U1280+Y1280+AB1280+AE1280</f>
        <v>0</v>
      </c>
      <c r="AI1280" s="132"/>
      <c r="AJ1280" s="75">
        <f t="shared" ref="AJ1280:AJ1287" si="376">+W1281+Z1281+AC1281+AF1281</f>
        <v>0</v>
      </c>
      <c r="AK1280" s="75"/>
      <c r="AL1280" s="75"/>
      <c r="AM1280" s="75"/>
      <c r="AN1280" s="64" t="s">
        <v>181</v>
      </c>
      <c r="AO1280" s="64"/>
      <c r="AP1280" s="64"/>
      <c r="AQ1280" s="64"/>
      <c r="AR1280" s="64"/>
      <c r="AS1280" s="64"/>
      <c r="AT1280" s="64"/>
      <c r="AU1280" s="646"/>
      <c r="AV1280" s="259"/>
      <c r="AW1280" s="491"/>
    </row>
    <row r="1281" spans="1:49" ht="39.6" hidden="1" customHeight="1" outlineLevel="3" x14ac:dyDescent="0.25">
      <c r="A1281" s="63" t="str">
        <f t="shared" si="306"/>
        <v>4.14.3.5.2.61</v>
      </c>
      <c r="B1281" s="64">
        <v>4</v>
      </c>
      <c r="C1281" s="64">
        <v>14</v>
      </c>
      <c r="D1281" s="64">
        <v>3</v>
      </c>
      <c r="E1281" s="64">
        <v>5</v>
      </c>
      <c r="F1281" s="64">
        <v>2</v>
      </c>
      <c r="G1281" s="100">
        <v>61</v>
      </c>
      <c r="H1281" s="65"/>
      <c r="I1281" s="65"/>
      <c r="J1281" s="66"/>
      <c r="K1281" s="65" t="s">
        <v>1455</v>
      </c>
      <c r="L1281" s="64" t="s">
        <v>1452</v>
      </c>
      <c r="M1281" s="64" t="s">
        <v>535</v>
      </c>
      <c r="N1281" s="64" t="s">
        <v>1444</v>
      </c>
      <c r="O1281" s="64" t="s">
        <v>1335</v>
      </c>
      <c r="P1281" s="69">
        <v>44571</v>
      </c>
      <c r="Q1281" s="69">
        <v>44925</v>
      </c>
      <c r="R1281" s="124">
        <f>634400/2</f>
        <v>317200</v>
      </c>
      <c r="S1281" s="65" t="s">
        <v>1456</v>
      </c>
      <c r="T1281" s="194"/>
      <c r="U1281" s="179">
        <v>0</v>
      </c>
      <c r="V1281" s="179"/>
      <c r="W1281" s="179">
        <v>0</v>
      </c>
      <c r="X1281" s="1159">
        <v>0</v>
      </c>
      <c r="Y1281" s="179">
        <v>0</v>
      </c>
      <c r="Z1281" s="179">
        <v>0</v>
      </c>
      <c r="AA1281" s="1159">
        <v>0</v>
      </c>
      <c r="AB1281" s="179">
        <v>0</v>
      </c>
      <c r="AC1281" s="179">
        <v>0</v>
      </c>
      <c r="AD1281" s="1159">
        <v>0</v>
      </c>
      <c r="AE1281" s="179">
        <v>0</v>
      </c>
      <c r="AF1281" s="179">
        <v>0</v>
      </c>
      <c r="AG1281" s="1159">
        <v>0</v>
      </c>
      <c r="AH1281" s="505">
        <f t="shared" ref="AH1281:AH1287" si="377">+U1281+Y1281+AB1281+AE1281</f>
        <v>0</v>
      </c>
      <c r="AI1281" s="132"/>
      <c r="AJ1281" s="75">
        <f t="shared" si="376"/>
        <v>0</v>
      </c>
      <c r="AK1281" s="132"/>
      <c r="AL1281" s="132"/>
      <c r="AM1281" s="132"/>
      <c r="AN1281" s="64" t="s">
        <v>181</v>
      </c>
      <c r="AO1281" s="64"/>
      <c r="AP1281" s="64"/>
      <c r="AQ1281" s="64"/>
      <c r="AR1281" s="64"/>
      <c r="AS1281" s="64"/>
      <c r="AT1281" s="64"/>
      <c r="AU1281" s="646"/>
      <c r="AV1281" s="259" t="s">
        <v>535</v>
      </c>
      <c r="AW1281" s="491"/>
    </row>
    <row r="1282" spans="1:49" ht="39.6" hidden="1" customHeight="1" outlineLevel="3" x14ac:dyDescent="0.25">
      <c r="A1282" s="63" t="str">
        <f t="shared" si="306"/>
        <v>4.14.3.5.3.61</v>
      </c>
      <c r="B1282" s="64">
        <v>4</v>
      </c>
      <c r="C1282" s="64">
        <v>14</v>
      </c>
      <c r="D1282" s="64">
        <v>3</v>
      </c>
      <c r="E1282" s="64">
        <v>5</v>
      </c>
      <c r="F1282" s="64">
        <v>3</v>
      </c>
      <c r="G1282" s="100">
        <v>61</v>
      </c>
      <c r="H1282" s="65"/>
      <c r="I1282" s="65"/>
      <c r="J1282" s="66"/>
      <c r="K1282" s="65" t="s">
        <v>1457</v>
      </c>
      <c r="L1282" s="64" t="s">
        <v>72</v>
      </c>
      <c r="M1282" s="64" t="s">
        <v>1458</v>
      </c>
      <c r="N1282" s="64" t="s">
        <v>1444</v>
      </c>
      <c r="O1282" s="64" t="s">
        <v>1445</v>
      </c>
      <c r="P1282" s="69">
        <v>44571</v>
      </c>
      <c r="Q1282" s="69">
        <v>44925</v>
      </c>
      <c r="R1282" s="124">
        <v>312</v>
      </c>
      <c r="S1282" s="65" t="s">
        <v>1459</v>
      </c>
      <c r="T1282" s="1209" t="e">
        <f>+#REF!/4</f>
        <v>#REF!</v>
      </c>
      <c r="U1282" s="75">
        <f>1611962.53/4</f>
        <v>402990.63250000001</v>
      </c>
      <c r="V1282" s="75"/>
      <c r="W1282" s="179">
        <v>0</v>
      </c>
      <c r="X1282" s="1159">
        <v>0</v>
      </c>
      <c r="Y1282" s="75">
        <v>402990.63250000001</v>
      </c>
      <c r="Z1282" s="179">
        <v>0</v>
      </c>
      <c r="AA1282" s="1159">
        <v>0</v>
      </c>
      <c r="AB1282" s="75">
        <v>402990.63250000001</v>
      </c>
      <c r="AC1282" s="179">
        <v>0</v>
      </c>
      <c r="AD1282" s="1159">
        <v>0</v>
      </c>
      <c r="AE1282" s="75">
        <v>402990.63250000001</v>
      </c>
      <c r="AF1282" s="179">
        <v>0</v>
      </c>
      <c r="AG1282" s="1159">
        <v>0</v>
      </c>
      <c r="AH1282" s="505">
        <f t="shared" si="377"/>
        <v>1611962.53</v>
      </c>
      <c r="AI1282" s="132"/>
      <c r="AJ1282" s="75">
        <f t="shared" si="376"/>
        <v>0</v>
      </c>
      <c r="AK1282" s="132"/>
      <c r="AL1282" s="132"/>
      <c r="AM1282" s="132"/>
      <c r="AN1282" s="64" t="s">
        <v>181</v>
      </c>
      <c r="AO1282" s="100"/>
      <c r="AP1282" s="100"/>
      <c r="AQ1282" s="100"/>
      <c r="AR1282" s="104"/>
      <c r="AS1282" s="104"/>
      <c r="AT1282" s="100"/>
      <c r="AU1282" s="964"/>
      <c r="AV1282" s="101"/>
      <c r="AW1282" s="103" t="s">
        <v>2762</v>
      </c>
    </row>
    <row r="1283" spans="1:49" ht="39.6" hidden="1" customHeight="1" outlineLevel="3" x14ac:dyDescent="0.25">
      <c r="A1283" s="63" t="str">
        <f t="shared" si="306"/>
        <v>4.14.3.5.4.61</v>
      </c>
      <c r="B1283" s="64">
        <v>4</v>
      </c>
      <c r="C1283" s="64">
        <v>14</v>
      </c>
      <c r="D1283" s="64">
        <v>3</v>
      </c>
      <c r="E1283" s="64">
        <v>5</v>
      </c>
      <c r="F1283" s="64">
        <v>4</v>
      </c>
      <c r="G1283" s="64">
        <v>61</v>
      </c>
      <c r="H1283" s="65"/>
      <c r="I1283" s="65"/>
      <c r="J1283" s="66"/>
      <c r="K1283" s="67" t="s">
        <v>1460</v>
      </c>
      <c r="L1283" s="64" t="s">
        <v>72</v>
      </c>
      <c r="M1283" s="64" t="s">
        <v>76</v>
      </c>
      <c r="N1283" s="64" t="s">
        <v>1444</v>
      </c>
      <c r="O1283" s="64" t="s">
        <v>1445</v>
      </c>
      <c r="P1283" s="69">
        <v>44571</v>
      </c>
      <c r="Q1283" s="69">
        <v>44925</v>
      </c>
      <c r="R1283" s="124">
        <v>2</v>
      </c>
      <c r="S1283" s="65" t="s">
        <v>1461</v>
      </c>
      <c r="T1283" s="194">
        <f>26*23000</f>
        <v>598000</v>
      </c>
      <c r="U1283" s="179">
        <v>0</v>
      </c>
      <c r="V1283" s="179"/>
      <c r="W1283" s="179">
        <v>0</v>
      </c>
      <c r="X1283" s="1159">
        <v>0</v>
      </c>
      <c r="Y1283" s="179">
        <v>0</v>
      </c>
      <c r="Z1283" s="179">
        <v>0</v>
      </c>
      <c r="AA1283" s="1159">
        <v>0</v>
      </c>
      <c r="AB1283" s="179">
        <v>0</v>
      </c>
      <c r="AC1283" s="179">
        <v>0</v>
      </c>
      <c r="AD1283" s="1159">
        <v>0</v>
      </c>
      <c r="AE1283" s="179">
        <v>0</v>
      </c>
      <c r="AF1283" s="179">
        <v>0</v>
      </c>
      <c r="AG1283" s="1159">
        <v>0</v>
      </c>
      <c r="AH1283" s="505">
        <f t="shared" si="377"/>
        <v>0</v>
      </c>
      <c r="AI1283" s="132"/>
      <c r="AJ1283" s="75">
        <f t="shared" si="376"/>
        <v>0</v>
      </c>
      <c r="AK1283" s="132"/>
      <c r="AL1283" s="132"/>
      <c r="AM1283" s="132"/>
      <c r="AN1283" s="64" t="s">
        <v>181</v>
      </c>
      <c r="AO1283" s="64" t="s">
        <v>1819</v>
      </c>
      <c r="AP1283" s="64" t="s">
        <v>2612</v>
      </c>
      <c r="AQ1283" s="64" t="s">
        <v>2613</v>
      </c>
      <c r="AR1283" s="189" t="s">
        <v>1826</v>
      </c>
      <c r="AS1283" s="554">
        <v>45239</v>
      </c>
      <c r="AT1283" s="554">
        <v>45171</v>
      </c>
      <c r="AU1283" s="646">
        <v>124</v>
      </c>
      <c r="AV1283" s="259" t="s">
        <v>1462</v>
      </c>
      <c r="AW1283" s="495"/>
    </row>
    <row r="1284" spans="1:49" s="212" customFormat="1" ht="39.6" hidden="1" customHeight="1" outlineLevel="3" x14ac:dyDescent="0.25">
      <c r="A1284" s="210" t="str">
        <f t="shared" si="306"/>
        <v>4.14.3.5.5.61</v>
      </c>
      <c r="B1284" s="136">
        <v>4</v>
      </c>
      <c r="C1284" s="136">
        <v>14</v>
      </c>
      <c r="D1284" s="136">
        <v>3</v>
      </c>
      <c r="E1284" s="136">
        <v>5</v>
      </c>
      <c r="F1284" s="136">
        <v>5</v>
      </c>
      <c r="G1284" s="136">
        <v>61</v>
      </c>
      <c r="H1284" s="125"/>
      <c r="I1284" s="125"/>
      <c r="J1284" s="213"/>
      <c r="K1284" s="125" t="s">
        <v>1463</v>
      </c>
      <c r="L1284" s="136" t="s">
        <v>1452</v>
      </c>
      <c r="M1284" s="136" t="s">
        <v>1464</v>
      </c>
      <c r="N1284" s="136" t="s">
        <v>1444</v>
      </c>
      <c r="O1284" s="136" t="s">
        <v>1204</v>
      </c>
      <c r="P1284" s="214">
        <v>44571</v>
      </c>
      <c r="Q1284" s="214">
        <v>44925</v>
      </c>
      <c r="R1284" s="136">
        <v>12</v>
      </c>
      <c r="S1284" s="125" t="s">
        <v>1465</v>
      </c>
      <c r="T1284" s="194" t="e">
        <f>+#REF!/4</f>
        <v>#REF!</v>
      </c>
      <c r="U1284" s="179">
        <v>0</v>
      </c>
      <c r="V1284" s="179"/>
      <c r="W1284" s="179">
        <v>0</v>
      </c>
      <c r="X1284" s="1159">
        <v>0</v>
      </c>
      <c r="Y1284" s="179">
        <v>0</v>
      </c>
      <c r="Z1284" s="179">
        <v>0</v>
      </c>
      <c r="AA1284" s="1159">
        <v>0</v>
      </c>
      <c r="AB1284" s="179">
        <v>0</v>
      </c>
      <c r="AC1284" s="179">
        <v>0</v>
      </c>
      <c r="AD1284" s="1159">
        <v>0</v>
      </c>
      <c r="AE1284" s="179">
        <v>0</v>
      </c>
      <c r="AF1284" s="179">
        <v>0</v>
      </c>
      <c r="AG1284" s="1159">
        <v>0</v>
      </c>
      <c r="AH1284" s="505">
        <f t="shared" si="377"/>
        <v>0</v>
      </c>
      <c r="AI1284" s="132"/>
      <c r="AJ1284" s="75">
        <f t="shared" si="376"/>
        <v>0</v>
      </c>
      <c r="AK1284" s="132"/>
      <c r="AL1284" s="132"/>
      <c r="AM1284" s="132"/>
      <c r="AN1284" s="136" t="s">
        <v>181</v>
      </c>
      <c r="AO1284" s="136"/>
      <c r="AP1284" s="136"/>
      <c r="AQ1284" s="136"/>
      <c r="AR1284" s="136"/>
      <c r="AS1284" s="136"/>
      <c r="AT1284" s="136"/>
      <c r="AU1284" s="646"/>
      <c r="AV1284" s="349" t="s">
        <v>1466</v>
      </c>
      <c r="AW1284" s="491"/>
    </row>
    <row r="1285" spans="1:49" ht="39.6" hidden="1" customHeight="1" outlineLevel="3" x14ac:dyDescent="0.25">
      <c r="A1285" s="63" t="str">
        <f t="shared" si="306"/>
        <v>4.14.3.5.6.61</v>
      </c>
      <c r="B1285" s="64">
        <v>4</v>
      </c>
      <c r="C1285" s="64">
        <v>14</v>
      </c>
      <c r="D1285" s="64">
        <v>3</v>
      </c>
      <c r="E1285" s="64">
        <v>5</v>
      </c>
      <c r="F1285" s="64">
        <v>6</v>
      </c>
      <c r="G1285" s="64">
        <v>61</v>
      </c>
      <c r="H1285" s="65"/>
      <c r="I1285" s="65"/>
      <c r="J1285" s="66"/>
      <c r="K1285" s="65" t="s">
        <v>1467</v>
      </c>
      <c r="L1285" s="64" t="s">
        <v>264</v>
      </c>
      <c r="M1285" s="64" t="s">
        <v>144</v>
      </c>
      <c r="N1285" s="64" t="s">
        <v>265</v>
      </c>
      <c r="O1285" s="64" t="s">
        <v>668</v>
      </c>
      <c r="P1285" s="69">
        <v>44571</v>
      </c>
      <c r="Q1285" s="69">
        <v>44925</v>
      </c>
      <c r="R1285" s="64">
        <v>312</v>
      </c>
      <c r="S1285" s="65" t="s">
        <v>1468</v>
      </c>
      <c r="T1285" s="194"/>
      <c r="U1285" s="179">
        <v>0</v>
      </c>
      <c r="V1285" s="179"/>
      <c r="W1285" s="179">
        <v>0</v>
      </c>
      <c r="X1285" s="1159">
        <v>0</v>
      </c>
      <c r="Y1285" s="179">
        <v>0</v>
      </c>
      <c r="Z1285" s="179">
        <v>0</v>
      </c>
      <c r="AA1285" s="1159">
        <v>0</v>
      </c>
      <c r="AB1285" s="179">
        <v>0</v>
      </c>
      <c r="AC1285" s="179">
        <v>0</v>
      </c>
      <c r="AD1285" s="1159">
        <v>0</v>
      </c>
      <c r="AE1285" s="179">
        <v>0</v>
      </c>
      <c r="AF1285" s="179">
        <v>0</v>
      </c>
      <c r="AG1285" s="1159">
        <v>0</v>
      </c>
      <c r="AH1285" s="505">
        <f t="shared" si="377"/>
        <v>0</v>
      </c>
      <c r="AI1285" s="132"/>
      <c r="AJ1285" s="75">
        <f t="shared" si="376"/>
        <v>0</v>
      </c>
      <c r="AK1285" s="132"/>
      <c r="AL1285" s="132"/>
      <c r="AM1285" s="132"/>
      <c r="AN1285" s="64" t="s">
        <v>181</v>
      </c>
      <c r="AO1285" s="64"/>
      <c r="AP1285" s="64"/>
      <c r="AQ1285" s="64"/>
      <c r="AR1285" s="64"/>
      <c r="AS1285" s="64"/>
      <c r="AT1285" s="64"/>
      <c r="AU1285" s="646"/>
      <c r="AV1285" s="259" t="s">
        <v>1469</v>
      </c>
      <c r="AW1285" s="491"/>
    </row>
    <row r="1286" spans="1:49" ht="39.6" hidden="1" customHeight="1" outlineLevel="3" x14ac:dyDescent="0.25">
      <c r="A1286" s="63" t="str">
        <f t="shared" si="306"/>
        <v>4.14.3.5.7.61</v>
      </c>
      <c r="B1286" s="64">
        <v>4</v>
      </c>
      <c r="C1286" s="64">
        <v>14</v>
      </c>
      <c r="D1286" s="64">
        <v>3</v>
      </c>
      <c r="E1286" s="64">
        <v>5</v>
      </c>
      <c r="F1286" s="64">
        <v>7</v>
      </c>
      <c r="G1286" s="64">
        <v>61</v>
      </c>
      <c r="H1286" s="65"/>
      <c r="I1286" s="65"/>
      <c r="J1286" s="65"/>
      <c r="K1286" s="125" t="s">
        <v>1886</v>
      </c>
      <c r="L1286" s="64" t="s">
        <v>264</v>
      </c>
      <c r="M1286" s="64" t="s">
        <v>144</v>
      </c>
      <c r="N1286" s="64" t="s">
        <v>265</v>
      </c>
      <c r="O1286" s="64" t="s">
        <v>668</v>
      </c>
      <c r="P1286" s="69">
        <v>44571</v>
      </c>
      <c r="Q1286" s="69">
        <v>44925</v>
      </c>
      <c r="R1286" s="124">
        <v>286</v>
      </c>
      <c r="S1286" s="65" t="s">
        <v>1470</v>
      </c>
      <c r="T1286" s="194" t="e">
        <f>+#REF!/4</f>
        <v>#REF!</v>
      </c>
      <c r="U1286" s="179">
        <f>2520000/4</f>
        <v>630000</v>
      </c>
      <c r="V1286" s="179"/>
      <c r="W1286" s="179">
        <v>0</v>
      </c>
      <c r="X1286" s="1159">
        <v>0</v>
      </c>
      <c r="Y1286" s="179">
        <v>630000</v>
      </c>
      <c r="Z1286" s="179">
        <v>0</v>
      </c>
      <c r="AA1286" s="1159">
        <v>0</v>
      </c>
      <c r="AB1286" s="179">
        <v>630000</v>
      </c>
      <c r="AC1286" s="179">
        <v>0</v>
      </c>
      <c r="AD1286" s="1159">
        <v>0</v>
      </c>
      <c r="AE1286" s="179">
        <v>630000</v>
      </c>
      <c r="AF1286" s="179">
        <v>0</v>
      </c>
      <c r="AG1286" s="1159">
        <v>0</v>
      </c>
      <c r="AH1286" s="505">
        <f t="shared" si="377"/>
        <v>2520000</v>
      </c>
      <c r="AI1286" s="132"/>
      <c r="AJ1286" s="75">
        <f t="shared" si="376"/>
        <v>0</v>
      </c>
      <c r="AK1286" s="281"/>
      <c r="AL1286" s="281"/>
      <c r="AM1286" s="281"/>
      <c r="AN1286" s="64" t="s">
        <v>181</v>
      </c>
      <c r="AO1286" s="533" t="s">
        <v>1839</v>
      </c>
      <c r="AP1286" s="533" t="s">
        <v>649</v>
      </c>
      <c r="AQ1286" s="533" t="s">
        <v>649</v>
      </c>
      <c r="AR1286" s="554">
        <v>44562</v>
      </c>
      <c r="AS1286" s="554">
        <v>44926</v>
      </c>
      <c r="AT1286" s="64" t="s">
        <v>1814</v>
      </c>
      <c r="AU1286" s="877" t="s">
        <v>2087</v>
      </c>
      <c r="AV1286" s="259" t="s">
        <v>672</v>
      </c>
      <c r="AW1286" s="336" t="s">
        <v>2615</v>
      </c>
    </row>
    <row r="1287" spans="1:49" s="284" customFormat="1" ht="39.6" hidden="1" customHeight="1" outlineLevel="3" x14ac:dyDescent="0.25">
      <c r="A1287" s="210" t="str">
        <f t="shared" si="306"/>
        <v>4.14.3.5.8.61</v>
      </c>
      <c r="B1287" s="136">
        <v>4</v>
      </c>
      <c r="C1287" s="136">
        <v>14</v>
      </c>
      <c r="D1287" s="136">
        <v>3</v>
      </c>
      <c r="E1287" s="136">
        <v>5</v>
      </c>
      <c r="F1287" s="136">
        <v>8</v>
      </c>
      <c r="G1287" s="136">
        <v>61</v>
      </c>
      <c r="H1287" s="133"/>
      <c r="I1287" s="133"/>
      <c r="J1287" s="133"/>
      <c r="K1287" s="125" t="s">
        <v>1472</v>
      </c>
      <c r="L1287" s="136" t="s">
        <v>72</v>
      </c>
      <c r="M1287" s="136" t="s">
        <v>1473</v>
      </c>
      <c r="N1287" s="136" t="s">
        <v>1249</v>
      </c>
      <c r="O1287" s="136" t="s">
        <v>72</v>
      </c>
      <c r="P1287" s="214">
        <v>44571</v>
      </c>
      <c r="Q1287" s="214">
        <v>44925</v>
      </c>
      <c r="R1287" s="282"/>
      <c r="S1287" s="133"/>
      <c r="T1287" s="1210"/>
      <c r="U1287" s="179">
        <v>0</v>
      </c>
      <c r="V1287" s="179"/>
      <c r="W1287" s="179">
        <v>0</v>
      </c>
      <c r="X1287" s="1159">
        <v>0</v>
      </c>
      <c r="Y1287" s="179">
        <v>0</v>
      </c>
      <c r="Z1287" s="179">
        <v>0</v>
      </c>
      <c r="AA1287" s="1159">
        <v>0</v>
      </c>
      <c r="AB1287" s="179">
        <v>0</v>
      </c>
      <c r="AC1287" s="179">
        <v>0</v>
      </c>
      <c r="AD1287" s="1159">
        <v>0</v>
      </c>
      <c r="AE1287" s="179">
        <v>0</v>
      </c>
      <c r="AF1287" s="179">
        <v>0</v>
      </c>
      <c r="AG1287" s="1159">
        <v>0</v>
      </c>
      <c r="AH1287" s="505">
        <f t="shared" si="377"/>
        <v>0</v>
      </c>
      <c r="AI1287" s="132"/>
      <c r="AJ1287" s="75">
        <f t="shared" si="376"/>
        <v>0</v>
      </c>
      <c r="AK1287" s="132"/>
      <c r="AL1287" s="132"/>
      <c r="AM1287" s="132"/>
      <c r="AN1287" s="136" t="s">
        <v>181</v>
      </c>
      <c r="AO1287" s="136"/>
      <c r="AP1287" s="136"/>
      <c r="AQ1287" s="136"/>
      <c r="AR1287" s="136"/>
      <c r="AS1287" s="136"/>
      <c r="AT1287" s="136"/>
      <c r="AU1287" s="646"/>
      <c r="AV1287" s="366"/>
      <c r="AW1287" s="491"/>
    </row>
    <row r="1288" spans="1:49" s="153" customFormat="1" ht="54.75" customHeight="1" outlineLevel="2" collapsed="1" x14ac:dyDescent="0.25">
      <c r="A1288" s="148" t="str">
        <f t="shared" si="306"/>
        <v>4.14.3.6.0.0</v>
      </c>
      <c r="B1288" s="82">
        <v>4</v>
      </c>
      <c r="C1288" s="82">
        <v>14</v>
      </c>
      <c r="D1288" s="82">
        <v>3</v>
      </c>
      <c r="E1288" s="82">
        <v>6</v>
      </c>
      <c r="F1288" s="82">
        <v>0</v>
      </c>
      <c r="G1288" s="82">
        <v>0</v>
      </c>
      <c r="H1288" s="149"/>
      <c r="I1288" s="149"/>
      <c r="J1288" s="1260" t="s">
        <v>1482</v>
      </c>
      <c r="K1288" s="1259"/>
      <c r="L1288" s="82" t="s">
        <v>1475</v>
      </c>
      <c r="M1288" s="83" t="s">
        <v>1449</v>
      </c>
      <c r="N1288" s="83" t="s">
        <v>1444</v>
      </c>
      <c r="O1288" s="82" t="s">
        <v>1445</v>
      </c>
      <c r="P1288" s="82"/>
      <c r="Q1288" s="82"/>
      <c r="R1288" s="82"/>
      <c r="S1288" s="149"/>
      <c r="T1288" s="193"/>
      <c r="U1288" s="152">
        <f>SUM(U1289:U1296)</f>
        <v>465990.63250000001</v>
      </c>
      <c r="V1288" s="152"/>
      <c r="W1288" s="152">
        <f t="shared" ref="W1288:AG1288" si="378">SUM(W1289:W1296)</f>
        <v>0</v>
      </c>
      <c r="X1288" s="1131">
        <f t="shared" si="378"/>
        <v>0</v>
      </c>
      <c r="Y1288" s="152">
        <f t="shared" si="378"/>
        <v>465990.63250000001</v>
      </c>
      <c r="Z1288" s="152">
        <f t="shared" si="378"/>
        <v>0</v>
      </c>
      <c r="AA1288" s="1131">
        <f t="shared" si="378"/>
        <v>0</v>
      </c>
      <c r="AB1288" s="152">
        <f t="shared" si="378"/>
        <v>465990.63250000001</v>
      </c>
      <c r="AC1288" s="152">
        <f t="shared" si="378"/>
        <v>0</v>
      </c>
      <c r="AD1288" s="1131">
        <f t="shared" si="378"/>
        <v>0</v>
      </c>
      <c r="AE1288" s="152">
        <f t="shared" si="378"/>
        <v>465990.63250000001</v>
      </c>
      <c r="AF1288" s="152">
        <f t="shared" si="378"/>
        <v>0</v>
      </c>
      <c r="AG1288" s="1131">
        <f t="shared" si="378"/>
        <v>0</v>
      </c>
      <c r="AH1288" s="152">
        <f>SUM(AH1289:AH1296)</f>
        <v>1863962.53</v>
      </c>
      <c r="AI1288" s="513">
        <f t="shared" ref="AI1288" si="379">+SUM(AI1289:AI1296)</f>
        <v>0</v>
      </c>
      <c r="AJ1288" s="513">
        <f>+SUM(AJ1289:AJ1296)</f>
        <v>0</v>
      </c>
      <c r="AK1288" s="198"/>
      <c r="AL1288" s="198"/>
      <c r="AM1288" s="198"/>
      <c r="AN1288" s="82" t="s">
        <v>181</v>
      </c>
      <c r="AO1288" s="82"/>
      <c r="AP1288" s="82"/>
      <c r="AQ1288" s="82"/>
      <c r="AR1288" s="82"/>
      <c r="AS1288" s="82"/>
      <c r="AT1288" s="82"/>
      <c r="AU1288" s="666"/>
      <c r="AV1288" s="513">
        <f t="shared" ref="AV1288" si="380">+SUM(AV1289:AV1296)</f>
        <v>0</v>
      </c>
      <c r="AW1288" s="491"/>
    </row>
    <row r="1289" spans="1:49" ht="30.6" hidden="1" customHeight="1" outlineLevel="3" x14ac:dyDescent="0.25">
      <c r="A1289" s="63" t="str">
        <f t="shared" si="306"/>
        <v>4.14.3.6.1.62</v>
      </c>
      <c r="B1289" s="64">
        <v>4</v>
      </c>
      <c r="C1289" s="64">
        <v>14</v>
      </c>
      <c r="D1289" s="64">
        <v>3</v>
      </c>
      <c r="E1289" s="64">
        <v>6</v>
      </c>
      <c r="F1289" s="64">
        <v>1</v>
      </c>
      <c r="G1289" s="64">
        <v>62</v>
      </c>
      <c r="H1289" s="65"/>
      <c r="I1289" s="65"/>
      <c r="J1289" s="66"/>
      <c r="K1289" s="65" t="s">
        <v>1451</v>
      </c>
      <c r="L1289" s="64" t="s">
        <v>1452</v>
      </c>
      <c r="M1289" s="64" t="s">
        <v>1453</v>
      </c>
      <c r="N1289" s="64" t="s">
        <v>1444</v>
      </c>
      <c r="O1289" s="64" t="s">
        <v>1204</v>
      </c>
      <c r="P1289" s="69">
        <v>44571</v>
      </c>
      <c r="Q1289" s="69">
        <v>44925</v>
      </c>
      <c r="R1289" s="124">
        <v>12300</v>
      </c>
      <c r="S1289" s="170" t="s">
        <v>1454</v>
      </c>
      <c r="T1289" s="1207">
        <v>0</v>
      </c>
      <c r="U1289" s="155">
        <v>0</v>
      </c>
      <c r="V1289" s="155"/>
      <c r="W1289" s="155">
        <v>0</v>
      </c>
      <c r="X1289" s="1132">
        <v>0</v>
      </c>
      <c r="Y1289" s="155">
        <v>0</v>
      </c>
      <c r="Z1289" s="155">
        <v>0</v>
      </c>
      <c r="AA1289" s="1132">
        <v>0</v>
      </c>
      <c r="AB1289" s="155">
        <v>0</v>
      </c>
      <c r="AC1289" s="155">
        <v>0</v>
      </c>
      <c r="AD1289" s="1132">
        <v>0</v>
      </c>
      <c r="AE1289" s="155">
        <v>0</v>
      </c>
      <c r="AF1289" s="155">
        <v>0</v>
      </c>
      <c r="AG1289" s="1132">
        <v>0</v>
      </c>
      <c r="AH1289" s="505">
        <f>+U1289+Y1289+AB1289+AE1289</f>
        <v>0</v>
      </c>
      <c r="AI1289" s="132"/>
      <c r="AJ1289" s="75">
        <f t="shared" ref="AJ1289:AJ1296" si="381">+W1290+Z1290+AC1290+AF1290</f>
        <v>0</v>
      </c>
      <c r="AK1289" s="75"/>
      <c r="AL1289" s="75"/>
      <c r="AM1289" s="75"/>
      <c r="AN1289" s="64" t="s">
        <v>181</v>
      </c>
      <c r="AO1289" s="64"/>
      <c r="AP1289" s="64"/>
      <c r="AQ1289" s="64"/>
      <c r="AR1289" s="64"/>
      <c r="AS1289" s="64"/>
      <c r="AT1289" s="64"/>
      <c r="AU1289" s="646"/>
      <c r="AV1289" s="259"/>
      <c r="AW1289" s="491"/>
    </row>
    <row r="1290" spans="1:49" ht="30.6" hidden="1" customHeight="1" outlineLevel="3" x14ac:dyDescent="0.25">
      <c r="A1290" s="63" t="str">
        <f t="shared" si="306"/>
        <v>4.14.3.6.2.62</v>
      </c>
      <c r="B1290" s="64">
        <v>4</v>
      </c>
      <c r="C1290" s="64">
        <v>14</v>
      </c>
      <c r="D1290" s="64">
        <v>3</v>
      </c>
      <c r="E1290" s="64">
        <v>6</v>
      </c>
      <c r="F1290" s="64">
        <v>2</v>
      </c>
      <c r="G1290" s="100">
        <v>62</v>
      </c>
      <c r="H1290" s="65"/>
      <c r="I1290" s="65"/>
      <c r="J1290" s="66"/>
      <c r="K1290" s="65" t="s">
        <v>1455</v>
      </c>
      <c r="L1290" s="64" t="s">
        <v>1452</v>
      </c>
      <c r="M1290" s="64" t="s">
        <v>535</v>
      </c>
      <c r="N1290" s="64" t="s">
        <v>1444</v>
      </c>
      <c r="O1290" s="64" t="s">
        <v>1335</v>
      </c>
      <c r="P1290" s="69">
        <v>44571</v>
      </c>
      <c r="Q1290" s="69">
        <v>44925</v>
      </c>
      <c r="R1290" s="124">
        <f>639600/2</f>
        <v>319800</v>
      </c>
      <c r="S1290" s="65" t="s">
        <v>1456</v>
      </c>
      <c r="T1290" s="194"/>
      <c r="U1290" s="155">
        <v>0</v>
      </c>
      <c r="V1290" s="155"/>
      <c r="W1290" s="155">
        <v>0</v>
      </c>
      <c r="X1290" s="1132">
        <v>0</v>
      </c>
      <c r="Y1290" s="155">
        <v>0</v>
      </c>
      <c r="Z1290" s="155">
        <v>0</v>
      </c>
      <c r="AA1290" s="1132">
        <v>0</v>
      </c>
      <c r="AB1290" s="155">
        <v>0</v>
      </c>
      <c r="AC1290" s="155">
        <v>0</v>
      </c>
      <c r="AD1290" s="1132">
        <v>0</v>
      </c>
      <c r="AE1290" s="155">
        <v>0</v>
      </c>
      <c r="AF1290" s="155">
        <v>0</v>
      </c>
      <c r="AG1290" s="1132">
        <v>0</v>
      </c>
      <c r="AH1290" s="505">
        <f t="shared" ref="AH1290:AH1296" si="382">+U1290+Y1290+AB1290+AE1290</f>
        <v>0</v>
      </c>
      <c r="AI1290" s="132"/>
      <c r="AJ1290" s="75">
        <f t="shared" si="381"/>
        <v>0</v>
      </c>
      <c r="AK1290" s="132"/>
      <c r="AL1290" s="132"/>
      <c r="AM1290" s="132"/>
      <c r="AN1290" s="64" t="s">
        <v>181</v>
      </c>
      <c r="AO1290" s="64"/>
      <c r="AP1290" s="64"/>
      <c r="AQ1290" s="64"/>
      <c r="AR1290" s="64"/>
      <c r="AS1290" s="64"/>
      <c r="AT1290" s="64"/>
      <c r="AU1290" s="646"/>
      <c r="AV1290" s="259" t="s">
        <v>535</v>
      </c>
      <c r="AW1290" s="491"/>
    </row>
    <row r="1291" spans="1:49" ht="30.6" hidden="1" customHeight="1" outlineLevel="3" x14ac:dyDescent="0.25">
      <c r="A1291" s="63" t="str">
        <f t="shared" si="306"/>
        <v>4.14.3.6.3.62</v>
      </c>
      <c r="B1291" s="64">
        <v>4</v>
      </c>
      <c r="C1291" s="64">
        <v>14</v>
      </c>
      <c r="D1291" s="64">
        <v>3</v>
      </c>
      <c r="E1291" s="64">
        <v>6</v>
      </c>
      <c r="F1291" s="64">
        <v>3</v>
      </c>
      <c r="G1291" s="100">
        <v>62</v>
      </c>
      <c r="H1291" s="65"/>
      <c r="I1291" s="65"/>
      <c r="J1291" s="66"/>
      <c r="K1291" s="65" t="s">
        <v>1457</v>
      </c>
      <c r="L1291" s="64" t="s">
        <v>72</v>
      </c>
      <c r="M1291" s="64" t="s">
        <v>1458</v>
      </c>
      <c r="N1291" s="64" t="s">
        <v>1444</v>
      </c>
      <c r="O1291" s="64" t="s">
        <v>1445</v>
      </c>
      <c r="P1291" s="69">
        <v>44571</v>
      </c>
      <c r="Q1291" s="69">
        <v>44925</v>
      </c>
      <c r="R1291" s="124">
        <v>348</v>
      </c>
      <c r="S1291" s="65" t="s">
        <v>1459</v>
      </c>
      <c r="T1291" s="1203" t="e">
        <f>+#REF!/4</f>
        <v>#REF!</v>
      </c>
      <c r="U1291" s="75">
        <f>1611962.53/4</f>
        <v>402990.63250000001</v>
      </c>
      <c r="V1291" s="75"/>
      <c r="W1291" s="155">
        <v>0</v>
      </c>
      <c r="X1291" s="1132">
        <v>0</v>
      </c>
      <c r="Y1291" s="75">
        <v>402990.63250000001</v>
      </c>
      <c r="Z1291" s="155">
        <v>0</v>
      </c>
      <c r="AA1291" s="1132">
        <v>0</v>
      </c>
      <c r="AB1291" s="75">
        <v>402990.63250000001</v>
      </c>
      <c r="AC1291" s="155">
        <v>0</v>
      </c>
      <c r="AD1291" s="1132">
        <v>0</v>
      </c>
      <c r="AE1291" s="75">
        <v>402990.63250000001</v>
      </c>
      <c r="AF1291" s="155">
        <v>0</v>
      </c>
      <c r="AG1291" s="1132">
        <v>0</v>
      </c>
      <c r="AH1291" s="505">
        <f>+U1291+Y1291+AB1291+AE1291</f>
        <v>1611962.53</v>
      </c>
      <c r="AI1291" s="132"/>
      <c r="AJ1291" s="75">
        <f t="shared" si="381"/>
        <v>0</v>
      </c>
      <c r="AK1291" s="132"/>
      <c r="AL1291" s="132"/>
      <c r="AM1291" s="132"/>
      <c r="AN1291" s="64" t="s">
        <v>181</v>
      </c>
      <c r="AO1291" s="100"/>
      <c r="AP1291" s="100"/>
      <c r="AQ1291" s="100"/>
      <c r="AR1291" s="104"/>
      <c r="AS1291" s="104"/>
      <c r="AT1291" s="100"/>
      <c r="AU1291" s="964"/>
      <c r="AV1291" s="101"/>
      <c r="AW1291" s="103" t="s">
        <v>2762</v>
      </c>
    </row>
    <row r="1292" spans="1:49" ht="30.6" hidden="1" customHeight="1" outlineLevel="3" x14ac:dyDescent="0.25">
      <c r="A1292" s="63" t="str">
        <f t="shared" si="306"/>
        <v>4.14.3.6.4.62</v>
      </c>
      <c r="B1292" s="64">
        <v>4</v>
      </c>
      <c r="C1292" s="64">
        <v>14</v>
      </c>
      <c r="D1292" s="64">
        <v>3</v>
      </c>
      <c r="E1292" s="64">
        <v>6</v>
      </c>
      <c r="F1292" s="64">
        <v>4</v>
      </c>
      <c r="G1292" s="64">
        <v>62</v>
      </c>
      <c r="H1292" s="65"/>
      <c r="I1292" s="65"/>
      <c r="J1292" s="66"/>
      <c r="K1292" s="67" t="s">
        <v>1460</v>
      </c>
      <c r="L1292" s="64" t="s">
        <v>72</v>
      </c>
      <c r="M1292" s="64" t="s">
        <v>76</v>
      </c>
      <c r="N1292" s="64" t="s">
        <v>1444</v>
      </c>
      <c r="O1292" s="64" t="s">
        <v>1445</v>
      </c>
      <c r="P1292" s="69">
        <v>44571</v>
      </c>
      <c r="Q1292" s="69">
        <v>44925</v>
      </c>
      <c r="R1292" s="124">
        <v>2</v>
      </c>
      <c r="S1292" s="65" t="s">
        <v>1461</v>
      </c>
      <c r="T1292" s="194">
        <f>29*23000</f>
        <v>667000</v>
      </c>
      <c r="U1292" s="155">
        <v>0</v>
      </c>
      <c r="V1292" s="155"/>
      <c r="W1292" s="155">
        <v>0</v>
      </c>
      <c r="X1292" s="1132">
        <v>0</v>
      </c>
      <c r="Y1292" s="155">
        <v>0</v>
      </c>
      <c r="Z1292" s="155">
        <v>0</v>
      </c>
      <c r="AA1292" s="1132">
        <v>0</v>
      </c>
      <c r="AB1292" s="155">
        <v>0</v>
      </c>
      <c r="AC1292" s="155">
        <v>0</v>
      </c>
      <c r="AD1292" s="1132">
        <v>0</v>
      </c>
      <c r="AE1292" s="155">
        <v>0</v>
      </c>
      <c r="AF1292" s="155">
        <v>0</v>
      </c>
      <c r="AG1292" s="1132">
        <v>0</v>
      </c>
      <c r="AH1292" s="505">
        <f t="shared" si="382"/>
        <v>0</v>
      </c>
      <c r="AI1292" s="132"/>
      <c r="AJ1292" s="75">
        <f t="shared" si="381"/>
        <v>0</v>
      </c>
      <c r="AK1292" s="132"/>
      <c r="AL1292" s="132"/>
      <c r="AM1292" s="132"/>
      <c r="AN1292" s="64" t="s">
        <v>181</v>
      </c>
      <c r="AO1292" s="64" t="s">
        <v>1819</v>
      </c>
      <c r="AP1292" s="64" t="s">
        <v>2612</v>
      </c>
      <c r="AQ1292" s="64" t="s">
        <v>2613</v>
      </c>
      <c r="AR1292" s="64" t="s">
        <v>1826</v>
      </c>
      <c r="AS1292" s="554">
        <v>45239</v>
      </c>
      <c r="AT1292" s="554">
        <v>45171</v>
      </c>
      <c r="AU1292" s="646">
        <v>124</v>
      </c>
      <c r="AV1292" s="259" t="s">
        <v>1462</v>
      </c>
      <c r="AW1292" s="495"/>
    </row>
    <row r="1293" spans="1:49" s="212" customFormat="1" ht="30.6" hidden="1" customHeight="1" outlineLevel="3" x14ac:dyDescent="0.25">
      <c r="A1293" s="210" t="str">
        <f t="shared" si="306"/>
        <v>4.14.3.6.5.62</v>
      </c>
      <c r="B1293" s="136">
        <v>4</v>
      </c>
      <c r="C1293" s="136">
        <v>14</v>
      </c>
      <c r="D1293" s="136">
        <v>3</v>
      </c>
      <c r="E1293" s="136">
        <v>6</v>
      </c>
      <c r="F1293" s="136">
        <v>5</v>
      </c>
      <c r="G1293" s="136">
        <v>62</v>
      </c>
      <c r="H1293" s="125"/>
      <c r="I1293" s="125"/>
      <c r="J1293" s="213"/>
      <c r="K1293" s="125" t="s">
        <v>1463</v>
      </c>
      <c r="L1293" s="136" t="s">
        <v>1452</v>
      </c>
      <c r="M1293" s="136" t="s">
        <v>1464</v>
      </c>
      <c r="N1293" s="136" t="s">
        <v>1444</v>
      </c>
      <c r="O1293" s="136" t="s">
        <v>1204</v>
      </c>
      <c r="P1293" s="214">
        <v>44571</v>
      </c>
      <c r="Q1293" s="214">
        <v>44925</v>
      </c>
      <c r="R1293" s="136">
        <v>12</v>
      </c>
      <c r="S1293" s="125" t="s">
        <v>1465</v>
      </c>
      <c r="T1293" s="194" t="e">
        <f>+#REF!/4</f>
        <v>#REF!</v>
      </c>
      <c r="U1293" s="155">
        <v>0</v>
      </c>
      <c r="V1293" s="155"/>
      <c r="W1293" s="155">
        <v>0</v>
      </c>
      <c r="X1293" s="1132">
        <v>0</v>
      </c>
      <c r="Y1293" s="155">
        <v>0</v>
      </c>
      <c r="Z1293" s="155">
        <v>0</v>
      </c>
      <c r="AA1293" s="1132">
        <v>0</v>
      </c>
      <c r="AB1293" s="155">
        <v>0</v>
      </c>
      <c r="AC1293" s="155">
        <v>0</v>
      </c>
      <c r="AD1293" s="1132">
        <v>0</v>
      </c>
      <c r="AE1293" s="155">
        <v>0</v>
      </c>
      <c r="AF1293" s="155">
        <v>0</v>
      </c>
      <c r="AG1293" s="1132">
        <v>0</v>
      </c>
      <c r="AH1293" s="505">
        <f t="shared" si="382"/>
        <v>0</v>
      </c>
      <c r="AI1293" s="132"/>
      <c r="AJ1293" s="75">
        <f t="shared" si="381"/>
        <v>0</v>
      </c>
      <c r="AK1293" s="132"/>
      <c r="AL1293" s="132"/>
      <c r="AM1293" s="132"/>
      <c r="AN1293" s="136" t="s">
        <v>181</v>
      </c>
      <c r="AO1293" s="136"/>
      <c r="AP1293" s="136"/>
      <c r="AQ1293" s="136"/>
      <c r="AR1293" s="136"/>
      <c r="AS1293" s="136"/>
      <c r="AT1293" s="136"/>
      <c r="AU1293" s="646"/>
      <c r="AV1293" s="349" t="s">
        <v>1466</v>
      </c>
      <c r="AW1293" s="491"/>
    </row>
    <row r="1294" spans="1:49" ht="30.6" hidden="1" customHeight="1" outlineLevel="3" x14ac:dyDescent="0.25">
      <c r="A1294" s="63" t="str">
        <f t="shared" si="306"/>
        <v>4.14.3.6.6.62</v>
      </c>
      <c r="B1294" s="64">
        <v>4</v>
      </c>
      <c r="C1294" s="64">
        <v>14</v>
      </c>
      <c r="D1294" s="64">
        <v>3</v>
      </c>
      <c r="E1294" s="64">
        <v>6</v>
      </c>
      <c r="F1294" s="64">
        <v>6</v>
      </c>
      <c r="G1294" s="64">
        <v>62</v>
      </c>
      <c r="H1294" s="65"/>
      <c r="I1294" s="65"/>
      <c r="J1294" s="66"/>
      <c r="K1294" s="65" t="s">
        <v>1467</v>
      </c>
      <c r="L1294" s="64" t="s">
        <v>264</v>
      </c>
      <c r="M1294" s="64" t="s">
        <v>144</v>
      </c>
      <c r="N1294" s="64" t="s">
        <v>265</v>
      </c>
      <c r="O1294" s="64" t="s">
        <v>668</v>
      </c>
      <c r="P1294" s="69">
        <v>44571</v>
      </c>
      <c r="Q1294" s="69">
        <v>44925</v>
      </c>
      <c r="R1294" s="64">
        <v>348</v>
      </c>
      <c r="S1294" s="65" t="s">
        <v>1468</v>
      </c>
      <c r="T1294" s="194"/>
      <c r="U1294" s="155">
        <v>0</v>
      </c>
      <c r="V1294" s="155"/>
      <c r="W1294" s="155">
        <v>0</v>
      </c>
      <c r="X1294" s="1132">
        <v>0</v>
      </c>
      <c r="Y1294" s="155">
        <v>0</v>
      </c>
      <c r="Z1294" s="155">
        <v>0</v>
      </c>
      <c r="AA1294" s="1132">
        <v>0</v>
      </c>
      <c r="AB1294" s="155">
        <v>0</v>
      </c>
      <c r="AC1294" s="155">
        <v>0</v>
      </c>
      <c r="AD1294" s="1132">
        <v>0</v>
      </c>
      <c r="AE1294" s="155">
        <v>0</v>
      </c>
      <c r="AF1294" s="155">
        <v>0</v>
      </c>
      <c r="AG1294" s="1132">
        <v>0</v>
      </c>
      <c r="AH1294" s="505">
        <f t="shared" si="382"/>
        <v>0</v>
      </c>
      <c r="AI1294" s="132"/>
      <c r="AJ1294" s="75">
        <f t="shared" si="381"/>
        <v>0</v>
      </c>
      <c r="AK1294" s="132"/>
      <c r="AL1294" s="132"/>
      <c r="AM1294" s="132"/>
      <c r="AN1294" s="64" t="s">
        <v>181</v>
      </c>
      <c r="AO1294" s="64"/>
      <c r="AP1294" s="64"/>
      <c r="AQ1294" s="64"/>
      <c r="AR1294" s="64"/>
      <c r="AS1294" s="64"/>
      <c r="AT1294" s="64"/>
      <c r="AU1294" s="646"/>
      <c r="AV1294" s="259" t="s">
        <v>1469</v>
      </c>
      <c r="AW1294" s="491"/>
    </row>
    <row r="1295" spans="1:49" ht="30.6" hidden="1" customHeight="1" outlineLevel="3" x14ac:dyDescent="0.25">
      <c r="A1295" s="63" t="str">
        <f t="shared" si="306"/>
        <v>4.14.3.6.7.62</v>
      </c>
      <c r="B1295" s="64">
        <v>4</v>
      </c>
      <c r="C1295" s="64">
        <v>14</v>
      </c>
      <c r="D1295" s="64">
        <v>3</v>
      </c>
      <c r="E1295" s="64">
        <v>6</v>
      </c>
      <c r="F1295" s="64">
        <v>7</v>
      </c>
      <c r="G1295" s="64">
        <v>62</v>
      </c>
      <c r="H1295" s="65"/>
      <c r="I1295" s="65"/>
      <c r="J1295" s="65"/>
      <c r="K1295" s="65" t="s">
        <v>1887</v>
      </c>
      <c r="L1295" s="64" t="s">
        <v>264</v>
      </c>
      <c r="M1295" s="64" t="s">
        <v>144</v>
      </c>
      <c r="N1295" s="64" t="s">
        <v>265</v>
      </c>
      <c r="O1295" s="64" t="s">
        <v>668</v>
      </c>
      <c r="P1295" s="69">
        <v>44571</v>
      </c>
      <c r="Q1295" s="69">
        <v>44925</v>
      </c>
      <c r="R1295" s="124">
        <v>319</v>
      </c>
      <c r="S1295" s="65" t="s">
        <v>1470</v>
      </c>
      <c r="T1295" s="1209" t="e">
        <f>+#REF!/4</f>
        <v>#REF!</v>
      </c>
      <c r="U1295" s="75">
        <f>252000/4</f>
        <v>63000</v>
      </c>
      <c r="V1295" s="75"/>
      <c r="W1295" s="155">
        <v>0</v>
      </c>
      <c r="X1295" s="1132">
        <v>0</v>
      </c>
      <c r="Y1295" s="75">
        <v>63000</v>
      </c>
      <c r="Z1295" s="155">
        <v>0</v>
      </c>
      <c r="AA1295" s="1132">
        <v>0</v>
      </c>
      <c r="AB1295" s="75">
        <v>63000</v>
      </c>
      <c r="AC1295" s="155">
        <v>0</v>
      </c>
      <c r="AD1295" s="1132">
        <v>0</v>
      </c>
      <c r="AE1295" s="75">
        <v>63000</v>
      </c>
      <c r="AF1295" s="155">
        <v>0</v>
      </c>
      <c r="AG1295" s="1132">
        <v>0</v>
      </c>
      <c r="AH1295" s="505">
        <f t="shared" si="382"/>
        <v>252000</v>
      </c>
      <c r="AI1295" s="132"/>
      <c r="AJ1295" s="75">
        <f t="shared" si="381"/>
        <v>0</v>
      </c>
      <c r="AK1295" s="281"/>
      <c r="AL1295" s="281"/>
      <c r="AM1295" s="281"/>
      <c r="AN1295" s="64" t="s">
        <v>181</v>
      </c>
      <c r="AO1295" s="533" t="s">
        <v>1839</v>
      </c>
      <c r="AP1295" s="533" t="s">
        <v>649</v>
      </c>
      <c r="AQ1295" s="533" t="s">
        <v>649</v>
      </c>
      <c r="AR1295" s="554">
        <v>44562</v>
      </c>
      <c r="AS1295" s="554">
        <v>44926</v>
      </c>
      <c r="AT1295" s="64" t="s">
        <v>1814</v>
      </c>
      <c r="AU1295" s="877" t="s">
        <v>2089</v>
      </c>
      <c r="AV1295" s="259" t="s">
        <v>672</v>
      </c>
      <c r="AW1295" s="336" t="s">
        <v>2616</v>
      </c>
    </row>
    <row r="1296" spans="1:49" s="284" customFormat="1" ht="30.6" hidden="1" customHeight="1" outlineLevel="3" x14ac:dyDescent="0.25">
      <c r="A1296" s="210" t="str">
        <f t="shared" si="306"/>
        <v>4.14.3.6.8.62</v>
      </c>
      <c r="B1296" s="136">
        <v>4</v>
      </c>
      <c r="C1296" s="136">
        <v>14</v>
      </c>
      <c r="D1296" s="136">
        <v>3</v>
      </c>
      <c r="E1296" s="136">
        <v>6</v>
      </c>
      <c r="F1296" s="136">
        <v>8</v>
      </c>
      <c r="G1296" s="136">
        <v>62</v>
      </c>
      <c r="H1296" s="133"/>
      <c r="I1296" s="133"/>
      <c r="J1296" s="133"/>
      <c r="K1296" s="125" t="s">
        <v>1472</v>
      </c>
      <c r="L1296" s="136" t="s">
        <v>72</v>
      </c>
      <c r="M1296" s="136" t="s">
        <v>1473</v>
      </c>
      <c r="N1296" s="136" t="s">
        <v>1249</v>
      </c>
      <c r="O1296" s="136" t="s">
        <v>72</v>
      </c>
      <c r="P1296" s="214">
        <v>44571</v>
      </c>
      <c r="Q1296" s="214">
        <v>44925</v>
      </c>
      <c r="R1296" s="126">
        <v>1</v>
      </c>
      <c r="S1296" s="133"/>
      <c r="T1296" s="1210"/>
      <c r="U1296" s="155">
        <v>0</v>
      </c>
      <c r="V1296" s="155"/>
      <c r="W1296" s="155">
        <v>0</v>
      </c>
      <c r="X1296" s="1132">
        <v>0</v>
      </c>
      <c r="Y1296" s="155">
        <v>0</v>
      </c>
      <c r="Z1296" s="155">
        <v>0</v>
      </c>
      <c r="AA1296" s="1132">
        <v>0</v>
      </c>
      <c r="AB1296" s="155">
        <v>0</v>
      </c>
      <c r="AC1296" s="155">
        <v>0</v>
      </c>
      <c r="AD1296" s="1132">
        <v>0</v>
      </c>
      <c r="AE1296" s="155">
        <v>0</v>
      </c>
      <c r="AF1296" s="155">
        <v>0</v>
      </c>
      <c r="AG1296" s="1132">
        <v>0</v>
      </c>
      <c r="AH1296" s="505">
        <f t="shared" si="382"/>
        <v>0</v>
      </c>
      <c r="AI1296" s="132"/>
      <c r="AJ1296" s="75">
        <f t="shared" si="381"/>
        <v>0</v>
      </c>
      <c r="AK1296" s="127"/>
      <c r="AL1296" s="127"/>
      <c r="AM1296" s="127"/>
      <c r="AN1296" s="136" t="s">
        <v>181</v>
      </c>
      <c r="AO1296" s="136"/>
      <c r="AP1296" s="136"/>
      <c r="AQ1296" s="136"/>
      <c r="AR1296" s="136"/>
      <c r="AS1296" s="136"/>
      <c r="AT1296" s="136"/>
      <c r="AU1296" s="646"/>
      <c r="AV1296" s="366"/>
      <c r="AW1296" s="491"/>
    </row>
    <row r="1297" spans="1:49" s="153" customFormat="1" ht="56.25" customHeight="1" outlineLevel="2" collapsed="1" x14ac:dyDescent="0.25">
      <c r="A1297" s="148" t="str">
        <f t="shared" si="306"/>
        <v>4.14.3.7.0.0</v>
      </c>
      <c r="B1297" s="82">
        <v>4</v>
      </c>
      <c r="C1297" s="82">
        <v>14</v>
      </c>
      <c r="D1297" s="82">
        <v>3</v>
      </c>
      <c r="E1297" s="82">
        <v>7</v>
      </c>
      <c r="F1297" s="82">
        <v>0</v>
      </c>
      <c r="G1297" s="82">
        <v>0</v>
      </c>
      <c r="H1297" s="149"/>
      <c r="I1297" s="149"/>
      <c r="J1297" s="1260" t="s">
        <v>1483</v>
      </c>
      <c r="K1297" s="1259"/>
      <c r="L1297" s="82" t="s">
        <v>1475</v>
      </c>
      <c r="M1297" s="83" t="s">
        <v>1449</v>
      </c>
      <c r="N1297" s="83" t="s">
        <v>1444</v>
      </c>
      <c r="O1297" s="82" t="s">
        <v>1445</v>
      </c>
      <c r="P1297" s="82"/>
      <c r="Q1297" s="82"/>
      <c r="R1297" s="82"/>
      <c r="S1297" s="149"/>
      <c r="T1297" s="193"/>
      <c r="U1297" s="152">
        <f>SUM(U1298:U1305)</f>
        <v>465990.63250000001</v>
      </c>
      <c r="V1297" s="152"/>
      <c r="W1297" s="152">
        <f t="shared" ref="W1297:AG1297" si="383">SUM(W1298:W1305)</f>
        <v>0</v>
      </c>
      <c r="X1297" s="1131">
        <f t="shared" si="383"/>
        <v>0</v>
      </c>
      <c r="Y1297" s="152">
        <f>SUM(Y1298:Y1305)</f>
        <v>465990.63250000001</v>
      </c>
      <c r="Z1297" s="152">
        <f t="shared" si="383"/>
        <v>0</v>
      </c>
      <c r="AA1297" s="1131">
        <f t="shared" si="383"/>
        <v>0</v>
      </c>
      <c r="AB1297" s="152">
        <f>SUM(AB1298:AB1305)</f>
        <v>465990.63250000001</v>
      </c>
      <c r="AC1297" s="152">
        <f t="shared" si="383"/>
        <v>0</v>
      </c>
      <c r="AD1297" s="1131">
        <f t="shared" si="383"/>
        <v>0</v>
      </c>
      <c r="AE1297" s="152">
        <f>SUM(AE1298:AE1305)</f>
        <v>465990.63250000001</v>
      </c>
      <c r="AF1297" s="152">
        <f t="shared" si="383"/>
        <v>0</v>
      </c>
      <c r="AG1297" s="1131">
        <f t="shared" si="383"/>
        <v>0</v>
      </c>
      <c r="AH1297" s="152">
        <f>SUM(AH1298:AH1305)</f>
        <v>1863962.53</v>
      </c>
      <c r="AI1297" s="513">
        <f t="shared" ref="AI1297" si="384">+SUM(AI1298:AI1305)</f>
        <v>0</v>
      </c>
      <c r="AJ1297" s="513">
        <f>+SUM(AJ1298:AJ1305)</f>
        <v>0</v>
      </c>
      <c r="AK1297" s="198"/>
      <c r="AL1297" s="198"/>
      <c r="AM1297" s="198"/>
      <c r="AN1297" s="82" t="s">
        <v>181</v>
      </c>
      <c r="AO1297" s="82"/>
      <c r="AP1297" s="82"/>
      <c r="AQ1297" s="82"/>
      <c r="AR1297" s="82"/>
      <c r="AS1297" s="82"/>
      <c r="AT1297" s="82"/>
      <c r="AU1297" s="666"/>
      <c r="AV1297" s="513">
        <f t="shared" ref="AV1297" si="385">+SUM(AV1298:AV1305)</f>
        <v>0</v>
      </c>
      <c r="AW1297" s="491"/>
    </row>
    <row r="1298" spans="1:49" ht="33.6" hidden="1" customHeight="1" outlineLevel="3" x14ac:dyDescent="0.25">
      <c r="A1298" s="63" t="str">
        <f t="shared" si="306"/>
        <v>4.14.3.7.1.60</v>
      </c>
      <c r="B1298" s="64">
        <v>4</v>
      </c>
      <c r="C1298" s="64">
        <v>14</v>
      </c>
      <c r="D1298" s="64">
        <v>3</v>
      </c>
      <c r="E1298" s="64">
        <v>7</v>
      </c>
      <c r="F1298" s="64">
        <v>1</v>
      </c>
      <c r="G1298" s="64">
        <v>60</v>
      </c>
      <c r="H1298" s="65"/>
      <c r="I1298" s="65"/>
      <c r="J1298" s="66"/>
      <c r="K1298" s="65" t="s">
        <v>1451</v>
      </c>
      <c r="L1298" s="64" t="s">
        <v>1452</v>
      </c>
      <c r="M1298" s="64" t="s">
        <v>1453</v>
      </c>
      <c r="N1298" s="64" t="s">
        <v>1444</v>
      </c>
      <c r="O1298" s="64" t="s">
        <v>1204</v>
      </c>
      <c r="P1298" s="69">
        <v>44571</v>
      </c>
      <c r="Q1298" s="69">
        <v>44925</v>
      </c>
      <c r="R1298" s="170">
        <v>3500</v>
      </c>
      <c r="S1298" s="170" t="s">
        <v>1454</v>
      </c>
      <c r="T1298" s="1207"/>
      <c r="U1298" s="155">
        <v>0</v>
      </c>
      <c r="V1298" s="155"/>
      <c r="W1298" s="155">
        <v>0</v>
      </c>
      <c r="X1298" s="1132">
        <v>0</v>
      </c>
      <c r="Y1298" s="155">
        <v>0</v>
      </c>
      <c r="Z1298" s="155">
        <v>0</v>
      </c>
      <c r="AA1298" s="1132">
        <v>0</v>
      </c>
      <c r="AB1298" s="155">
        <v>0</v>
      </c>
      <c r="AC1298" s="155">
        <v>0</v>
      </c>
      <c r="AD1298" s="1132">
        <v>0</v>
      </c>
      <c r="AE1298" s="155">
        <v>0</v>
      </c>
      <c r="AF1298" s="155">
        <v>0</v>
      </c>
      <c r="AG1298" s="1132">
        <v>0</v>
      </c>
      <c r="AH1298" s="505">
        <f>+U1298+Y1298+AB1298+AE1298</f>
        <v>0</v>
      </c>
      <c r="AI1298" s="132"/>
      <c r="AJ1298" s="75">
        <f t="shared" ref="AJ1298:AJ1305" si="386">+W1299+Z1299+AC1299+AF1299</f>
        <v>0</v>
      </c>
      <c r="AK1298" s="75"/>
      <c r="AL1298" s="75"/>
      <c r="AM1298" s="75"/>
      <c r="AN1298" s="64" t="s">
        <v>181</v>
      </c>
      <c r="AO1298" s="64"/>
      <c r="AP1298" s="64"/>
      <c r="AQ1298" s="64"/>
      <c r="AR1298" s="64"/>
      <c r="AS1298" s="64"/>
      <c r="AT1298" s="64"/>
      <c r="AU1298" s="646"/>
      <c r="AV1298" s="259"/>
      <c r="AW1298" s="491"/>
    </row>
    <row r="1299" spans="1:49" ht="33.6" hidden="1" customHeight="1" outlineLevel="3" x14ac:dyDescent="0.25">
      <c r="A1299" s="63" t="str">
        <f t="shared" si="306"/>
        <v>4.14.3.7.2.60</v>
      </c>
      <c r="B1299" s="64">
        <v>4</v>
      </c>
      <c r="C1299" s="64">
        <v>14</v>
      </c>
      <c r="D1299" s="64">
        <v>3</v>
      </c>
      <c r="E1299" s="64">
        <v>7</v>
      </c>
      <c r="F1299" s="64">
        <v>2</v>
      </c>
      <c r="G1299" s="100">
        <v>60</v>
      </c>
      <c r="H1299" s="65"/>
      <c r="I1299" s="65"/>
      <c r="J1299" s="66"/>
      <c r="K1299" s="65" t="s">
        <v>1455</v>
      </c>
      <c r="L1299" s="64" t="s">
        <v>1452</v>
      </c>
      <c r="M1299" s="64" t="s">
        <v>535</v>
      </c>
      <c r="N1299" s="64" t="s">
        <v>1444</v>
      </c>
      <c r="O1299" s="64" t="s">
        <v>1335</v>
      </c>
      <c r="P1299" s="69">
        <v>44571</v>
      </c>
      <c r="Q1299" s="69">
        <v>44925</v>
      </c>
      <c r="R1299" s="124">
        <f>182000/2</f>
        <v>91000</v>
      </c>
      <c r="S1299" s="65" t="s">
        <v>1456</v>
      </c>
      <c r="T1299" s="194"/>
      <c r="U1299" s="155">
        <v>0</v>
      </c>
      <c r="V1299" s="155"/>
      <c r="W1299" s="155">
        <v>0</v>
      </c>
      <c r="X1299" s="1132">
        <v>0</v>
      </c>
      <c r="Y1299" s="155">
        <v>0</v>
      </c>
      <c r="Z1299" s="155">
        <v>0</v>
      </c>
      <c r="AA1299" s="1132">
        <v>0</v>
      </c>
      <c r="AB1299" s="155">
        <v>0</v>
      </c>
      <c r="AC1299" s="155">
        <v>0</v>
      </c>
      <c r="AD1299" s="1132">
        <v>0</v>
      </c>
      <c r="AE1299" s="155">
        <v>0</v>
      </c>
      <c r="AF1299" s="155">
        <v>0</v>
      </c>
      <c r="AG1299" s="1132">
        <v>0</v>
      </c>
      <c r="AH1299" s="505">
        <f t="shared" ref="AH1299:AH1305" si="387">+U1299+Y1299+AB1299+AE1299</f>
        <v>0</v>
      </c>
      <c r="AI1299" s="132"/>
      <c r="AJ1299" s="75">
        <f t="shared" si="386"/>
        <v>0</v>
      </c>
      <c r="AK1299" s="75"/>
      <c r="AL1299" s="75"/>
      <c r="AM1299" s="75"/>
      <c r="AN1299" s="64" t="s">
        <v>181</v>
      </c>
      <c r="AO1299" s="64"/>
      <c r="AP1299" s="64"/>
      <c r="AQ1299" s="64"/>
      <c r="AR1299" s="64"/>
      <c r="AS1299" s="64"/>
      <c r="AT1299" s="64"/>
      <c r="AU1299" s="646"/>
      <c r="AV1299" s="259" t="s">
        <v>535</v>
      </c>
      <c r="AW1299" s="491"/>
    </row>
    <row r="1300" spans="1:49" ht="33.6" hidden="1" customHeight="1" outlineLevel="3" x14ac:dyDescent="0.25">
      <c r="A1300" s="63" t="str">
        <f t="shared" si="306"/>
        <v>4.14.3.7.3.60</v>
      </c>
      <c r="B1300" s="64">
        <v>4</v>
      </c>
      <c r="C1300" s="64">
        <v>14</v>
      </c>
      <c r="D1300" s="64">
        <v>3</v>
      </c>
      <c r="E1300" s="64">
        <v>7</v>
      </c>
      <c r="F1300" s="64">
        <v>3</v>
      </c>
      <c r="G1300" s="100">
        <v>60</v>
      </c>
      <c r="H1300" s="65"/>
      <c r="I1300" s="65"/>
      <c r="J1300" s="66"/>
      <c r="K1300" s="65" t="s">
        <v>1457</v>
      </c>
      <c r="L1300" s="64" t="s">
        <v>72</v>
      </c>
      <c r="M1300" s="64" t="s">
        <v>1458</v>
      </c>
      <c r="N1300" s="64" t="s">
        <v>1444</v>
      </c>
      <c r="O1300" s="64" t="s">
        <v>1445</v>
      </c>
      <c r="P1300" s="69">
        <v>44571</v>
      </c>
      <c r="Q1300" s="69">
        <v>44925</v>
      </c>
      <c r="R1300" s="124">
        <v>108</v>
      </c>
      <c r="S1300" s="65" t="s">
        <v>1459</v>
      </c>
      <c r="T1300" s="1203" t="e">
        <f>+#REF!/4</f>
        <v>#REF!</v>
      </c>
      <c r="U1300" s="75">
        <f>1611962.53/4</f>
        <v>402990.63250000001</v>
      </c>
      <c r="V1300" s="75"/>
      <c r="W1300" s="155">
        <v>0</v>
      </c>
      <c r="X1300" s="1132">
        <v>0</v>
      </c>
      <c r="Y1300" s="75">
        <v>402990.63250000001</v>
      </c>
      <c r="Z1300" s="155">
        <v>0</v>
      </c>
      <c r="AA1300" s="1132">
        <v>0</v>
      </c>
      <c r="AB1300" s="75">
        <v>402990.63250000001</v>
      </c>
      <c r="AC1300" s="155">
        <v>0</v>
      </c>
      <c r="AD1300" s="1132">
        <v>0</v>
      </c>
      <c r="AE1300" s="75">
        <v>402990.63250000001</v>
      </c>
      <c r="AF1300" s="155">
        <v>0</v>
      </c>
      <c r="AG1300" s="1132">
        <v>0</v>
      </c>
      <c r="AH1300" s="505">
        <f>+U1300+Y1300+AB1300+AE1300</f>
        <v>1611962.53</v>
      </c>
      <c r="AI1300" s="132"/>
      <c r="AJ1300" s="75">
        <f t="shared" si="386"/>
        <v>0</v>
      </c>
      <c r="AK1300" s="132"/>
      <c r="AL1300" s="132"/>
      <c r="AM1300" s="132"/>
      <c r="AN1300" s="64" t="s">
        <v>181</v>
      </c>
      <c r="AO1300" s="100"/>
      <c r="AP1300" s="100"/>
      <c r="AQ1300" s="100"/>
      <c r="AR1300" s="104"/>
      <c r="AS1300" s="104"/>
      <c r="AT1300" s="100"/>
      <c r="AU1300" s="964"/>
      <c r="AV1300" s="101"/>
      <c r="AW1300" s="103" t="s">
        <v>2762</v>
      </c>
    </row>
    <row r="1301" spans="1:49" ht="33.6" hidden="1" customHeight="1" outlineLevel="3" x14ac:dyDescent="0.25">
      <c r="A1301" s="63" t="str">
        <f t="shared" si="306"/>
        <v>4.14.3.7.4.60</v>
      </c>
      <c r="B1301" s="64">
        <v>4</v>
      </c>
      <c r="C1301" s="64">
        <v>14</v>
      </c>
      <c r="D1301" s="64">
        <v>3</v>
      </c>
      <c r="E1301" s="64">
        <v>7</v>
      </c>
      <c r="F1301" s="64">
        <v>4</v>
      </c>
      <c r="G1301" s="64">
        <v>60</v>
      </c>
      <c r="H1301" s="65"/>
      <c r="I1301" s="65"/>
      <c r="J1301" s="66"/>
      <c r="K1301" s="67" t="s">
        <v>1460</v>
      </c>
      <c r="L1301" s="64" t="s">
        <v>72</v>
      </c>
      <c r="M1301" s="64" t="s">
        <v>76</v>
      </c>
      <c r="N1301" s="64" t="s">
        <v>1444</v>
      </c>
      <c r="O1301" s="64" t="s">
        <v>1445</v>
      </c>
      <c r="P1301" s="69">
        <v>44571</v>
      </c>
      <c r="Q1301" s="69">
        <v>44925</v>
      </c>
      <c r="R1301" s="124">
        <v>2</v>
      </c>
      <c r="S1301" s="65" t="s">
        <v>1461</v>
      </c>
      <c r="T1301" s="194">
        <f>9*23000</f>
        <v>207000</v>
      </c>
      <c r="U1301" s="155">
        <v>0</v>
      </c>
      <c r="V1301" s="155"/>
      <c r="W1301" s="155">
        <v>0</v>
      </c>
      <c r="X1301" s="1132">
        <v>0</v>
      </c>
      <c r="Y1301" s="155">
        <v>0</v>
      </c>
      <c r="Z1301" s="155">
        <v>0</v>
      </c>
      <c r="AA1301" s="1132">
        <v>0</v>
      </c>
      <c r="AB1301" s="155">
        <v>0</v>
      </c>
      <c r="AC1301" s="155">
        <v>0</v>
      </c>
      <c r="AD1301" s="1132">
        <v>0</v>
      </c>
      <c r="AE1301" s="155">
        <v>0</v>
      </c>
      <c r="AF1301" s="155">
        <v>0</v>
      </c>
      <c r="AG1301" s="1132">
        <v>0</v>
      </c>
      <c r="AH1301" s="505">
        <f t="shared" si="387"/>
        <v>0</v>
      </c>
      <c r="AI1301" s="132"/>
      <c r="AJ1301" s="75">
        <f t="shared" si="386"/>
        <v>0</v>
      </c>
      <c r="AK1301" s="132"/>
      <c r="AL1301" s="132"/>
      <c r="AM1301" s="132"/>
      <c r="AN1301" s="64" t="s">
        <v>181</v>
      </c>
      <c r="AO1301" s="533" t="s">
        <v>1819</v>
      </c>
      <c r="AP1301" s="533" t="s">
        <v>2612</v>
      </c>
      <c r="AQ1301" s="533" t="s">
        <v>2613</v>
      </c>
      <c r="AR1301" s="64" t="s">
        <v>1826</v>
      </c>
      <c r="AS1301" s="554">
        <v>45239</v>
      </c>
      <c r="AT1301" s="554">
        <v>45171</v>
      </c>
      <c r="AU1301" s="646">
        <v>124</v>
      </c>
      <c r="AV1301" s="259" t="s">
        <v>1462</v>
      </c>
      <c r="AW1301" s="492"/>
    </row>
    <row r="1302" spans="1:49" s="212" customFormat="1" ht="33.6" hidden="1" customHeight="1" outlineLevel="3" x14ac:dyDescent="0.25">
      <c r="A1302" s="210" t="str">
        <f t="shared" si="306"/>
        <v>4.14.3.7.5.60</v>
      </c>
      <c r="B1302" s="136">
        <v>4</v>
      </c>
      <c r="C1302" s="136">
        <v>14</v>
      </c>
      <c r="D1302" s="136">
        <v>3</v>
      </c>
      <c r="E1302" s="136">
        <v>7</v>
      </c>
      <c r="F1302" s="136">
        <v>5</v>
      </c>
      <c r="G1302" s="136">
        <v>60</v>
      </c>
      <c r="H1302" s="125"/>
      <c r="I1302" s="125"/>
      <c r="J1302" s="213"/>
      <c r="K1302" s="125" t="s">
        <v>1463</v>
      </c>
      <c r="L1302" s="136" t="s">
        <v>1452</v>
      </c>
      <c r="M1302" s="136" t="s">
        <v>1464</v>
      </c>
      <c r="N1302" s="136" t="s">
        <v>1444</v>
      </c>
      <c r="O1302" s="136" t="s">
        <v>1204</v>
      </c>
      <c r="P1302" s="214">
        <v>44571</v>
      </c>
      <c r="Q1302" s="214">
        <v>44925</v>
      </c>
      <c r="R1302" s="136">
        <v>12</v>
      </c>
      <c r="S1302" s="125" t="s">
        <v>1465</v>
      </c>
      <c r="T1302" s="194" t="e">
        <f>+#REF!/4</f>
        <v>#REF!</v>
      </c>
      <c r="U1302" s="155">
        <v>0</v>
      </c>
      <c r="V1302" s="155"/>
      <c r="W1302" s="155">
        <v>0</v>
      </c>
      <c r="X1302" s="1132">
        <v>0</v>
      </c>
      <c r="Y1302" s="155">
        <v>0</v>
      </c>
      <c r="Z1302" s="155">
        <v>0</v>
      </c>
      <c r="AA1302" s="1132">
        <v>0</v>
      </c>
      <c r="AB1302" s="155">
        <v>0</v>
      </c>
      <c r="AC1302" s="155">
        <v>0</v>
      </c>
      <c r="AD1302" s="1132">
        <v>0</v>
      </c>
      <c r="AE1302" s="155">
        <v>0</v>
      </c>
      <c r="AF1302" s="155">
        <v>0</v>
      </c>
      <c r="AG1302" s="1132">
        <v>0</v>
      </c>
      <c r="AH1302" s="505">
        <f t="shared" si="387"/>
        <v>0</v>
      </c>
      <c r="AI1302" s="132"/>
      <c r="AJ1302" s="75">
        <f t="shared" si="386"/>
        <v>0</v>
      </c>
      <c r="AK1302" s="132"/>
      <c r="AL1302" s="132"/>
      <c r="AM1302" s="132"/>
      <c r="AN1302" s="136" t="s">
        <v>181</v>
      </c>
      <c r="AO1302" s="136"/>
      <c r="AP1302" s="136"/>
      <c r="AQ1302" s="136"/>
      <c r="AR1302" s="136"/>
      <c r="AS1302" s="136"/>
      <c r="AT1302" s="136"/>
      <c r="AU1302" s="646"/>
      <c r="AV1302" s="349" t="s">
        <v>1466</v>
      </c>
      <c r="AW1302" s="448"/>
    </row>
    <row r="1303" spans="1:49" ht="33.6" hidden="1" customHeight="1" outlineLevel="3" x14ac:dyDescent="0.25">
      <c r="A1303" s="63" t="str">
        <f t="shared" si="306"/>
        <v>4.14.3.7.6.60</v>
      </c>
      <c r="B1303" s="64">
        <v>4</v>
      </c>
      <c r="C1303" s="64">
        <v>14</v>
      </c>
      <c r="D1303" s="64">
        <v>3</v>
      </c>
      <c r="E1303" s="64">
        <v>7</v>
      </c>
      <c r="F1303" s="64">
        <v>6</v>
      </c>
      <c r="G1303" s="64">
        <v>60</v>
      </c>
      <c r="H1303" s="65"/>
      <c r="I1303" s="65"/>
      <c r="J1303" s="66"/>
      <c r="K1303" s="65" t="s">
        <v>1467</v>
      </c>
      <c r="L1303" s="64" t="s">
        <v>264</v>
      </c>
      <c r="M1303" s="64" t="s">
        <v>144</v>
      </c>
      <c r="N1303" s="64" t="s">
        <v>265</v>
      </c>
      <c r="O1303" s="64" t="s">
        <v>668</v>
      </c>
      <c r="P1303" s="69">
        <v>44571</v>
      </c>
      <c r="Q1303" s="69">
        <v>44925</v>
      </c>
      <c r="R1303" s="64">
        <v>108</v>
      </c>
      <c r="S1303" s="65" t="s">
        <v>1468</v>
      </c>
      <c r="T1303" s="194"/>
      <c r="U1303" s="155">
        <v>0</v>
      </c>
      <c r="V1303" s="155"/>
      <c r="W1303" s="155">
        <v>0</v>
      </c>
      <c r="X1303" s="1132">
        <v>0</v>
      </c>
      <c r="Y1303" s="155">
        <v>0</v>
      </c>
      <c r="Z1303" s="155">
        <v>0</v>
      </c>
      <c r="AA1303" s="1132">
        <v>0</v>
      </c>
      <c r="AB1303" s="155">
        <v>0</v>
      </c>
      <c r="AC1303" s="155">
        <v>0</v>
      </c>
      <c r="AD1303" s="1132">
        <v>0</v>
      </c>
      <c r="AE1303" s="155">
        <v>0</v>
      </c>
      <c r="AF1303" s="155">
        <v>0</v>
      </c>
      <c r="AG1303" s="1132">
        <v>0</v>
      </c>
      <c r="AH1303" s="505">
        <f t="shared" si="387"/>
        <v>0</v>
      </c>
      <c r="AI1303" s="132"/>
      <c r="AJ1303" s="75">
        <f t="shared" si="386"/>
        <v>0</v>
      </c>
      <c r="AK1303" s="132"/>
      <c r="AL1303" s="132"/>
      <c r="AM1303" s="132"/>
      <c r="AN1303" s="64" t="s">
        <v>181</v>
      </c>
      <c r="AO1303" s="64"/>
      <c r="AP1303" s="64"/>
      <c r="AQ1303" s="64"/>
      <c r="AR1303" s="64"/>
      <c r="AS1303" s="64"/>
      <c r="AT1303" s="64"/>
      <c r="AU1303" s="646"/>
      <c r="AV1303" s="259" t="s">
        <v>1469</v>
      </c>
      <c r="AW1303" s="335" t="s">
        <v>1484</v>
      </c>
    </row>
    <row r="1304" spans="1:49" ht="33.6" hidden="1" customHeight="1" outlineLevel="3" x14ac:dyDescent="0.25">
      <c r="A1304" s="63" t="str">
        <f t="shared" si="306"/>
        <v>4.14.3.7.7.60</v>
      </c>
      <c r="B1304" s="64">
        <v>4</v>
      </c>
      <c r="C1304" s="64">
        <v>14</v>
      </c>
      <c r="D1304" s="64">
        <v>3</v>
      </c>
      <c r="E1304" s="64">
        <v>7</v>
      </c>
      <c r="F1304" s="64">
        <v>7</v>
      </c>
      <c r="G1304" s="64">
        <v>60</v>
      </c>
      <c r="H1304" s="65"/>
      <c r="I1304" s="65"/>
      <c r="J1304" s="66"/>
      <c r="K1304" s="65" t="s">
        <v>1888</v>
      </c>
      <c r="L1304" s="64" t="s">
        <v>264</v>
      </c>
      <c r="M1304" s="64" t="s">
        <v>144</v>
      </c>
      <c r="N1304" s="64" t="s">
        <v>265</v>
      </c>
      <c r="O1304" s="64" t="s">
        <v>668</v>
      </c>
      <c r="P1304" s="69">
        <v>44571</v>
      </c>
      <c r="Q1304" s="69">
        <v>44925</v>
      </c>
      <c r="R1304" s="124">
        <v>99</v>
      </c>
      <c r="S1304" s="65" t="s">
        <v>1470</v>
      </c>
      <c r="T1304" s="1203" t="e">
        <f>+#REF!/4</f>
        <v>#REF!</v>
      </c>
      <c r="U1304" s="75">
        <f>252000/4</f>
        <v>63000</v>
      </c>
      <c r="V1304" s="75"/>
      <c r="W1304" s="155">
        <v>0</v>
      </c>
      <c r="X1304" s="1132">
        <v>0</v>
      </c>
      <c r="Y1304" s="75">
        <v>63000</v>
      </c>
      <c r="Z1304" s="155">
        <v>0</v>
      </c>
      <c r="AA1304" s="1132">
        <v>0</v>
      </c>
      <c r="AB1304" s="75">
        <v>63000</v>
      </c>
      <c r="AC1304" s="155">
        <v>0</v>
      </c>
      <c r="AD1304" s="1132">
        <v>0</v>
      </c>
      <c r="AE1304" s="75">
        <v>63000</v>
      </c>
      <c r="AF1304" s="155">
        <v>0</v>
      </c>
      <c r="AG1304" s="1132">
        <v>0</v>
      </c>
      <c r="AH1304" s="505">
        <f>+U1304+Y1304+AB1304+AE1304</f>
        <v>252000</v>
      </c>
      <c r="AI1304" s="132"/>
      <c r="AJ1304" s="75">
        <f t="shared" si="386"/>
        <v>0</v>
      </c>
      <c r="AK1304" s="281"/>
      <c r="AL1304" s="281"/>
      <c r="AM1304" s="281"/>
      <c r="AN1304" s="64" t="s">
        <v>181</v>
      </c>
      <c r="AO1304" s="64" t="s">
        <v>1839</v>
      </c>
      <c r="AP1304" s="64" t="s">
        <v>649</v>
      </c>
      <c r="AQ1304" s="533" t="s">
        <v>649</v>
      </c>
      <c r="AR1304" s="554">
        <v>44562</v>
      </c>
      <c r="AS1304" s="554">
        <v>44926</v>
      </c>
      <c r="AT1304" s="64" t="s">
        <v>1814</v>
      </c>
      <c r="AU1304" s="877" t="s">
        <v>2091</v>
      </c>
      <c r="AV1304" s="259" t="s">
        <v>672</v>
      </c>
      <c r="AW1304" s="335" t="s">
        <v>2617</v>
      </c>
    </row>
    <row r="1305" spans="1:49" ht="33.6" hidden="1" customHeight="1" outlineLevel="3" x14ac:dyDescent="0.25">
      <c r="A1305" s="63" t="str">
        <f t="shared" si="306"/>
        <v>4.14.3.7.8.60</v>
      </c>
      <c r="B1305" s="64">
        <v>4</v>
      </c>
      <c r="C1305" s="64">
        <v>14</v>
      </c>
      <c r="D1305" s="64">
        <v>3</v>
      </c>
      <c r="E1305" s="64">
        <v>7</v>
      </c>
      <c r="F1305" s="64">
        <v>8</v>
      </c>
      <c r="G1305" s="64">
        <v>60</v>
      </c>
      <c r="H1305" s="65"/>
      <c r="I1305" s="65"/>
      <c r="J1305" s="65"/>
      <c r="K1305" s="125" t="s">
        <v>1472</v>
      </c>
      <c r="L1305" s="64" t="s">
        <v>72</v>
      </c>
      <c r="M1305" s="64" t="s">
        <v>1473</v>
      </c>
      <c r="N1305" s="64" t="s">
        <v>1249</v>
      </c>
      <c r="O1305" s="64" t="s">
        <v>72</v>
      </c>
      <c r="P1305" s="69">
        <v>44571</v>
      </c>
      <c r="Q1305" s="69">
        <v>44925</v>
      </c>
      <c r="R1305" s="124">
        <v>0</v>
      </c>
      <c r="S1305" s="65"/>
      <c r="T1305" s="194"/>
      <c r="U1305" s="155">
        <v>0</v>
      </c>
      <c r="V1305" s="155"/>
      <c r="W1305" s="155">
        <v>0</v>
      </c>
      <c r="X1305" s="1132">
        <v>0</v>
      </c>
      <c r="Y1305" s="155">
        <v>0</v>
      </c>
      <c r="Z1305" s="155">
        <v>0</v>
      </c>
      <c r="AA1305" s="1132">
        <v>0</v>
      </c>
      <c r="AB1305" s="155">
        <v>0</v>
      </c>
      <c r="AC1305" s="155">
        <v>0</v>
      </c>
      <c r="AD1305" s="1132">
        <v>0</v>
      </c>
      <c r="AE1305" s="155">
        <v>0</v>
      </c>
      <c r="AF1305" s="155">
        <v>0</v>
      </c>
      <c r="AG1305" s="1132">
        <v>0</v>
      </c>
      <c r="AH1305" s="505">
        <f t="shared" si="387"/>
        <v>0</v>
      </c>
      <c r="AI1305" s="132"/>
      <c r="AJ1305" s="75">
        <f t="shared" si="386"/>
        <v>0</v>
      </c>
      <c r="AK1305" s="75"/>
      <c r="AL1305" s="75"/>
      <c r="AM1305" s="75"/>
      <c r="AN1305" s="64" t="s">
        <v>181</v>
      </c>
      <c r="AO1305" s="64"/>
      <c r="AP1305" s="64"/>
      <c r="AQ1305" s="64"/>
      <c r="AR1305" s="64"/>
      <c r="AS1305" s="64"/>
      <c r="AT1305" s="64"/>
      <c r="AU1305" s="646"/>
      <c r="AV1305" s="259"/>
      <c r="AW1305" s="335"/>
    </row>
    <row r="1306" spans="1:49" s="153" customFormat="1" ht="30" customHeight="1" outlineLevel="2" collapsed="1" x14ac:dyDescent="0.25">
      <c r="A1306" s="148" t="str">
        <f t="shared" si="306"/>
        <v>4.14.3.8.0.0</v>
      </c>
      <c r="B1306" s="82">
        <v>4</v>
      </c>
      <c r="C1306" s="82">
        <v>14</v>
      </c>
      <c r="D1306" s="82">
        <v>3</v>
      </c>
      <c r="E1306" s="82">
        <v>8</v>
      </c>
      <c r="F1306" s="82">
        <v>0</v>
      </c>
      <c r="G1306" s="82">
        <v>0</v>
      </c>
      <c r="H1306" s="149"/>
      <c r="I1306" s="149"/>
      <c r="J1306" s="1260" t="s">
        <v>366</v>
      </c>
      <c r="K1306" s="1259"/>
      <c r="L1306" s="82" t="s">
        <v>1475</v>
      </c>
      <c r="M1306" s="83" t="s">
        <v>1449</v>
      </c>
      <c r="N1306" s="83" t="s">
        <v>1444</v>
      </c>
      <c r="O1306" s="82" t="s">
        <v>1445</v>
      </c>
      <c r="P1306" s="82"/>
      <c r="Q1306" s="82"/>
      <c r="R1306" s="82"/>
      <c r="S1306" s="149"/>
      <c r="T1306" s="193"/>
      <c r="U1306" s="513">
        <f>+SUM(U1307:U1355)</f>
        <v>0</v>
      </c>
      <c r="V1306" s="513"/>
      <c r="W1306" s="513">
        <f t="shared" ref="W1306:AH1306" si="388">+SUM(W1307:W1355)</f>
        <v>0</v>
      </c>
      <c r="X1306" s="1158">
        <f t="shared" si="388"/>
        <v>0</v>
      </c>
      <c r="Y1306" s="513">
        <f t="shared" si="388"/>
        <v>3360</v>
      </c>
      <c r="Z1306" s="513">
        <f t="shared" si="388"/>
        <v>0</v>
      </c>
      <c r="AA1306" s="1158">
        <f t="shared" si="388"/>
        <v>0</v>
      </c>
      <c r="AB1306" s="513">
        <f t="shared" si="388"/>
        <v>0</v>
      </c>
      <c r="AC1306" s="513">
        <f t="shared" si="388"/>
        <v>0</v>
      </c>
      <c r="AD1306" s="1158">
        <f t="shared" si="388"/>
        <v>0</v>
      </c>
      <c r="AE1306" s="513">
        <f t="shared" si="388"/>
        <v>0</v>
      </c>
      <c r="AF1306" s="513">
        <f t="shared" si="388"/>
        <v>0</v>
      </c>
      <c r="AG1306" s="1158">
        <f t="shared" si="388"/>
        <v>0</v>
      </c>
      <c r="AH1306" s="513">
        <f t="shared" si="388"/>
        <v>3360</v>
      </c>
      <c r="AI1306" s="513">
        <f t="shared" ref="AI1306" si="389">+SUM(AI1307:AI1348)</f>
        <v>0</v>
      </c>
      <c r="AJ1306" s="513">
        <f>+SUM(AJ1307:AJ1348)</f>
        <v>0</v>
      </c>
      <c r="AK1306" s="198"/>
      <c r="AL1306" s="198"/>
      <c r="AM1306" s="198"/>
      <c r="AN1306" s="82" t="s">
        <v>181</v>
      </c>
      <c r="AO1306" s="82"/>
      <c r="AP1306" s="82"/>
      <c r="AQ1306" s="365"/>
      <c r="AR1306" s="82"/>
      <c r="AS1306" s="483"/>
      <c r="AT1306" s="82"/>
      <c r="AU1306" s="666"/>
      <c r="AV1306" s="513">
        <f t="shared" ref="AV1306" si="390">+SUM(AV1307:AV1348)</f>
        <v>0</v>
      </c>
      <c r="AW1306" s="444" t="s">
        <v>1485</v>
      </c>
    </row>
    <row r="1307" spans="1:49" ht="24" hidden="1" customHeight="1" outlineLevel="3" x14ac:dyDescent="0.25">
      <c r="A1307" s="63" t="str">
        <f t="shared" si="306"/>
        <v>4.14.3.8.1.58</v>
      </c>
      <c r="B1307" s="64">
        <v>4</v>
      </c>
      <c r="C1307" s="64">
        <v>14</v>
      </c>
      <c r="D1307" s="64">
        <v>3</v>
      </c>
      <c r="E1307" s="64">
        <v>8</v>
      </c>
      <c r="F1307" s="64">
        <v>1</v>
      </c>
      <c r="G1307" s="64">
        <v>58</v>
      </c>
      <c r="H1307" s="65"/>
      <c r="I1307" s="65"/>
      <c r="J1307" s="65"/>
      <c r="K1307" s="65" t="s">
        <v>1486</v>
      </c>
      <c r="L1307" s="64" t="s">
        <v>72</v>
      </c>
      <c r="M1307" s="64" t="s">
        <v>73</v>
      </c>
      <c r="N1307" s="64" t="s">
        <v>74</v>
      </c>
      <c r="O1307" s="64" t="s">
        <v>1487</v>
      </c>
      <c r="P1307" s="64">
        <v>30464717</v>
      </c>
      <c r="Q1307" s="170">
        <f>+P1307/7</f>
        <v>4352102.4285714282</v>
      </c>
      <c r="R1307" s="64"/>
      <c r="S1307" s="65"/>
      <c r="T1307" s="194"/>
      <c r="U1307" s="370">
        <v>0</v>
      </c>
      <c r="V1307" s="370"/>
      <c r="W1307" s="370">
        <v>0</v>
      </c>
      <c r="X1307" s="1129">
        <v>0</v>
      </c>
      <c r="Y1307" s="370">
        <v>0</v>
      </c>
      <c r="Z1307" s="370">
        <v>0</v>
      </c>
      <c r="AA1307" s="1129">
        <v>0</v>
      </c>
      <c r="AB1307" s="370">
        <v>0</v>
      </c>
      <c r="AC1307" s="370">
        <v>0</v>
      </c>
      <c r="AD1307" s="1129">
        <v>0</v>
      </c>
      <c r="AE1307" s="370">
        <v>0</v>
      </c>
      <c r="AF1307" s="370">
        <v>0</v>
      </c>
      <c r="AG1307" s="1129">
        <v>0</v>
      </c>
      <c r="AH1307" s="505">
        <f>+U1307+Y1307+AB1307+AE1307</f>
        <v>0</v>
      </c>
      <c r="AI1307" s="132"/>
      <c r="AJ1307" s="75">
        <f t="shared" ref="AJ1307:AJ1355" si="391">+W1308+Z1308+AC1308+AF1308</f>
        <v>0</v>
      </c>
      <c r="AK1307" s="75"/>
      <c r="AL1307" s="75"/>
      <c r="AM1307" s="75"/>
      <c r="AN1307" s="64" t="s">
        <v>181</v>
      </c>
      <c r="AO1307" s="64"/>
      <c r="AP1307" s="64"/>
      <c r="AQ1307" s="189"/>
      <c r="AR1307" s="64"/>
      <c r="AS1307" s="476"/>
      <c r="AT1307" s="64"/>
      <c r="AU1307" s="646"/>
      <c r="AV1307" s="259"/>
      <c r="AW1307" s="185"/>
    </row>
    <row r="1308" spans="1:49" ht="24" hidden="1" customHeight="1" outlineLevel="3" x14ac:dyDescent="0.25">
      <c r="A1308" s="63" t="str">
        <f t="shared" si="306"/>
        <v>4.14.3.8.1.59</v>
      </c>
      <c r="B1308" s="64">
        <v>4</v>
      </c>
      <c r="C1308" s="64">
        <v>14</v>
      </c>
      <c r="D1308" s="64">
        <v>3</v>
      </c>
      <c r="E1308" s="64">
        <v>8</v>
      </c>
      <c r="F1308" s="64">
        <v>1</v>
      </c>
      <c r="G1308" s="64">
        <v>59</v>
      </c>
      <c r="H1308" s="65"/>
      <c r="I1308" s="65"/>
      <c r="J1308" s="65"/>
      <c r="K1308" s="65" t="s">
        <v>1488</v>
      </c>
      <c r="L1308" s="64"/>
      <c r="M1308" s="64"/>
      <c r="N1308" s="64"/>
      <c r="O1308" s="64"/>
      <c r="P1308" s="64"/>
      <c r="Q1308" s="170"/>
      <c r="R1308" s="64"/>
      <c r="S1308" s="65"/>
      <c r="T1308" s="194"/>
      <c r="U1308" s="370">
        <v>0</v>
      </c>
      <c r="V1308" s="370"/>
      <c r="W1308" s="370">
        <v>0</v>
      </c>
      <c r="X1308" s="1129">
        <v>0</v>
      </c>
      <c r="Y1308" s="370">
        <v>0</v>
      </c>
      <c r="Z1308" s="370">
        <v>0</v>
      </c>
      <c r="AA1308" s="1129">
        <v>0</v>
      </c>
      <c r="AB1308" s="370">
        <v>0</v>
      </c>
      <c r="AC1308" s="370">
        <v>0</v>
      </c>
      <c r="AD1308" s="1129">
        <v>0</v>
      </c>
      <c r="AE1308" s="370">
        <v>0</v>
      </c>
      <c r="AF1308" s="370">
        <v>0</v>
      </c>
      <c r="AG1308" s="1129">
        <v>0</v>
      </c>
      <c r="AH1308" s="505">
        <f t="shared" ref="AH1308:AH1355" si="392">+U1308+Y1308+AB1308+AE1308</f>
        <v>0</v>
      </c>
      <c r="AI1308" s="132"/>
      <c r="AJ1308" s="75">
        <f t="shared" si="391"/>
        <v>0</v>
      </c>
      <c r="AK1308" s="75"/>
      <c r="AL1308" s="75"/>
      <c r="AM1308" s="75"/>
      <c r="AN1308" s="64" t="s">
        <v>181</v>
      </c>
      <c r="AO1308" s="64"/>
      <c r="AP1308" s="64"/>
      <c r="AQ1308" s="189"/>
      <c r="AR1308" s="64"/>
      <c r="AS1308" s="476"/>
      <c r="AT1308" s="64"/>
      <c r="AU1308" s="646"/>
      <c r="AV1308" s="259"/>
      <c r="AW1308" s="185"/>
    </row>
    <row r="1309" spans="1:49" ht="24" hidden="1" customHeight="1" outlineLevel="3" x14ac:dyDescent="0.25">
      <c r="A1309" s="63" t="str">
        <f t="shared" si="306"/>
        <v>4.14.3.8.1.60</v>
      </c>
      <c r="B1309" s="64">
        <v>4</v>
      </c>
      <c r="C1309" s="64">
        <v>14</v>
      </c>
      <c r="D1309" s="64">
        <v>3</v>
      </c>
      <c r="E1309" s="64">
        <v>8</v>
      </c>
      <c r="F1309" s="64">
        <v>1</v>
      </c>
      <c r="G1309" s="64">
        <v>60</v>
      </c>
      <c r="H1309" s="65"/>
      <c r="I1309" s="65"/>
      <c r="J1309" s="65"/>
      <c r="K1309" s="65" t="s">
        <v>1489</v>
      </c>
      <c r="L1309" s="64"/>
      <c r="M1309" s="64"/>
      <c r="N1309" s="64"/>
      <c r="O1309" s="64"/>
      <c r="P1309" s="64"/>
      <c r="Q1309" s="170"/>
      <c r="R1309" s="64"/>
      <c r="S1309" s="65"/>
      <c r="T1309" s="194"/>
      <c r="U1309" s="370">
        <v>0</v>
      </c>
      <c r="V1309" s="370"/>
      <c r="W1309" s="370">
        <v>0</v>
      </c>
      <c r="X1309" s="1129">
        <v>0</v>
      </c>
      <c r="Y1309" s="370">
        <v>0</v>
      </c>
      <c r="Z1309" s="370">
        <v>0</v>
      </c>
      <c r="AA1309" s="1129">
        <v>0</v>
      </c>
      <c r="AB1309" s="370">
        <v>0</v>
      </c>
      <c r="AC1309" s="370">
        <v>0</v>
      </c>
      <c r="AD1309" s="1129">
        <v>0</v>
      </c>
      <c r="AE1309" s="370">
        <v>0</v>
      </c>
      <c r="AF1309" s="370">
        <v>0</v>
      </c>
      <c r="AG1309" s="1129">
        <v>0</v>
      </c>
      <c r="AH1309" s="505">
        <f t="shared" si="392"/>
        <v>0</v>
      </c>
      <c r="AI1309" s="132"/>
      <c r="AJ1309" s="75">
        <f t="shared" si="391"/>
        <v>0</v>
      </c>
      <c r="AK1309" s="75"/>
      <c r="AL1309" s="75"/>
      <c r="AM1309" s="75"/>
      <c r="AN1309" s="64" t="s">
        <v>181</v>
      </c>
      <c r="AO1309" s="64"/>
      <c r="AP1309" s="64"/>
      <c r="AQ1309" s="189"/>
      <c r="AR1309" s="64"/>
      <c r="AS1309" s="476"/>
      <c r="AT1309" s="64"/>
      <c r="AU1309" s="646"/>
      <c r="AV1309" s="259"/>
      <c r="AW1309" s="185"/>
    </row>
    <row r="1310" spans="1:49" ht="24" hidden="1" customHeight="1" outlineLevel="3" x14ac:dyDescent="0.25">
      <c r="A1310" s="63" t="str">
        <f t="shared" si="306"/>
        <v>4.14.3.8.1.61</v>
      </c>
      <c r="B1310" s="64">
        <v>4</v>
      </c>
      <c r="C1310" s="64">
        <v>14</v>
      </c>
      <c r="D1310" s="64">
        <v>3</v>
      </c>
      <c r="E1310" s="64">
        <v>8</v>
      </c>
      <c r="F1310" s="64">
        <v>1</v>
      </c>
      <c r="G1310" s="64">
        <v>61</v>
      </c>
      <c r="H1310" s="65"/>
      <c r="I1310" s="65"/>
      <c r="J1310" s="65"/>
      <c r="K1310" s="65" t="s">
        <v>1490</v>
      </c>
      <c r="L1310" s="64"/>
      <c r="M1310" s="64"/>
      <c r="N1310" s="64"/>
      <c r="O1310" s="64"/>
      <c r="P1310" s="64"/>
      <c r="Q1310" s="170"/>
      <c r="R1310" s="64"/>
      <c r="S1310" s="65"/>
      <c r="T1310" s="194"/>
      <c r="U1310" s="370">
        <v>0</v>
      </c>
      <c r="V1310" s="370"/>
      <c r="W1310" s="370">
        <v>0</v>
      </c>
      <c r="X1310" s="1129">
        <v>0</v>
      </c>
      <c r="Y1310" s="370">
        <v>0</v>
      </c>
      <c r="Z1310" s="370">
        <v>0</v>
      </c>
      <c r="AA1310" s="1129">
        <v>0</v>
      </c>
      <c r="AB1310" s="370">
        <v>0</v>
      </c>
      <c r="AC1310" s="370">
        <v>0</v>
      </c>
      <c r="AD1310" s="1129">
        <v>0</v>
      </c>
      <c r="AE1310" s="370">
        <v>0</v>
      </c>
      <c r="AF1310" s="370">
        <v>0</v>
      </c>
      <c r="AG1310" s="1129">
        <v>0</v>
      </c>
      <c r="AH1310" s="505">
        <f t="shared" si="392"/>
        <v>0</v>
      </c>
      <c r="AI1310" s="132"/>
      <c r="AJ1310" s="75">
        <f t="shared" si="391"/>
        <v>0</v>
      </c>
      <c r="AK1310" s="75"/>
      <c r="AL1310" s="75"/>
      <c r="AM1310" s="75"/>
      <c r="AN1310" s="64" t="s">
        <v>181</v>
      </c>
      <c r="AO1310" s="64"/>
      <c r="AP1310" s="64"/>
      <c r="AQ1310" s="189"/>
      <c r="AR1310" s="64"/>
      <c r="AS1310" s="476"/>
      <c r="AT1310" s="64"/>
      <c r="AU1310" s="646"/>
      <c r="AV1310" s="259"/>
      <c r="AW1310" s="185"/>
    </row>
    <row r="1311" spans="1:49" ht="24" hidden="1" customHeight="1" outlineLevel="3" x14ac:dyDescent="0.25">
      <c r="A1311" s="63" t="str">
        <f t="shared" si="306"/>
        <v>4.14.3.8.1.62</v>
      </c>
      <c r="B1311" s="64">
        <v>4</v>
      </c>
      <c r="C1311" s="64">
        <v>14</v>
      </c>
      <c r="D1311" s="64">
        <v>3</v>
      </c>
      <c r="E1311" s="64">
        <v>8</v>
      </c>
      <c r="F1311" s="64">
        <v>1</v>
      </c>
      <c r="G1311" s="64">
        <v>62</v>
      </c>
      <c r="H1311" s="65"/>
      <c r="I1311" s="65"/>
      <c r="J1311" s="65"/>
      <c r="K1311" s="65" t="s">
        <v>1491</v>
      </c>
      <c r="L1311" s="64"/>
      <c r="M1311" s="64"/>
      <c r="N1311" s="64"/>
      <c r="O1311" s="64"/>
      <c r="P1311" s="64"/>
      <c r="Q1311" s="170"/>
      <c r="R1311" s="64"/>
      <c r="S1311" s="65"/>
      <c r="T1311" s="194"/>
      <c r="U1311" s="370">
        <v>0</v>
      </c>
      <c r="V1311" s="370"/>
      <c r="W1311" s="370">
        <v>0</v>
      </c>
      <c r="X1311" s="1129">
        <v>0</v>
      </c>
      <c r="Y1311" s="370">
        <v>0</v>
      </c>
      <c r="Z1311" s="370">
        <v>0</v>
      </c>
      <c r="AA1311" s="1129">
        <v>0</v>
      </c>
      <c r="AB1311" s="370">
        <v>0</v>
      </c>
      <c r="AC1311" s="370">
        <v>0</v>
      </c>
      <c r="AD1311" s="1129">
        <v>0</v>
      </c>
      <c r="AE1311" s="370">
        <v>0</v>
      </c>
      <c r="AF1311" s="370">
        <v>0</v>
      </c>
      <c r="AG1311" s="1129">
        <v>0</v>
      </c>
      <c r="AH1311" s="505">
        <f t="shared" si="392"/>
        <v>0</v>
      </c>
      <c r="AI1311" s="132"/>
      <c r="AJ1311" s="75">
        <f t="shared" si="391"/>
        <v>0</v>
      </c>
      <c r="AK1311" s="75"/>
      <c r="AL1311" s="75"/>
      <c r="AM1311" s="75"/>
      <c r="AN1311" s="64" t="s">
        <v>181</v>
      </c>
      <c r="AO1311" s="64"/>
      <c r="AP1311" s="64"/>
      <c r="AQ1311" s="189"/>
      <c r="AR1311" s="64"/>
      <c r="AS1311" s="476"/>
      <c r="AT1311" s="64"/>
      <c r="AU1311" s="646"/>
      <c r="AV1311" s="259"/>
      <c r="AW1311" s="185"/>
    </row>
    <row r="1312" spans="1:49" ht="24" hidden="1" customHeight="1" outlineLevel="3" x14ac:dyDescent="0.25">
      <c r="A1312" s="63" t="str">
        <f t="shared" si="306"/>
        <v>4.14.3.8.1.63</v>
      </c>
      <c r="B1312" s="64">
        <v>4</v>
      </c>
      <c r="C1312" s="64">
        <v>14</v>
      </c>
      <c r="D1312" s="64">
        <v>3</v>
      </c>
      <c r="E1312" s="64">
        <v>8</v>
      </c>
      <c r="F1312" s="64">
        <v>1</v>
      </c>
      <c r="G1312" s="64">
        <v>63</v>
      </c>
      <c r="H1312" s="65"/>
      <c r="I1312" s="65"/>
      <c r="J1312" s="65"/>
      <c r="K1312" s="65" t="s">
        <v>1775</v>
      </c>
      <c r="L1312" s="64"/>
      <c r="M1312" s="64"/>
      <c r="N1312" s="64"/>
      <c r="O1312" s="64"/>
      <c r="P1312" s="64"/>
      <c r="Q1312" s="170"/>
      <c r="R1312" s="64"/>
      <c r="S1312" s="65"/>
      <c r="T1312" s="194"/>
      <c r="U1312" s="370">
        <v>0</v>
      </c>
      <c r="V1312" s="370"/>
      <c r="W1312" s="370">
        <v>0</v>
      </c>
      <c r="X1312" s="1129">
        <v>0</v>
      </c>
      <c r="Y1312" s="370">
        <v>0</v>
      </c>
      <c r="Z1312" s="370">
        <v>0</v>
      </c>
      <c r="AA1312" s="1129">
        <v>0</v>
      </c>
      <c r="AB1312" s="370">
        <v>0</v>
      </c>
      <c r="AC1312" s="370">
        <v>0</v>
      </c>
      <c r="AD1312" s="1129">
        <v>0</v>
      </c>
      <c r="AE1312" s="370">
        <v>0</v>
      </c>
      <c r="AF1312" s="370">
        <v>0</v>
      </c>
      <c r="AG1312" s="1129">
        <v>0</v>
      </c>
      <c r="AH1312" s="505">
        <f t="shared" si="392"/>
        <v>0</v>
      </c>
      <c r="AI1312" s="132"/>
      <c r="AJ1312" s="75">
        <f t="shared" si="391"/>
        <v>0</v>
      </c>
      <c r="AK1312" s="75"/>
      <c r="AL1312" s="75"/>
      <c r="AM1312" s="75"/>
      <c r="AN1312" s="64" t="s">
        <v>181</v>
      </c>
      <c r="AO1312" s="64"/>
      <c r="AP1312" s="64"/>
      <c r="AQ1312" s="189"/>
      <c r="AR1312" s="64"/>
      <c r="AS1312" s="476"/>
      <c r="AT1312" s="64"/>
      <c r="AU1312" s="646"/>
      <c r="AV1312" s="259"/>
      <c r="AW1312" s="185"/>
    </row>
    <row r="1313" spans="1:49" ht="24" hidden="1" customHeight="1" outlineLevel="3" x14ac:dyDescent="0.25">
      <c r="A1313" s="63" t="str">
        <f t="shared" si="306"/>
        <v>4.14.3.8.1.64</v>
      </c>
      <c r="B1313" s="64">
        <v>4</v>
      </c>
      <c r="C1313" s="64">
        <v>14</v>
      </c>
      <c r="D1313" s="64">
        <v>3</v>
      </c>
      <c r="E1313" s="64">
        <v>8</v>
      </c>
      <c r="F1313" s="64">
        <v>1</v>
      </c>
      <c r="G1313" s="64">
        <v>64</v>
      </c>
      <c r="H1313" s="65"/>
      <c r="I1313" s="65"/>
      <c r="J1313" s="65"/>
      <c r="K1313" s="65" t="s">
        <v>1492</v>
      </c>
      <c r="L1313" s="64"/>
      <c r="M1313" s="64"/>
      <c r="N1313" s="64"/>
      <c r="O1313" s="64"/>
      <c r="P1313" s="64"/>
      <c r="Q1313" s="170"/>
      <c r="R1313" s="64"/>
      <c r="S1313" s="65"/>
      <c r="T1313" s="194"/>
      <c r="U1313" s="370">
        <v>0</v>
      </c>
      <c r="V1313" s="370"/>
      <c r="W1313" s="370">
        <v>0</v>
      </c>
      <c r="X1313" s="1129">
        <v>0</v>
      </c>
      <c r="Y1313" s="370">
        <v>0</v>
      </c>
      <c r="Z1313" s="370">
        <v>0</v>
      </c>
      <c r="AA1313" s="1129">
        <v>0</v>
      </c>
      <c r="AB1313" s="370">
        <v>0</v>
      </c>
      <c r="AC1313" s="370">
        <v>0</v>
      </c>
      <c r="AD1313" s="1129">
        <v>0</v>
      </c>
      <c r="AE1313" s="370">
        <v>0</v>
      </c>
      <c r="AF1313" s="370">
        <v>0</v>
      </c>
      <c r="AG1313" s="1129">
        <v>0</v>
      </c>
      <c r="AH1313" s="505">
        <f t="shared" si="392"/>
        <v>0</v>
      </c>
      <c r="AI1313" s="132"/>
      <c r="AJ1313" s="75">
        <f t="shared" si="391"/>
        <v>0</v>
      </c>
      <c r="AK1313" s="75"/>
      <c r="AL1313" s="75"/>
      <c r="AM1313" s="75"/>
      <c r="AN1313" s="64" t="s">
        <v>181</v>
      </c>
      <c r="AO1313" s="64"/>
      <c r="AP1313" s="64"/>
      <c r="AQ1313" s="189"/>
      <c r="AR1313" s="64"/>
      <c r="AS1313" s="476"/>
      <c r="AT1313" s="64"/>
      <c r="AU1313" s="646"/>
      <c r="AV1313" s="259"/>
      <c r="AW1313" s="185"/>
    </row>
    <row r="1314" spans="1:49" ht="39" hidden="1" customHeight="1" outlineLevel="3" x14ac:dyDescent="0.25">
      <c r="A1314" s="63" t="str">
        <f t="shared" si="306"/>
        <v>4.14.3.8.2.58</v>
      </c>
      <c r="B1314" s="64">
        <v>4</v>
      </c>
      <c r="C1314" s="64">
        <v>14</v>
      </c>
      <c r="D1314" s="64">
        <v>3</v>
      </c>
      <c r="E1314" s="64">
        <v>8</v>
      </c>
      <c r="F1314" s="64">
        <v>2</v>
      </c>
      <c r="G1314" s="64">
        <v>58</v>
      </c>
      <c r="H1314" s="65"/>
      <c r="I1314" s="65"/>
      <c r="J1314" s="66"/>
      <c r="K1314" s="67" t="s">
        <v>1493</v>
      </c>
      <c r="L1314" s="64" t="s">
        <v>72</v>
      </c>
      <c r="M1314" s="64" t="s">
        <v>73</v>
      </c>
      <c r="N1314" s="64" t="s">
        <v>74</v>
      </c>
      <c r="O1314" s="64" t="s">
        <v>1487</v>
      </c>
      <c r="P1314" s="64"/>
      <c r="Q1314" s="64"/>
      <c r="R1314" s="64"/>
      <c r="S1314" s="65"/>
      <c r="T1314" s="194"/>
      <c r="U1314" s="370">
        <v>0</v>
      </c>
      <c r="V1314" s="370"/>
      <c r="W1314" s="370">
        <v>0</v>
      </c>
      <c r="X1314" s="1129">
        <v>0</v>
      </c>
      <c r="Y1314" s="370">
        <v>0</v>
      </c>
      <c r="Z1314" s="370">
        <v>0</v>
      </c>
      <c r="AA1314" s="1129">
        <v>0</v>
      </c>
      <c r="AB1314" s="370">
        <v>0</v>
      </c>
      <c r="AC1314" s="370">
        <v>0</v>
      </c>
      <c r="AD1314" s="1129">
        <v>0</v>
      </c>
      <c r="AE1314" s="370">
        <v>0</v>
      </c>
      <c r="AF1314" s="370">
        <v>0</v>
      </c>
      <c r="AG1314" s="1129">
        <v>0</v>
      </c>
      <c r="AH1314" s="505">
        <f t="shared" si="392"/>
        <v>0</v>
      </c>
      <c r="AI1314" s="132"/>
      <c r="AJ1314" s="75">
        <f t="shared" si="391"/>
        <v>0</v>
      </c>
      <c r="AK1314" s="75"/>
      <c r="AL1314" s="75"/>
      <c r="AM1314" s="75"/>
      <c r="AN1314" s="64" t="s">
        <v>181</v>
      </c>
      <c r="AO1314" s="64"/>
      <c r="AP1314" s="64"/>
      <c r="AQ1314" s="189"/>
      <c r="AR1314" s="64"/>
      <c r="AS1314" s="476"/>
      <c r="AT1314" s="64"/>
      <c r="AU1314" s="646"/>
      <c r="AV1314" s="259"/>
      <c r="AW1314" s="185"/>
    </row>
    <row r="1315" spans="1:49" ht="24" hidden="1" customHeight="1" outlineLevel="3" x14ac:dyDescent="0.25">
      <c r="A1315" s="63" t="str">
        <f t="shared" si="306"/>
        <v>4.14.3.8.2.59</v>
      </c>
      <c r="B1315" s="64">
        <v>4</v>
      </c>
      <c r="C1315" s="64">
        <v>14</v>
      </c>
      <c r="D1315" s="64">
        <v>3</v>
      </c>
      <c r="E1315" s="64">
        <v>8</v>
      </c>
      <c r="F1315" s="64">
        <v>2</v>
      </c>
      <c r="G1315" s="64">
        <v>59</v>
      </c>
      <c r="H1315" s="65"/>
      <c r="I1315" s="65"/>
      <c r="J1315" s="66"/>
      <c r="K1315" s="65" t="s">
        <v>1494</v>
      </c>
      <c r="L1315" s="64"/>
      <c r="M1315" s="64"/>
      <c r="N1315" s="64"/>
      <c r="O1315" s="64"/>
      <c r="P1315" s="64"/>
      <c r="Q1315" s="64"/>
      <c r="R1315" s="64"/>
      <c r="S1315" s="65"/>
      <c r="T1315" s="194"/>
      <c r="U1315" s="370">
        <v>0</v>
      </c>
      <c r="V1315" s="370"/>
      <c r="W1315" s="370">
        <v>0</v>
      </c>
      <c r="X1315" s="1129">
        <v>0</v>
      </c>
      <c r="Y1315" s="370">
        <v>0</v>
      </c>
      <c r="Z1315" s="370">
        <v>0</v>
      </c>
      <c r="AA1315" s="1129">
        <v>0</v>
      </c>
      <c r="AB1315" s="370">
        <v>0</v>
      </c>
      <c r="AC1315" s="370">
        <v>0</v>
      </c>
      <c r="AD1315" s="1129">
        <v>0</v>
      </c>
      <c r="AE1315" s="370">
        <v>0</v>
      </c>
      <c r="AF1315" s="370">
        <v>0</v>
      </c>
      <c r="AG1315" s="1129">
        <v>0</v>
      </c>
      <c r="AH1315" s="505">
        <f t="shared" si="392"/>
        <v>0</v>
      </c>
      <c r="AI1315" s="132"/>
      <c r="AJ1315" s="75">
        <f t="shared" si="391"/>
        <v>0</v>
      </c>
      <c r="AK1315" s="75"/>
      <c r="AL1315" s="75"/>
      <c r="AM1315" s="75"/>
      <c r="AN1315" s="64" t="s">
        <v>181</v>
      </c>
      <c r="AO1315" s="64"/>
      <c r="AP1315" s="64"/>
      <c r="AQ1315" s="189"/>
      <c r="AR1315" s="64"/>
      <c r="AS1315" s="476"/>
      <c r="AT1315" s="64"/>
      <c r="AU1315" s="646"/>
      <c r="AV1315" s="259"/>
      <c r="AW1315" s="185"/>
    </row>
    <row r="1316" spans="1:49" ht="24" hidden="1" customHeight="1" outlineLevel="3" x14ac:dyDescent="0.25">
      <c r="A1316" s="63" t="str">
        <f t="shared" si="306"/>
        <v>4.14.3.8.2.60</v>
      </c>
      <c r="B1316" s="64">
        <v>4</v>
      </c>
      <c r="C1316" s="64">
        <v>14</v>
      </c>
      <c r="D1316" s="64">
        <v>3</v>
      </c>
      <c r="E1316" s="64">
        <v>8</v>
      </c>
      <c r="F1316" s="64">
        <v>2</v>
      </c>
      <c r="G1316" s="64">
        <v>60</v>
      </c>
      <c r="H1316" s="65"/>
      <c r="I1316" s="65"/>
      <c r="J1316" s="66"/>
      <c r="K1316" s="65" t="s">
        <v>1495</v>
      </c>
      <c r="L1316" s="64"/>
      <c r="M1316" s="64"/>
      <c r="N1316" s="64"/>
      <c r="O1316" s="64"/>
      <c r="P1316" s="64"/>
      <c r="Q1316" s="64"/>
      <c r="R1316" s="64"/>
      <c r="S1316" s="65"/>
      <c r="T1316" s="194"/>
      <c r="U1316" s="370">
        <v>0</v>
      </c>
      <c r="V1316" s="370"/>
      <c r="W1316" s="370">
        <v>0</v>
      </c>
      <c r="X1316" s="1129">
        <v>0</v>
      </c>
      <c r="Y1316" s="370">
        <v>0</v>
      </c>
      <c r="Z1316" s="370">
        <v>0</v>
      </c>
      <c r="AA1316" s="1129">
        <v>0</v>
      </c>
      <c r="AB1316" s="370">
        <v>0</v>
      </c>
      <c r="AC1316" s="370">
        <v>0</v>
      </c>
      <c r="AD1316" s="1129">
        <v>0</v>
      </c>
      <c r="AE1316" s="370">
        <v>0</v>
      </c>
      <c r="AF1316" s="370">
        <v>0</v>
      </c>
      <c r="AG1316" s="1129">
        <v>0</v>
      </c>
      <c r="AH1316" s="505">
        <f t="shared" si="392"/>
        <v>0</v>
      </c>
      <c r="AI1316" s="132"/>
      <c r="AJ1316" s="75">
        <f t="shared" si="391"/>
        <v>0</v>
      </c>
      <c r="AK1316" s="75"/>
      <c r="AL1316" s="75"/>
      <c r="AM1316" s="75"/>
      <c r="AN1316" s="64" t="s">
        <v>181</v>
      </c>
      <c r="AO1316" s="64"/>
      <c r="AP1316" s="64"/>
      <c r="AQ1316" s="189"/>
      <c r="AR1316" s="64"/>
      <c r="AS1316" s="476"/>
      <c r="AT1316" s="64"/>
      <c r="AU1316" s="646"/>
      <c r="AV1316" s="259"/>
      <c r="AW1316" s="185"/>
    </row>
    <row r="1317" spans="1:49" ht="24" hidden="1" customHeight="1" outlineLevel="3" x14ac:dyDescent="0.25">
      <c r="A1317" s="63" t="str">
        <f t="shared" si="306"/>
        <v>4.14.3.8.2.61</v>
      </c>
      <c r="B1317" s="64">
        <v>4</v>
      </c>
      <c r="C1317" s="64">
        <v>14</v>
      </c>
      <c r="D1317" s="64">
        <v>3</v>
      </c>
      <c r="E1317" s="64">
        <v>8</v>
      </c>
      <c r="F1317" s="64">
        <v>2</v>
      </c>
      <c r="G1317" s="64">
        <v>61</v>
      </c>
      <c r="H1317" s="65"/>
      <c r="I1317" s="65"/>
      <c r="J1317" s="66"/>
      <c r="K1317" s="65" t="s">
        <v>1496</v>
      </c>
      <c r="L1317" s="64"/>
      <c r="M1317" s="64"/>
      <c r="N1317" s="64"/>
      <c r="O1317" s="64"/>
      <c r="P1317" s="64"/>
      <c r="Q1317" s="64"/>
      <c r="R1317" s="64"/>
      <c r="S1317" s="65"/>
      <c r="T1317" s="194"/>
      <c r="U1317" s="370">
        <v>0</v>
      </c>
      <c r="V1317" s="370"/>
      <c r="W1317" s="370">
        <v>0</v>
      </c>
      <c r="X1317" s="1129">
        <v>0</v>
      </c>
      <c r="Y1317" s="370">
        <v>0</v>
      </c>
      <c r="Z1317" s="370">
        <v>0</v>
      </c>
      <c r="AA1317" s="1129">
        <v>0</v>
      </c>
      <c r="AB1317" s="370">
        <v>0</v>
      </c>
      <c r="AC1317" s="370">
        <v>0</v>
      </c>
      <c r="AD1317" s="1129">
        <v>0</v>
      </c>
      <c r="AE1317" s="370">
        <v>0</v>
      </c>
      <c r="AF1317" s="370">
        <v>0</v>
      </c>
      <c r="AG1317" s="1129">
        <v>0</v>
      </c>
      <c r="AH1317" s="505">
        <f t="shared" si="392"/>
        <v>0</v>
      </c>
      <c r="AI1317" s="132"/>
      <c r="AJ1317" s="75">
        <f t="shared" si="391"/>
        <v>0</v>
      </c>
      <c r="AK1317" s="75"/>
      <c r="AL1317" s="75"/>
      <c r="AM1317" s="75"/>
      <c r="AN1317" s="64" t="s">
        <v>181</v>
      </c>
      <c r="AO1317" s="64"/>
      <c r="AP1317" s="64"/>
      <c r="AQ1317" s="189"/>
      <c r="AR1317" s="64"/>
      <c r="AS1317" s="476"/>
      <c r="AT1317" s="64"/>
      <c r="AU1317" s="646"/>
      <c r="AV1317" s="259"/>
      <c r="AW1317" s="185"/>
    </row>
    <row r="1318" spans="1:49" ht="24" hidden="1" customHeight="1" outlineLevel="3" x14ac:dyDescent="0.25">
      <c r="A1318" s="63" t="str">
        <f t="shared" si="306"/>
        <v>4.14.3.8.2.62</v>
      </c>
      <c r="B1318" s="64">
        <v>4</v>
      </c>
      <c r="C1318" s="64">
        <v>14</v>
      </c>
      <c r="D1318" s="64">
        <v>3</v>
      </c>
      <c r="E1318" s="64">
        <v>8</v>
      </c>
      <c r="F1318" s="64">
        <v>2</v>
      </c>
      <c r="G1318" s="64">
        <v>62</v>
      </c>
      <c r="H1318" s="65"/>
      <c r="I1318" s="65"/>
      <c r="J1318" s="66"/>
      <c r="K1318" s="65" t="s">
        <v>1497</v>
      </c>
      <c r="L1318" s="64"/>
      <c r="M1318" s="64"/>
      <c r="N1318" s="64"/>
      <c r="O1318" s="64"/>
      <c r="P1318" s="64"/>
      <c r="Q1318" s="64"/>
      <c r="R1318" s="64"/>
      <c r="S1318" s="65"/>
      <c r="T1318" s="194"/>
      <c r="U1318" s="370">
        <v>0</v>
      </c>
      <c r="V1318" s="370"/>
      <c r="W1318" s="370">
        <v>0</v>
      </c>
      <c r="X1318" s="1129">
        <v>0</v>
      </c>
      <c r="Y1318" s="370">
        <v>0</v>
      </c>
      <c r="Z1318" s="370">
        <v>0</v>
      </c>
      <c r="AA1318" s="1129">
        <v>0</v>
      </c>
      <c r="AB1318" s="370">
        <v>0</v>
      </c>
      <c r="AC1318" s="370">
        <v>0</v>
      </c>
      <c r="AD1318" s="1129">
        <v>0</v>
      </c>
      <c r="AE1318" s="370">
        <v>0</v>
      </c>
      <c r="AF1318" s="370">
        <v>0</v>
      </c>
      <c r="AG1318" s="1129">
        <v>0</v>
      </c>
      <c r="AH1318" s="505">
        <f t="shared" si="392"/>
        <v>0</v>
      </c>
      <c r="AI1318" s="132"/>
      <c r="AJ1318" s="75">
        <f t="shared" si="391"/>
        <v>0</v>
      </c>
      <c r="AK1318" s="75"/>
      <c r="AL1318" s="75"/>
      <c r="AM1318" s="75"/>
      <c r="AN1318" s="64" t="s">
        <v>181</v>
      </c>
      <c r="AO1318" s="64"/>
      <c r="AP1318" s="64"/>
      <c r="AQ1318" s="189"/>
      <c r="AR1318" s="64"/>
      <c r="AS1318" s="476"/>
      <c r="AT1318" s="64"/>
      <c r="AU1318" s="646"/>
      <c r="AV1318" s="259"/>
      <c r="AW1318" s="185"/>
    </row>
    <row r="1319" spans="1:49" ht="24" hidden="1" customHeight="1" outlineLevel="3" x14ac:dyDescent="0.25">
      <c r="A1319" s="63" t="str">
        <f t="shared" si="306"/>
        <v>4.14.3.8.2.63</v>
      </c>
      <c r="B1319" s="64">
        <v>4</v>
      </c>
      <c r="C1319" s="64">
        <v>14</v>
      </c>
      <c r="D1319" s="64">
        <v>3</v>
      </c>
      <c r="E1319" s="64">
        <v>8</v>
      </c>
      <c r="F1319" s="64">
        <v>2</v>
      </c>
      <c r="G1319" s="64">
        <v>63</v>
      </c>
      <c r="H1319" s="65"/>
      <c r="I1319" s="65"/>
      <c r="J1319" s="66"/>
      <c r="K1319" s="65" t="s">
        <v>1776</v>
      </c>
      <c r="L1319" s="64"/>
      <c r="M1319" s="64"/>
      <c r="N1319" s="64"/>
      <c r="O1319" s="64"/>
      <c r="P1319" s="64"/>
      <c r="Q1319" s="64"/>
      <c r="R1319" s="64"/>
      <c r="S1319" s="65"/>
      <c r="T1319" s="194"/>
      <c r="U1319" s="370">
        <v>0</v>
      </c>
      <c r="V1319" s="370"/>
      <c r="W1319" s="370">
        <v>0</v>
      </c>
      <c r="X1319" s="1129">
        <v>0</v>
      </c>
      <c r="Y1319" s="370">
        <v>0</v>
      </c>
      <c r="Z1319" s="370">
        <v>0</v>
      </c>
      <c r="AA1319" s="1129">
        <v>0</v>
      </c>
      <c r="AB1319" s="370">
        <v>0</v>
      </c>
      <c r="AC1319" s="370">
        <v>0</v>
      </c>
      <c r="AD1319" s="1129">
        <v>0</v>
      </c>
      <c r="AE1319" s="370">
        <v>0</v>
      </c>
      <c r="AF1319" s="370">
        <v>0</v>
      </c>
      <c r="AG1319" s="1129">
        <v>0</v>
      </c>
      <c r="AH1319" s="505">
        <f t="shared" si="392"/>
        <v>0</v>
      </c>
      <c r="AI1319" s="132"/>
      <c r="AJ1319" s="75">
        <f t="shared" si="391"/>
        <v>0</v>
      </c>
      <c r="AK1319" s="75"/>
      <c r="AL1319" s="75"/>
      <c r="AM1319" s="75"/>
      <c r="AN1319" s="64" t="s">
        <v>181</v>
      </c>
      <c r="AO1319" s="64"/>
      <c r="AP1319" s="64"/>
      <c r="AQ1319" s="189"/>
      <c r="AR1319" s="64"/>
      <c r="AS1319" s="476"/>
      <c r="AT1319" s="64"/>
      <c r="AU1319" s="646"/>
      <c r="AV1319" s="259"/>
      <c r="AW1319" s="185"/>
    </row>
    <row r="1320" spans="1:49" ht="24" hidden="1" customHeight="1" outlineLevel="3" x14ac:dyDescent="0.25">
      <c r="A1320" s="63" t="str">
        <f t="shared" si="306"/>
        <v>4.14.3.8.2.64</v>
      </c>
      <c r="B1320" s="64">
        <v>4</v>
      </c>
      <c r="C1320" s="64">
        <v>14</v>
      </c>
      <c r="D1320" s="64">
        <v>3</v>
      </c>
      <c r="E1320" s="64">
        <v>8</v>
      </c>
      <c r="F1320" s="64">
        <v>2</v>
      </c>
      <c r="G1320" s="64">
        <v>64</v>
      </c>
      <c r="H1320" s="65"/>
      <c r="I1320" s="65"/>
      <c r="J1320" s="66"/>
      <c r="K1320" s="65" t="s">
        <v>1498</v>
      </c>
      <c r="L1320" s="64"/>
      <c r="M1320" s="64"/>
      <c r="N1320" s="64"/>
      <c r="O1320" s="64"/>
      <c r="P1320" s="64"/>
      <c r="Q1320" s="64"/>
      <c r="R1320" s="64"/>
      <c r="S1320" s="65"/>
      <c r="T1320" s="194"/>
      <c r="U1320" s="370">
        <v>0</v>
      </c>
      <c r="V1320" s="370"/>
      <c r="W1320" s="370">
        <v>0</v>
      </c>
      <c r="X1320" s="1129">
        <v>0</v>
      </c>
      <c r="Y1320" s="370">
        <v>0</v>
      </c>
      <c r="Z1320" s="370">
        <v>0</v>
      </c>
      <c r="AA1320" s="1129">
        <v>0</v>
      </c>
      <c r="AB1320" s="370">
        <v>0</v>
      </c>
      <c r="AC1320" s="370">
        <v>0</v>
      </c>
      <c r="AD1320" s="1129">
        <v>0</v>
      </c>
      <c r="AE1320" s="370">
        <v>0</v>
      </c>
      <c r="AF1320" s="370">
        <v>0</v>
      </c>
      <c r="AG1320" s="1129">
        <v>0</v>
      </c>
      <c r="AH1320" s="505">
        <f t="shared" si="392"/>
        <v>0</v>
      </c>
      <c r="AI1320" s="132"/>
      <c r="AJ1320" s="75">
        <f t="shared" si="391"/>
        <v>0</v>
      </c>
      <c r="AK1320" s="75"/>
      <c r="AL1320" s="75"/>
      <c r="AM1320" s="75"/>
      <c r="AN1320" s="64" t="s">
        <v>181</v>
      </c>
      <c r="AO1320" s="64"/>
      <c r="AP1320" s="64"/>
      <c r="AQ1320" s="189"/>
      <c r="AR1320" s="64"/>
      <c r="AS1320" s="476"/>
      <c r="AT1320" s="64"/>
      <c r="AU1320" s="646"/>
      <c r="AV1320" s="259"/>
      <c r="AW1320" s="185"/>
    </row>
    <row r="1321" spans="1:49" ht="45.6" hidden="1" customHeight="1" outlineLevel="3" x14ac:dyDescent="0.25">
      <c r="A1321" s="63" t="str">
        <f t="shared" si="306"/>
        <v>4.14.3.8.3.58</v>
      </c>
      <c r="B1321" s="64">
        <v>4</v>
      </c>
      <c r="C1321" s="64">
        <v>14</v>
      </c>
      <c r="D1321" s="64">
        <v>3</v>
      </c>
      <c r="E1321" s="64">
        <v>8</v>
      </c>
      <c r="F1321" s="64">
        <v>3</v>
      </c>
      <c r="G1321" s="64">
        <v>58</v>
      </c>
      <c r="H1321" s="65"/>
      <c r="I1321" s="65"/>
      <c r="J1321" s="66"/>
      <c r="K1321" s="67" t="s">
        <v>1499</v>
      </c>
      <c r="L1321" s="64" t="s">
        <v>72</v>
      </c>
      <c r="M1321" s="64" t="s">
        <v>73</v>
      </c>
      <c r="N1321" s="64" t="s">
        <v>74</v>
      </c>
      <c r="O1321" s="64" t="s">
        <v>1487</v>
      </c>
      <c r="P1321" s="64"/>
      <c r="Q1321" s="64"/>
      <c r="R1321" s="64"/>
      <c r="S1321" s="65"/>
      <c r="T1321" s="194"/>
      <c r="U1321" s="370">
        <v>0</v>
      </c>
      <c r="V1321" s="370"/>
      <c r="W1321" s="370">
        <v>0</v>
      </c>
      <c r="X1321" s="1129">
        <v>0</v>
      </c>
      <c r="Y1321" s="370">
        <v>0</v>
      </c>
      <c r="Z1321" s="370">
        <v>0</v>
      </c>
      <c r="AA1321" s="1129">
        <v>0</v>
      </c>
      <c r="AB1321" s="370">
        <v>0</v>
      </c>
      <c r="AC1321" s="370">
        <v>0</v>
      </c>
      <c r="AD1321" s="1129">
        <v>0</v>
      </c>
      <c r="AE1321" s="370">
        <v>0</v>
      </c>
      <c r="AF1321" s="370">
        <v>0</v>
      </c>
      <c r="AG1321" s="1129">
        <v>0</v>
      </c>
      <c r="AH1321" s="505">
        <f t="shared" si="392"/>
        <v>0</v>
      </c>
      <c r="AI1321" s="132"/>
      <c r="AJ1321" s="75">
        <f t="shared" si="391"/>
        <v>0</v>
      </c>
      <c r="AK1321" s="75"/>
      <c r="AL1321" s="75"/>
      <c r="AM1321" s="75"/>
      <c r="AN1321" s="64" t="s">
        <v>181</v>
      </c>
      <c r="AO1321" s="64"/>
      <c r="AP1321" s="64"/>
      <c r="AQ1321" s="189"/>
      <c r="AR1321" s="64"/>
      <c r="AS1321" s="476"/>
      <c r="AT1321" s="64"/>
      <c r="AU1321" s="646"/>
      <c r="AV1321" s="259"/>
      <c r="AW1321" s="185"/>
    </row>
    <row r="1322" spans="1:49" ht="24" hidden="1" customHeight="1" outlineLevel="3" x14ac:dyDescent="0.25">
      <c r="A1322" s="63" t="str">
        <f t="shared" si="306"/>
        <v>4.14.3.8.3.59</v>
      </c>
      <c r="B1322" s="64">
        <v>4</v>
      </c>
      <c r="C1322" s="64">
        <v>14</v>
      </c>
      <c r="D1322" s="64">
        <v>3</v>
      </c>
      <c r="E1322" s="64">
        <v>8</v>
      </c>
      <c r="F1322" s="64">
        <v>3</v>
      </c>
      <c r="G1322" s="64">
        <v>59</v>
      </c>
      <c r="H1322" s="65"/>
      <c r="I1322" s="65"/>
      <c r="J1322" s="66"/>
      <c r="K1322" s="65" t="s">
        <v>1500</v>
      </c>
      <c r="L1322" s="64" t="s">
        <v>72</v>
      </c>
      <c r="M1322" s="64" t="s">
        <v>73</v>
      </c>
      <c r="N1322" s="64" t="s">
        <v>74</v>
      </c>
      <c r="O1322" s="64" t="s">
        <v>1487</v>
      </c>
      <c r="P1322" s="64"/>
      <c r="Q1322" s="64"/>
      <c r="R1322" s="64"/>
      <c r="S1322" s="65"/>
      <c r="T1322" s="194"/>
      <c r="U1322" s="370">
        <v>0</v>
      </c>
      <c r="V1322" s="370"/>
      <c r="W1322" s="370">
        <v>0</v>
      </c>
      <c r="X1322" s="1129">
        <v>0</v>
      </c>
      <c r="Y1322" s="370">
        <v>0</v>
      </c>
      <c r="Z1322" s="370">
        <v>0</v>
      </c>
      <c r="AA1322" s="1129">
        <v>0</v>
      </c>
      <c r="AB1322" s="370">
        <v>0</v>
      </c>
      <c r="AC1322" s="370">
        <v>0</v>
      </c>
      <c r="AD1322" s="1129">
        <v>0</v>
      </c>
      <c r="AE1322" s="370">
        <v>0</v>
      </c>
      <c r="AF1322" s="370">
        <v>0</v>
      </c>
      <c r="AG1322" s="1129">
        <v>0</v>
      </c>
      <c r="AH1322" s="505">
        <f t="shared" si="392"/>
        <v>0</v>
      </c>
      <c r="AI1322" s="132"/>
      <c r="AJ1322" s="75">
        <f t="shared" si="391"/>
        <v>0</v>
      </c>
      <c r="AK1322" s="75"/>
      <c r="AL1322" s="75"/>
      <c r="AM1322" s="75"/>
      <c r="AN1322" s="64" t="s">
        <v>181</v>
      </c>
      <c r="AO1322" s="64"/>
      <c r="AP1322" s="64"/>
      <c r="AQ1322" s="189"/>
      <c r="AR1322" s="64"/>
      <c r="AS1322" s="476"/>
      <c r="AT1322" s="64"/>
      <c r="AU1322" s="646"/>
      <c r="AV1322" s="259"/>
      <c r="AW1322" s="185"/>
    </row>
    <row r="1323" spans="1:49" ht="24" hidden="1" customHeight="1" outlineLevel="3" x14ac:dyDescent="0.25">
      <c r="A1323" s="63" t="str">
        <f t="shared" si="306"/>
        <v>4.14.3.8.3.60</v>
      </c>
      <c r="B1323" s="64">
        <v>4</v>
      </c>
      <c r="C1323" s="64">
        <v>14</v>
      </c>
      <c r="D1323" s="64">
        <v>3</v>
      </c>
      <c r="E1323" s="64">
        <v>8</v>
      </c>
      <c r="F1323" s="64">
        <v>3</v>
      </c>
      <c r="G1323" s="64">
        <v>60</v>
      </c>
      <c r="H1323" s="65"/>
      <c r="I1323" s="65"/>
      <c r="J1323" s="66"/>
      <c r="K1323" s="65" t="s">
        <v>1501</v>
      </c>
      <c r="L1323" s="64" t="s">
        <v>72</v>
      </c>
      <c r="M1323" s="64" t="s">
        <v>73</v>
      </c>
      <c r="N1323" s="64" t="s">
        <v>74</v>
      </c>
      <c r="O1323" s="64" t="s">
        <v>1487</v>
      </c>
      <c r="P1323" s="64"/>
      <c r="Q1323" s="64"/>
      <c r="R1323" s="64"/>
      <c r="S1323" s="65"/>
      <c r="T1323" s="194"/>
      <c r="U1323" s="370">
        <v>0</v>
      </c>
      <c r="V1323" s="370"/>
      <c r="W1323" s="370">
        <v>0</v>
      </c>
      <c r="X1323" s="1129">
        <v>0</v>
      </c>
      <c r="Y1323" s="370">
        <v>0</v>
      </c>
      <c r="Z1323" s="370">
        <v>0</v>
      </c>
      <c r="AA1323" s="1129">
        <v>0</v>
      </c>
      <c r="AB1323" s="370">
        <v>0</v>
      </c>
      <c r="AC1323" s="370">
        <v>0</v>
      </c>
      <c r="AD1323" s="1129">
        <v>0</v>
      </c>
      <c r="AE1323" s="370">
        <v>0</v>
      </c>
      <c r="AF1323" s="370">
        <v>0</v>
      </c>
      <c r="AG1323" s="1129">
        <v>0</v>
      </c>
      <c r="AH1323" s="505">
        <f t="shared" si="392"/>
        <v>0</v>
      </c>
      <c r="AI1323" s="132"/>
      <c r="AJ1323" s="75">
        <f t="shared" si="391"/>
        <v>0</v>
      </c>
      <c r="AK1323" s="75"/>
      <c r="AL1323" s="75"/>
      <c r="AM1323" s="75"/>
      <c r="AN1323" s="64" t="s">
        <v>181</v>
      </c>
      <c r="AO1323" s="64"/>
      <c r="AP1323" s="64"/>
      <c r="AQ1323" s="189"/>
      <c r="AR1323" s="64"/>
      <c r="AS1323" s="476"/>
      <c r="AT1323" s="64"/>
      <c r="AU1323" s="646"/>
      <c r="AV1323" s="259"/>
      <c r="AW1323" s="185"/>
    </row>
    <row r="1324" spans="1:49" ht="24" hidden="1" customHeight="1" outlineLevel="3" x14ac:dyDescent="0.25">
      <c r="A1324" s="63" t="str">
        <f t="shared" si="306"/>
        <v>4.14.3.8.3.61</v>
      </c>
      <c r="B1324" s="64">
        <v>4</v>
      </c>
      <c r="C1324" s="64">
        <v>14</v>
      </c>
      <c r="D1324" s="64">
        <v>3</v>
      </c>
      <c r="E1324" s="64">
        <v>8</v>
      </c>
      <c r="F1324" s="64">
        <v>3</v>
      </c>
      <c r="G1324" s="64">
        <v>61</v>
      </c>
      <c r="H1324" s="65"/>
      <c r="I1324" s="65"/>
      <c r="J1324" s="66"/>
      <c r="K1324" s="65" t="s">
        <v>1502</v>
      </c>
      <c r="L1324" s="64" t="s">
        <v>72</v>
      </c>
      <c r="M1324" s="64" t="s">
        <v>73</v>
      </c>
      <c r="N1324" s="64" t="s">
        <v>74</v>
      </c>
      <c r="O1324" s="64" t="s">
        <v>1487</v>
      </c>
      <c r="P1324" s="64"/>
      <c r="Q1324" s="64"/>
      <c r="R1324" s="64"/>
      <c r="S1324" s="65"/>
      <c r="T1324" s="194"/>
      <c r="U1324" s="370">
        <v>0</v>
      </c>
      <c r="V1324" s="370"/>
      <c r="W1324" s="370">
        <v>0</v>
      </c>
      <c r="X1324" s="1129">
        <v>0</v>
      </c>
      <c r="Y1324" s="370">
        <v>0</v>
      </c>
      <c r="Z1324" s="370">
        <v>0</v>
      </c>
      <c r="AA1324" s="1129">
        <v>0</v>
      </c>
      <c r="AB1324" s="370">
        <v>0</v>
      </c>
      <c r="AC1324" s="370">
        <v>0</v>
      </c>
      <c r="AD1324" s="1129">
        <v>0</v>
      </c>
      <c r="AE1324" s="370">
        <v>0</v>
      </c>
      <c r="AF1324" s="370">
        <v>0</v>
      </c>
      <c r="AG1324" s="1129">
        <v>0</v>
      </c>
      <c r="AH1324" s="505">
        <f t="shared" si="392"/>
        <v>0</v>
      </c>
      <c r="AI1324" s="132"/>
      <c r="AJ1324" s="75">
        <f t="shared" si="391"/>
        <v>0</v>
      </c>
      <c r="AK1324" s="75"/>
      <c r="AL1324" s="75"/>
      <c r="AM1324" s="75"/>
      <c r="AN1324" s="64" t="s">
        <v>181</v>
      </c>
      <c r="AO1324" s="64"/>
      <c r="AP1324" s="64"/>
      <c r="AQ1324" s="189"/>
      <c r="AR1324" s="64"/>
      <c r="AS1324" s="476"/>
      <c r="AT1324" s="64"/>
      <c r="AU1324" s="646"/>
      <c r="AV1324" s="259"/>
      <c r="AW1324" s="185"/>
    </row>
    <row r="1325" spans="1:49" ht="24" hidden="1" customHeight="1" outlineLevel="3" x14ac:dyDescent="0.25">
      <c r="A1325" s="63" t="str">
        <f t="shared" si="306"/>
        <v>4.14.3.8.3.62</v>
      </c>
      <c r="B1325" s="64">
        <v>4</v>
      </c>
      <c r="C1325" s="64">
        <v>14</v>
      </c>
      <c r="D1325" s="64">
        <v>3</v>
      </c>
      <c r="E1325" s="64">
        <v>8</v>
      </c>
      <c r="F1325" s="64">
        <v>3</v>
      </c>
      <c r="G1325" s="64">
        <v>62</v>
      </c>
      <c r="H1325" s="65"/>
      <c r="I1325" s="65"/>
      <c r="J1325" s="66"/>
      <c r="K1325" s="65" t="s">
        <v>1503</v>
      </c>
      <c r="L1325" s="64" t="s">
        <v>72</v>
      </c>
      <c r="M1325" s="64" t="s">
        <v>73</v>
      </c>
      <c r="N1325" s="64" t="s">
        <v>74</v>
      </c>
      <c r="O1325" s="64" t="s">
        <v>1487</v>
      </c>
      <c r="P1325" s="64"/>
      <c r="Q1325" s="64"/>
      <c r="R1325" s="64"/>
      <c r="S1325" s="65"/>
      <c r="T1325" s="194"/>
      <c r="U1325" s="370">
        <v>0</v>
      </c>
      <c r="V1325" s="370"/>
      <c r="W1325" s="370">
        <v>0</v>
      </c>
      <c r="X1325" s="1129">
        <v>0</v>
      </c>
      <c r="Y1325" s="370">
        <v>0</v>
      </c>
      <c r="Z1325" s="370">
        <v>0</v>
      </c>
      <c r="AA1325" s="1129">
        <v>0</v>
      </c>
      <c r="AB1325" s="370">
        <v>0</v>
      </c>
      <c r="AC1325" s="370">
        <v>0</v>
      </c>
      <c r="AD1325" s="1129">
        <v>0</v>
      </c>
      <c r="AE1325" s="370">
        <v>0</v>
      </c>
      <c r="AF1325" s="370">
        <v>0</v>
      </c>
      <c r="AG1325" s="1129">
        <v>0</v>
      </c>
      <c r="AH1325" s="505">
        <f t="shared" si="392"/>
        <v>0</v>
      </c>
      <c r="AI1325" s="132"/>
      <c r="AJ1325" s="75">
        <f t="shared" si="391"/>
        <v>0</v>
      </c>
      <c r="AK1325" s="75"/>
      <c r="AL1325" s="75"/>
      <c r="AM1325" s="75"/>
      <c r="AN1325" s="64" t="s">
        <v>181</v>
      </c>
      <c r="AO1325" s="64"/>
      <c r="AP1325" s="64"/>
      <c r="AQ1325" s="189"/>
      <c r="AR1325" s="64"/>
      <c r="AS1325" s="476"/>
      <c r="AT1325" s="64"/>
      <c r="AU1325" s="646"/>
      <c r="AV1325" s="259"/>
      <c r="AW1325" s="185"/>
    </row>
    <row r="1326" spans="1:49" ht="24" hidden="1" customHeight="1" outlineLevel="3" x14ac:dyDescent="0.25">
      <c r="A1326" s="63" t="str">
        <f t="shared" si="306"/>
        <v>4.14.3.8.3.63</v>
      </c>
      <c r="B1326" s="64">
        <v>4</v>
      </c>
      <c r="C1326" s="64">
        <v>14</v>
      </c>
      <c r="D1326" s="64">
        <v>3</v>
      </c>
      <c r="E1326" s="64">
        <v>8</v>
      </c>
      <c r="F1326" s="64">
        <v>3</v>
      </c>
      <c r="G1326" s="64">
        <v>63</v>
      </c>
      <c r="H1326" s="65"/>
      <c r="I1326" s="65"/>
      <c r="J1326" s="66"/>
      <c r="K1326" s="65" t="s">
        <v>1777</v>
      </c>
      <c r="L1326" s="64" t="s">
        <v>72</v>
      </c>
      <c r="M1326" s="64" t="s">
        <v>73</v>
      </c>
      <c r="N1326" s="64" t="s">
        <v>74</v>
      </c>
      <c r="O1326" s="64" t="s">
        <v>1487</v>
      </c>
      <c r="P1326" s="64"/>
      <c r="Q1326" s="64"/>
      <c r="R1326" s="64"/>
      <c r="S1326" s="65"/>
      <c r="T1326" s="194"/>
      <c r="U1326" s="370">
        <v>0</v>
      </c>
      <c r="V1326" s="370"/>
      <c r="W1326" s="370">
        <v>0</v>
      </c>
      <c r="X1326" s="1129">
        <v>0</v>
      </c>
      <c r="Y1326" s="370">
        <v>0</v>
      </c>
      <c r="Z1326" s="370">
        <v>0</v>
      </c>
      <c r="AA1326" s="1129">
        <v>0</v>
      </c>
      <c r="AB1326" s="370">
        <v>0</v>
      </c>
      <c r="AC1326" s="370">
        <v>0</v>
      </c>
      <c r="AD1326" s="1129">
        <v>0</v>
      </c>
      <c r="AE1326" s="370">
        <v>0</v>
      </c>
      <c r="AF1326" s="370">
        <v>0</v>
      </c>
      <c r="AG1326" s="1129">
        <v>0</v>
      </c>
      <c r="AH1326" s="505">
        <f t="shared" si="392"/>
        <v>0</v>
      </c>
      <c r="AI1326" s="132"/>
      <c r="AJ1326" s="75">
        <f t="shared" si="391"/>
        <v>0</v>
      </c>
      <c r="AK1326" s="75"/>
      <c r="AL1326" s="75"/>
      <c r="AM1326" s="75"/>
      <c r="AN1326" s="64" t="s">
        <v>181</v>
      </c>
      <c r="AO1326" s="64"/>
      <c r="AP1326" s="64"/>
      <c r="AQ1326" s="189"/>
      <c r="AR1326" s="64"/>
      <c r="AS1326" s="476"/>
      <c r="AT1326" s="64"/>
      <c r="AU1326" s="646"/>
      <c r="AV1326" s="259"/>
      <c r="AW1326" s="185"/>
    </row>
    <row r="1327" spans="1:49" ht="24" hidden="1" customHeight="1" outlineLevel="3" x14ac:dyDescent="0.25">
      <c r="A1327" s="63" t="str">
        <f t="shared" si="306"/>
        <v>4.14.3.8.3.64</v>
      </c>
      <c r="B1327" s="64">
        <v>4</v>
      </c>
      <c r="C1327" s="64">
        <v>14</v>
      </c>
      <c r="D1327" s="64">
        <v>3</v>
      </c>
      <c r="E1327" s="64">
        <v>8</v>
      </c>
      <c r="F1327" s="64">
        <v>3</v>
      </c>
      <c r="G1327" s="64">
        <v>64</v>
      </c>
      <c r="H1327" s="65"/>
      <c r="I1327" s="65"/>
      <c r="J1327" s="66"/>
      <c r="K1327" s="65" t="s">
        <v>1504</v>
      </c>
      <c r="L1327" s="64" t="s">
        <v>72</v>
      </c>
      <c r="M1327" s="64" t="s">
        <v>73</v>
      </c>
      <c r="N1327" s="64" t="s">
        <v>74</v>
      </c>
      <c r="O1327" s="64" t="s">
        <v>1487</v>
      </c>
      <c r="P1327" s="64"/>
      <c r="Q1327" s="64"/>
      <c r="R1327" s="64"/>
      <c r="S1327" s="65"/>
      <c r="T1327" s="194"/>
      <c r="U1327" s="370">
        <v>0</v>
      </c>
      <c r="V1327" s="370"/>
      <c r="W1327" s="370">
        <v>0</v>
      </c>
      <c r="X1327" s="1129">
        <v>0</v>
      </c>
      <c r="Y1327" s="370">
        <v>0</v>
      </c>
      <c r="Z1327" s="370">
        <v>0</v>
      </c>
      <c r="AA1327" s="1129">
        <v>0</v>
      </c>
      <c r="AB1327" s="370">
        <v>0</v>
      </c>
      <c r="AC1327" s="370">
        <v>0</v>
      </c>
      <c r="AD1327" s="1129">
        <v>0</v>
      </c>
      <c r="AE1327" s="370">
        <v>0</v>
      </c>
      <c r="AF1327" s="370">
        <v>0</v>
      </c>
      <c r="AG1327" s="1129">
        <v>0</v>
      </c>
      <c r="AH1327" s="505">
        <f t="shared" si="392"/>
        <v>0</v>
      </c>
      <c r="AI1327" s="132"/>
      <c r="AJ1327" s="75">
        <f t="shared" si="391"/>
        <v>0</v>
      </c>
      <c r="AK1327" s="75"/>
      <c r="AL1327" s="75"/>
      <c r="AM1327" s="75"/>
      <c r="AN1327" s="64" t="s">
        <v>181</v>
      </c>
      <c r="AO1327" s="64"/>
      <c r="AP1327" s="64"/>
      <c r="AQ1327" s="189"/>
      <c r="AR1327" s="64"/>
      <c r="AS1327" s="476"/>
      <c r="AT1327" s="64"/>
      <c r="AU1327" s="646"/>
      <c r="AV1327" s="259"/>
      <c r="AW1327" s="185"/>
    </row>
    <row r="1328" spans="1:49" ht="41.1" hidden="1" customHeight="1" outlineLevel="3" x14ac:dyDescent="0.25">
      <c r="A1328" s="63" t="str">
        <f t="shared" si="306"/>
        <v>4.14.3.8.4.58</v>
      </c>
      <c r="B1328" s="64">
        <v>4</v>
      </c>
      <c r="C1328" s="64">
        <v>14</v>
      </c>
      <c r="D1328" s="64">
        <v>3</v>
      </c>
      <c r="E1328" s="64">
        <v>8</v>
      </c>
      <c r="F1328" s="64">
        <v>4</v>
      </c>
      <c r="G1328" s="64">
        <v>58</v>
      </c>
      <c r="H1328" s="65"/>
      <c r="I1328" s="65"/>
      <c r="J1328" s="66"/>
      <c r="K1328" s="86" t="s">
        <v>1505</v>
      </c>
      <c r="L1328" s="64" t="s">
        <v>72</v>
      </c>
      <c r="M1328" s="64" t="s">
        <v>73</v>
      </c>
      <c r="N1328" s="64" t="s">
        <v>74</v>
      </c>
      <c r="O1328" s="64" t="s">
        <v>1487</v>
      </c>
      <c r="P1328" s="64"/>
      <c r="Q1328" s="64"/>
      <c r="R1328" s="64"/>
      <c r="S1328" s="65"/>
      <c r="T1328" s="194"/>
      <c r="U1328" s="370">
        <v>0</v>
      </c>
      <c r="V1328" s="370"/>
      <c r="W1328" s="370">
        <v>0</v>
      </c>
      <c r="X1328" s="1129">
        <v>0</v>
      </c>
      <c r="Y1328" s="370">
        <v>0</v>
      </c>
      <c r="Z1328" s="370">
        <v>0</v>
      </c>
      <c r="AA1328" s="1129">
        <v>0</v>
      </c>
      <c r="AB1328" s="370">
        <v>0</v>
      </c>
      <c r="AC1328" s="370">
        <v>0</v>
      </c>
      <c r="AD1328" s="1129">
        <v>0</v>
      </c>
      <c r="AE1328" s="370">
        <v>0</v>
      </c>
      <c r="AF1328" s="370">
        <v>0</v>
      </c>
      <c r="AG1328" s="1129">
        <v>0</v>
      </c>
      <c r="AH1328" s="505">
        <f t="shared" si="392"/>
        <v>0</v>
      </c>
      <c r="AI1328" s="132"/>
      <c r="AJ1328" s="75">
        <f t="shared" si="391"/>
        <v>0</v>
      </c>
      <c r="AK1328" s="75"/>
      <c r="AL1328" s="75"/>
      <c r="AM1328" s="75"/>
      <c r="AN1328" s="64" t="s">
        <v>181</v>
      </c>
      <c r="AO1328" s="64"/>
      <c r="AP1328" s="64"/>
      <c r="AQ1328" s="189"/>
      <c r="AR1328" s="64"/>
      <c r="AS1328" s="476"/>
      <c r="AT1328" s="64"/>
      <c r="AU1328" s="646"/>
      <c r="AV1328" s="259"/>
      <c r="AW1328" s="185"/>
    </row>
    <row r="1329" spans="1:49" ht="24" hidden="1" customHeight="1" outlineLevel="3" x14ac:dyDescent="0.25">
      <c r="A1329" s="63" t="str">
        <f t="shared" si="306"/>
        <v>4.14.3.8.4.59</v>
      </c>
      <c r="B1329" s="64">
        <v>4</v>
      </c>
      <c r="C1329" s="64">
        <v>14</v>
      </c>
      <c r="D1329" s="64">
        <v>3</v>
      </c>
      <c r="E1329" s="64">
        <v>8</v>
      </c>
      <c r="F1329" s="64">
        <v>4</v>
      </c>
      <c r="G1329" s="64">
        <v>59</v>
      </c>
      <c r="H1329" s="65"/>
      <c r="I1329" s="65"/>
      <c r="J1329" s="66"/>
      <c r="K1329" s="125" t="s">
        <v>1506</v>
      </c>
      <c r="L1329" s="64" t="s">
        <v>72</v>
      </c>
      <c r="M1329" s="64" t="s">
        <v>73</v>
      </c>
      <c r="N1329" s="64" t="s">
        <v>74</v>
      </c>
      <c r="O1329" s="64" t="s">
        <v>1487</v>
      </c>
      <c r="P1329" s="64"/>
      <c r="Q1329" s="64"/>
      <c r="R1329" s="64"/>
      <c r="S1329" s="65"/>
      <c r="T1329" s="194"/>
      <c r="U1329" s="370">
        <v>0</v>
      </c>
      <c r="V1329" s="370"/>
      <c r="W1329" s="370">
        <v>0</v>
      </c>
      <c r="X1329" s="1129">
        <v>0</v>
      </c>
      <c r="Y1329" s="370">
        <v>0</v>
      </c>
      <c r="Z1329" s="370">
        <v>0</v>
      </c>
      <c r="AA1329" s="1129">
        <v>0</v>
      </c>
      <c r="AB1329" s="370">
        <v>0</v>
      </c>
      <c r="AC1329" s="370">
        <v>0</v>
      </c>
      <c r="AD1329" s="1129">
        <v>0</v>
      </c>
      <c r="AE1329" s="370">
        <v>0</v>
      </c>
      <c r="AF1329" s="370">
        <v>0</v>
      </c>
      <c r="AG1329" s="1129">
        <v>0</v>
      </c>
      <c r="AH1329" s="505">
        <f t="shared" si="392"/>
        <v>0</v>
      </c>
      <c r="AI1329" s="132"/>
      <c r="AJ1329" s="75">
        <f t="shared" si="391"/>
        <v>0</v>
      </c>
      <c r="AK1329" s="75"/>
      <c r="AL1329" s="75"/>
      <c r="AM1329" s="75"/>
      <c r="AN1329" s="64" t="s">
        <v>181</v>
      </c>
      <c r="AO1329" s="64"/>
      <c r="AP1329" s="64"/>
      <c r="AQ1329" s="189"/>
      <c r="AR1329" s="64"/>
      <c r="AS1329" s="476"/>
      <c r="AT1329" s="64"/>
      <c r="AU1329" s="646"/>
      <c r="AV1329" s="259"/>
      <c r="AW1329" s="185"/>
    </row>
    <row r="1330" spans="1:49" ht="24" hidden="1" customHeight="1" outlineLevel="3" x14ac:dyDescent="0.25">
      <c r="A1330" s="63" t="str">
        <f t="shared" si="306"/>
        <v>4.14.3.8.4.60</v>
      </c>
      <c r="B1330" s="64">
        <v>4</v>
      </c>
      <c r="C1330" s="64">
        <v>14</v>
      </c>
      <c r="D1330" s="64">
        <v>3</v>
      </c>
      <c r="E1330" s="64">
        <v>8</v>
      </c>
      <c r="F1330" s="64">
        <v>4</v>
      </c>
      <c r="G1330" s="64">
        <v>60</v>
      </c>
      <c r="H1330" s="65"/>
      <c r="I1330" s="65"/>
      <c r="J1330" s="66"/>
      <c r="K1330" s="125" t="s">
        <v>1507</v>
      </c>
      <c r="L1330" s="64" t="s">
        <v>72</v>
      </c>
      <c r="M1330" s="64" t="s">
        <v>73</v>
      </c>
      <c r="N1330" s="64" t="s">
        <v>74</v>
      </c>
      <c r="O1330" s="64" t="s">
        <v>1487</v>
      </c>
      <c r="P1330" s="64"/>
      <c r="Q1330" s="64"/>
      <c r="R1330" s="64"/>
      <c r="S1330" s="65"/>
      <c r="T1330" s="194"/>
      <c r="U1330" s="370">
        <v>0</v>
      </c>
      <c r="V1330" s="370"/>
      <c r="W1330" s="370">
        <v>0</v>
      </c>
      <c r="X1330" s="1129">
        <v>0</v>
      </c>
      <c r="Y1330" s="370">
        <v>0</v>
      </c>
      <c r="Z1330" s="370">
        <v>0</v>
      </c>
      <c r="AA1330" s="1129">
        <v>0</v>
      </c>
      <c r="AB1330" s="370">
        <v>0</v>
      </c>
      <c r="AC1330" s="370">
        <v>0</v>
      </c>
      <c r="AD1330" s="1129">
        <v>0</v>
      </c>
      <c r="AE1330" s="370">
        <v>0</v>
      </c>
      <c r="AF1330" s="370">
        <v>0</v>
      </c>
      <c r="AG1330" s="1129">
        <v>0</v>
      </c>
      <c r="AH1330" s="505">
        <f t="shared" si="392"/>
        <v>0</v>
      </c>
      <c r="AI1330" s="132"/>
      <c r="AJ1330" s="75">
        <f t="shared" si="391"/>
        <v>0</v>
      </c>
      <c r="AK1330" s="75"/>
      <c r="AL1330" s="75"/>
      <c r="AM1330" s="75"/>
      <c r="AN1330" s="64" t="s">
        <v>181</v>
      </c>
      <c r="AO1330" s="64"/>
      <c r="AP1330" s="64"/>
      <c r="AQ1330" s="189"/>
      <c r="AR1330" s="64"/>
      <c r="AS1330" s="476"/>
      <c r="AT1330" s="64"/>
      <c r="AU1330" s="646"/>
      <c r="AV1330" s="259"/>
      <c r="AW1330" s="185"/>
    </row>
    <row r="1331" spans="1:49" ht="24" hidden="1" customHeight="1" outlineLevel="3" x14ac:dyDescent="0.25">
      <c r="A1331" s="63" t="str">
        <f t="shared" si="306"/>
        <v>4.14.3.8.4.61</v>
      </c>
      <c r="B1331" s="64">
        <v>4</v>
      </c>
      <c r="C1331" s="64">
        <v>14</v>
      </c>
      <c r="D1331" s="64">
        <v>3</v>
      </c>
      <c r="E1331" s="64">
        <v>8</v>
      </c>
      <c r="F1331" s="64">
        <v>4</v>
      </c>
      <c r="G1331" s="64">
        <v>61</v>
      </c>
      <c r="H1331" s="65"/>
      <c r="I1331" s="65"/>
      <c r="J1331" s="66"/>
      <c r="K1331" s="125" t="s">
        <v>1508</v>
      </c>
      <c r="L1331" s="64" t="s">
        <v>72</v>
      </c>
      <c r="M1331" s="64" t="s">
        <v>73</v>
      </c>
      <c r="N1331" s="64" t="s">
        <v>74</v>
      </c>
      <c r="O1331" s="64" t="s">
        <v>1487</v>
      </c>
      <c r="P1331" s="64"/>
      <c r="Q1331" s="64"/>
      <c r="R1331" s="64"/>
      <c r="S1331" s="65"/>
      <c r="T1331" s="194"/>
      <c r="U1331" s="370">
        <v>0</v>
      </c>
      <c r="V1331" s="370"/>
      <c r="W1331" s="370">
        <v>0</v>
      </c>
      <c r="X1331" s="1129">
        <v>0</v>
      </c>
      <c r="Y1331" s="370">
        <v>0</v>
      </c>
      <c r="Z1331" s="370">
        <v>0</v>
      </c>
      <c r="AA1331" s="1129">
        <v>0</v>
      </c>
      <c r="AB1331" s="370">
        <v>0</v>
      </c>
      <c r="AC1331" s="370">
        <v>0</v>
      </c>
      <c r="AD1331" s="1129">
        <v>0</v>
      </c>
      <c r="AE1331" s="370">
        <v>0</v>
      </c>
      <c r="AF1331" s="370">
        <v>0</v>
      </c>
      <c r="AG1331" s="1129">
        <v>0</v>
      </c>
      <c r="AH1331" s="505">
        <f t="shared" si="392"/>
        <v>0</v>
      </c>
      <c r="AI1331" s="132"/>
      <c r="AJ1331" s="75">
        <f t="shared" si="391"/>
        <v>0</v>
      </c>
      <c r="AK1331" s="75"/>
      <c r="AL1331" s="75"/>
      <c r="AM1331" s="75"/>
      <c r="AN1331" s="64" t="s">
        <v>181</v>
      </c>
      <c r="AO1331" s="64"/>
      <c r="AP1331" s="64"/>
      <c r="AQ1331" s="189"/>
      <c r="AR1331" s="64"/>
      <c r="AS1331" s="476"/>
      <c r="AT1331" s="64"/>
      <c r="AU1331" s="646"/>
      <c r="AV1331" s="259"/>
      <c r="AW1331" s="185"/>
    </row>
    <row r="1332" spans="1:49" ht="24" hidden="1" customHeight="1" outlineLevel="3" x14ac:dyDescent="0.25">
      <c r="A1332" s="63" t="str">
        <f t="shared" si="306"/>
        <v>4.14.3.8.4.62</v>
      </c>
      <c r="B1332" s="64">
        <v>4</v>
      </c>
      <c r="C1332" s="64">
        <v>14</v>
      </c>
      <c r="D1332" s="64">
        <v>3</v>
      </c>
      <c r="E1332" s="64">
        <v>8</v>
      </c>
      <c r="F1332" s="64">
        <v>4</v>
      </c>
      <c r="G1332" s="64">
        <v>62</v>
      </c>
      <c r="H1332" s="65"/>
      <c r="I1332" s="65"/>
      <c r="J1332" s="66"/>
      <c r="K1332" s="125" t="s">
        <v>1509</v>
      </c>
      <c r="L1332" s="64" t="s">
        <v>72</v>
      </c>
      <c r="M1332" s="64" t="s">
        <v>73</v>
      </c>
      <c r="N1332" s="64" t="s">
        <v>74</v>
      </c>
      <c r="O1332" s="64" t="s">
        <v>1487</v>
      </c>
      <c r="P1332" s="64"/>
      <c r="Q1332" s="64"/>
      <c r="R1332" s="64"/>
      <c r="S1332" s="65"/>
      <c r="T1332" s="194"/>
      <c r="U1332" s="370">
        <v>0</v>
      </c>
      <c r="V1332" s="370"/>
      <c r="W1332" s="370">
        <v>0</v>
      </c>
      <c r="X1332" s="1129">
        <v>0</v>
      </c>
      <c r="Y1332" s="370">
        <v>0</v>
      </c>
      <c r="Z1332" s="370">
        <v>0</v>
      </c>
      <c r="AA1332" s="1129">
        <v>0</v>
      </c>
      <c r="AB1332" s="370">
        <v>0</v>
      </c>
      <c r="AC1332" s="370">
        <v>0</v>
      </c>
      <c r="AD1332" s="1129">
        <v>0</v>
      </c>
      <c r="AE1332" s="370">
        <v>0</v>
      </c>
      <c r="AF1332" s="370">
        <v>0</v>
      </c>
      <c r="AG1332" s="1129">
        <v>0</v>
      </c>
      <c r="AH1332" s="505">
        <f t="shared" si="392"/>
        <v>0</v>
      </c>
      <c r="AI1332" s="132"/>
      <c r="AJ1332" s="75">
        <f t="shared" si="391"/>
        <v>0</v>
      </c>
      <c r="AK1332" s="75"/>
      <c r="AL1332" s="75"/>
      <c r="AM1332" s="75"/>
      <c r="AN1332" s="64" t="s">
        <v>181</v>
      </c>
      <c r="AO1332" s="64"/>
      <c r="AP1332" s="64"/>
      <c r="AQ1332" s="189"/>
      <c r="AR1332" s="64"/>
      <c r="AS1332" s="476"/>
      <c r="AT1332" s="64"/>
      <c r="AU1332" s="646"/>
      <c r="AV1332" s="259"/>
      <c r="AW1332" s="185"/>
    </row>
    <row r="1333" spans="1:49" ht="24" hidden="1" customHeight="1" outlineLevel="3" x14ac:dyDescent="0.25">
      <c r="A1333" s="63" t="str">
        <f t="shared" si="306"/>
        <v>4.14.3.8.4.63</v>
      </c>
      <c r="B1333" s="64">
        <v>4</v>
      </c>
      <c r="C1333" s="64">
        <v>14</v>
      </c>
      <c r="D1333" s="64">
        <v>3</v>
      </c>
      <c r="E1333" s="64">
        <v>8</v>
      </c>
      <c r="F1333" s="64">
        <v>4</v>
      </c>
      <c r="G1333" s="64">
        <v>63</v>
      </c>
      <c r="H1333" s="65"/>
      <c r="I1333" s="65"/>
      <c r="J1333" s="66"/>
      <c r="K1333" s="125" t="s">
        <v>1778</v>
      </c>
      <c r="L1333" s="64" t="s">
        <v>72</v>
      </c>
      <c r="M1333" s="64" t="s">
        <v>73</v>
      </c>
      <c r="N1333" s="64" t="s">
        <v>74</v>
      </c>
      <c r="O1333" s="64" t="s">
        <v>1487</v>
      </c>
      <c r="P1333" s="64"/>
      <c r="Q1333" s="64"/>
      <c r="R1333" s="64"/>
      <c r="S1333" s="65"/>
      <c r="T1333" s="194"/>
      <c r="U1333" s="370">
        <v>0</v>
      </c>
      <c r="V1333" s="370"/>
      <c r="W1333" s="370">
        <v>0</v>
      </c>
      <c r="X1333" s="1129">
        <v>0</v>
      </c>
      <c r="Y1333" s="370">
        <v>0</v>
      </c>
      <c r="Z1333" s="370">
        <v>0</v>
      </c>
      <c r="AA1333" s="1129">
        <v>0</v>
      </c>
      <c r="AB1333" s="370">
        <v>0</v>
      </c>
      <c r="AC1333" s="370">
        <v>0</v>
      </c>
      <c r="AD1333" s="1129">
        <v>0</v>
      </c>
      <c r="AE1333" s="370">
        <v>0</v>
      </c>
      <c r="AF1333" s="370">
        <v>0</v>
      </c>
      <c r="AG1333" s="1129">
        <v>0</v>
      </c>
      <c r="AH1333" s="505">
        <f t="shared" si="392"/>
        <v>0</v>
      </c>
      <c r="AI1333" s="132"/>
      <c r="AJ1333" s="75">
        <f t="shared" si="391"/>
        <v>0</v>
      </c>
      <c r="AK1333" s="75"/>
      <c r="AL1333" s="75"/>
      <c r="AM1333" s="75"/>
      <c r="AN1333" s="64" t="s">
        <v>181</v>
      </c>
      <c r="AO1333" s="64"/>
      <c r="AP1333" s="64"/>
      <c r="AQ1333" s="189"/>
      <c r="AR1333" s="64"/>
      <c r="AS1333" s="476"/>
      <c r="AT1333" s="64"/>
      <c r="AU1333" s="646"/>
      <c r="AV1333" s="259"/>
      <c r="AW1333" s="185"/>
    </row>
    <row r="1334" spans="1:49" ht="24" hidden="1" customHeight="1" outlineLevel="3" x14ac:dyDescent="0.25">
      <c r="A1334" s="63" t="str">
        <f t="shared" si="306"/>
        <v>4.14.3.8.4.64</v>
      </c>
      <c r="B1334" s="64">
        <v>4</v>
      </c>
      <c r="C1334" s="64">
        <v>14</v>
      </c>
      <c r="D1334" s="64">
        <v>3</v>
      </c>
      <c r="E1334" s="64">
        <v>8</v>
      </c>
      <c r="F1334" s="64">
        <v>4</v>
      </c>
      <c r="G1334" s="64">
        <v>64</v>
      </c>
      <c r="H1334" s="65"/>
      <c r="I1334" s="65"/>
      <c r="J1334" s="66"/>
      <c r="K1334" s="125" t="s">
        <v>1510</v>
      </c>
      <c r="L1334" s="64" t="s">
        <v>72</v>
      </c>
      <c r="M1334" s="64" t="s">
        <v>73</v>
      </c>
      <c r="N1334" s="64" t="s">
        <v>74</v>
      </c>
      <c r="O1334" s="64" t="s">
        <v>1487</v>
      </c>
      <c r="P1334" s="64"/>
      <c r="Q1334" s="64"/>
      <c r="R1334" s="64"/>
      <c r="S1334" s="65"/>
      <c r="T1334" s="194"/>
      <c r="U1334" s="370">
        <v>0</v>
      </c>
      <c r="V1334" s="370"/>
      <c r="W1334" s="370">
        <v>0</v>
      </c>
      <c r="X1334" s="1129">
        <v>0</v>
      </c>
      <c r="Y1334" s="370">
        <v>0</v>
      </c>
      <c r="Z1334" s="370">
        <v>0</v>
      </c>
      <c r="AA1334" s="1129">
        <v>0</v>
      </c>
      <c r="AB1334" s="370">
        <v>0</v>
      </c>
      <c r="AC1334" s="370">
        <v>0</v>
      </c>
      <c r="AD1334" s="1129">
        <v>0</v>
      </c>
      <c r="AE1334" s="370">
        <v>0</v>
      </c>
      <c r="AF1334" s="370">
        <v>0</v>
      </c>
      <c r="AG1334" s="1129">
        <v>0</v>
      </c>
      <c r="AH1334" s="505">
        <f t="shared" si="392"/>
        <v>0</v>
      </c>
      <c r="AI1334" s="132"/>
      <c r="AJ1334" s="75">
        <f t="shared" si="391"/>
        <v>0</v>
      </c>
      <c r="AK1334" s="75"/>
      <c r="AL1334" s="75"/>
      <c r="AM1334" s="75"/>
      <c r="AN1334" s="64" t="s">
        <v>181</v>
      </c>
      <c r="AO1334" s="64"/>
      <c r="AP1334" s="64"/>
      <c r="AQ1334" s="189"/>
      <c r="AR1334" s="64"/>
      <c r="AS1334" s="476"/>
      <c r="AT1334" s="64"/>
      <c r="AU1334" s="646"/>
      <c r="AV1334" s="259"/>
      <c r="AW1334" s="185"/>
    </row>
    <row r="1335" spans="1:49" ht="24" hidden="1" customHeight="1" outlineLevel="3" x14ac:dyDescent="0.25">
      <c r="A1335" s="63" t="str">
        <f t="shared" si="306"/>
        <v>4.14.3.8.5.58</v>
      </c>
      <c r="B1335" s="64">
        <v>4</v>
      </c>
      <c r="C1335" s="64">
        <v>14</v>
      </c>
      <c r="D1335" s="64">
        <v>3</v>
      </c>
      <c r="E1335" s="64">
        <v>8</v>
      </c>
      <c r="F1335" s="64">
        <v>5</v>
      </c>
      <c r="G1335" s="64">
        <v>58</v>
      </c>
      <c r="H1335" s="65"/>
      <c r="I1335" s="65"/>
      <c r="J1335" s="66"/>
      <c r="K1335" s="125" t="s">
        <v>1511</v>
      </c>
      <c r="L1335" s="64" t="s">
        <v>72</v>
      </c>
      <c r="M1335" s="64" t="s">
        <v>73</v>
      </c>
      <c r="N1335" s="64" t="s">
        <v>74</v>
      </c>
      <c r="O1335" s="64" t="s">
        <v>1487</v>
      </c>
      <c r="P1335" s="64"/>
      <c r="Q1335" s="64"/>
      <c r="R1335" s="64"/>
      <c r="S1335" s="65"/>
      <c r="T1335" s="194"/>
      <c r="U1335" s="370">
        <v>0</v>
      </c>
      <c r="V1335" s="370"/>
      <c r="W1335" s="370">
        <v>0</v>
      </c>
      <c r="X1335" s="1129">
        <v>0</v>
      </c>
      <c r="Y1335" s="370">
        <v>0</v>
      </c>
      <c r="Z1335" s="370">
        <v>0</v>
      </c>
      <c r="AA1335" s="1129">
        <v>0</v>
      </c>
      <c r="AB1335" s="370">
        <v>0</v>
      </c>
      <c r="AC1335" s="370">
        <v>0</v>
      </c>
      <c r="AD1335" s="1129">
        <v>0</v>
      </c>
      <c r="AE1335" s="370">
        <v>0</v>
      </c>
      <c r="AF1335" s="370">
        <v>0</v>
      </c>
      <c r="AG1335" s="1129">
        <v>0</v>
      </c>
      <c r="AH1335" s="505">
        <f t="shared" si="392"/>
        <v>0</v>
      </c>
      <c r="AI1335" s="132"/>
      <c r="AJ1335" s="75">
        <f t="shared" si="391"/>
        <v>0</v>
      </c>
      <c r="AK1335" s="75"/>
      <c r="AL1335" s="75"/>
      <c r="AM1335" s="75"/>
      <c r="AN1335" s="64" t="s">
        <v>181</v>
      </c>
      <c r="AO1335" s="64"/>
      <c r="AP1335" s="64"/>
      <c r="AQ1335" s="64"/>
      <c r="AR1335" s="64"/>
      <c r="AS1335" s="64"/>
      <c r="AT1335" s="64"/>
      <c r="AU1335" s="646"/>
      <c r="AV1335" s="67"/>
      <c r="AW1335" s="65"/>
    </row>
    <row r="1336" spans="1:49" ht="24" hidden="1" customHeight="1" outlineLevel="3" x14ac:dyDescent="0.25">
      <c r="A1336" s="63" t="str">
        <f t="shared" si="306"/>
        <v>4.14.3.8.5.59</v>
      </c>
      <c r="B1336" s="64">
        <v>4</v>
      </c>
      <c r="C1336" s="64">
        <v>14</v>
      </c>
      <c r="D1336" s="64">
        <v>3</v>
      </c>
      <c r="E1336" s="64">
        <v>8</v>
      </c>
      <c r="F1336" s="64">
        <v>5</v>
      </c>
      <c r="G1336" s="64">
        <v>59</v>
      </c>
      <c r="H1336" s="65"/>
      <c r="I1336" s="65"/>
      <c r="J1336" s="66"/>
      <c r="K1336" s="125" t="s">
        <v>1512</v>
      </c>
      <c r="L1336" s="64" t="s">
        <v>72</v>
      </c>
      <c r="M1336" s="64" t="s">
        <v>73</v>
      </c>
      <c r="N1336" s="64" t="s">
        <v>74</v>
      </c>
      <c r="O1336" s="64" t="s">
        <v>1487</v>
      </c>
      <c r="P1336" s="64"/>
      <c r="Q1336" s="64"/>
      <c r="R1336" s="64"/>
      <c r="S1336" s="65"/>
      <c r="T1336" s="194"/>
      <c r="U1336" s="370">
        <v>0</v>
      </c>
      <c r="V1336" s="370"/>
      <c r="W1336" s="370">
        <v>0</v>
      </c>
      <c r="X1336" s="1129">
        <v>0</v>
      </c>
      <c r="Y1336" s="370">
        <v>0</v>
      </c>
      <c r="Z1336" s="370">
        <v>0</v>
      </c>
      <c r="AA1336" s="1129">
        <v>0</v>
      </c>
      <c r="AB1336" s="370">
        <v>0</v>
      </c>
      <c r="AC1336" s="370">
        <v>0</v>
      </c>
      <c r="AD1336" s="1129">
        <v>0</v>
      </c>
      <c r="AE1336" s="370">
        <v>0</v>
      </c>
      <c r="AF1336" s="370">
        <v>0</v>
      </c>
      <c r="AG1336" s="1129">
        <v>0</v>
      </c>
      <c r="AH1336" s="505">
        <f t="shared" si="392"/>
        <v>0</v>
      </c>
      <c r="AI1336" s="132"/>
      <c r="AJ1336" s="75">
        <f t="shared" si="391"/>
        <v>0</v>
      </c>
      <c r="AK1336" s="75"/>
      <c r="AL1336" s="75"/>
      <c r="AM1336" s="75"/>
      <c r="AN1336" s="64" t="s">
        <v>181</v>
      </c>
      <c r="AO1336" s="64"/>
      <c r="AP1336" s="64"/>
      <c r="AQ1336" s="64"/>
      <c r="AR1336" s="64"/>
      <c r="AS1336" s="64"/>
      <c r="AT1336" s="64"/>
      <c r="AU1336" s="646"/>
      <c r="AV1336" s="67"/>
      <c r="AW1336" s="65"/>
    </row>
    <row r="1337" spans="1:49" ht="24" hidden="1" customHeight="1" outlineLevel="3" x14ac:dyDescent="0.25">
      <c r="A1337" s="63" t="str">
        <f t="shared" si="306"/>
        <v>4.14.3.8.5.60</v>
      </c>
      <c r="B1337" s="64">
        <v>4</v>
      </c>
      <c r="C1337" s="64">
        <v>14</v>
      </c>
      <c r="D1337" s="64">
        <v>3</v>
      </c>
      <c r="E1337" s="64">
        <v>8</v>
      </c>
      <c r="F1337" s="64">
        <v>5</v>
      </c>
      <c r="G1337" s="64">
        <v>60</v>
      </c>
      <c r="H1337" s="65"/>
      <c r="I1337" s="65"/>
      <c r="J1337" s="66"/>
      <c r="K1337" s="125" t="s">
        <v>1513</v>
      </c>
      <c r="L1337" s="64" t="s">
        <v>72</v>
      </c>
      <c r="M1337" s="64" t="s">
        <v>73</v>
      </c>
      <c r="N1337" s="64" t="s">
        <v>74</v>
      </c>
      <c r="O1337" s="64" t="s">
        <v>1487</v>
      </c>
      <c r="P1337" s="64"/>
      <c r="Q1337" s="64"/>
      <c r="R1337" s="64"/>
      <c r="S1337" s="65"/>
      <c r="T1337" s="194"/>
      <c r="U1337" s="370">
        <v>0</v>
      </c>
      <c r="V1337" s="370"/>
      <c r="W1337" s="370">
        <v>0</v>
      </c>
      <c r="X1337" s="1129">
        <v>0</v>
      </c>
      <c r="Y1337" s="370">
        <v>0</v>
      </c>
      <c r="Z1337" s="370">
        <v>0</v>
      </c>
      <c r="AA1337" s="1129">
        <v>0</v>
      </c>
      <c r="AB1337" s="370">
        <v>0</v>
      </c>
      <c r="AC1337" s="370">
        <v>0</v>
      </c>
      <c r="AD1337" s="1129">
        <v>0</v>
      </c>
      <c r="AE1337" s="370">
        <v>0</v>
      </c>
      <c r="AF1337" s="370">
        <v>0</v>
      </c>
      <c r="AG1337" s="1129">
        <v>0</v>
      </c>
      <c r="AH1337" s="505">
        <f t="shared" si="392"/>
        <v>0</v>
      </c>
      <c r="AI1337" s="132"/>
      <c r="AJ1337" s="75">
        <f t="shared" si="391"/>
        <v>0</v>
      </c>
      <c r="AK1337" s="75"/>
      <c r="AL1337" s="75"/>
      <c r="AM1337" s="75"/>
      <c r="AN1337" s="64" t="s">
        <v>181</v>
      </c>
      <c r="AO1337" s="64"/>
      <c r="AP1337" s="64"/>
      <c r="AQ1337" s="64"/>
      <c r="AR1337" s="64"/>
      <c r="AS1337" s="64"/>
      <c r="AT1337" s="64"/>
      <c r="AU1337" s="646"/>
      <c r="AV1337" s="67"/>
      <c r="AW1337" s="65"/>
    </row>
    <row r="1338" spans="1:49" ht="24" hidden="1" customHeight="1" outlineLevel="3" x14ac:dyDescent="0.25">
      <c r="A1338" s="63" t="str">
        <f t="shared" si="306"/>
        <v>4.14.3.8.5.61</v>
      </c>
      <c r="B1338" s="64">
        <v>4</v>
      </c>
      <c r="C1338" s="64">
        <v>14</v>
      </c>
      <c r="D1338" s="64">
        <v>3</v>
      </c>
      <c r="E1338" s="64">
        <v>8</v>
      </c>
      <c r="F1338" s="64">
        <v>5</v>
      </c>
      <c r="G1338" s="64">
        <v>61</v>
      </c>
      <c r="H1338" s="65"/>
      <c r="I1338" s="65"/>
      <c r="J1338" s="66"/>
      <c r="K1338" s="125" t="s">
        <v>1514</v>
      </c>
      <c r="L1338" s="64" t="s">
        <v>72</v>
      </c>
      <c r="M1338" s="64" t="s">
        <v>73</v>
      </c>
      <c r="N1338" s="64" t="s">
        <v>74</v>
      </c>
      <c r="O1338" s="64" t="s">
        <v>1487</v>
      </c>
      <c r="P1338" s="64"/>
      <c r="Q1338" s="64"/>
      <c r="R1338" s="64"/>
      <c r="S1338" s="65"/>
      <c r="T1338" s="194"/>
      <c r="U1338" s="370">
        <v>0</v>
      </c>
      <c r="V1338" s="370"/>
      <c r="W1338" s="370">
        <v>0</v>
      </c>
      <c r="X1338" s="1129">
        <v>0</v>
      </c>
      <c r="Y1338" s="370">
        <v>3360</v>
      </c>
      <c r="Z1338" s="370">
        <v>0</v>
      </c>
      <c r="AA1338" s="1129">
        <v>0</v>
      </c>
      <c r="AB1338" s="370">
        <v>0</v>
      </c>
      <c r="AC1338" s="370">
        <v>0</v>
      </c>
      <c r="AD1338" s="1129">
        <v>0</v>
      </c>
      <c r="AE1338" s="370">
        <v>0</v>
      </c>
      <c r="AF1338" s="370">
        <v>0</v>
      </c>
      <c r="AG1338" s="1129">
        <v>0</v>
      </c>
      <c r="AH1338" s="505">
        <f t="shared" si="392"/>
        <v>3360</v>
      </c>
      <c r="AI1338" s="132"/>
      <c r="AJ1338" s="75">
        <f t="shared" si="391"/>
        <v>0</v>
      </c>
      <c r="AK1338" s="75"/>
      <c r="AL1338" s="75"/>
      <c r="AM1338" s="75"/>
      <c r="AN1338" s="64" t="s">
        <v>181</v>
      </c>
      <c r="AO1338" s="64"/>
      <c r="AP1338" s="64"/>
      <c r="AQ1338" s="64"/>
      <c r="AR1338" s="64"/>
      <c r="AS1338" s="64"/>
      <c r="AT1338" s="64"/>
      <c r="AU1338" s="646"/>
      <c r="AV1338" s="67"/>
      <c r="AW1338" s="65" t="s">
        <v>2723</v>
      </c>
    </row>
    <row r="1339" spans="1:49" ht="24" hidden="1" customHeight="1" outlineLevel="3" x14ac:dyDescent="0.25">
      <c r="A1339" s="63" t="str">
        <f t="shared" si="306"/>
        <v>4.14.3.8.5.62</v>
      </c>
      <c r="B1339" s="64">
        <v>4</v>
      </c>
      <c r="C1339" s="64">
        <v>14</v>
      </c>
      <c r="D1339" s="64">
        <v>3</v>
      </c>
      <c r="E1339" s="64">
        <v>8</v>
      </c>
      <c r="F1339" s="64">
        <v>5</v>
      </c>
      <c r="G1339" s="64">
        <v>62</v>
      </c>
      <c r="H1339" s="65"/>
      <c r="I1339" s="65"/>
      <c r="J1339" s="66"/>
      <c r="K1339" s="125" t="s">
        <v>1515</v>
      </c>
      <c r="L1339" s="64" t="s">
        <v>72</v>
      </c>
      <c r="M1339" s="64" t="s">
        <v>73</v>
      </c>
      <c r="N1339" s="64" t="s">
        <v>74</v>
      </c>
      <c r="O1339" s="64" t="s">
        <v>1487</v>
      </c>
      <c r="P1339" s="64"/>
      <c r="Q1339" s="64"/>
      <c r="R1339" s="64"/>
      <c r="S1339" s="65"/>
      <c r="T1339" s="194"/>
      <c r="U1339" s="370">
        <v>0</v>
      </c>
      <c r="V1339" s="370"/>
      <c r="W1339" s="370">
        <v>0</v>
      </c>
      <c r="X1339" s="1129">
        <v>0</v>
      </c>
      <c r="Y1339" s="370">
        <v>0</v>
      </c>
      <c r="Z1339" s="370">
        <v>0</v>
      </c>
      <c r="AA1339" s="1129">
        <v>0</v>
      </c>
      <c r="AB1339" s="370">
        <v>0</v>
      </c>
      <c r="AC1339" s="370">
        <v>0</v>
      </c>
      <c r="AD1339" s="1129">
        <v>0</v>
      </c>
      <c r="AE1339" s="370">
        <v>0</v>
      </c>
      <c r="AF1339" s="370">
        <v>0</v>
      </c>
      <c r="AG1339" s="1129">
        <v>0</v>
      </c>
      <c r="AH1339" s="505">
        <f t="shared" si="392"/>
        <v>0</v>
      </c>
      <c r="AI1339" s="132"/>
      <c r="AJ1339" s="75">
        <f t="shared" si="391"/>
        <v>0</v>
      </c>
      <c r="AK1339" s="75"/>
      <c r="AL1339" s="75"/>
      <c r="AM1339" s="75"/>
      <c r="AN1339" s="64" t="s">
        <v>181</v>
      </c>
      <c r="AO1339" s="64"/>
      <c r="AP1339" s="64"/>
      <c r="AQ1339" s="64"/>
      <c r="AR1339" s="64"/>
      <c r="AS1339" s="64"/>
      <c r="AT1339" s="64"/>
      <c r="AU1339" s="646"/>
      <c r="AV1339" s="67"/>
      <c r="AW1339" s="65"/>
    </row>
    <row r="1340" spans="1:49" ht="24" hidden="1" customHeight="1" outlineLevel="3" x14ac:dyDescent="0.25">
      <c r="A1340" s="63" t="str">
        <f t="shared" si="306"/>
        <v>4.14.3.8.5.63</v>
      </c>
      <c r="B1340" s="64">
        <v>4</v>
      </c>
      <c r="C1340" s="64">
        <v>14</v>
      </c>
      <c r="D1340" s="64">
        <v>3</v>
      </c>
      <c r="E1340" s="64">
        <v>8</v>
      </c>
      <c r="F1340" s="64">
        <v>5</v>
      </c>
      <c r="G1340" s="64">
        <v>63</v>
      </c>
      <c r="H1340" s="65"/>
      <c r="I1340" s="65"/>
      <c r="J1340" s="66"/>
      <c r="K1340" s="125" t="s">
        <v>1779</v>
      </c>
      <c r="L1340" s="64" t="s">
        <v>72</v>
      </c>
      <c r="M1340" s="64" t="s">
        <v>73</v>
      </c>
      <c r="N1340" s="64" t="s">
        <v>74</v>
      </c>
      <c r="O1340" s="64" t="s">
        <v>1487</v>
      </c>
      <c r="P1340" s="64"/>
      <c r="Q1340" s="64"/>
      <c r="R1340" s="64"/>
      <c r="S1340" s="65"/>
      <c r="T1340" s="194"/>
      <c r="U1340" s="370">
        <v>0</v>
      </c>
      <c r="V1340" s="370"/>
      <c r="W1340" s="370">
        <v>0</v>
      </c>
      <c r="X1340" s="1129">
        <v>0</v>
      </c>
      <c r="Y1340" s="370">
        <v>0</v>
      </c>
      <c r="Z1340" s="370">
        <v>0</v>
      </c>
      <c r="AA1340" s="1129">
        <v>0</v>
      </c>
      <c r="AB1340" s="370">
        <v>0</v>
      </c>
      <c r="AC1340" s="370">
        <v>0</v>
      </c>
      <c r="AD1340" s="1129">
        <v>0</v>
      </c>
      <c r="AE1340" s="370">
        <v>0</v>
      </c>
      <c r="AF1340" s="370">
        <v>0</v>
      </c>
      <c r="AG1340" s="1129">
        <v>0</v>
      </c>
      <c r="AH1340" s="505">
        <f t="shared" si="392"/>
        <v>0</v>
      </c>
      <c r="AI1340" s="132"/>
      <c r="AJ1340" s="75">
        <f t="shared" si="391"/>
        <v>0</v>
      </c>
      <c r="AK1340" s="75"/>
      <c r="AL1340" s="75"/>
      <c r="AM1340" s="75"/>
      <c r="AN1340" s="64" t="s">
        <v>181</v>
      </c>
      <c r="AO1340" s="64"/>
      <c r="AP1340" s="64"/>
      <c r="AQ1340" s="64"/>
      <c r="AR1340" s="64"/>
      <c r="AS1340" s="64"/>
      <c r="AT1340" s="64"/>
      <c r="AU1340" s="646"/>
      <c r="AV1340" s="67"/>
      <c r="AW1340" s="65"/>
    </row>
    <row r="1341" spans="1:49" ht="24" hidden="1" customHeight="1" outlineLevel="3" x14ac:dyDescent="0.25">
      <c r="A1341" s="63" t="str">
        <f t="shared" si="306"/>
        <v>4.14.3.8.5.64</v>
      </c>
      <c r="B1341" s="64">
        <v>4</v>
      </c>
      <c r="C1341" s="64">
        <v>14</v>
      </c>
      <c r="D1341" s="64">
        <v>3</v>
      </c>
      <c r="E1341" s="64">
        <v>8</v>
      </c>
      <c r="F1341" s="64">
        <v>5</v>
      </c>
      <c r="G1341" s="64">
        <v>64</v>
      </c>
      <c r="H1341" s="65"/>
      <c r="I1341" s="65"/>
      <c r="J1341" s="66"/>
      <c r="K1341" s="125" t="s">
        <v>1516</v>
      </c>
      <c r="L1341" s="64" t="s">
        <v>72</v>
      </c>
      <c r="M1341" s="64" t="s">
        <v>73</v>
      </c>
      <c r="N1341" s="64" t="s">
        <v>74</v>
      </c>
      <c r="O1341" s="64" t="s">
        <v>1487</v>
      </c>
      <c r="P1341" s="64"/>
      <c r="Q1341" s="64"/>
      <c r="R1341" s="64"/>
      <c r="S1341" s="65"/>
      <c r="T1341" s="194"/>
      <c r="U1341" s="370">
        <v>0</v>
      </c>
      <c r="V1341" s="370"/>
      <c r="W1341" s="370">
        <v>0</v>
      </c>
      <c r="X1341" s="1129">
        <v>0</v>
      </c>
      <c r="Y1341" s="370">
        <v>0</v>
      </c>
      <c r="Z1341" s="370">
        <v>0</v>
      </c>
      <c r="AA1341" s="1129">
        <v>0</v>
      </c>
      <c r="AB1341" s="370">
        <v>0</v>
      </c>
      <c r="AC1341" s="370">
        <v>0</v>
      </c>
      <c r="AD1341" s="1129">
        <v>0</v>
      </c>
      <c r="AE1341" s="370">
        <v>0</v>
      </c>
      <c r="AF1341" s="370">
        <v>0</v>
      </c>
      <c r="AG1341" s="1129">
        <v>0</v>
      </c>
      <c r="AH1341" s="505">
        <f t="shared" si="392"/>
        <v>0</v>
      </c>
      <c r="AI1341" s="132"/>
      <c r="AJ1341" s="75">
        <f t="shared" si="391"/>
        <v>0</v>
      </c>
      <c r="AK1341" s="75"/>
      <c r="AL1341" s="75"/>
      <c r="AM1341" s="75"/>
      <c r="AN1341" s="64" t="s">
        <v>181</v>
      </c>
      <c r="AO1341" s="64"/>
      <c r="AP1341" s="64"/>
      <c r="AQ1341" s="64"/>
      <c r="AR1341" s="64"/>
      <c r="AS1341" s="64"/>
      <c r="AT1341" s="64"/>
      <c r="AU1341" s="646"/>
      <c r="AV1341" s="67"/>
      <c r="AW1341" s="65"/>
    </row>
    <row r="1342" spans="1:49" ht="33" hidden="1" customHeight="1" outlineLevel="3" x14ac:dyDescent="0.25">
      <c r="A1342" s="63" t="str">
        <f t="shared" si="306"/>
        <v>4.14.3.8.6.58</v>
      </c>
      <c r="B1342" s="64">
        <v>4</v>
      </c>
      <c r="C1342" s="64">
        <v>14</v>
      </c>
      <c r="D1342" s="64">
        <v>3</v>
      </c>
      <c r="E1342" s="64">
        <v>8</v>
      </c>
      <c r="F1342" s="64">
        <v>6</v>
      </c>
      <c r="G1342" s="64">
        <v>58</v>
      </c>
      <c r="H1342" s="65"/>
      <c r="I1342" s="65"/>
      <c r="J1342" s="65"/>
      <c r="K1342" s="67" t="s">
        <v>1517</v>
      </c>
      <c r="L1342" s="64" t="s">
        <v>72</v>
      </c>
      <c r="M1342" s="64" t="s">
        <v>73</v>
      </c>
      <c r="N1342" s="64" t="s">
        <v>74</v>
      </c>
      <c r="O1342" s="64" t="s">
        <v>1487</v>
      </c>
      <c r="P1342" s="64"/>
      <c r="Q1342" s="64"/>
      <c r="R1342" s="64"/>
      <c r="S1342" s="65"/>
      <c r="T1342" s="194"/>
      <c r="U1342" s="370">
        <v>0</v>
      </c>
      <c r="V1342" s="370"/>
      <c r="W1342" s="370">
        <v>0</v>
      </c>
      <c r="X1342" s="1129">
        <v>0</v>
      </c>
      <c r="Y1342" s="370">
        <v>0</v>
      </c>
      <c r="Z1342" s="370">
        <v>0</v>
      </c>
      <c r="AA1342" s="1129">
        <v>0</v>
      </c>
      <c r="AB1342" s="370">
        <v>0</v>
      </c>
      <c r="AC1342" s="370">
        <v>0</v>
      </c>
      <c r="AD1342" s="1129">
        <v>0</v>
      </c>
      <c r="AE1342" s="370">
        <v>0</v>
      </c>
      <c r="AF1342" s="370">
        <v>0</v>
      </c>
      <c r="AG1342" s="1129">
        <v>0</v>
      </c>
      <c r="AH1342" s="505">
        <f t="shared" si="392"/>
        <v>0</v>
      </c>
      <c r="AI1342" s="132"/>
      <c r="AJ1342" s="75">
        <f t="shared" si="391"/>
        <v>0</v>
      </c>
      <c r="AK1342" s="75"/>
      <c r="AL1342" s="75"/>
      <c r="AM1342" s="75"/>
      <c r="AN1342" s="64" t="s">
        <v>181</v>
      </c>
      <c r="AO1342" s="64"/>
      <c r="AP1342" s="64"/>
      <c r="AQ1342" s="189"/>
      <c r="AR1342" s="64"/>
      <c r="AS1342" s="476"/>
      <c r="AT1342" s="64"/>
      <c r="AU1342" s="646"/>
      <c r="AV1342" s="259"/>
      <c r="AW1342" s="185"/>
    </row>
    <row r="1343" spans="1:49" ht="24" hidden="1" customHeight="1" outlineLevel="3" x14ac:dyDescent="0.25">
      <c r="A1343" s="63" t="str">
        <f t="shared" si="306"/>
        <v>4.14.3.8.6.59</v>
      </c>
      <c r="B1343" s="64">
        <v>4</v>
      </c>
      <c r="C1343" s="64">
        <v>14</v>
      </c>
      <c r="D1343" s="64">
        <v>3</v>
      </c>
      <c r="E1343" s="64">
        <v>8</v>
      </c>
      <c r="F1343" s="64">
        <v>6</v>
      </c>
      <c r="G1343" s="64">
        <v>59</v>
      </c>
      <c r="H1343" s="65"/>
      <c r="I1343" s="65"/>
      <c r="J1343" s="259"/>
      <c r="K1343" s="65" t="s">
        <v>1518</v>
      </c>
      <c r="L1343" s="64" t="s">
        <v>72</v>
      </c>
      <c r="M1343" s="64" t="s">
        <v>73</v>
      </c>
      <c r="N1343" s="64" t="s">
        <v>74</v>
      </c>
      <c r="O1343" s="64" t="s">
        <v>1487</v>
      </c>
      <c r="P1343" s="64"/>
      <c r="Q1343" s="64"/>
      <c r="R1343" s="64"/>
      <c r="S1343" s="65"/>
      <c r="T1343" s="194"/>
      <c r="U1343" s="370">
        <v>0</v>
      </c>
      <c r="V1343" s="370"/>
      <c r="W1343" s="370">
        <v>0</v>
      </c>
      <c r="X1343" s="1129">
        <v>0</v>
      </c>
      <c r="Y1343" s="370">
        <v>0</v>
      </c>
      <c r="Z1343" s="370">
        <v>0</v>
      </c>
      <c r="AA1343" s="1129">
        <v>0</v>
      </c>
      <c r="AB1343" s="370">
        <v>0</v>
      </c>
      <c r="AC1343" s="370">
        <v>0</v>
      </c>
      <c r="AD1343" s="1129">
        <v>0</v>
      </c>
      <c r="AE1343" s="370">
        <v>0</v>
      </c>
      <c r="AF1343" s="370">
        <v>0</v>
      </c>
      <c r="AG1343" s="1129">
        <v>0</v>
      </c>
      <c r="AH1343" s="505">
        <f t="shared" si="392"/>
        <v>0</v>
      </c>
      <c r="AI1343" s="132"/>
      <c r="AJ1343" s="75">
        <f t="shared" si="391"/>
        <v>0</v>
      </c>
      <c r="AK1343" s="75"/>
      <c r="AL1343" s="75"/>
      <c r="AM1343" s="75"/>
      <c r="AN1343" s="64" t="s">
        <v>181</v>
      </c>
      <c r="AO1343" s="64"/>
      <c r="AP1343" s="64"/>
      <c r="AQ1343" s="189"/>
      <c r="AR1343" s="64"/>
      <c r="AS1343" s="476"/>
      <c r="AT1343" s="64"/>
      <c r="AU1343" s="646"/>
      <c r="AV1343" s="259"/>
      <c r="AW1343" s="185"/>
    </row>
    <row r="1344" spans="1:49" ht="24" hidden="1" customHeight="1" outlineLevel="3" x14ac:dyDescent="0.25">
      <c r="A1344" s="63" t="str">
        <f t="shared" si="306"/>
        <v>4.14.3.8.6.60</v>
      </c>
      <c r="B1344" s="64">
        <v>4</v>
      </c>
      <c r="C1344" s="64">
        <v>14</v>
      </c>
      <c r="D1344" s="64">
        <v>3</v>
      </c>
      <c r="E1344" s="64">
        <v>8</v>
      </c>
      <c r="F1344" s="64">
        <v>6</v>
      </c>
      <c r="G1344" s="64">
        <v>60</v>
      </c>
      <c r="H1344" s="65"/>
      <c r="I1344" s="65"/>
      <c r="J1344" s="259"/>
      <c r="K1344" s="65" t="s">
        <v>1519</v>
      </c>
      <c r="L1344" s="64" t="s">
        <v>72</v>
      </c>
      <c r="M1344" s="64" t="s">
        <v>73</v>
      </c>
      <c r="N1344" s="64" t="s">
        <v>74</v>
      </c>
      <c r="O1344" s="64" t="s">
        <v>1487</v>
      </c>
      <c r="P1344" s="64"/>
      <c r="Q1344" s="64"/>
      <c r="R1344" s="64"/>
      <c r="S1344" s="65"/>
      <c r="T1344" s="194"/>
      <c r="U1344" s="370">
        <v>0</v>
      </c>
      <c r="V1344" s="370"/>
      <c r="W1344" s="370">
        <v>0</v>
      </c>
      <c r="X1344" s="1129">
        <v>0</v>
      </c>
      <c r="Y1344" s="370">
        <v>0</v>
      </c>
      <c r="Z1344" s="370">
        <v>0</v>
      </c>
      <c r="AA1344" s="1129">
        <v>0</v>
      </c>
      <c r="AB1344" s="370">
        <v>0</v>
      </c>
      <c r="AC1344" s="370">
        <v>0</v>
      </c>
      <c r="AD1344" s="1129">
        <v>0</v>
      </c>
      <c r="AE1344" s="370">
        <v>0</v>
      </c>
      <c r="AF1344" s="370">
        <v>0</v>
      </c>
      <c r="AG1344" s="1129">
        <v>0</v>
      </c>
      <c r="AH1344" s="505">
        <f t="shared" si="392"/>
        <v>0</v>
      </c>
      <c r="AI1344" s="132"/>
      <c r="AJ1344" s="75">
        <f t="shared" si="391"/>
        <v>0</v>
      </c>
      <c r="AK1344" s="75"/>
      <c r="AL1344" s="75"/>
      <c r="AM1344" s="75"/>
      <c r="AN1344" s="64" t="s">
        <v>181</v>
      </c>
      <c r="AO1344" s="64"/>
      <c r="AP1344" s="64"/>
      <c r="AQ1344" s="189"/>
      <c r="AR1344" s="64"/>
      <c r="AS1344" s="476"/>
      <c r="AT1344" s="64"/>
      <c r="AU1344" s="646"/>
      <c r="AV1344" s="259"/>
      <c r="AW1344" s="185"/>
    </row>
    <row r="1345" spans="1:52" ht="24" hidden="1" customHeight="1" outlineLevel="3" x14ac:dyDescent="0.25">
      <c r="A1345" s="63" t="str">
        <f t="shared" si="306"/>
        <v>4.14.3.8.6.61</v>
      </c>
      <c r="B1345" s="64">
        <v>4</v>
      </c>
      <c r="C1345" s="64">
        <v>14</v>
      </c>
      <c r="D1345" s="64">
        <v>3</v>
      </c>
      <c r="E1345" s="64">
        <v>8</v>
      </c>
      <c r="F1345" s="64">
        <v>6</v>
      </c>
      <c r="G1345" s="64">
        <v>61</v>
      </c>
      <c r="H1345" s="65"/>
      <c r="I1345" s="65"/>
      <c r="J1345" s="259"/>
      <c r="K1345" s="65" t="s">
        <v>1520</v>
      </c>
      <c r="L1345" s="64" t="s">
        <v>72</v>
      </c>
      <c r="M1345" s="64" t="s">
        <v>73</v>
      </c>
      <c r="N1345" s="64" t="s">
        <v>74</v>
      </c>
      <c r="O1345" s="64" t="s">
        <v>1487</v>
      </c>
      <c r="P1345" s="64"/>
      <c r="Q1345" s="64"/>
      <c r="R1345" s="64"/>
      <c r="S1345" s="65"/>
      <c r="T1345" s="194"/>
      <c r="U1345" s="370">
        <v>0</v>
      </c>
      <c r="V1345" s="370"/>
      <c r="W1345" s="370">
        <v>0</v>
      </c>
      <c r="X1345" s="1129">
        <v>0</v>
      </c>
      <c r="Y1345" s="370">
        <v>0</v>
      </c>
      <c r="Z1345" s="370">
        <v>0</v>
      </c>
      <c r="AA1345" s="1129">
        <v>0</v>
      </c>
      <c r="AB1345" s="370">
        <v>0</v>
      </c>
      <c r="AC1345" s="370">
        <v>0</v>
      </c>
      <c r="AD1345" s="1129">
        <v>0</v>
      </c>
      <c r="AE1345" s="370">
        <v>0</v>
      </c>
      <c r="AF1345" s="370">
        <v>0</v>
      </c>
      <c r="AG1345" s="1129">
        <v>0</v>
      </c>
      <c r="AH1345" s="505">
        <f t="shared" si="392"/>
        <v>0</v>
      </c>
      <c r="AI1345" s="132"/>
      <c r="AJ1345" s="75">
        <f t="shared" si="391"/>
        <v>0</v>
      </c>
      <c r="AK1345" s="75"/>
      <c r="AL1345" s="75"/>
      <c r="AM1345" s="75"/>
      <c r="AN1345" s="64" t="s">
        <v>181</v>
      </c>
      <c r="AO1345" s="64"/>
      <c r="AP1345" s="64"/>
      <c r="AQ1345" s="189"/>
      <c r="AR1345" s="64"/>
      <c r="AS1345" s="476"/>
      <c r="AT1345" s="64"/>
      <c r="AU1345" s="646"/>
      <c r="AV1345" s="259"/>
      <c r="AW1345" s="185"/>
    </row>
    <row r="1346" spans="1:52" ht="24" hidden="1" customHeight="1" outlineLevel="3" x14ac:dyDescent="0.25">
      <c r="A1346" s="63" t="str">
        <f t="shared" si="306"/>
        <v>4.14.3.8.6.62</v>
      </c>
      <c r="B1346" s="64">
        <v>4</v>
      </c>
      <c r="C1346" s="64">
        <v>14</v>
      </c>
      <c r="D1346" s="64">
        <v>3</v>
      </c>
      <c r="E1346" s="64">
        <v>8</v>
      </c>
      <c r="F1346" s="64">
        <v>6</v>
      </c>
      <c r="G1346" s="64">
        <v>62</v>
      </c>
      <c r="H1346" s="65"/>
      <c r="I1346" s="65"/>
      <c r="J1346" s="259"/>
      <c r="K1346" s="287" t="s">
        <v>1521</v>
      </c>
      <c r="L1346" s="64" t="s">
        <v>72</v>
      </c>
      <c r="M1346" s="186" t="s">
        <v>73</v>
      </c>
      <c r="N1346" s="64" t="s">
        <v>74</v>
      </c>
      <c r="O1346" s="64" t="s">
        <v>1487</v>
      </c>
      <c r="P1346" s="287"/>
      <c r="Q1346" s="287"/>
      <c r="R1346" s="287"/>
      <c r="S1346" s="287"/>
      <c r="T1346" s="1191"/>
      <c r="U1346" s="370">
        <v>0</v>
      </c>
      <c r="V1346" s="370"/>
      <c r="W1346" s="370">
        <v>0</v>
      </c>
      <c r="X1346" s="1129">
        <v>0</v>
      </c>
      <c r="Y1346" s="370">
        <v>0</v>
      </c>
      <c r="Z1346" s="370">
        <v>0</v>
      </c>
      <c r="AA1346" s="1129">
        <v>0</v>
      </c>
      <c r="AB1346" s="370">
        <v>0</v>
      </c>
      <c r="AC1346" s="370">
        <v>0</v>
      </c>
      <c r="AD1346" s="1129">
        <v>0</v>
      </c>
      <c r="AE1346" s="370">
        <v>0</v>
      </c>
      <c r="AF1346" s="370">
        <v>0</v>
      </c>
      <c r="AG1346" s="1129">
        <v>0</v>
      </c>
      <c r="AH1346" s="505">
        <f t="shared" si="392"/>
        <v>0</v>
      </c>
      <c r="AI1346" s="132"/>
      <c r="AJ1346" s="75">
        <f t="shared" si="391"/>
        <v>0</v>
      </c>
      <c r="AK1346" s="75"/>
      <c r="AL1346" s="75"/>
      <c r="AM1346" s="75"/>
      <c r="AN1346" s="64" t="s">
        <v>181</v>
      </c>
      <c r="AO1346" s="64"/>
      <c r="AP1346" s="64"/>
      <c r="AQ1346" s="189"/>
      <c r="AR1346" s="64"/>
      <c r="AS1346" s="476"/>
      <c r="AT1346" s="64"/>
      <c r="AU1346" s="646"/>
      <c r="AV1346" s="367"/>
      <c r="AW1346" s="185"/>
    </row>
    <row r="1347" spans="1:52" ht="24" hidden="1" customHeight="1" outlineLevel="3" x14ac:dyDescent="0.25">
      <c r="A1347" s="63" t="str">
        <f t="shared" si="306"/>
        <v>4.14.3.8.6.63</v>
      </c>
      <c r="B1347" s="64">
        <v>4</v>
      </c>
      <c r="C1347" s="64">
        <v>14</v>
      </c>
      <c r="D1347" s="64">
        <v>3</v>
      </c>
      <c r="E1347" s="64">
        <v>8</v>
      </c>
      <c r="F1347" s="64">
        <v>6</v>
      </c>
      <c r="G1347" s="64">
        <v>63</v>
      </c>
      <c r="H1347" s="65"/>
      <c r="I1347" s="65"/>
      <c r="J1347" s="259"/>
      <c r="K1347" s="287" t="s">
        <v>1780</v>
      </c>
      <c r="L1347" s="64" t="s">
        <v>72</v>
      </c>
      <c r="M1347" s="186" t="s">
        <v>73</v>
      </c>
      <c r="N1347" s="64" t="s">
        <v>74</v>
      </c>
      <c r="O1347" s="64" t="s">
        <v>1487</v>
      </c>
      <c r="P1347" s="287"/>
      <c r="Q1347" s="287"/>
      <c r="R1347" s="287"/>
      <c r="S1347" s="287"/>
      <c r="T1347" s="1191"/>
      <c r="U1347" s="370">
        <v>0</v>
      </c>
      <c r="V1347" s="370"/>
      <c r="W1347" s="370">
        <v>0</v>
      </c>
      <c r="X1347" s="1129">
        <v>0</v>
      </c>
      <c r="Y1347" s="370">
        <v>0</v>
      </c>
      <c r="Z1347" s="370">
        <v>0</v>
      </c>
      <c r="AA1347" s="1129">
        <v>0</v>
      </c>
      <c r="AB1347" s="370">
        <v>0</v>
      </c>
      <c r="AC1347" s="370">
        <v>0</v>
      </c>
      <c r="AD1347" s="1129">
        <v>0</v>
      </c>
      <c r="AE1347" s="370">
        <v>0</v>
      </c>
      <c r="AF1347" s="370">
        <v>0</v>
      </c>
      <c r="AG1347" s="1129">
        <v>0</v>
      </c>
      <c r="AH1347" s="505">
        <f t="shared" si="392"/>
        <v>0</v>
      </c>
      <c r="AI1347" s="132"/>
      <c r="AJ1347" s="75">
        <f t="shared" si="391"/>
        <v>0</v>
      </c>
      <c r="AK1347" s="75"/>
      <c r="AL1347" s="75"/>
      <c r="AM1347" s="75"/>
      <c r="AN1347" s="64" t="s">
        <v>181</v>
      </c>
      <c r="AO1347" s="64"/>
      <c r="AP1347" s="64"/>
      <c r="AQ1347" s="189"/>
      <c r="AR1347" s="64"/>
      <c r="AS1347" s="476"/>
      <c r="AT1347" s="64"/>
      <c r="AU1347" s="646"/>
      <c r="AV1347" s="367"/>
      <c r="AW1347" s="185"/>
    </row>
    <row r="1348" spans="1:52" ht="24" hidden="1" customHeight="1" outlineLevel="3" x14ac:dyDescent="0.25">
      <c r="A1348" s="63" t="str">
        <f t="shared" si="306"/>
        <v>4.14.3.8.6.64</v>
      </c>
      <c r="B1348" s="64">
        <v>4</v>
      </c>
      <c r="C1348" s="64">
        <v>14</v>
      </c>
      <c r="D1348" s="64">
        <v>3</v>
      </c>
      <c r="E1348" s="64">
        <v>8</v>
      </c>
      <c r="F1348" s="64">
        <v>6</v>
      </c>
      <c r="G1348" s="64">
        <v>64</v>
      </c>
      <c r="H1348" s="65"/>
      <c r="I1348" s="65"/>
      <c r="J1348" s="259"/>
      <c r="K1348" s="287" t="s">
        <v>1522</v>
      </c>
      <c r="L1348" s="64" t="s">
        <v>72</v>
      </c>
      <c r="M1348" s="186" t="s">
        <v>73</v>
      </c>
      <c r="N1348" s="64" t="s">
        <v>74</v>
      </c>
      <c r="O1348" s="64" t="s">
        <v>1487</v>
      </c>
      <c r="P1348" s="287"/>
      <c r="Q1348" s="287"/>
      <c r="R1348" s="287"/>
      <c r="S1348" s="287"/>
      <c r="T1348" s="1191"/>
      <c r="U1348" s="370">
        <v>0</v>
      </c>
      <c r="V1348" s="370"/>
      <c r="W1348" s="370">
        <v>0</v>
      </c>
      <c r="X1348" s="1129">
        <v>0</v>
      </c>
      <c r="Y1348" s="370">
        <v>0</v>
      </c>
      <c r="Z1348" s="370">
        <v>0</v>
      </c>
      <c r="AA1348" s="1129">
        <v>0</v>
      </c>
      <c r="AB1348" s="370">
        <v>0</v>
      </c>
      <c r="AC1348" s="370">
        <v>0</v>
      </c>
      <c r="AD1348" s="1129">
        <v>0</v>
      </c>
      <c r="AE1348" s="370">
        <v>0</v>
      </c>
      <c r="AF1348" s="370">
        <v>0</v>
      </c>
      <c r="AG1348" s="1129">
        <v>0</v>
      </c>
      <c r="AH1348" s="505">
        <f t="shared" si="392"/>
        <v>0</v>
      </c>
      <c r="AI1348" s="132"/>
      <c r="AJ1348" s="75">
        <f t="shared" si="391"/>
        <v>0</v>
      </c>
      <c r="AK1348" s="75"/>
      <c r="AL1348" s="75"/>
      <c r="AM1348" s="75"/>
      <c r="AN1348" s="64" t="s">
        <v>181</v>
      </c>
      <c r="AO1348" s="64"/>
      <c r="AP1348" s="64"/>
      <c r="AQ1348" s="189"/>
      <c r="AR1348" s="64"/>
      <c r="AS1348" s="476"/>
      <c r="AT1348" s="64"/>
      <c r="AU1348" s="646"/>
      <c r="AV1348" s="367"/>
      <c r="AW1348" s="185"/>
      <c r="AZ1348" s="288" t="e">
        <f>+#REF!-283990995</f>
        <v>#REF!</v>
      </c>
    </row>
    <row r="1349" spans="1:52" ht="24" hidden="1" customHeight="1" outlineLevel="3" x14ac:dyDescent="0.25">
      <c r="A1349" s="63" t="str">
        <f t="shared" si="306"/>
        <v>4.14.3.8.7.58</v>
      </c>
      <c r="B1349" s="64">
        <v>4</v>
      </c>
      <c r="C1349" s="64">
        <v>14</v>
      </c>
      <c r="D1349" s="64">
        <v>3</v>
      </c>
      <c r="E1349" s="64">
        <v>8</v>
      </c>
      <c r="F1349" s="64">
        <v>7</v>
      </c>
      <c r="G1349" s="64">
        <v>58</v>
      </c>
      <c r="H1349" s="65"/>
      <c r="I1349" s="65"/>
      <c r="J1349" s="259"/>
      <c r="K1349" s="287" t="s">
        <v>1523</v>
      </c>
      <c r="L1349" s="186" t="s">
        <v>1475</v>
      </c>
      <c r="M1349" s="186" t="s">
        <v>73</v>
      </c>
      <c r="N1349" s="64" t="s">
        <v>74</v>
      </c>
      <c r="O1349" s="186" t="s">
        <v>1524</v>
      </c>
      <c r="P1349" s="287">
        <v>44571</v>
      </c>
      <c r="Q1349" s="287">
        <v>44926</v>
      </c>
      <c r="R1349" s="287">
        <v>2</v>
      </c>
      <c r="S1349" s="287" t="s">
        <v>1525</v>
      </c>
      <c r="T1349" s="1191">
        <v>1</v>
      </c>
      <c r="U1349" s="370">
        <v>0</v>
      </c>
      <c r="V1349" s="370"/>
      <c r="W1349" s="370">
        <v>0</v>
      </c>
      <c r="X1349" s="1129">
        <v>0</v>
      </c>
      <c r="Y1349" s="370">
        <v>0</v>
      </c>
      <c r="Z1349" s="370">
        <v>0</v>
      </c>
      <c r="AA1349" s="1129">
        <v>0</v>
      </c>
      <c r="AB1349" s="370">
        <v>0</v>
      </c>
      <c r="AC1349" s="370">
        <v>0</v>
      </c>
      <c r="AD1349" s="1129">
        <v>0</v>
      </c>
      <c r="AE1349" s="370">
        <v>0</v>
      </c>
      <c r="AF1349" s="370">
        <v>0</v>
      </c>
      <c r="AG1349" s="1129">
        <v>0</v>
      </c>
      <c r="AH1349" s="505">
        <f t="shared" si="392"/>
        <v>0</v>
      </c>
      <c r="AI1349" s="132"/>
      <c r="AJ1349" s="75">
        <f t="shared" si="391"/>
        <v>0</v>
      </c>
      <c r="AK1349" s="75"/>
      <c r="AL1349" s="75"/>
      <c r="AM1349" s="75"/>
      <c r="AN1349" s="64" t="s">
        <v>181</v>
      </c>
      <c r="AO1349" s="64"/>
      <c r="AP1349" s="64"/>
      <c r="AQ1349" s="189"/>
      <c r="AR1349" s="64"/>
      <c r="AS1349" s="476"/>
      <c r="AT1349" s="64"/>
      <c r="AU1349" s="646"/>
      <c r="AV1349" s="367" t="s">
        <v>1526</v>
      </c>
      <c r="AW1349" s="185"/>
    </row>
    <row r="1350" spans="1:52" ht="24" hidden="1" customHeight="1" outlineLevel="3" x14ac:dyDescent="0.25">
      <c r="A1350" s="63" t="str">
        <f t="shared" si="306"/>
        <v>4.14.3.8.7.59</v>
      </c>
      <c r="B1350" s="64">
        <v>4</v>
      </c>
      <c r="C1350" s="64">
        <v>14</v>
      </c>
      <c r="D1350" s="64">
        <v>3</v>
      </c>
      <c r="E1350" s="64">
        <v>8</v>
      </c>
      <c r="F1350" s="64">
        <v>7</v>
      </c>
      <c r="G1350" s="64">
        <v>59</v>
      </c>
      <c r="H1350" s="65"/>
      <c r="I1350" s="65"/>
      <c r="J1350" s="259"/>
      <c r="K1350" s="287" t="s">
        <v>1523</v>
      </c>
      <c r="L1350" s="186" t="s">
        <v>1475</v>
      </c>
      <c r="M1350" s="186" t="s">
        <v>73</v>
      </c>
      <c r="N1350" s="64" t="s">
        <v>74</v>
      </c>
      <c r="O1350" s="186" t="s">
        <v>1524</v>
      </c>
      <c r="P1350" s="287">
        <v>44571</v>
      </c>
      <c r="Q1350" s="287">
        <v>44926</v>
      </c>
      <c r="R1350" s="287">
        <v>2</v>
      </c>
      <c r="S1350" s="287" t="s">
        <v>1525</v>
      </c>
      <c r="T1350" s="1191">
        <v>1</v>
      </c>
      <c r="U1350" s="370">
        <v>0</v>
      </c>
      <c r="V1350" s="370"/>
      <c r="W1350" s="370">
        <v>0</v>
      </c>
      <c r="X1350" s="1129">
        <v>0</v>
      </c>
      <c r="Y1350" s="370">
        <v>0</v>
      </c>
      <c r="Z1350" s="370">
        <v>0</v>
      </c>
      <c r="AA1350" s="1129">
        <v>0</v>
      </c>
      <c r="AB1350" s="370">
        <v>0</v>
      </c>
      <c r="AC1350" s="370">
        <v>0</v>
      </c>
      <c r="AD1350" s="1129">
        <v>0</v>
      </c>
      <c r="AE1350" s="370">
        <v>0</v>
      </c>
      <c r="AF1350" s="370">
        <v>0</v>
      </c>
      <c r="AG1350" s="1129">
        <v>0</v>
      </c>
      <c r="AH1350" s="505">
        <f t="shared" si="392"/>
        <v>0</v>
      </c>
      <c r="AI1350" s="132"/>
      <c r="AJ1350" s="75">
        <f t="shared" si="391"/>
        <v>0</v>
      </c>
      <c r="AK1350" s="75"/>
      <c r="AL1350" s="75"/>
      <c r="AM1350" s="75"/>
      <c r="AN1350" s="64" t="s">
        <v>181</v>
      </c>
      <c r="AO1350" s="64"/>
      <c r="AP1350" s="64"/>
      <c r="AQ1350" s="189"/>
      <c r="AR1350" s="64"/>
      <c r="AS1350" s="476"/>
      <c r="AT1350" s="64"/>
      <c r="AU1350" s="646"/>
      <c r="AV1350" s="367" t="s">
        <v>1526</v>
      </c>
      <c r="AW1350" s="185"/>
    </row>
    <row r="1351" spans="1:52" ht="24" hidden="1" customHeight="1" outlineLevel="3" x14ac:dyDescent="0.25">
      <c r="A1351" s="63" t="str">
        <f t="shared" si="306"/>
        <v>4.14.3.8.7.60</v>
      </c>
      <c r="B1351" s="64">
        <v>4</v>
      </c>
      <c r="C1351" s="64">
        <v>14</v>
      </c>
      <c r="D1351" s="64">
        <v>3</v>
      </c>
      <c r="E1351" s="64">
        <v>8</v>
      </c>
      <c r="F1351" s="64">
        <v>7</v>
      </c>
      <c r="G1351" s="64">
        <v>60</v>
      </c>
      <c r="H1351" s="65"/>
      <c r="I1351" s="65"/>
      <c r="J1351" s="259"/>
      <c r="K1351" s="287" t="s">
        <v>1523</v>
      </c>
      <c r="L1351" s="186" t="s">
        <v>1475</v>
      </c>
      <c r="M1351" s="186" t="s">
        <v>73</v>
      </c>
      <c r="N1351" s="64" t="s">
        <v>74</v>
      </c>
      <c r="O1351" s="186" t="s">
        <v>1524</v>
      </c>
      <c r="P1351" s="287">
        <v>44571</v>
      </c>
      <c r="Q1351" s="287">
        <v>44926</v>
      </c>
      <c r="R1351" s="287">
        <v>2</v>
      </c>
      <c r="S1351" s="287" t="s">
        <v>1525</v>
      </c>
      <c r="T1351" s="1191">
        <v>1</v>
      </c>
      <c r="U1351" s="370">
        <v>0</v>
      </c>
      <c r="V1351" s="370"/>
      <c r="W1351" s="370">
        <v>0</v>
      </c>
      <c r="X1351" s="1129">
        <v>0</v>
      </c>
      <c r="Y1351" s="370">
        <v>0</v>
      </c>
      <c r="Z1351" s="370">
        <v>0</v>
      </c>
      <c r="AA1351" s="1129">
        <v>0</v>
      </c>
      <c r="AB1351" s="370">
        <v>0</v>
      </c>
      <c r="AC1351" s="370">
        <v>0</v>
      </c>
      <c r="AD1351" s="1129">
        <v>0</v>
      </c>
      <c r="AE1351" s="370">
        <v>0</v>
      </c>
      <c r="AF1351" s="370">
        <v>0</v>
      </c>
      <c r="AG1351" s="1129">
        <v>0</v>
      </c>
      <c r="AH1351" s="505">
        <f t="shared" si="392"/>
        <v>0</v>
      </c>
      <c r="AI1351" s="132"/>
      <c r="AJ1351" s="75">
        <f t="shared" si="391"/>
        <v>0</v>
      </c>
      <c r="AK1351" s="75"/>
      <c r="AL1351" s="75"/>
      <c r="AM1351" s="75"/>
      <c r="AN1351" s="64" t="s">
        <v>181</v>
      </c>
      <c r="AO1351" s="64"/>
      <c r="AP1351" s="64"/>
      <c r="AQ1351" s="189"/>
      <c r="AR1351" s="64"/>
      <c r="AS1351" s="476"/>
      <c r="AT1351" s="64"/>
      <c r="AU1351" s="646"/>
      <c r="AV1351" s="367" t="s">
        <v>1526</v>
      </c>
      <c r="AW1351" s="185"/>
    </row>
    <row r="1352" spans="1:52" ht="24" hidden="1" customHeight="1" outlineLevel="3" x14ac:dyDescent="0.25">
      <c r="A1352" s="63" t="str">
        <f t="shared" si="306"/>
        <v>4.14.3.8.7.61</v>
      </c>
      <c r="B1352" s="64">
        <v>4</v>
      </c>
      <c r="C1352" s="64">
        <v>14</v>
      </c>
      <c r="D1352" s="64">
        <v>3</v>
      </c>
      <c r="E1352" s="64">
        <v>8</v>
      </c>
      <c r="F1352" s="64">
        <v>7</v>
      </c>
      <c r="G1352" s="64">
        <v>61</v>
      </c>
      <c r="H1352" s="65"/>
      <c r="I1352" s="65"/>
      <c r="J1352" s="259"/>
      <c r="K1352" s="287" t="s">
        <v>1523</v>
      </c>
      <c r="L1352" s="186" t="s">
        <v>1475</v>
      </c>
      <c r="M1352" s="186" t="s">
        <v>73</v>
      </c>
      <c r="N1352" s="64" t="s">
        <v>74</v>
      </c>
      <c r="O1352" s="186" t="s">
        <v>1524</v>
      </c>
      <c r="P1352" s="287">
        <v>44571</v>
      </c>
      <c r="Q1352" s="287">
        <v>44926</v>
      </c>
      <c r="R1352" s="287">
        <v>2</v>
      </c>
      <c r="S1352" s="287" t="s">
        <v>1525</v>
      </c>
      <c r="T1352" s="1191">
        <v>1</v>
      </c>
      <c r="U1352" s="370">
        <v>0</v>
      </c>
      <c r="V1352" s="370"/>
      <c r="W1352" s="370">
        <v>0</v>
      </c>
      <c r="X1352" s="1129">
        <v>0</v>
      </c>
      <c r="Y1352" s="370">
        <v>0</v>
      </c>
      <c r="Z1352" s="370">
        <v>0</v>
      </c>
      <c r="AA1352" s="1129">
        <v>0</v>
      </c>
      <c r="AB1352" s="370">
        <v>0</v>
      </c>
      <c r="AC1352" s="370">
        <v>0</v>
      </c>
      <c r="AD1352" s="1129">
        <v>0</v>
      </c>
      <c r="AE1352" s="370">
        <v>0</v>
      </c>
      <c r="AF1352" s="370">
        <v>0</v>
      </c>
      <c r="AG1352" s="1129">
        <v>0</v>
      </c>
      <c r="AH1352" s="505">
        <f t="shared" si="392"/>
        <v>0</v>
      </c>
      <c r="AI1352" s="132"/>
      <c r="AJ1352" s="75">
        <f t="shared" si="391"/>
        <v>0</v>
      </c>
      <c r="AK1352" s="75"/>
      <c r="AL1352" s="75"/>
      <c r="AM1352" s="75"/>
      <c r="AN1352" s="64" t="s">
        <v>181</v>
      </c>
      <c r="AO1352" s="64"/>
      <c r="AP1352" s="64"/>
      <c r="AQ1352" s="189"/>
      <c r="AR1352" s="64"/>
      <c r="AS1352" s="476"/>
      <c r="AT1352" s="64"/>
      <c r="AU1352" s="646"/>
      <c r="AV1352" s="367" t="s">
        <v>1526</v>
      </c>
      <c r="AW1352" s="185"/>
    </row>
    <row r="1353" spans="1:52" ht="24" hidden="1" customHeight="1" outlineLevel="3" x14ac:dyDescent="0.25">
      <c r="A1353" s="63" t="str">
        <f t="shared" si="306"/>
        <v>4.14.3.8.7.62</v>
      </c>
      <c r="B1353" s="64">
        <v>4</v>
      </c>
      <c r="C1353" s="64">
        <v>14</v>
      </c>
      <c r="D1353" s="64">
        <v>3</v>
      </c>
      <c r="E1353" s="64">
        <v>8</v>
      </c>
      <c r="F1353" s="64">
        <v>7</v>
      </c>
      <c r="G1353" s="64">
        <v>62</v>
      </c>
      <c r="H1353" s="65"/>
      <c r="I1353" s="65"/>
      <c r="J1353" s="259"/>
      <c r="K1353" s="287" t="s">
        <v>1523</v>
      </c>
      <c r="L1353" s="186" t="s">
        <v>1475</v>
      </c>
      <c r="M1353" s="186" t="s">
        <v>73</v>
      </c>
      <c r="N1353" s="64" t="s">
        <v>74</v>
      </c>
      <c r="O1353" s="186" t="s">
        <v>1524</v>
      </c>
      <c r="P1353" s="287">
        <v>44571</v>
      </c>
      <c r="Q1353" s="287">
        <v>44926</v>
      </c>
      <c r="R1353" s="287">
        <v>2</v>
      </c>
      <c r="S1353" s="287" t="s">
        <v>1525</v>
      </c>
      <c r="T1353" s="1191">
        <v>1</v>
      </c>
      <c r="U1353" s="370">
        <v>0</v>
      </c>
      <c r="V1353" s="370"/>
      <c r="W1353" s="370">
        <v>0</v>
      </c>
      <c r="X1353" s="1129">
        <v>0</v>
      </c>
      <c r="Y1353" s="370">
        <v>0</v>
      </c>
      <c r="Z1353" s="370">
        <v>0</v>
      </c>
      <c r="AA1353" s="1129">
        <v>0</v>
      </c>
      <c r="AB1353" s="370">
        <v>0</v>
      </c>
      <c r="AC1353" s="370">
        <v>0</v>
      </c>
      <c r="AD1353" s="1129">
        <v>0</v>
      </c>
      <c r="AE1353" s="370">
        <v>0</v>
      </c>
      <c r="AF1353" s="370">
        <v>0</v>
      </c>
      <c r="AG1353" s="1129">
        <v>0</v>
      </c>
      <c r="AH1353" s="505">
        <f t="shared" si="392"/>
        <v>0</v>
      </c>
      <c r="AI1353" s="132"/>
      <c r="AJ1353" s="75">
        <f t="shared" si="391"/>
        <v>0</v>
      </c>
      <c r="AK1353" s="75"/>
      <c r="AL1353" s="75"/>
      <c r="AM1353" s="75"/>
      <c r="AN1353" s="64" t="s">
        <v>181</v>
      </c>
      <c r="AO1353" s="64"/>
      <c r="AP1353" s="64"/>
      <c r="AQ1353" s="189"/>
      <c r="AR1353" s="64"/>
      <c r="AS1353" s="476"/>
      <c r="AT1353" s="64"/>
      <c r="AU1353" s="646"/>
      <c r="AV1353" s="367" t="s">
        <v>1526</v>
      </c>
      <c r="AW1353" s="185"/>
    </row>
    <row r="1354" spans="1:52" ht="24" hidden="1" customHeight="1" outlineLevel="3" x14ac:dyDescent="0.25">
      <c r="A1354" s="63" t="str">
        <f t="shared" si="306"/>
        <v>4.14.3.8.7.63</v>
      </c>
      <c r="B1354" s="64">
        <v>4</v>
      </c>
      <c r="C1354" s="64">
        <v>14</v>
      </c>
      <c r="D1354" s="64">
        <v>3</v>
      </c>
      <c r="E1354" s="64">
        <v>8</v>
      </c>
      <c r="F1354" s="64">
        <v>7</v>
      </c>
      <c r="G1354" s="64">
        <v>63</v>
      </c>
      <c r="H1354" s="65"/>
      <c r="I1354" s="65"/>
      <c r="J1354" s="65"/>
      <c r="K1354" s="185" t="s">
        <v>1523</v>
      </c>
      <c r="L1354" s="64" t="s">
        <v>1475</v>
      </c>
      <c r="M1354" s="186" t="s">
        <v>73</v>
      </c>
      <c r="N1354" s="64" t="s">
        <v>74</v>
      </c>
      <c r="O1354" s="186" t="s">
        <v>1524</v>
      </c>
      <c r="P1354" s="69">
        <v>44571</v>
      </c>
      <c r="Q1354" s="69">
        <v>44926</v>
      </c>
      <c r="R1354" s="64">
        <v>2</v>
      </c>
      <c r="S1354" s="65" t="s">
        <v>1525</v>
      </c>
      <c r="T1354" s="194">
        <v>1</v>
      </c>
      <c r="U1354" s="370">
        <v>0</v>
      </c>
      <c r="V1354" s="370"/>
      <c r="W1354" s="370">
        <v>0</v>
      </c>
      <c r="X1354" s="1129">
        <v>0</v>
      </c>
      <c r="Y1354" s="370">
        <v>0</v>
      </c>
      <c r="Z1354" s="370">
        <v>0</v>
      </c>
      <c r="AA1354" s="1129">
        <v>0</v>
      </c>
      <c r="AB1354" s="370">
        <v>0</v>
      </c>
      <c r="AC1354" s="370">
        <v>0</v>
      </c>
      <c r="AD1354" s="1129">
        <v>0</v>
      </c>
      <c r="AE1354" s="370">
        <v>0</v>
      </c>
      <c r="AF1354" s="370">
        <v>0</v>
      </c>
      <c r="AG1354" s="1129">
        <v>0</v>
      </c>
      <c r="AH1354" s="505">
        <f t="shared" si="392"/>
        <v>0</v>
      </c>
      <c r="AI1354" s="132"/>
      <c r="AJ1354" s="75">
        <f t="shared" si="391"/>
        <v>0</v>
      </c>
      <c r="AK1354" s="75"/>
      <c r="AL1354" s="75"/>
      <c r="AM1354" s="75"/>
      <c r="AN1354" s="64" t="s">
        <v>181</v>
      </c>
      <c r="AO1354" s="64"/>
      <c r="AP1354" s="64"/>
      <c r="AQ1354" s="189"/>
      <c r="AR1354" s="64"/>
      <c r="AS1354" s="476"/>
      <c r="AT1354" s="64"/>
      <c r="AU1354" s="646"/>
      <c r="AV1354" s="259" t="s">
        <v>1526</v>
      </c>
      <c r="AW1354" s="185"/>
    </row>
    <row r="1355" spans="1:52" ht="24" hidden="1" customHeight="1" outlineLevel="3" x14ac:dyDescent="0.25">
      <c r="A1355" s="63" t="str">
        <f t="shared" si="306"/>
        <v>4.14.3.8.7.64</v>
      </c>
      <c r="B1355" s="64">
        <v>4</v>
      </c>
      <c r="C1355" s="64">
        <v>14</v>
      </c>
      <c r="D1355" s="64">
        <v>3</v>
      </c>
      <c r="E1355" s="64">
        <v>8</v>
      </c>
      <c r="F1355" s="64">
        <v>7</v>
      </c>
      <c r="G1355" s="64">
        <v>64</v>
      </c>
      <c r="H1355" s="65"/>
      <c r="I1355" s="65"/>
      <c r="J1355" s="65"/>
      <c r="K1355" s="185" t="s">
        <v>1523</v>
      </c>
      <c r="L1355" s="64" t="s">
        <v>1475</v>
      </c>
      <c r="M1355" s="186" t="s">
        <v>73</v>
      </c>
      <c r="N1355" s="64" t="s">
        <v>74</v>
      </c>
      <c r="O1355" s="186" t="s">
        <v>1524</v>
      </c>
      <c r="P1355" s="69">
        <v>44571</v>
      </c>
      <c r="Q1355" s="69">
        <v>44926</v>
      </c>
      <c r="R1355" s="64">
        <v>2</v>
      </c>
      <c r="S1355" s="65" t="s">
        <v>1525</v>
      </c>
      <c r="T1355" s="194">
        <v>1</v>
      </c>
      <c r="U1355" s="370">
        <v>0</v>
      </c>
      <c r="V1355" s="370"/>
      <c r="W1355" s="370">
        <v>0</v>
      </c>
      <c r="X1355" s="1129">
        <v>0</v>
      </c>
      <c r="Y1355" s="370">
        <v>0</v>
      </c>
      <c r="Z1355" s="370">
        <v>0</v>
      </c>
      <c r="AA1355" s="1129">
        <v>0</v>
      </c>
      <c r="AB1355" s="370">
        <v>0</v>
      </c>
      <c r="AC1355" s="370">
        <v>0</v>
      </c>
      <c r="AD1355" s="1129">
        <v>0</v>
      </c>
      <c r="AE1355" s="370">
        <v>0</v>
      </c>
      <c r="AF1355" s="370">
        <v>0</v>
      </c>
      <c r="AG1355" s="1129">
        <v>0</v>
      </c>
      <c r="AH1355" s="505">
        <f t="shared" si="392"/>
        <v>0</v>
      </c>
      <c r="AI1355" s="132"/>
      <c r="AJ1355" s="75">
        <f t="shared" si="391"/>
        <v>0</v>
      </c>
      <c r="AK1355" s="75"/>
      <c r="AL1355" s="75"/>
      <c r="AM1355" s="75"/>
      <c r="AN1355" s="64" t="s">
        <v>181</v>
      </c>
      <c r="AO1355" s="64"/>
      <c r="AP1355" s="64"/>
      <c r="AQ1355" s="189"/>
      <c r="AR1355" s="64"/>
      <c r="AS1355" s="476"/>
      <c r="AT1355" s="64"/>
      <c r="AU1355" s="646"/>
      <c r="AV1355" s="259" t="s">
        <v>1526</v>
      </c>
      <c r="AW1355" s="185"/>
    </row>
    <row r="1356" spans="1:52" s="153" customFormat="1" ht="29.45" customHeight="1" outlineLevel="2" collapsed="1" x14ac:dyDescent="0.25">
      <c r="A1356" s="148" t="str">
        <f t="shared" si="306"/>
        <v>4.14.3.9.0.0</v>
      </c>
      <c r="B1356" s="82">
        <v>4</v>
      </c>
      <c r="C1356" s="82">
        <v>14</v>
      </c>
      <c r="D1356" s="82">
        <v>3</v>
      </c>
      <c r="E1356" s="82">
        <v>9</v>
      </c>
      <c r="F1356" s="82">
        <v>0</v>
      </c>
      <c r="G1356" s="82">
        <v>0</v>
      </c>
      <c r="H1356" s="149"/>
      <c r="I1356" s="149"/>
      <c r="J1356" s="1291" t="s">
        <v>1527</v>
      </c>
      <c r="K1356" s="1292"/>
      <c r="L1356" s="82" t="s">
        <v>1475</v>
      </c>
      <c r="M1356" s="83" t="s">
        <v>1449</v>
      </c>
      <c r="N1356" s="82" t="s">
        <v>1444</v>
      </c>
      <c r="O1356" s="82" t="s">
        <v>1445</v>
      </c>
      <c r="P1356" s="82"/>
      <c r="Q1356" s="82"/>
      <c r="R1356" s="82"/>
      <c r="S1356" s="149"/>
      <c r="T1356" s="193"/>
      <c r="U1356" s="380">
        <f>SUM(U1357:U1360)</f>
        <v>0</v>
      </c>
      <c r="V1356" s="380"/>
      <c r="W1356" s="380">
        <f t="shared" ref="W1356:AH1356" si="393">SUM(W1357:W1360)</f>
        <v>0</v>
      </c>
      <c r="X1356" s="1160">
        <f t="shared" si="393"/>
        <v>0</v>
      </c>
      <c r="Y1356" s="380">
        <f t="shared" si="393"/>
        <v>0</v>
      </c>
      <c r="Z1356" s="380">
        <f t="shared" si="393"/>
        <v>0</v>
      </c>
      <c r="AA1356" s="1160">
        <f t="shared" si="393"/>
        <v>0</v>
      </c>
      <c r="AB1356" s="380">
        <f t="shared" si="393"/>
        <v>0</v>
      </c>
      <c r="AC1356" s="380">
        <f t="shared" si="393"/>
        <v>0</v>
      </c>
      <c r="AD1356" s="1160">
        <f t="shared" si="393"/>
        <v>0</v>
      </c>
      <c r="AE1356" s="380">
        <f t="shared" si="393"/>
        <v>0</v>
      </c>
      <c r="AF1356" s="380">
        <f t="shared" si="393"/>
        <v>0</v>
      </c>
      <c r="AG1356" s="1160">
        <f t="shared" si="393"/>
        <v>0</v>
      </c>
      <c r="AH1356" s="380">
        <f t="shared" si="393"/>
        <v>0</v>
      </c>
      <c r="AI1356" s="198"/>
      <c r="AJ1356" s="198"/>
      <c r="AK1356" s="198"/>
      <c r="AL1356" s="198"/>
      <c r="AM1356" s="198"/>
      <c r="AN1356" s="82" t="s">
        <v>181</v>
      </c>
      <c r="AO1356" s="82"/>
      <c r="AP1356" s="82"/>
      <c r="AQ1356" s="365"/>
      <c r="AR1356" s="82"/>
      <c r="AS1356" s="483"/>
      <c r="AT1356" s="82"/>
      <c r="AU1356" s="666"/>
      <c r="AV1356" s="358"/>
      <c r="AW1356" s="444"/>
    </row>
    <row r="1357" spans="1:52" ht="24" hidden="1" customHeight="1" outlineLevel="3" x14ac:dyDescent="0.25">
      <c r="A1357" s="63" t="str">
        <f t="shared" si="306"/>
        <v>4.14.3.9.1.0</v>
      </c>
      <c r="B1357" s="64">
        <v>4</v>
      </c>
      <c r="C1357" s="64">
        <v>14</v>
      </c>
      <c r="D1357" s="64">
        <v>3</v>
      </c>
      <c r="E1357" s="64">
        <v>9</v>
      </c>
      <c r="F1357" s="64">
        <v>1</v>
      </c>
      <c r="G1357" s="64">
        <v>0</v>
      </c>
      <c r="H1357" s="65"/>
      <c r="I1357" s="65"/>
      <c r="J1357" s="66"/>
      <c r="K1357" s="65" t="s">
        <v>1451</v>
      </c>
      <c r="L1357" s="64" t="s">
        <v>1452</v>
      </c>
      <c r="M1357" s="64" t="s">
        <v>1453</v>
      </c>
      <c r="N1357" s="64" t="s">
        <v>1444</v>
      </c>
      <c r="O1357" s="64" t="s">
        <v>1335</v>
      </c>
      <c r="P1357" s="64"/>
      <c r="Q1357" s="64"/>
      <c r="R1357" s="64"/>
      <c r="S1357" s="65"/>
      <c r="T1357" s="194"/>
      <c r="U1357" s="370">
        <v>0</v>
      </c>
      <c r="V1357" s="370"/>
      <c r="W1357" s="370">
        <v>0</v>
      </c>
      <c r="X1357" s="1129">
        <v>0</v>
      </c>
      <c r="Y1357" s="370">
        <v>0</v>
      </c>
      <c r="Z1357" s="370">
        <v>0</v>
      </c>
      <c r="AA1357" s="1129">
        <v>0</v>
      </c>
      <c r="AB1357" s="370">
        <v>0</v>
      </c>
      <c r="AC1357" s="370">
        <v>0</v>
      </c>
      <c r="AD1357" s="1129">
        <v>0</v>
      </c>
      <c r="AE1357" s="370">
        <v>0</v>
      </c>
      <c r="AF1357" s="370">
        <v>0</v>
      </c>
      <c r="AG1357" s="1129">
        <v>0</v>
      </c>
      <c r="AH1357" s="505">
        <f>+U1357+Y1357+AB1357+AE1357</f>
        <v>0</v>
      </c>
      <c r="AI1357" s="132"/>
      <c r="AJ1357" s="75">
        <f t="shared" ref="AJ1357:AJ1360" si="394">+W1358+Z1358+AC1358+AF1358</f>
        <v>0</v>
      </c>
      <c r="AK1357" s="75"/>
      <c r="AL1357" s="75"/>
      <c r="AM1357" s="75"/>
      <c r="AN1357" s="64" t="s">
        <v>181</v>
      </c>
      <c r="AO1357" s="64"/>
      <c r="AP1357" s="64"/>
      <c r="AQ1357" s="189"/>
      <c r="AR1357" s="64"/>
      <c r="AS1357" s="476"/>
      <c r="AT1357" s="64"/>
      <c r="AU1357" s="646"/>
      <c r="AV1357" s="259"/>
      <c r="AW1357" s="185"/>
    </row>
    <row r="1358" spans="1:52" ht="24" hidden="1" customHeight="1" outlineLevel="3" x14ac:dyDescent="0.25">
      <c r="A1358" s="63" t="str">
        <f t="shared" si="306"/>
        <v>4.14.3.9.2.0</v>
      </c>
      <c r="B1358" s="64">
        <v>4</v>
      </c>
      <c r="C1358" s="64">
        <v>14</v>
      </c>
      <c r="D1358" s="64">
        <v>3</v>
      </c>
      <c r="E1358" s="64">
        <v>9</v>
      </c>
      <c r="F1358" s="64">
        <v>2</v>
      </c>
      <c r="G1358" s="64">
        <v>0</v>
      </c>
      <c r="H1358" s="65"/>
      <c r="I1358" s="65"/>
      <c r="J1358" s="66"/>
      <c r="K1358" s="65" t="s">
        <v>1463</v>
      </c>
      <c r="L1358" s="64" t="s">
        <v>1452</v>
      </c>
      <c r="M1358" s="64" t="s">
        <v>1464</v>
      </c>
      <c r="N1358" s="64" t="s">
        <v>1444</v>
      </c>
      <c r="O1358" s="64" t="s">
        <v>1335</v>
      </c>
      <c r="P1358" s="64"/>
      <c r="Q1358" s="64"/>
      <c r="R1358" s="64"/>
      <c r="S1358" s="65"/>
      <c r="T1358" s="194"/>
      <c r="U1358" s="370">
        <v>0</v>
      </c>
      <c r="V1358" s="370"/>
      <c r="W1358" s="370">
        <v>0</v>
      </c>
      <c r="X1358" s="1129">
        <v>0</v>
      </c>
      <c r="Y1358" s="370">
        <v>0</v>
      </c>
      <c r="Z1358" s="370">
        <v>0</v>
      </c>
      <c r="AA1358" s="1129">
        <v>0</v>
      </c>
      <c r="AB1358" s="370">
        <v>0</v>
      </c>
      <c r="AC1358" s="370">
        <v>0</v>
      </c>
      <c r="AD1358" s="1129">
        <v>0</v>
      </c>
      <c r="AE1358" s="370">
        <v>0</v>
      </c>
      <c r="AF1358" s="370">
        <v>0</v>
      </c>
      <c r="AG1358" s="1129">
        <v>0</v>
      </c>
      <c r="AH1358" s="505">
        <f t="shared" ref="AH1358:AH1360" si="395">+U1358+Y1358+AB1358+AE1358</f>
        <v>0</v>
      </c>
      <c r="AI1358" s="132"/>
      <c r="AJ1358" s="75">
        <f t="shared" si="394"/>
        <v>0</v>
      </c>
      <c r="AK1358" s="75"/>
      <c r="AL1358" s="75"/>
      <c r="AM1358" s="75"/>
      <c r="AN1358" s="64" t="s">
        <v>181</v>
      </c>
      <c r="AO1358" s="64"/>
      <c r="AP1358" s="64"/>
      <c r="AQ1358" s="189"/>
      <c r="AR1358" s="64"/>
      <c r="AS1358" s="476"/>
      <c r="AT1358" s="64"/>
      <c r="AU1358" s="646"/>
      <c r="AV1358" s="259"/>
      <c r="AW1358" s="185"/>
    </row>
    <row r="1359" spans="1:52" ht="24" hidden="1" customHeight="1" outlineLevel="3" x14ac:dyDescent="0.25">
      <c r="A1359" s="63" t="str">
        <f t="shared" si="306"/>
        <v>4.14.3.9.3.0</v>
      </c>
      <c r="B1359" s="64">
        <v>4</v>
      </c>
      <c r="C1359" s="64">
        <v>14</v>
      </c>
      <c r="D1359" s="64">
        <v>3</v>
      </c>
      <c r="E1359" s="64">
        <v>9</v>
      </c>
      <c r="F1359" s="64">
        <v>3</v>
      </c>
      <c r="G1359" s="64">
        <v>0</v>
      </c>
      <c r="H1359" s="65"/>
      <c r="I1359" s="65"/>
      <c r="J1359" s="66"/>
      <c r="K1359" s="65" t="s">
        <v>1467</v>
      </c>
      <c r="L1359" s="64" t="s">
        <v>264</v>
      </c>
      <c r="M1359" s="64" t="s">
        <v>144</v>
      </c>
      <c r="N1359" s="64" t="s">
        <v>265</v>
      </c>
      <c r="O1359" s="64" t="s">
        <v>668</v>
      </c>
      <c r="P1359" s="64"/>
      <c r="Q1359" s="64"/>
      <c r="R1359" s="64"/>
      <c r="S1359" s="65"/>
      <c r="T1359" s="194"/>
      <c r="U1359" s="370">
        <v>0</v>
      </c>
      <c r="V1359" s="370"/>
      <c r="W1359" s="370">
        <v>0</v>
      </c>
      <c r="X1359" s="1129">
        <v>0</v>
      </c>
      <c r="Y1359" s="370">
        <v>0</v>
      </c>
      <c r="Z1359" s="370">
        <v>0</v>
      </c>
      <c r="AA1359" s="1129">
        <v>0</v>
      </c>
      <c r="AB1359" s="370">
        <v>0</v>
      </c>
      <c r="AC1359" s="370">
        <v>0</v>
      </c>
      <c r="AD1359" s="1129">
        <v>0</v>
      </c>
      <c r="AE1359" s="370">
        <v>0</v>
      </c>
      <c r="AF1359" s="370">
        <v>0</v>
      </c>
      <c r="AG1359" s="1129">
        <v>0</v>
      </c>
      <c r="AH1359" s="505">
        <f t="shared" si="395"/>
        <v>0</v>
      </c>
      <c r="AI1359" s="132"/>
      <c r="AJ1359" s="75">
        <f t="shared" si="394"/>
        <v>0</v>
      </c>
      <c r="AK1359" s="75"/>
      <c r="AL1359" s="75"/>
      <c r="AM1359" s="75"/>
      <c r="AN1359" s="64" t="s">
        <v>181</v>
      </c>
      <c r="AO1359" s="64"/>
      <c r="AP1359" s="64"/>
      <c r="AQ1359" s="189"/>
      <c r="AR1359" s="64"/>
      <c r="AS1359" s="476"/>
      <c r="AT1359" s="64"/>
      <c r="AU1359" s="646"/>
      <c r="AV1359" s="259"/>
      <c r="AW1359" s="185"/>
    </row>
    <row r="1360" spans="1:52" ht="24" hidden="1" customHeight="1" outlineLevel="3" x14ac:dyDescent="0.25">
      <c r="A1360" s="63" t="str">
        <f t="shared" si="306"/>
        <v>4.14.3.9.4.0</v>
      </c>
      <c r="B1360" s="64">
        <v>4</v>
      </c>
      <c r="C1360" s="64">
        <v>14</v>
      </c>
      <c r="D1360" s="64">
        <v>3</v>
      </c>
      <c r="E1360" s="64">
        <v>9</v>
      </c>
      <c r="F1360" s="64">
        <v>4</v>
      </c>
      <c r="G1360" s="64">
        <v>0</v>
      </c>
      <c r="H1360" s="65"/>
      <c r="I1360" s="65"/>
      <c r="J1360" s="65"/>
      <c r="K1360" s="65" t="s">
        <v>672</v>
      </c>
      <c r="L1360" s="64" t="s">
        <v>264</v>
      </c>
      <c r="M1360" s="64" t="s">
        <v>144</v>
      </c>
      <c r="N1360" s="64" t="s">
        <v>1476</v>
      </c>
      <c r="O1360" s="64" t="s">
        <v>668</v>
      </c>
      <c r="P1360" s="64"/>
      <c r="Q1360" s="64"/>
      <c r="R1360" s="64"/>
      <c r="S1360" s="65"/>
      <c r="T1360" s="194"/>
      <c r="U1360" s="370">
        <v>0</v>
      </c>
      <c r="V1360" s="370"/>
      <c r="W1360" s="370">
        <v>0</v>
      </c>
      <c r="X1360" s="1129">
        <v>0</v>
      </c>
      <c r="Y1360" s="370">
        <v>0</v>
      </c>
      <c r="Z1360" s="370">
        <v>0</v>
      </c>
      <c r="AA1360" s="1129">
        <v>0</v>
      </c>
      <c r="AB1360" s="370">
        <v>0</v>
      </c>
      <c r="AC1360" s="370">
        <v>0</v>
      </c>
      <c r="AD1360" s="1129">
        <v>0</v>
      </c>
      <c r="AE1360" s="370">
        <v>0</v>
      </c>
      <c r="AF1360" s="370">
        <v>0</v>
      </c>
      <c r="AG1360" s="1129">
        <v>0</v>
      </c>
      <c r="AH1360" s="505">
        <f t="shared" si="395"/>
        <v>0</v>
      </c>
      <c r="AI1360" s="132"/>
      <c r="AJ1360" s="75">
        <f t="shared" si="394"/>
        <v>0</v>
      </c>
      <c r="AK1360" s="75"/>
      <c r="AL1360" s="75"/>
      <c r="AM1360" s="75"/>
      <c r="AN1360" s="64" t="s">
        <v>181</v>
      </c>
      <c r="AO1360" s="64" t="s">
        <v>1839</v>
      </c>
      <c r="AP1360" s="64" t="s">
        <v>649</v>
      </c>
      <c r="AQ1360" s="533" t="s">
        <v>649</v>
      </c>
      <c r="AR1360" s="554">
        <v>44562</v>
      </c>
      <c r="AS1360" s="554">
        <v>45291</v>
      </c>
      <c r="AT1360" s="64" t="s">
        <v>1814</v>
      </c>
      <c r="AU1360" s="646"/>
      <c r="AV1360" s="259"/>
      <c r="AW1360" s="185"/>
    </row>
    <row r="1361" spans="1:49" s="153" customFormat="1" ht="29.45" customHeight="1" outlineLevel="2" collapsed="1" x14ac:dyDescent="0.25">
      <c r="A1361" s="148" t="str">
        <f t="shared" si="306"/>
        <v>4.14.3.10.0.0</v>
      </c>
      <c r="B1361" s="82">
        <v>4</v>
      </c>
      <c r="C1361" s="82">
        <v>14</v>
      </c>
      <c r="D1361" s="82">
        <v>3</v>
      </c>
      <c r="E1361" s="82">
        <v>10</v>
      </c>
      <c r="F1361" s="82">
        <v>0</v>
      </c>
      <c r="G1361" s="82">
        <v>0</v>
      </c>
      <c r="H1361" s="149"/>
      <c r="I1361" s="149"/>
      <c r="J1361" s="1291" t="s">
        <v>1528</v>
      </c>
      <c r="K1361" s="1292"/>
      <c r="L1361" s="82" t="s">
        <v>1475</v>
      </c>
      <c r="M1361" s="83" t="s">
        <v>1449</v>
      </c>
      <c r="N1361" s="82" t="s">
        <v>1444</v>
      </c>
      <c r="O1361" s="82" t="s">
        <v>1445</v>
      </c>
      <c r="P1361" s="82"/>
      <c r="Q1361" s="82"/>
      <c r="R1361" s="82"/>
      <c r="S1361" s="149"/>
      <c r="T1361" s="193"/>
      <c r="U1361" s="380">
        <f>+SUM(U1362:U1366)</f>
        <v>0</v>
      </c>
      <c r="V1361" s="380"/>
      <c r="W1361" s="380">
        <f t="shared" ref="W1361:AH1361" si="396">+SUM(W1362:W1366)</f>
        <v>0</v>
      </c>
      <c r="X1361" s="1160">
        <f t="shared" si="396"/>
        <v>0</v>
      </c>
      <c r="Y1361" s="380">
        <f t="shared" si="396"/>
        <v>0</v>
      </c>
      <c r="Z1361" s="380">
        <f t="shared" si="396"/>
        <v>0</v>
      </c>
      <c r="AA1361" s="1160">
        <f t="shared" si="396"/>
        <v>0</v>
      </c>
      <c r="AB1361" s="380">
        <f t="shared" si="396"/>
        <v>0</v>
      </c>
      <c r="AC1361" s="380">
        <f t="shared" si="396"/>
        <v>0</v>
      </c>
      <c r="AD1361" s="1160">
        <f t="shared" si="396"/>
        <v>0</v>
      </c>
      <c r="AE1361" s="380">
        <f t="shared" si="396"/>
        <v>0</v>
      </c>
      <c r="AF1361" s="380">
        <f t="shared" si="396"/>
        <v>0</v>
      </c>
      <c r="AG1361" s="1160">
        <f t="shared" si="396"/>
        <v>0</v>
      </c>
      <c r="AH1361" s="380">
        <f t="shared" si="396"/>
        <v>0</v>
      </c>
      <c r="AI1361" s="198"/>
      <c r="AJ1361" s="198"/>
      <c r="AK1361" s="198"/>
      <c r="AL1361" s="198"/>
      <c r="AM1361" s="198"/>
      <c r="AN1361" s="82" t="s">
        <v>181</v>
      </c>
      <c r="AO1361" s="82"/>
      <c r="AP1361" s="82"/>
      <c r="AQ1361" s="365"/>
      <c r="AR1361" s="82"/>
      <c r="AS1361" s="483"/>
      <c r="AT1361" s="82"/>
      <c r="AU1361" s="666"/>
      <c r="AV1361" s="358"/>
      <c r="AW1361" s="444"/>
    </row>
    <row r="1362" spans="1:49" ht="29.45" hidden="1" customHeight="1" outlineLevel="3" x14ac:dyDescent="0.25">
      <c r="A1362" s="63" t="str">
        <f t="shared" si="306"/>
        <v>4.14.3.10.1.0</v>
      </c>
      <c r="B1362" s="64">
        <v>4</v>
      </c>
      <c r="C1362" s="64">
        <v>14</v>
      </c>
      <c r="D1362" s="64">
        <v>3</v>
      </c>
      <c r="E1362" s="64">
        <v>10</v>
      </c>
      <c r="F1362" s="64">
        <v>1</v>
      </c>
      <c r="G1362" s="64">
        <v>0</v>
      </c>
      <c r="H1362" s="65"/>
      <c r="I1362" s="65"/>
      <c r="J1362" s="66"/>
      <c r="K1362" s="65" t="s">
        <v>1529</v>
      </c>
      <c r="L1362" s="64" t="s">
        <v>1452</v>
      </c>
      <c r="M1362" s="64" t="s">
        <v>1453</v>
      </c>
      <c r="N1362" s="64" t="s">
        <v>1444</v>
      </c>
      <c r="O1362" s="64" t="s">
        <v>1204</v>
      </c>
      <c r="P1362" s="64"/>
      <c r="Q1362" s="64"/>
      <c r="R1362" s="64"/>
      <c r="S1362" s="65"/>
      <c r="T1362" s="194"/>
      <c r="U1362" s="370">
        <v>0</v>
      </c>
      <c r="V1362" s="370"/>
      <c r="W1362" s="370">
        <v>0</v>
      </c>
      <c r="X1362" s="1129">
        <v>0</v>
      </c>
      <c r="Y1362" s="370">
        <v>0</v>
      </c>
      <c r="Z1362" s="370">
        <v>0</v>
      </c>
      <c r="AA1362" s="1129">
        <v>0</v>
      </c>
      <c r="AB1362" s="370">
        <v>0</v>
      </c>
      <c r="AC1362" s="370">
        <v>0</v>
      </c>
      <c r="AD1362" s="1129">
        <v>0</v>
      </c>
      <c r="AE1362" s="370">
        <v>0</v>
      </c>
      <c r="AF1362" s="370">
        <v>0</v>
      </c>
      <c r="AG1362" s="1129">
        <v>0</v>
      </c>
      <c r="AH1362" s="505">
        <f>+U1362+Y1362+AB1362+AE1362</f>
        <v>0</v>
      </c>
      <c r="AI1362" s="132"/>
      <c r="AJ1362" s="75">
        <f t="shared" ref="AJ1362:AJ1366" si="397">+W1363+Z1363+AC1363+AF1363</f>
        <v>0</v>
      </c>
      <c r="AK1362" s="75"/>
      <c r="AL1362" s="75"/>
      <c r="AM1362" s="75"/>
      <c r="AN1362" s="64" t="s">
        <v>181</v>
      </c>
      <c r="AO1362" s="64"/>
      <c r="AP1362" s="64"/>
      <c r="AQ1362" s="189"/>
      <c r="AR1362" s="64"/>
      <c r="AS1362" s="476"/>
      <c r="AT1362" s="64"/>
      <c r="AU1362" s="646"/>
      <c r="AV1362" s="259"/>
      <c r="AW1362" s="335"/>
    </row>
    <row r="1363" spans="1:49" ht="29.45" hidden="1" customHeight="1" outlineLevel="3" x14ac:dyDescent="0.25">
      <c r="A1363" s="63" t="str">
        <f t="shared" si="306"/>
        <v>4.14.3.10.2.0</v>
      </c>
      <c r="B1363" s="64">
        <v>4</v>
      </c>
      <c r="C1363" s="64">
        <v>14</v>
      </c>
      <c r="D1363" s="64">
        <v>3</v>
      </c>
      <c r="E1363" s="64">
        <v>10</v>
      </c>
      <c r="F1363" s="64">
        <v>2</v>
      </c>
      <c r="G1363" s="64">
        <v>0</v>
      </c>
      <c r="H1363" s="65"/>
      <c r="I1363" s="65"/>
      <c r="J1363" s="66"/>
      <c r="K1363" s="65" t="s">
        <v>1463</v>
      </c>
      <c r="L1363" s="64" t="s">
        <v>1452</v>
      </c>
      <c r="M1363" s="64" t="s">
        <v>1464</v>
      </c>
      <c r="N1363" s="64" t="s">
        <v>1444</v>
      </c>
      <c r="O1363" s="64" t="s">
        <v>1204</v>
      </c>
      <c r="P1363" s="64"/>
      <c r="Q1363" s="64"/>
      <c r="R1363" s="64"/>
      <c r="S1363" s="65"/>
      <c r="T1363" s="194"/>
      <c r="U1363" s="370">
        <v>0</v>
      </c>
      <c r="V1363" s="370"/>
      <c r="W1363" s="370">
        <v>0</v>
      </c>
      <c r="X1363" s="1129">
        <v>0</v>
      </c>
      <c r="Y1363" s="370">
        <v>0</v>
      </c>
      <c r="Z1363" s="370">
        <v>0</v>
      </c>
      <c r="AA1363" s="1129">
        <v>0</v>
      </c>
      <c r="AB1363" s="370">
        <v>0</v>
      </c>
      <c r="AC1363" s="370">
        <v>0</v>
      </c>
      <c r="AD1363" s="1129">
        <v>0</v>
      </c>
      <c r="AE1363" s="370">
        <v>0</v>
      </c>
      <c r="AF1363" s="370">
        <v>0</v>
      </c>
      <c r="AG1363" s="1129">
        <v>0</v>
      </c>
      <c r="AH1363" s="505">
        <f t="shared" ref="AH1363:AH1366" si="398">+U1363+Y1363+AB1363+AE1363</f>
        <v>0</v>
      </c>
      <c r="AI1363" s="132"/>
      <c r="AJ1363" s="75">
        <f t="shared" si="397"/>
        <v>0</v>
      </c>
      <c r="AK1363" s="75"/>
      <c r="AL1363" s="75"/>
      <c r="AM1363" s="75"/>
      <c r="AN1363" s="64" t="s">
        <v>181</v>
      </c>
      <c r="AO1363" s="64"/>
      <c r="AP1363" s="64"/>
      <c r="AQ1363" s="189"/>
      <c r="AR1363" s="64"/>
      <c r="AS1363" s="476"/>
      <c r="AT1363" s="64"/>
      <c r="AU1363" s="646"/>
      <c r="AV1363" s="259"/>
      <c r="AW1363" s="185"/>
    </row>
    <row r="1364" spans="1:49" ht="29.45" hidden="1" customHeight="1" outlineLevel="3" x14ac:dyDescent="0.25">
      <c r="A1364" s="63" t="str">
        <f t="shared" si="306"/>
        <v>4.14.3.10.3.0</v>
      </c>
      <c r="B1364" s="64">
        <v>4</v>
      </c>
      <c r="C1364" s="64">
        <v>14</v>
      </c>
      <c r="D1364" s="64">
        <v>3</v>
      </c>
      <c r="E1364" s="64">
        <v>10</v>
      </c>
      <c r="F1364" s="64">
        <v>3</v>
      </c>
      <c r="G1364" s="64">
        <v>0</v>
      </c>
      <c r="H1364" s="65"/>
      <c r="I1364" s="65"/>
      <c r="J1364" s="66"/>
      <c r="K1364" s="65" t="s">
        <v>1467</v>
      </c>
      <c r="L1364" s="64" t="s">
        <v>264</v>
      </c>
      <c r="M1364" s="64" t="s">
        <v>144</v>
      </c>
      <c r="N1364" s="64" t="s">
        <v>265</v>
      </c>
      <c r="O1364" s="64" t="s">
        <v>668</v>
      </c>
      <c r="P1364" s="64"/>
      <c r="Q1364" s="64"/>
      <c r="R1364" s="64"/>
      <c r="S1364" s="65"/>
      <c r="T1364" s="194"/>
      <c r="U1364" s="370">
        <v>0</v>
      </c>
      <c r="V1364" s="370"/>
      <c r="W1364" s="370">
        <v>0</v>
      </c>
      <c r="X1364" s="1129">
        <v>0</v>
      </c>
      <c r="Y1364" s="370">
        <v>0</v>
      </c>
      <c r="Z1364" s="370">
        <v>0</v>
      </c>
      <c r="AA1364" s="1129">
        <v>0</v>
      </c>
      <c r="AB1364" s="370">
        <v>0</v>
      </c>
      <c r="AC1364" s="370">
        <v>0</v>
      </c>
      <c r="AD1364" s="1129">
        <v>0</v>
      </c>
      <c r="AE1364" s="370">
        <v>0</v>
      </c>
      <c r="AF1364" s="370">
        <v>0</v>
      </c>
      <c r="AG1364" s="1129">
        <v>0</v>
      </c>
      <c r="AH1364" s="505">
        <f t="shared" si="398"/>
        <v>0</v>
      </c>
      <c r="AI1364" s="132"/>
      <c r="AJ1364" s="75">
        <f t="shared" si="397"/>
        <v>0</v>
      </c>
      <c r="AK1364" s="75"/>
      <c r="AL1364" s="75"/>
      <c r="AM1364" s="75"/>
      <c r="AN1364" s="64" t="s">
        <v>181</v>
      </c>
      <c r="AO1364" s="64"/>
      <c r="AP1364" s="64"/>
      <c r="AQ1364" s="189"/>
      <c r="AR1364" s="64"/>
      <c r="AS1364" s="476"/>
      <c r="AT1364" s="64"/>
      <c r="AU1364" s="646"/>
      <c r="AV1364" s="259"/>
      <c r="AW1364" s="185"/>
    </row>
    <row r="1365" spans="1:49" ht="29.45" hidden="1" customHeight="1" outlineLevel="3" x14ac:dyDescent="0.25">
      <c r="A1365" s="63" t="str">
        <f t="shared" si="306"/>
        <v>4.14.3.10.4.0</v>
      </c>
      <c r="B1365" s="64">
        <v>4</v>
      </c>
      <c r="C1365" s="64">
        <v>14</v>
      </c>
      <c r="D1365" s="64">
        <v>3</v>
      </c>
      <c r="E1365" s="64">
        <v>10</v>
      </c>
      <c r="F1365" s="64">
        <v>4</v>
      </c>
      <c r="G1365" s="64">
        <v>0</v>
      </c>
      <c r="H1365" s="65"/>
      <c r="I1365" s="65"/>
      <c r="J1365" s="65"/>
      <c r="K1365" s="65" t="s">
        <v>672</v>
      </c>
      <c r="L1365" s="64" t="s">
        <v>264</v>
      </c>
      <c r="M1365" s="64" t="s">
        <v>144</v>
      </c>
      <c r="N1365" s="64" t="s">
        <v>265</v>
      </c>
      <c r="O1365" s="64" t="s">
        <v>668</v>
      </c>
      <c r="P1365" s="64"/>
      <c r="Q1365" s="64"/>
      <c r="R1365" s="64"/>
      <c r="S1365" s="65"/>
      <c r="T1365" s="194"/>
      <c r="U1365" s="370">
        <v>0</v>
      </c>
      <c r="V1365" s="370"/>
      <c r="W1365" s="370">
        <v>0</v>
      </c>
      <c r="X1365" s="1129">
        <v>0</v>
      </c>
      <c r="Y1365" s="370">
        <v>0</v>
      </c>
      <c r="Z1365" s="370">
        <v>0</v>
      </c>
      <c r="AA1365" s="1129">
        <v>0</v>
      </c>
      <c r="AB1365" s="370">
        <v>0</v>
      </c>
      <c r="AC1365" s="370">
        <v>0</v>
      </c>
      <c r="AD1365" s="1129">
        <v>0</v>
      </c>
      <c r="AE1365" s="370">
        <v>0</v>
      </c>
      <c r="AF1365" s="370">
        <v>0</v>
      </c>
      <c r="AG1365" s="1129">
        <v>0</v>
      </c>
      <c r="AH1365" s="505">
        <f t="shared" si="398"/>
        <v>0</v>
      </c>
      <c r="AI1365" s="132"/>
      <c r="AJ1365" s="75">
        <f t="shared" si="397"/>
        <v>0</v>
      </c>
      <c r="AK1365" s="75"/>
      <c r="AL1365" s="75"/>
      <c r="AM1365" s="75"/>
      <c r="AN1365" s="64" t="s">
        <v>181</v>
      </c>
      <c r="AO1365" s="64" t="s">
        <v>1839</v>
      </c>
      <c r="AP1365" s="64" t="s">
        <v>649</v>
      </c>
      <c r="AQ1365" s="533" t="s">
        <v>649</v>
      </c>
      <c r="AR1365" s="554">
        <v>44562</v>
      </c>
      <c r="AS1365" s="554">
        <v>45291</v>
      </c>
      <c r="AT1365" s="64" t="s">
        <v>1814</v>
      </c>
      <c r="AU1365" s="646"/>
      <c r="AV1365" s="259"/>
      <c r="AW1365" s="185"/>
    </row>
    <row r="1366" spans="1:49" ht="29.45" hidden="1" customHeight="1" outlineLevel="3" x14ac:dyDescent="0.25">
      <c r="A1366" s="63" t="str">
        <f t="shared" si="306"/>
        <v>4.14.3.10.5.0</v>
      </c>
      <c r="B1366" s="64">
        <v>4</v>
      </c>
      <c r="C1366" s="64">
        <v>14</v>
      </c>
      <c r="D1366" s="64">
        <v>3</v>
      </c>
      <c r="E1366" s="64">
        <v>10</v>
      </c>
      <c r="F1366" s="64">
        <v>5</v>
      </c>
      <c r="G1366" s="64">
        <v>0</v>
      </c>
      <c r="H1366" s="65"/>
      <c r="I1366" s="65"/>
      <c r="J1366" s="65"/>
      <c r="K1366" s="65" t="s">
        <v>1530</v>
      </c>
      <c r="L1366" s="64" t="s">
        <v>1531</v>
      </c>
      <c r="M1366" s="64" t="s">
        <v>1531</v>
      </c>
      <c r="N1366" s="64" t="s">
        <v>1297</v>
      </c>
      <c r="O1366" s="64" t="s">
        <v>1532</v>
      </c>
      <c r="P1366" s="69">
        <v>44927</v>
      </c>
      <c r="Q1366" s="131" t="s">
        <v>2618</v>
      </c>
      <c r="R1366" s="170"/>
      <c r="S1366" s="170"/>
      <c r="T1366" s="1188"/>
      <c r="U1366" s="370">
        <v>0</v>
      </c>
      <c r="V1366" s="370"/>
      <c r="W1366" s="370">
        <v>0</v>
      </c>
      <c r="X1366" s="1129">
        <v>0</v>
      </c>
      <c r="Y1366" s="370">
        <v>0</v>
      </c>
      <c r="Z1366" s="370">
        <v>0</v>
      </c>
      <c r="AA1366" s="1129">
        <v>0</v>
      </c>
      <c r="AB1366" s="370">
        <v>0</v>
      </c>
      <c r="AC1366" s="370">
        <v>0</v>
      </c>
      <c r="AD1366" s="1129">
        <v>0</v>
      </c>
      <c r="AE1366" s="370">
        <v>0</v>
      </c>
      <c r="AF1366" s="370">
        <v>0</v>
      </c>
      <c r="AG1366" s="1129">
        <v>0</v>
      </c>
      <c r="AH1366" s="505">
        <f t="shared" si="398"/>
        <v>0</v>
      </c>
      <c r="AI1366" s="132"/>
      <c r="AJ1366" s="75">
        <f t="shared" si="397"/>
        <v>0</v>
      </c>
      <c r="AK1366" s="75"/>
      <c r="AL1366" s="75"/>
      <c r="AM1366" s="75"/>
      <c r="AN1366" s="64" t="s">
        <v>181</v>
      </c>
      <c r="AO1366" s="64"/>
      <c r="AP1366" s="64"/>
      <c r="AQ1366" s="189"/>
      <c r="AR1366" s="64"/>
      <c r="AS1366" s="476"/>
      <c r="AT1366" s="64"/>
      <c r="AU1366" s="646"/>
      <c r="AV1366" s="353" t="s">
        <v>1534</v>
      </c>
      <c r="AW1366" s="441"/>
    </row>
    <row r="1367" spans="1:49" s="153" customFormat="1" ht="27" customHeight="1" outlineLevel="2" collapsed="1" x14ac:dyDescent="0.25">
      <c r="A1367" s="148" t="str">
        <f t="shared" si="306"/>
        <v>4.14.3.11.0.0</v>
      </c>
      <c r="B1367" s="82">
        <v>4</v>
      </c>
      <c r="C1367" s="82">
        <v>14</v>
      </c>
      <c r="D1367" s="82">
        <v>3</v>
      </c>
      <c r="E1367" s="82">
        <v>11</v>
      </c>
      <c r="F1367" s="82">
        <v>0</v>
      </c>
      <c r="G1367" s="82">
        <v>0</v>
      </c>
      <c r="H1367" s="149"/>
      <c r="I1367" s="149"/>
      <c r="J1367" s="1289" t="s">
        <v>1535</v>
      </c>
      <c r="K1367" s="1290"/>
      <c r="L1367" s="82" t="s">
        <v>1475</v>
      </c>
      <c r="M1367" s="83" t="s">
        <v>1449</v>
      </c>
      <c r="N1367" s="82" t="s">
        <v>1444</v>
      </c>
      <c r="O1367" s="82" t="s">
        <v>1445</v>
      </c>
      <c r="P1367" s="82"/>
      <c r="Q1367" s="82"/>
      <c r="R1367" s="82"/>
      <c r="S1367" s="149"/>
      <c r="T1367" s="193"/>
      <c r="U1367" s="380">
        <f>+SUM(U1368:U1371)</f>
        <v>0</v>
      </c>
      <c r="V1367" s="380"/>
      <c r="W1367" s="380">
        <f t="shared" ref="W1367:AH1367" si="399">+SUM(W1368:W1371)</f>
        <v>0</v>
      </c>
      <c r="X1367" s="1160">
        <f t="shared" si="399"/>
        <v>0</v>
      </c>
      <c r="Y1367" s="380">
        <f t="shared" si="399"/>
        <v>0</v>
      </c>
      <c r="Z1367" s="380">
        <f t="shared" si="399"/>
        <v>0</v>
      </c>
      <c r="AA1367" s="1160">
        <f t="shared" si="399"/>
        <v>0</v>
      </c>
      <c r="AB1367" s="380">
        <f t="shared" si="399"/>
        <v>0</v>
      </c>
      <c r="AC1367" s="380">
        <f t="shared" si="399"/>
        <v>0</v>
      </c>
      <c r="AD1367" s="1160">
        <f t="shared" si="399"/>
        <v>0</v>
      </c>
      <c r="AE1367" s="380">
        <f t="shared" si="399"/>
        <v>0</v>
      </c>
      <c r="AF1367" s="380">
        <f t="shared" si="399"/>
        <v>0</v>
      </c>
      <c r="AG1367" s="1160">
        <f t="shared" si="399"/>
        <v>0</v>
      </c>
      <c r="AH1367" s="380">
        <f t="shared" si="399"/>
        <v>0</v>
      </c>
      <c r="AI1367" s="198"/>
      <c r="AJ1367" s="198"/>
      <c r="AK1367" s="198"/>
      <c r="AL1367" s="198"/>
      <c r="AM1367" s="198"/>
      <c r="AN1367" s="82" t="s">
        <v>181</v>
      </c>
      <c r="AO1367" s="82"/>
      <c r="AP1367" s="82"/>
      <c r="AQ1367" s="365"/>
      <c r="AR1367" s="82"/>
      <c r="AS1367" s="483"/>
      <c r="AT1367" s="82"/>
      <c r="AU1367" s="666"/>
      <c r="AV1367" s="358"/>
      <c r="AW1367" s="444"/>
    </row>
    <row r="1368" spans="1:49" ht="23.45" hidden="1" customHeight="1" outlineLevel="3" x14ac:dyDescent="0.25">
      <c r="A1368" s="63" t="str">
        <f t="shared" si="306"/>
        <v>4.14.3.11.1.0</v>
      </c>
      <c r="B1368" s="64">
        <v>4</v>
      </c>
      <c r="C1368" s="64">
        <v>14</v>
      </c>
      <c r="D1368" s="64">
        <v>3</v>
      </c>
      <c r="E1368" s="64">
        <v>11</v>
      </c>
      <c r="F1368" s="64">
        <v>1</v>
      </c>
      <c r="G1368" s="64">
        <v>0</v>
      </c>
      <c r="H1368" s="65"/>
      <c r="I1368" s="65"/>
      <c r="J1368" s="66"/>
      <c r="K1368" s="65" t="s">
        <v>1451</v>
      </c>
      <c r="L1368" s="64" t="s">
        <v>1452</v>
      </c>
      <c r="M1368" s="64" t="s">
        <v>1453</v>
      </c>
      <c r="N1368" s="64" t="s">
        <v>1444</v>
      </c>
      <c r="O1368" s="64" t="s">
        <v>1204</v>
      </c>
      <c r="P1368" s="64"/>
      <c r="Q1368" s="64"/>
      <c r="R1368" s="64"/>
      <c r="S1368" s="65"/>
      <c r="T1368" s="194"/>
      <c r="U1368" s="370">
        <v>0</v>
      </c>
      <c r="V1368" s="370"/>
      <c r="W1368" s="370">
        <v>0</v>
      </c>
      <c r="X1368" s="1129">
        <v>0</v>
      </c>
      <c r="Y1368" s="370">
        <v>0</v>
      </c>
      <c r="Z1368" s="370">
        <v>0</v>
      </c>
      <c r="AA1368" s="1129">
        <v>0</v>
      </c>
      <c r="AB1368" s="370">
        <v>0</v>
      </c>
      <c r="AC1368" s="370">
        <v>0</v>
      </c>
      <c r="AD1368" s="1129">
        <v>0</v>
      </c>
      <c r="AE1368" s="370">
        <v>0</v>
      </c>
      <c r="AF1368" s="370">
        <v>0</v>
      </c>
      <c r="AG1368" s="1129">
        <v>0</v>
      </c>
      <c r="AH1368" s="505">
        <f>+U1368+Y1368+AB1368+AE1368</f>
        <v>0</v>
      </c>
      <c r="AI1368" s="132"/>
      <c r="AJ1368" s="75">
        <f t="shared" ref="AJ1368:AJ1371" si="400">+W1369+Z1369+AC1369+AF1369</f>
        <v>0</v>
      </c>
      <c r="AK1368" s="75"/>
      <c r="AL1368" s="75"/>
      <c r="AM1368" s="75"/>
      <c r="AN1368" s="64" t="s">
        <v>181</v>
      </c>
      <c r="AO1368" s="64"/>
      <c r="AP1368" s="64"/>
      <c r="AQ1368" s="189"/>
      <c r="AR1368" s="64"/>
      <c r="AS1368" s="476"/>
      <c r="AT1368" s="64"/>
      <c r="AU1368" s="646"/>
      <c r="AV1368" s="259"/>
      <c r="AW1368" s="185"/>
    </row>
    <row r="1369" spans="1:49" ht="23.45" hidden="1" customHeight="1" outlineLevel="3" x14ac:dyDescent="0.25">
      <c r="A1369" s="63" t="str">
        <f t="shared" si="306"/>
        <v>4.14.3.11.2.0</v>
      </c>
      <c r="B1369" s="64">
        <v>4</v>
      </c>
      <c r="C1369" s="64">
        <v>14</v>
      </c>
      <c r="D1369" s="64">
        <v>3</v>
      </c>
      <c r="E1369" s="64">
        <v>11</v>
      </c>
      <c r="F1369" s="64">
        <v>2</v>
      </c>
      <c r="G1369" s="64">
        <v>0</v>
      </c>
      <c r="H1369" s="65"/>
      <c r="I1369" s="65"/>
      <c r="J1369" s="66"/>
      <c r="K1369" s="65" t="s">
        <v>1463</v>
      </c>
      <c r="L1369" s="64" t="s">
        <v>1452</v>
      </c>
      <c r="M1369" s="64" t="s">
        <v>1464</v>
      </c>
      <c r="N1369" s="64" t="s">
        <v>1444</v>
      </c>
      <c r="O1369" s="64" t="s">
        <v>1204</v>
      </c>
      <c r="P1369" s="64"/>
      <c r="Q1369" s="64"/>
      <c r="R1369" s="64"/>
      <c r="S1369" s="65"/>
      <c r="T1369" s="194"/>
      <c r="U1369" s="370">
        <v>0</v>
      </c>
      <c r="V1369" s="370"/>
      <c r="W1369" s="370">
        <v>0</v>
      </c>
      <c r="X1369" s="1129">
        <v>0</v>
      </c>
      <c r="Y1369" s="370">
        <v>0</v>
      </c>
      <c r="Z1369" s="370">
        <v>0</v>
      </c>
      <c r="AA1369" s="1129">
        <v>0</v>
      </c>
      <c r="AB1369" s="370">
        <v>0</v>
      </c>
      <c r="AC1369" s="370">
        <v>0</v>
      </c>
      <c r="AD1369" s="1129">
        <v>0</v>
      </c>
      <c r="AE1369" s="370">
        <v>0</v>
      </c>
      <c r="AF1369" s="370">
        <v>0</v>
      </c>
      <c r="AG1369" s="1129">
        <v>0</v>
      </c>
      <c r="AH1369" s="505">
        <f t="shared" ref="AH1369:AH1371" si="401">+U1369+Y1369+AB1369+AE1369</f>
        <v>0</v>
      </c>
      <c r="AI1369" s="132"/>
      <c r="AJ1369" s="75">
        <f t="shared" si="400"/>
        <v>0</v>
      </c>
      <c r="AK1369" s="75"/>
      <c r="AL1369" s="75"/>
      <c r="AM1369" s="75"/>
      <c r="AN1369" s="64" t="s">
        <v>181</v>
      </c>
      <c r="AO1369" s="64"/>
      <c r="AP1369" s="64"/>
      <c r="AQ1369" s="189"/>
      <c r="AR1369" s="64"/>
      <c r="AS1369" s="476"/>
      <c r="AT1369" s="64"/>
      <c r="AU1369" s="646"/>
      <c r="AV1369" s="259"/>
      <c r="AW1369" s="185"/>
    </row>
    <row r="1370" spans="1:49" ht="23.45" hidden="1" customHeight="1" outlineLevel="3" x14ac:dyDescent="0.25">
      <c r="A1370" s="63" t="str">
        <f t="shared" si="306"/>
        <v>4.14.3.11.3.0</v>
      </c>
      <c r="B1370" s="64">
        <v>4</v>
      </c>
      <c r="C1370" s="64">
        <v>14</v>
      </c>
      <c r="D1370" s="64">
        <v>3</v>
      </c>
      <c r="E1370" s="64">
        <v>11</v>
      </c>
      <c r="F1370" s="64">
        <v>3</v>
      </c>
      <c r="G1370" s="64">
        <v>0</v>
      </c>
      <c r="H1370" s="65"/>
      <c r="I1370" s="65"/>
      <c r="J1370" s="66"/>
      <c r="K1370" s="65" t="s">
        <v>1467</v>
      </c>
      <c r="L1370" s="64" t="s">
        <v>264</v>
      </c>
      <c r="M1370" s="64" t="s">
        <v>144</v>
      </c>
      <c r="N1370" s="64" t="s">
        <v>265</v>
      </c>
      <c r="O1370" s="64" t="s">
        <v>668</v>
      </c>
      <c r="P1370" s="64"/>
      <c r="Q1370" s="64"/>
      <c r="R1370" s="64"/>
      <c r="S1370" s="65"/>
      <c r="T1370" s="194"/>
      <c r="U1370" s="370">
        <v>0</v>
      </c>
      <c r="V1370" s="370"/>
      <c r="W1370" s="370">
        <v>0</v>
      </c>
      <c r="X1370" s="1129">
        <v>0</v>
      </c>
      <c r="Y1370" s="370">
        <v>0</v>
      </c>
      <c r="Z1370" s="370">
        <v>0</v>
      </c>
      <c r="AA1370" s="1129">
        <v>0</v>
      </c>
      <c r="AB1370" s="370">
        <v>0</v>
      </c>
      <c r="AC1370" s="370">
        <v>0</v>
      </c>
      <c r="AD1370" s="1129">
        <v>0</v>
      </c>
      <c r="AE1370" s="370">
        <v>0</v>
      </c>
      <c r="AF1370" s="370">
        <v>0</v>
      </c>
      <c r="AG1370" s="1129">
        <v>0</v>
      </c>
      <c r="AH1370" s="505">
        <f t="shared" si="401"/>
        <v>0</v>
      </c>
      <c r="AI1370" s="132"/>
      <c r="AJ1370" s="75">
        <f t="shared" si="400"/>
        <v>0</v>
      </c>
      <c r="AK1370" s="75"/>
      <c r="AL1370" s="75"/>
      <c r="AM1370" s="75"/>
      <c r="AN1370" s="64" t="s">
        <v>181</v>
      </c>
      <c r="AO1370" s="64"/>
      <c r="AP1370" s="64"/>
      <c r="AQ1370" s="189"/>
      <c r="AR1370" s="64"/>
      <c r="AS1370" s="476"/>
      <c r="AT1370" s="64"/>
      <c r="AU1370" s="646"/>
      <c r="AV1370" s="259"/>
      <c r="AW1370" s="185"/>
    </row>
    <row r="1371" spans="1:49" ht="23.45" hidden="1" customHeight="1" outlineLevel="3" x14ac:dyDescent="0.25">
      <c r="A1371" s="63" t="str">
        <f t="shared" si="306"/>
        <v>4.14.3.11.4.0</v>
      </c>
      <c r="B1371" s="64">
        <v>4</v>
      </c>
      <c r="C1371" s="64">
        <v>14</v>
      </c>
      <c r="D1371" s="64">
        <v>3</v>
      </c>
      <c r="E1371" s="64">
        <v>11</v>
      </c>
      <c r="F1371" s="64">
        <v>4</v>
      </c>
      <c r="G1371" s="64">
        <v>0</v>
      </c>
      <c r="H1371" s="65"/>
      <c r="I1371" s="65"/>
      <c r="J1371" s="65"/>
      <c r="K1371" s="65" t="s">
        <v>672</v>
      </c>
      <c r="L1371" s="64" t="s">
        <v>264</v>
      </c>
      <c r="M1371" s="64" t="s">
        <v>144</v>
      </c>
      <c r="N1371" s="64" t="s">
        <v>265</v>
      </c>
      <c r="O1371" s="64" t="s">
        <v>668</v>
      </c>
      <c r="P1371" s="64"/>
      <c r="Q1371" s="64"/>
      <c r="R1371" s="64"/>
      <c r="S1371" s="65"/>
      <c r="T1371" s="194"/>
      <c r="U1371" s="370">
        <v>0</v>
      </c>
      <c r="V1371" s="370"/>
      <c r="W1371" s="370">
        <v>0</v>
      </c>
      <c r="X1371" s="1129">
        <v>0</v>
      </c>
      <c r="Y1371" s="370">
        <v>0</v>
      </c>
      <c r="Z1371" s="370">
        <v>0</v>
      </c>
      <c r="AA1371" s="1129">
        <v>0</v>
      </c>
      <c r="AB1371" s="370">
        <v>0</v>
      </c>
      <c r="AC1371" s="370">
        <v>0</v>
      </c>
      <c r="AD1371" s="1129">
        <v>0</v>
      </c>
      <c r="AE1371" s="370">
        <v>0</v>
      </c>
      <c r="AF1371" s="370">
        <v>0</v>
      </c>
      <c r="AG1371" s="1129">
        <v>0</v>
      </c>
      <c r="AH1371" s="505">
        <f t="shared" si="401"/>
        <v>0</v>
      </c>
      <c r="AI1371" s="132"/>
      <c r="AJ1371" s="75">
        <f t="shared" si="400"/>
        <v>0</v>
      </c>
      <c r="AK1371" s="75"/>
      <c r="AL1371" s="75"/>
      <c r="AM1371" s="75"/>
      <c r="AN1371" s="64" t="s">
        <v>181</v>
      </c>
      <c r="AO1371" s="64" t="s">
        <v>1839</v>
      </c>
      <c r="AP1371" s="64" t="s">
        <v>649</v>
      </c>
      <c r="AQ1371" s="533" t="s">
        <v>649</v>
      </c>
      <c r="AR1371" s="554">
        <v>44562</v>
      </c>
      <c r="AS1371" s="554">
        <v>45291</v>
      </c>
      <c r="AT1371" s="64" t="s">
        <v>1814</v>
      </c>
      <c r="AU1371" s="646"/>
      <c r="AV1371" s="259"/>
      <c r="AW1371" s="185"/>
    </row>
    <row r="1372" spans="1:49" s="153" customFormat="1" ht="34.35" customHeight="1" outlineLevel="2" collapsed="1" x14ac:dyDescent="0.25">
      <c r="A1372" s="148" t="str">
        <f t="shared" si="306"/>
        <v>4.14.3.12.0.0</v>
      </c>
      <c r="B1372" s="82">
        <v>4</v>
      </c>
      <c r="C1372" s="82">
        <v>14</v>
      </c>
      <c r="D1372" s="82">
        <v>3</v>
      </c>
      <c r="E1372" s="82">
        <v>12</v>
      </c>
      <c r="F1372" s="82">
        <v>0</v>
      </c>
      <c r="G1372" s="82">
        <v>0</v>
      </c>
      <c r="H1372" s="149"/>
      <c r="I1372" s="149"/>
      <c r="J1372" s="1289" t="s">
        <v>1536</v>
      </c>
      <c r="K1372" s="1290"/>
      <c r="L1372" s="82" t="s">
        <v>1475</v>
      </c>
      <c r="M1372" s="83" t="s">
        <v>1449</v>
      </c>
      <c r="N1372" s="82" t="s">
        <v>1444</v>
      </c>
      <c r="O1372" s="82" t="s">
        <v>1445</v>
      </c>
      <c r="P1372" s="82"/>
      <c r="Q1372" s="82"/>
      <c r="R1372" s="82"/>
      <c r="S1372" s="149"/>
      <c r="T1372" s="193"/>
      <c r="U1372" s="380">
        <f t="shared" ref="U1372:AH1372" si="402">+SUM(U1373:U1376)</f>
        <v>0</v>
      </c>
      <c r="V1372" s="380"/>
      <c r="W1372" s="513">
        <f t="shared" si="402"/>
        <v>0</v>
      </c>
      <c r="X1372" s="1158">
        <f t="shared" si="402"/>
        <v>0</v>
      </c>
      <c r="Y1372" s="513">
        <f t="shared" si="402"/>
        <v>0</v>
      </c>
      <c r="Z1372" s="513">
        <f t="shared" si="402"/>
        <v>0</v>
      </c>
      <c r="AA1372" s="1158">
        <f t="shared" si="402"/>
        <v>0</v>
      </c>
      <c r="AB1372" s="513">
        <f t="shared" si="402"/>
        <v>0</v>
      </c>
      <c r="AC1372" s="513">
        <f t="shared" si="402"/>
        <v>0</v>
      </c>
      <c r="AD1372" s="1158">
        <f t="shared" si="402"/>
        <v>0</v>
      </c>
      <c r="AE1372" s="513">
        <f t="shared" si="402"/>
        <v>0</v>
      </c>
      <c r="AF1372" s="513">
        <f t="shared" si="402"/>
        <v>0</v>
      </c>
      <c r="AG1372" s="1158">
        <f t="shared" si="402"/>
        <v>0</v>
      </c>
      <c r="AH1372" s="513">
        <f t="shared" si="402"/>
        <v>0</v>
      </c>
      <c r="AI1372" s="198"/>
      <c r="AJ1372" s="198"/>
      <c r="AK1372" s="198"/>
      <c r="AL1372" s="198"/>
      <c r="AM1372" s="198"/>
      <c r="AN1372" s="82" t="s">
        <v>181</v>
      </c>
      <c r="AO1372" s="82"/>
      <c r="AP1372" s="82"/>
      <c r="AQ1372" s="365"/>
      <c r="AR1372" s="82"/>
      <c r="AS1372" s="483"/>
      <c r="AT1372" s="82"/>
      <c r="AU1372" s="666"/>
      <c r="AV1372" s="358"/>
      <c r="AW1372" s="444"/>
    </row>
    <row r="1373" spans="1:49" ht="20.100000000000001" hidden="1" customHeight="1" outlineLevel="4" x14ac:dyDescent="0.25">
      <c r="A1373" s="63" t="str">
        <f t="shared" si="306"/>
        <v>4.14.3.12.1.0</v>
      </c>
      <c r="B1373" s="64">
        <v>4</v>
      </c>
      <c r="C1373" s="64">
        <v>14</v>
      </c>
      <c r="D1373" s="64">
        <v>3</v>
      </c>
      <c r="E1373" s="64">
        <v>12</v>
      </c>
      <c r="F1373" s="64">
        <v>1</v>
      </c>
      <c r="G1373" s="64">
        <v>0</v>
      </c>
      <c r="H1373" s="65"/>
      <c r="I1373" s="65"/>
      <c r="J1373" s="66"/>
      <c r="K1373" s="65" t="s">
        <v>1451</v>
      </c>
      <c r="L1373" s="64" t="s">
        <v>1452</v>
      </c>
      <c r="M1373" s="64" t="s">
        <v>1453</v>
      </c>
      <c r="N1373" s="64" t="s">
        <v>1444</v>
      </c>
      <c r="O1373" s="64" t="s">
        <v>1204</v>
      </c>
      <c r="P1373" s="64"/>
      <c r="Q1373" s="64"/>
      <c r="R1373" s="64"/>
      <c r="S1373" s="65"/>
      <c r="T1373" s="194"/>
      <c r="U1373" s="510">
        <v>0</v>
      </c>
      <c r="V1373" s="510"/>
      <c r="W1373" s="370">
        <v>0</v>
      </c>
      <c r="X1373" s="1129">
        <v>0</v>
      </c>
      <c r="Y1373" s="370">
        <v>0</v>
      </c>
      <c r="Z1373" s="370">
        <v>0</v>
      </c>
      <c r="AA1373" s="1129">
        <v>0</v>
      </c>
      <c r="AB1373" s="370">
        <v>0</v>
      </c>
      <c r="AC1373" s="370">
        <v>0</v>
      </c>
      <c r="AD1373" s="1129">
        <v>0</v>
      </c>
      <c r="AE1373" s="370">
        <v>0</v>
      </c>
      <c r="AF1373" s="370">
        <v>0</v>
      </c>
      <c r="AG1373" s="1129">
        <v>0</v>
      </c>
      <c r="AH1373" s="505">
        <f>+U1373+Y1373+AB1373+AE1373</f>
        <v>0</v>
      </c>
      <c r="AI1373" s="132"/>
      <c r="AJ1373" s="75">
        <f t="shared" ref="AJ1373:AJ1376" si="403">+W1374+Z1374+AC1374+AF1374</f>
        <v>0</v>
      </c>
      <c r="AK1373" s="75"/>
      <c r="AL1373" s="75"/>
      <c r="AM1373" s="75"/>
      <c r="AN1373" s="64" t="s">
        <v>181</v>
      </c>
      <c r="AO1373" s="64"/>
      <c r="AP1373" s="64"/>
      <c r="AQ1373" s="189"/>
      <c r="AR1373" s="64"/>
      <c r="AS1373" s="476"/>
      <c r="AT1373" s="64"/>
      <c r="AU1373" s="646"/>
      <c r="AV1373" s="259"/>
      <c r="AW1373" s="185"/>
    </row>
    <row r="1374" spans="1:49" ht="20.100000000000001" hidden="1" customHeight="1" outlineLevel="4" x14ac:dyDescent="0.25">
      <c r="A1374" s="63" t="str">
        <f t="shared" si="306"/>
        <v>4.14.3.12.2.0</v>
      </c>
      <c r="B1374" s="64">
        <v>4</v>
      </c>
      <c r="C1374" s="64">
        <v>14</v>
      </c>
      <c r="D1374" s="64">
        <v>3</v>
      </c>
      <c r="E1374" s="64">
        <v>12</v>
      </c>
      <c r="F1374" s="64">
        <v>2</v>
      </c>
      <c r="G1374" s="64">
        <v>0</v>
      </c>
      <c r="H1374" s="65"/>
      <c r="I1374" s="65"/>
      <c r="J1374" s="66"/>
      <c r="K1374" s="65" t="s">
        <v>1463</v>
      </c>
      <c r="L1374" s="64" t="s">
        <v>1452</v>
      </c>
      <c r="M1374" s="64" t="s">
        <v>1464</v>
      </c>
      <c r="N1374" s="64" t="s">
        <v>1444</v>
      </c>
      <c r="O1374" s="64" t="s">
        <v>1204</v>
      </c>
      <c r="P1374" s="64"/>
      <c r="Q1374" s="64"/>
      <c r="R1374" s="64"/>
      <c r="S1374" s="65"/>
      <c r="T1374" s="194"/>
      <c r="U1374" s="510">
        <v>0</v>
      </c>
      <c r="V1374" s="510"/>
      <c r="W1374" s="370">
        <v>0</v>
      </c>
      <c r="X1374" s="1129">
        <v>0</v>
      </c>
      <c r="Y1374" s="370">
        <v>0</v>
      </c>
      <c r="Z1374" s="370">
        <v>0</v>
      </c>
      <c r="AA1374" s="1129">
        <v>0</v>
      </c>
      <c r="AB1374" s="370">
        <v>0</v>
      </c>
      <c r="AC1374" s="370">
        <v>0</v>
      </c>
      <c r="AD1374" s="1129">
        <v>0</v>
      </c>
      <c r="AE1374" s="370">
        <v>0</v>
      </c>
      <c r="AF1374" s="370">
        <v>0</v>
      </c>
      <c r="AG1374" s="1129">
        <v>0</v>
      </c>
      <c r="AH1374" s="505">
        <f t="shared" ref="AH1374:AH1376" si="404">+U1374+Y1374+AB1374+AE1374</f>
        <v>0</v>
      </c>
      <c r="AI1374" s="132"/>
      <c r="AJ1374" s="75">
        <f t="shared" si="403"/>
        <v>0</v>
      </c>
      <c r="AK1374" s="75"/>
      <c r="AL1374" s="75"/>
      <c r="AM1374" s="75"/>
      <c r="AN1374" s="64" t="s">
        <v>181</v>
      </c>
      <c r="AO1374" s="64"/>
      <c r="AP1374" s="64"/>
      <c r="AQ1374" s="189"/>
      <c r="AR1374" s="64"/>
      <c r="AS1374" s="476"/>
      <c r="AT1374" s="64"/>
      <c r="AU1374" s="646"/>
      <c r="AV1374" s="259"/>
      <c r="AW1374" s="185"/>
    </row>
    <row r="1375" spans="1:49" ht="20.100000000000001" hidden="1" customHeight="1" outlineLevel="4" x14ac:dyDescent="0.25">
      <c r="A1375" s="63" t="str">
        <f t="shared" si="306"/>
        <v>4.14.3.12.3.0</v>
      </c>
      <c r="B1375" s="64">
        <v>4</v>
      </c>
      <c r="C1375" s="64">
        <v>14</v>
      </c>
      <c r="D1375" s="64">
        <v>3</v>
      </c>
      <c r="E1375" s="64">
        <v>12</v>
      </c>
      <c r="F1375" s="64">
        <v>3</v>
      </c>
      <c r="G1375" s="64">
        <v>0</v>
      </c>
      <c r="H1375" s="65"/>
      <c r="I1375" s="65"/>
      <c r="J1375" s="66"/>
      <c r="K1375" s="65" t="s">
        <v>1467</v>
      </c>
      <c r="L1375" s="64" t="s">
        <v>264</v>
      </c>
      <c r="M1375" s="64" t="s">
        <v>144</v>
      </c>
      <c r="N1375" s="64" t="s">
        <v>265</v>
      </c>
      <c r="O1375" s="64" t="s">
        <v>668</v>
      </c>
      <c r="P1375" s="64"/>
      <c r="Q1375" s="64"/>
      <c r="R1375" s="64"/>
      <c r="S1375" s="65"/>
      <c r="T1375" s="194"/>
      <c r="U1375" s="510">
        <v>0</v>
      </c>
      <c r="V1375" s="510"/>
      <c r="W1375" s="370">
        <v>0</v>
      </c>
      <c r="X1375" s="1129">
        <v>0</v>
      </c>
      <c r="Y1375" s="370">
        <v>0</v>
      </c>
      <c r="Z1375" s="370">
        <v>0</v>
      </c>
      <c r="AA1375" s="1129">
        <v>0</v>
      </c>
      <c r="AB1375" s="370">
        <v>0</v>
      </c>
      <c r="AC1375" s="370">
        <v>0</v>
      </c>
      <c r="AD1375" s="1129">
        <v>0</v>
      </c>
      <c r="AE1375" s="370">
        <v>0</v>
      </c>
      <c r="AF1375" s="370">
        <v>0</v>
      </c>
      <c r="AG1375" s="1129">
        <v>0</v>
      </c>
      <c r="AH1375" s="505">
        <f t="shared" si="404"/>
        <v>0</v>
      </c>
      <c r="AI1375" s="132"/>
      <c r="AJ1375" s="75">
        <f t="shared" si="403"/>
        <v>0</v>
      </c>
      <c r="AK1375" s="75"/>
      <c r="AL1375" s="75"/>
      <c r="AM1375" s="75"/>
      <c r="AN1375" s="64" t="s">
        <v>181</v>
      </c>
      <c r="AO1375" s="64"/>
      <c r="AP1375" s="64"/>
      <c r="AQ1375" s="189"/>
      <c r="AR1375" s="64"/>
      <c r="AS1375" s="476"/>
      <c r="AT1375" s="64"/>
      <c r="AU1375" s="646"/>
      <c r="AV1375" s="259"/>
      <c r="AW1375" s="185"/>
    </row>
    <row r="1376" spans="1:49" ht="20.100000000000001" hidden="1" customHeight="1" outlineLevel="4" x14ac:dyDescent="0.25">
      <c r="A1376" s="63" t="str">
        <f t="shared" si="306"/>
        <v>4.14.3.12.4.0</v>
      </c>
      <c r="B1376" s="64">
        <v>4</v>
      </c>
      <c r="C1376" s="64">
        <v>14</v>
      </c>
      <c r="D1376" s="64">
        <v>3</v>
      </c>
      <c r="E1376" s="64">
        <v>12</v>
      </c>
      <c r="F1376" s="64">
        <v>4</v>
      </c>
      <c r="G1376" s="64">
        <v>0</v>
      </c>
      <c r="H1376" s="65"/>
      <c r="I1376" s="65"/>
      <c r="J1376" s="65"/>
      <c r="K1376" s="65" t="s">
        <v>672</v>
      </c>
      <c r="L1376" s="64" t="s">
        <v>264</v>
      </c>
      <c r="M1376" s="64" t="s">
        <v>144</v>
      </c>
      <c r="N1376" s="64" t="s">
        <v>265</v>
      </c>
      <c r="O1376" s="64" t="s">
        <v>668</v>
      </c>
      <c r="P1376" s="64"/>
      <c r="Q1376" s="64"/>
      <c r="R1376" s="64"/>
      <c r="S1376" s="65"/>
      <c r="T1376" s="194"/>
      <c r="U1376" s="510">
        <v>0</v>
      </c>
      <c r="V1376" s="510"/>
      <c r="W1376" s="370">
        <v>0</v>
      </c>
      <c r="X1376" s="1129">
        <v>0</v>
      </c>
      <c r="Y1376" s="370">
        <v>0</v>
      </c>
      <c r="Z1376" s="370">
        <v>0</v>
      </c>
      <c r="AA1376" s="1129">
        <v>0</v>
      </c>
      <c r="AB1376" s="370">
        <v>0</v>
      </c>
      <c r="AC1376" s="370">
        <v>0</v>
      </c>
      <c r="AD1376" s="1129">
        <v>0</v>
      </c>
      <c r="AE1376" s="370">
        <v>0</v>
      </c>
      <c r="AF1376" s="370">
        <v>0</v>
      </c>
      <c r="AG1376" s="1129">
        <v>0</v>
      </c>
      <c r="AH1376" s="505">
        <f t="shared" si="404"/>
        <v>0</v>
      </c>
      <c r="AI1376" s="132"/>
      <c r="AJ1376" s="75">
        <f t="shared" si="403"/>
        <v>0</v>
      </c>
      <c r="AK1376" s="75"/>
      <c r="AL1376" s="75"/>
      <c r="AM1376" s="75"/>
      <c r="AN1376" s="64" t="s">
        <v>181</v>
      </c>
      <c r="AO1376" s="64" t="s">
        <v>1839</v>
      </c>
      <c r="AP1376" s="64" t="s">
        <v>649</v>
      </c>
      <c r="AQ1376" s="533" t="s">
        <v>649</v>
      </c>
      <c r="AR1376" s="554">
        <v>44562</v>
      </c>
      <c r="AS1376" s="554">
        <v>45291</v>
      </c>
      <c r="AT1376" s="64" t="s">
        <v>1814</v>
      </c>
      <c r="AU1376" s="646"/>
      <c r="AV1376" s="259"/>
      <c r="AW1376" s="185"/>
    </row>
    <row r="1377" spans="1:49" s="153" customFormat="1" ht="22.35" customHeight="1" outlineLevel="2" collapsed="1" x14ac:dyDescent="0.25">
      <c r="A1377" s="148" t="str">
        <f t="shared" si="306"/>
        <v>4.14.3.13.0.0</v>
      </c>
      <c r="B1377" s="82">
        <v>4</v>
      </c>
      <c r="C1377" s="82">
        <v>14</v>
      </c>
      <c r="D1377" s="82">
        <v>3</v>
      </c>
      <c r="E1377" s="82">
        <v>13</v>
      </c>
      <c r="F1377" s="82">
        <v>0</v>
      </c>
      <c r="G1377" s="82">
        <v>0</v>
      </c>
      <c r="H1377" s="149"/>
      <c r="I1377" s="149"/>
      <c r="J1377" s="1260" t="s">
        <v>1537</v>
      </c>
      <c r="K1377" s="1259"/>
      <c r="L1377" s="82" t="s">
        <v>1475</v>
      </c>
      <c r="M1377" s="83" t="s">
        <v>1449</v>
      </c>
      <c r="N1377" s="82" t="s">
        <v>1444</v>
      </c>
      <c r="O1377" s="82" t="s">
        <v>1445</v>
      </c>
      <c r="P1377" s="82"/>
      <c r="Q1377" s="82"/>
      <c r="R1377" s="82"/>
      <c r="S1377" s="149"/>
      <c r="T1377" s="193"/>
      <c r="U1377" s="380">
        <f t="shared" ref="U1377:AH1377" si="405">+SUM(U1378:U1381)</f>
        <v>0</v>
      </c>
      <c r="V1377" s="380"/>
      <c r="W1377" s="513">
        <f t="shared" si="405"/>
        <v>0</v>
      </c>
      <c r="X1377" s="1158">
        <f t="shared" si="405"/>
        <v>0</v>
      </c>
      <c r="Y1377" s="513">
        <f t="shared" si="405"/>
        <v>0</v>
      </c>
      <c r="Z1377" s="513">
        <f t="shared" si="405"/>
        <v>0</v>
      </c>
      <c r="AA1377" s="1158">
        <f t="shared" si="405"/>
        <v>0</v>
      </c>
      <c r="AB1377" s="513">
        <f t="shared" si="405"/>
        <v>0</v>
      </c>
      <c r="AC1377" s="513">
        <f t="shared" si="405"/>
        <v>0</v>
      </c>
      <c r="AD1377" s="1158">
        <f t="shared" si="405"/>
        <v>0</v>
      </c>
      <c r="AE1377" s="513">
        <f t="shared" si="405"/>
        <v>0</v>
      </c>
      <c r="AF1377" s="513">
        <f t="shared" si="405"/>
        <v>0</v>
      </c>
      <c r="AG1377" s="1158">
        <f t="shared" si="405"/>
        <v>0</v>
      </c>
      <c r="AH1377" s="513">
        <f t="shared" si="405"/>
        <v>0</v>
      </c>
      <c r="AI1377" s="198"/>
      <c r="AJ1377" s="198"/>
      <c r="AK1377" s="198"/>
      <c r="AL1377" s="198"/>
      <c r="AM1377" s="198"/>
      <c r="AN1377" s="82" t="s">
        <v>181</v>
      </c>
      <c r="AO1377" s="82"/>
      <c r="AP1377" s="82"/>
      <c r="AQ1377" s="365"/>
      <c r="AR1377" s="82"/>
      <c r="AS1377" s="483"/>
      <c r="AT1377" s="82"/>
      <c r="AU1377" s="666"/>
      <c r="AV1377" s="358"/>
      <c r="AW1377" s="444"/>
    </row>
    <row r="1378" spans="1:49" ht="21.6" hidden="1" customHeight="1" outlineLevel="3" x14ac:dyDescent="0.25">
      <c r="A1378" s="63" t="str">
        <f t="shared" si="306"/>
        <v>4.14.3.13.1.0</v>
      </c>
      <c r="B1378" s="64">
        <v>4</v>
      </c>
      <c r="C1378" s="64">
        <v>14</v>
      </c>
      <c r="D1378" s="64">
        <v>3</v>
      </c>
      <c r="E1378" s="64">
        <v>13</v>
      </c>
      <c r="F1378" s="64">
        <v>1</v>
      </c>
      <c r="G1378" s="64">
        <v>0</v>
      </c>
      <c r="H1378" s="65"/>
      <c r="I1378" s="65"/>
      <c r="J1378" s="66"/>
      <c r="K1378" s="65" t="s">
        <v>1451</v>
      </c>
      <c r="L1378" s="64" t="s">
        <v>1452</v>
      </c>
      <c r="M1378" s="64" t="s">
        <v>1453</v>
      </c>
      <c r="N1378" s="64" t="s">
        <v>1444</v>
      </c>
      <c r="O1378" s="64" t="s">
        <v>1204</v>
      </c>
      <c r="P1378" s="64"/>
      <c r="Q1378" s="64"/>
      <c r="R1378" s="64"/>
      <c r="S1378" s="65"/>
      <c r="T1378" s="194"/>
      <c r="U1378" s="370">
        <v>0</v>
      </c>
      <c r="V1378" s="370"/>
      <c r="W1378" s="370">
        <v>0</v>
      </c>
      <c r="X1378" s="1129">
        <v>0</v>
      </c>
      <c r="Y1378" s="370">
        <v>0</v>
      </c>
      <c r="Z1378" s="370">
        <v>0</v>
      </c>
      <c r="AA1378" s="1129">
        <v>0</v>
      </c>
      <c r="AB1378" s="370">
        <v>0</v>
      </c>
      <c r="AC1378" s="370">
        <v>0</v>
      </c>
      <c r="AD1378" s="1129">
        <v>0</v>
      </c>
      <c r="AE1378" s="370">
        <v>0</v>
      </c>
      <c r="AF1378" s="370">
        <v>0</v>
      </c>
      <c r="AG1378" s="1129">
        <v>0</v>
      </c>
      <c r="AH1378" s="505">
        <f>+U1378+Y1378+AB1378+AE1378</f>
        <v>0</v>
      </c>
      <c r="AI1378" s="132"/>
      <c r="AJ1378" s="75">
        <f t="shared" ref="AJ1378:AJ1381" si="406">+W1379+Z1379+AC1379+AF1379</f>
        <v>0</v>
      </c>
      <c r="AK1378" s="75"/>
      <c r="AL1378" s="75"/>
      <c r="AM1378" s="75"/>
      <c r="AN1378" s="64" t="s">
        <v>181</v>
      </c>
      <c r="AO1378" s="64"/>
      <c r="AP1378" s="64"/>
      <c r="AQ1378" s="189"/>
      <c r="AR1378" s="64"/>
      <c r="AS1378" s="476"/>
      <c r="AT1378" s="64"/>
      <c r="AU1378" s="646"/>
      <c r="AV1378" s="259"/>
      <c r="AW1378" s="185"/>
    </row>
    <row r="1379" spans="1:49" ht="21.6" hidden="1" customHeight="1" outlineLevel="3" x14ac:dyDescent="0.25">
      <c r="A1379" s="63" t="str">
        <f t="shared" si="306"/>
        <v>4.14.3.13.2.0</v>
      </c>
      <c r="B1379" s="64">
        <v>4</v>
      </c>
      <c r="C1379" s="64">
        <v>14</v>
      </c>
      <c r="D1379" s="64">
        <v>3</v>
      </c>
      <c r="E1379" s="64">
        <v>13</v>
      </c>
      <c r="F1379" s="64">
        <v>2</v>
      </c>
      <c r="G1379" s="64">
        <v>0</v>
      </c>
      <c r="H1379" s="65"/>
      <c r="I1379" s="65"/>
      <c r="J1379" s="66"/>
      <c r="K1379" s="65" t="s">
        <v>1463</v>
      </c>
      <c r="L1379" s="64" t="s">
        <v>1452</v>
      </c>
      <c r="M1379" s="64" t="s">
        <v>1464</v>
      </c>
      <c r="N1379" s="64" t="s">
        <v>1444</v>
      </c>
      <c r="O1379" s="64" t="s">
        <v>1204</v>
      </c>
      <c r="P1379" s="64"/>
      <c r="Q1379" s="64"/>
      <c r="R1379" s="64"/>
      <c r="S1379" s="65"/>
      <c r="T1379" s="194"/>
      <c r="U1379" s="370">
        <v>0</v>
      </c>
      <c r="V1379" s="370"/>
      <c r="W1379" s="370">
        <v>0</v>
      </c>
      <c r="X1379" s="1129">
        <v>0</v>
      </c>
      <c r="Y1379" s="370">
        <v>0</v>
      </c>
      <c r="Z1379" s="370">
        <v>0</v>
      </c>
      <c r="AA1379" s="1129">
        <v>0</v>
      </c>
      <c r="AB1379" s="370">
        <v>0</v>
      </c>
      <c r="AC1379" s="370">
        <v>0</v>
      </c>
      <c r="AD1379" s="1129">
        <v>0</v>
      </c>
      <c r="AE1379" s="370">
        <v>0</v>
      </c>
      <c r="AF1379" s="370">
        <v>0</v>
      </c>
      <c r="AG1379" s="1129">
        <v>0</v>
      </c>
      <c r="AH1379" s="505">
        <f>+U1379+Y1379+AB1379+AE1379</f>
        <v>0</v>
      </c>
      <c r="AI1379" s="132"/>
      <c r="AJ1379" s="75">
        <f t="shared" si="406"/>
        <v>0</v>
      </c>
      <c r="AK1379" s="75"/>
      <c r="AL1379" s="75"/>
      <c r="AM1379" s="75"/>
      <c r="AN1379" s="64" t="s">
        <v>181</v>
      </c>
      <c r="AO1379" s="64"/>
      <c r="AP1379" s="64"/>
      <c r="AQ1379" s="189"/>
      <c r="AR1379" s="64"/>
      <c r="AS1379" s="476"/>
      <c r="AT1379" s="64"/>
      <c r="AU1379" s="646"/>
      <c r="AV1379" s="259"/>
      <c r="AW1379" s="185"/>
    </row>
    <row r="1380" spans="1:49" ht="21.6" hidden="1" customHeight="1" outlineLevel="3" x14ac:dyDescent="0.25">
      <c r="A1380" s="63" t="str">
        <f t="shared" si="306"/>
        <v>4.14.3.13.3.0</v>
      </c>
      <c r="B1380" s="64">
        <v>4</v>
      </c>
      <c r="C1380" s="64">
        <v>14</v>
      </c>
      <c r="D1380" s="64">
        <v>3</v>
      </c>
      <c r="E1380" s="64">
        <v>13</v>
      </c>
      <c r="F1380" s="64">
        <v>3</v>
      </c>
      <c r="G1380" s="64">
        <v>0</v>
      </c>
      <c r="H1380" s="65"/>
      <c r="I1380" s="65"/>
      <c r="J1380" s="66"/>
      <c r="K1380" s="65" t="s">
        <v>1467</v>
      </c>
      <c r="L1380" s="64" t="s">
        <v>264</v>
      </c>
      <c r="M1380" s="64" t="s">
        <v>144</v>
      </c>
      <c r="N1380" s="64" t="s">
        <v>265</v>
      </c>
      <c r="O1380" s="64" t="s">
        <v>668</v>
      </c>
      <c r="P1380" s="64"/>
      <c r="Q1380" s="64"/>
      <c r="R1380" s="64"/>
      <c r="S1380" s="65"/>
      <c r="T1380" s="194"/>
      <c r="U1380" s="370">
        <v>0</v>
      </c>
      <c r="V1380" s="370"/>
      <c r="W1380" s="370">
        <v>0</v>
      </c>
      <c r="X1380" s="1129">
        <v>0</v>
      </c>
      <c r="Y1380" s="370">
        <v>0</v>
      </c>
      <c r="Z1380" s="370">
        <v>0</v>
      </c>
      <c r="AA1380" s="1129">
        <v>0</v>
      </c>
      <c r="AB1380" s="370">
        <v>0</v>
      </c>
      <c r="AC1380" s="370">
        <v>0</v>
      </c>
      <c r="AD1380" s="1129">
        <v>0</v>
      </c>
      <c r="AE1380" s="370">
        <v>0</v>
      </c>
      <c r="AF1380" s="370">
        <v>0</v>
      </c>
      <c r="AG1380" s="1129">
        <v>0</v>
      </c>
      <c r="AH1380" s="505">
        <f>+U1380+Y1380+AB1380+AE1380</f>
        <v>0</v>
      </c>
      <c r="AI1380" s="132"/>
      <c r="AJ1380" s="75">
        <f t="shared" si="406"/>
        <v>0</v>
      </c>
      <c r="AK1380" s="75"/>
      <c r="AL1380" s="75"/>
      <c r="AM1380" s="75"/>
      <c r="AN1380" s="64" t="s">
        <v>181</v>
      </c>
      <c r="AO1380" s="64"/>
      <c r="AP1380" s="64"/>
      <c r="AQ1380" s="189"/>
      <c r="AR1380" s="64"/>
      <c r="AS1380" s="476"/>
      <c r="AT1380" s="64"/>
      <c r="AU1380" s="646"/>
      <c r="AV1380" s="259"/>
      <c r="AW1380" s="185"/>
    </row>
    <row r="1381" spans="1:49" ht="21.6" hidden="1" customHeight="1" outlineLevel="3" x14ac:dyDescent="0.25">
      <c r="A1381" s="63" t="str">
        <f t="shared" si="306"/>
        <v>4.14.3.13.4.0</v>
      </c>
      <c r="B1381" s="64">
        <v>4</v>
      </c>
      <c r="C1381" s="64">
        <v>14</v>
      </c>
      <c r="D1381" s="64">
        <v>3</v>
      </c>
      <c r="E1381" s="64">
        <v>13</v>
      </c>
      <c r="F1381" s="64">
        <v>4</v>
      </c>
      <c r="G1381" s="64">
        <v>0</v>
      </c>
      <c r="H1381" s="65"/>
      <c r="I1381" s="65"/>
      <c r="J1381" s="65"/>
      <c r="K1381" s="65" t="s">
        <v>672</v>
      </c>
      <c r="L1381" s="64" t="s">
        <v>264</v>
      </c>
      <c r="M1381" s="64" t="s">
        <v>144</v>
      </c>
      <c r="N1381" s="64" t="s">
        <v>265</v>
      </c>
      <c r="O1381" s="64" t="s">
        <v>668</v>
      </c>
      <c r="P1381" s="64"/>
      <c r="Q1381" s="64"/>
      <c r="R1381" s="64"/>
      <c r="S1381" s="65"/>
      <c r="T1381" s="194"/>
      <c r="U1381" s="370">
        <v>0</v>
      </c>
      <c r="V1381" s="370"/>
      <c r="W1381" s="370">
        <v>0</v>
      </c>
      <c r="X1381" s="1129">
        <v>0</v>
      </c>
      <c r="Y1381" s="370">
        <v>0</v>
      </c>
      <c r="Z1381" s="370">
        <v>0</v>
      </c>
      <c r="AA1381" s="1129">
        <v>0</v>
      </c>
      <c r="AB1381" s="370">
        <v>0</v>
      </c>
      <c r="AC1381" s="370">
        <v>0</v>
      </c>
      <c r="AD1381" s="1129">
        <v>0</v>
      </c>
      <c r="AE1381" s="370">
        <v>0</v>
      </c>
      <c r="AF1381" s="370">
        <v>0</v>
      </c>
      <c r="AG1381" s="1129">
        <v>0</v>
      </c>
      <c r="AH1381" s="505">
        <f>+U1381+Y1381+AB1381+AE1381</f>
        <v>0</v>
      </c>
      <c r="AI1381" s="132"/>
      <c r="AJ1381" s="75">
        <f t="shared" si="406"/>
        <v>0</v>
      </c>
      <c r="AK1381" s="75"/>
      <c r="AL1381" s="75"/>
      <c r="AM1381" s="75"/>
      <c r="AN1381" s="64" t="s">
        <v>181</v>
      </c>
      <c r="AO1381" s="64" t="s">
        <v>1839</v>
      </c>
      <c r="AP1381" s="64" t="s">
        <v>649</v>
      </c>
      <c r="AQ1381" s="533" t="s">
        <v>649</v>
      </c>
      <c r="AR1381" s="554">
        <v>44562</v>
      </c>
      <c r="AS1381" s="554">
        <v>45291</v>
      </c>
      <c r="AT1381" s="64" t="s">
        <v>1814</v>
      </c>
      <c r="AU1381" s="646"/>
      <c r="AV1381" s="259"/>
      <c r="AW1381" s="185"/>
    </row>
    <row r="1382" spans="1:49" s="153" customFormat="1" ht="26.45" customHeight="1" outlineLevel="2" collapsed="1" x14ac:dyDescent="0.25">
      <c r="A1382" s="148" t="str">
        <f t="shared" si="306"/>
        <v>4.14.3.14.0.0</v>
      </c>
      <c r="B1382" s="82">
        <v>4</v>
      </c>
      <c r="C1382" s="82">
        <v>14</v>
      </c>
      <c r="D1382" s="82">
        <v>3</v>
      </c>
      <c r="E1382" s="82">
        <v>14</v>
      </c>
      <c r="F1382" s="82">
        <v>0</v>
      </c>
      <c r="G1382" s="82">
        <v>0</v>
      </c>
      <c r="H1382" s="149"/>
      <c r="I1382" s="149"/>
      <c r="J1382" s="1260" t="s">
        <v>1538</v>
      </c>
      <c r="K1382" s="1259"/>
      <c r="L1382" s="82" t="s">
        <v>1475</v>
      </c>
      <c r="M1382" s="83" t="s">
        <v>1449</v>
      </c>
      <c r="N1382" s="82" t="s">
        <v>1444</v>
      </c>
      <c r="O1382" s="82" t="s">
        <v>1445</v>
      </c>
      <c r="P1382" s="82"/>
      <c r="Q1382" s="82"/>
      <c r="R1382" s="82"/>
      <c r="S1382" s="149"/>
      <c r="T1382" s="193"/>
      <c r="U1382" s="380">
        <f t="shared" ref="U1382:AH1382" si="407">+SUM(U1383:U1386)</f>
        <v>0</v>
      </c>
      <c r="V1382" s="380"/>
      <c r="W1382" s="513">
        <f t="shared" si="407"/>
        <v>0</v>
      </c>
      <c r="X1382" s="1158">
        <f t="shared" si="407"/>
        <v>0</v>
      </c>
      <c r="Y1382" s="513">
        <f t="shared" si="407"/>
        <v>0</v>
      </c>
      <c r="Z1382" s="513">
        <f t="shared" si="407"/>
        <v>0</v>
      </c>
      <c r="AA1382" s="1158">
        <f t="shared" si="407"/>
        <v>0</v>
      </c>
      <c r="AB1382" s="513">
        <f t="shared" si="407"/>
        <v>0</v>
      </c>
      <c r="AC1382" s="513">
        <f t="shared" si="407"/>
        <v>0</v>
      </c>
      <c r="AD1382" s="1158">
        <f t="shared" si="407"/>
        <v>0</v>
      </c>
      <c r="AE1382" s="513">
        <f t="shared" si="407"/>
        <v>0</v>
      </c>
      <c r="AF1382" s="513">
        <f t="shared" si="407"/>
        <v>0</v>
      </c>
      <c r="AG1382" s="1158">
        <f t="shared" si="407"/>
        <v>0</v>
      </c>
      <c r="AH1382" s="513">
        <f t="shared" si="407"/>
        <v>0</v>
      </c>
      <c r="AI1382" s="198"/>
      <c r="AJ1382" s="198"/>
      <c r="AK1382" s="198"/>
      <c r="AL1382" s="198"/>
      <c r="AM1382" s="198"/>
      <c r="AN1382" s="82" t="s">
        <v>181</v>
      </c>
      <c r="AO1382" s="82"/>
      <c r="AP1382" s="82"/>
      <c r="AQ1382" s="365"/>
      <c r="AR1382" s="82"/>
      <c r="AS1382" s="483"/>
      <c r="AT1382" s="82"/>
      <c r="AU1382" s="666"/>
      <c r="AV1382" s="358"/>
      <c r="AW1382" s="444"/>
    </row>
    <row r="1383" spans="1:49" ht="23.1" hidden="1" customHeight="1" outlineLevel="3" x14ac:dyDescent="0.25">
      <c r="A1383" s="63" t="str">
        <f t="shared" si="306"/>
        <v>4.14.3.14.1.0</v>
      </c>
      <c r="B1383" s="64">
        <v>4</v>
      </c>
      <c r="C1383" s="64">
        <v>14</v>
      </c>
      <c r="D1383" s="64">
        <v>3</v>
      </c>
      <c r="E1383" s="64">
        <v>14</v>
      </c>
      <c r="F1383" s="64">
        <v>1</v>
      </c>
      <c r="G1383" s="64">
        <v>0</v>
      </c>
      <c r="H1383" s="65"/>
      <c r="I1383" s="65"/>
      <c r="J1383" s="66"/>
      <c r="K1383" s="65" t="s">
        <v>1451</v>
      </c>
      <c r="L1383" s="64" t="s">
        <v>1452</v>
      </c>
      <c r="M1383" s="64" t="s">
        <v>1453</v>
      </c>
      <c r="N1383" s="64" t="s">
        <v>1444</v>
      </c>
      <c r="O1383" s="64" t="s">
        <v>1204</v>
      </c>
      <c r="P1383" s="64"/>
      <c r="Q1383" s="64"/>
      <c r="R1383" s="64"/>
      <c r="S1383" s="65"/>
      <c r="T1383" s="194"/>
      <c r="U1383" s="370">
        <v>0</v>
      </c>
      <c r="V1383" s="370"/>
      <c r="W1383" s="370">
        <v>0</v>
      </c>
      <c r="X1383" s="1129">
        <v>0</v>
      </c>
      <c r="Y1383" s="370">
        <v>0</v>
      </c>
      <c r="Z1383" s="370">
        <v>0</v>
      </c>
      <c r="AA1383" s="1129">
        <v>0</v>
      </c>
      <c r="AB1383" s="370">
        <v>0</v>
      </c>
      <c r="AC1383" s="370">
        <v>0</v>
      </c>
      <c r="AD1383" s="1129">
        <v>0</v>
      </c>
      <c r="AE1383" s="370">
        <v>0</v>
      </c>
      <c r="AF1383" s="370">
        <v>0</v>
      </c>
      <c r="AG1383" s="1129">
        <v>0</v>
      </c>
      <c r="AH1383" s="505">
        <f>+U1383+Y1383+AB1383+AE1383</f>
        <v>0</v>
      </c>
      <c r="AI1383" s="132"/>
      <c r="AJ1383" s="75">
        <f t="shared" ref="AJ1383:AJ1386" si="408">+W1384+Z1384+AC1384+AF1384</f>
        <v>0</v>
      </c>
      <c r="AK1383" s="75"/>
      <c r="AL1383" s="75"/>
      <c r="AM1383" s="75"/>
      <c r="AN1383" s="64" t="s">
        <v>181</v>
      </c>
      <c r="AO1383" s="64"/>
      <c r="AP1383" s="64"/>
      <c r="AQ1383" s="189"/>
      <c r="AR1383" s="64"/>
      <c r="AS1383" s="476"/>
      <c r="AT1383" s="64"/>
      <c r="AU1383" s="646"/>
      <c r="AV1383" s="259"/>
      <c r="AW1383" s="185"/>
    </row>
    <row r="1384" spans="1:49" ht="23.1" hidden="1" customHeight="1" outlineLevel="3" x14ac:dyDescent="0.25">
      <c r="A1384" s="63" t="str">
        <f t="shared" si="306"/>
        <v>4.14.3.14.2.0</v>
      </c>
      <c r="B1384" s="64">
        <v>4</v>
      </c>
      <c r="C1384" s="64">
        <v>14</v>
      </c>
      <c r="D1384" s="64">
        <v>3</v>
      </c>
      <c r="E1384" s="64">
        <v>14</v>
      </c>
      <c r="F1384" s="64">
        <v>2</v>
      </c>
      <c r="G1384" s="64">
        <v>0</v>
      </c>
      <c r="H1384" s="65"/>
      <c r="I1384" s="65"/>
      <c r="J1384" s="66"/>
      <c r="K1384" s="65" t="s">
        <v>1463</v>
      </c>
      <c r="L1384" s="64" t="s">
        <v>1452</v>
      </c>
      <c r="M1384" s="64" t="s">
        <v>1464</v>
      </c>
      <c r="N1384" s="64" t="s">
        <v>1444</v>
      </c>
      <c r="O1384" s="64" t="s">
        <v>1204</v>
      </c>
      <c r="P1384" s="64"/>
      <c r="Q1384" s="64"/>
      <c r="R1384" s="64"/>
      <c r="S1384" s="65"/>
      <c r="T1384" s="194"/>
      <c r="U1384" s="370">
        <v>0</v>
      </c>
      <c r="V1384" s="370"/>
      <c r="W1384" s="370">
        <v>0</v>
      </c>
      <c r="X1384" s="1129">
        <v>0</v>
      </c>
      <c r="Y1384" s="370">
        <v>0</v>
      </c>
      <c r="Z1384" s="370">
        <v>0</v>
      </c>
      <c r="AA1384" s="1129">
        <v>0</v>
      </c>
      <c r="AB1384" s="370">
        <v>0</v>
      </c>
      <c r="AC1384" s="370">
        <v>0</v>
      </c>
      <c r="AD1384" s="1129">
        <v>0</v>
      </c>
      <c r="AE1384" s="370">
        <v>0</v>
      </c>
      <c r="AF1384" s="370">
        <v>0</v>
      </c>
      <c r="AG1384" s="1129">
        <v>0</v>
      </c>
      <c r="AH1384" s="505">
        <f>+U1384+Y1384+AB1384+AE1384</f>
        <v>0</v>
      </c>
      <c r="AI1384" s="132"/>
      <c r="AJ1384" s="75">
        <f t="shared" si="408"/>
        <v>0</v>
      </c>
      <c r="AK1384" s="75"/>
      <c r="AL1384" s="75"/>
      <c r="AM1384" s="75"/>
      <c r="AN1384" s="64" t="s">
        <v>181</v>
      </c>
      <c r="AO1384" s="64"/>
      <c r="AP1384" s="64"/>
      <c r="AQ1384" s="189"/>
      <c r="AR1384" s="64"/>
      <c r="AS1384" s="476"/>
      <c r="AT1384" s="64"/>
      <c r="AU1384" s="646"/>
      <c r="AV1384" s="259"/>
      <c r="AW1384" s="185"/>
    </row>
    <row r="1385" spans="1:49" ht="23.1" hidden="1" customHeight="1" outlineLevel="3" x14ac:dyDescent="0.25">
      <c r="A1385" s="63" t="str">
        <f t="shared" si="306"/>
        <v>4.14.3.14.3.0</v>
      </c>
      <c r="B1385" s="64">
        <v>4</v>
      </c>
      <c r="C1385" s="64">
        <v>14</v>
      </c>
      <c r="D1385" s="64">
        <v>3</v>
      </c>
      <c r="E1385" s="64">
        <v>14</v>
      </c>
      <c r="F1385" s="64">
        <v>3</v>
      </c>
      <c r="G1385" s="64">
        <v>0</v>
      </c>
      <c r="H1385" s="65"/>
      <c r="I1385" s="65"/>
      <c r="J1385" s="66"/>
      <c r="K1385" s="65" t="s">
        <v>1467</v>
      </c>
      <c r="L1385" s="64" t="s">
        <v>264</v>
      </c>
      <c r="M1385" s="64" t="s">
        <v>144</v>
      </c>
      <c r="N1385" s="64" t="s">
        <v>265</v>
      </c>
      <c r="O1385" s="64" t="s">
        <v>668</v>
      </c>
      <c r="P1385" s="64"/>
      <c r="Q1385" s="64"/>
      <c r="R1385" s="64"/>
      <c r="S1385" s="65"/>
      <c r="T1385" s="194"/>
      <c r="U1385" s="370">
        <v>0</v>
      </c>
      <c r="V1385" s="370"/>
      <c r="W1385" s="370">
        <v>0</v>
      </c>
      <c r="X1385" s="1129">
        <v>0</v>
      </c>
      <c r="Y1385" s="370">
        <v>0</v>
      </c>
      <c r="Z1385" s="370">
        <v>0</v>
      </c>
      <c r="AA1385" s="1129">
        <v>0</v>
      </c>
      <c r="AB1385" s="370">
        <v>0</v>
      </c>
      <c r="AC1385" s="370">
        <v>0</v>
      </c>
      <c r="AD1385" s="1129">
        <v>0</v>
      </c>
      <c r="AE1385" s="370">
        <v>0</v>
      </c>
      <c r="AF1385" s="370">
        <v>0</v>
      </c>
      <c r="AG1385" s="1129">
        <v>0</v>
      </c>
      <c r="AH1385" s="505">
        <f>+U1385+Y1385+AB1385+AE1385</f>
        <v>0</v>
      </c>
      <c r="AI1385" s="132"/>
      <c r="AJ1385" s="75">
        <f t="shared" si="408"/>
        <v>0</v>
      </c>
      <c r="AK1385" s="75"/>
      <c r="AL1385" s="75"/>
      <c r="AM1385" s="75"/>
      <c r="AN1385" s="64" t="s">
        <v>181</v>
      </c>
      <c r="AO1385" s="64"/>
      <c r="AP1385" s="64"/>
      <c r="AQ1385" s="189"/>
      <c r="AR1385" s="64"/>
      <c r="AS1385" s="476"/>
      <c r="AT1385" s="64"/>
      <c r="AU1385" s="646"/>
      <c r="AV1385" s="259"/>
      <c r="AW1385" s="185"/>
    </row>
    <row r="1386" spans="1:49" ht="23.1" hidden="1" customHeight="1" outlineLevel="3" x14ac:dyDescent="0.25">
      <c r="A1386" s="63" t="str">
        <f t="shared" si="306"/>
        <v>4.14.3.14.4.0</v>
      </c>
      <c r="B1386" s="64">
        <v>4</v>
      </c>
      <c r="C1386" s="64">
        <v>14</v>
      </c>
      <c r="D1386" s="64">
        <v>3</v>
      </c>
      <c r="E1386" s="64">
        <v>14</v>
      </c>
      <c r="F1386" s="64">
        <v>4</v>
      </c>
      <c r="G1386" s="64">
        <v>0</v>
      </c>
      <c r="H1386" s="65"/>
      <c r="I1386" s="65"/>
      <c r="J1386" s="65"/>
      <c r="K1386" s="65" t="s">
        <v>672</v>
      </c>
      <c r="L1386" s="64" t="s">
        <v>264</v>
      </c>
      <c r="M1386" s="64" t="s">
        <v>144</v>
      </c>
      <c r="N1386" s="64" t="s">
        <v>265</v>
      </c>
      <c r="O1386" s="64" t="s">
        <v>668</v>
      </c>
      <c r="P1386" s="64"/>
      <c r="Q1386" s="64"/>
      <c r="R1386" s="64"/>
      <c r="S1386" s="65"/>
      <c r="T1386" s="194"/>
      <c r="U1386" s="370">
        <v>0</v>
      </c>
      <c r="V1386" s="370"/>
      <c r="W1386" s="370">
        <v>0</v>
      </c>
      <c r="X1386" s="1129">
        <v>0</v>
      </c>
      <c r="Y1386" s="370">
        <v>0</v>
      </c>
      <c r="Z1386" s="370">
        <v>0</v>
      </c>
      <c r="AA1386" s="1129">
        <v>0</v>
      </c>
      <c r="AB1386" s="370">
        <v>0</v>
      </c>
      <c r="AC1386" s="370">
        <v>0</v>
      </c>
      <c r="AD1386" s="1129">
        <v>0</v>
      </c>
      <c r="AE1386" s="370">
        <v>0</v>
      </c>
      <c r="AF1386" s="370">
        <v>0</v>
      </c>
      <c r="AG1386" s="1129">
        <v>0</v>
      </c>
      <c r="AH1386" s="505">
        <f>+U1386+Y1386+AB1386+AE1386</f>
        <v>0</v>
      </c>
      <c r="AI1386" s="132"/>
      <c r="AJ1386" s="75">
        <f t="shared" si="408"/>
        <v>0</v>
      </c>
      <c r="AK1386" s="75"/>
      <c r="AL1386" s="75"/>
      <c r="AM1386" s="75"/>
      <c r="AN1386" s="64" t="s">
        <v>181</v>
      </c>
      <c r="AO1386" s="64" t="s">
        <v>1839</v>
      </c>
      <c r="AP1386" s="64" t="s">
        <v>649</v>
      </c>
      <c r="AQ1386" s="533" t="s">
        <v>649</v>
      </c>
      <c r="AR1386" s="554">
        <v>44562</v>
      </c>
      <c r="AS1386" s="554">
        <v>45291</v>
      </c>
      <c r="AT1386" s="64" t="s">
        <v>1814</v>
      </c>
      <c r="AU1386" s="646"/>
      <c r="AV1386" s="259"/>
      <c r="AW1386" s="185"/>
    </row>
    <row r="1387" spans="1:49" s="153" customFormat="1" ht="53.25" customHeight="1" outlineLevel="2" x14ac:dyDescent="0.25">
      <c r="A1387" s="108" t="str">
        <f t="shared" si="306"/>
        <v>4.15.3.0.0.0</v>
      </c>
      <c r="B1387" s="109">
        <v>4</v>
      </c>
      <c r="C1387" s="109">
        <v>15</v>
      </c>
      <c r="D1387" s="109">
        <v>3</v>
      </c>
      <c r="E1387" s="109">
        <v>0</v>
      </c>
      <c r="F1387" s="109">
        <v>0</v>
      </c>
      <c r="G1387" s="109">
        <v>0</v>
      </c>
      <c r="H1387" s="110"/>
      <c r="I1387" s="1258" t="s">
        <v>1539</v>
      </c>
      <c r="J1387" s="1259"/>
      <c r="K1387" s="1259"/>
      <c r="L1387" s="109" t="s">
        <v>1540</v>
      </c>
      <c r="M1387" s="109">
        <v>0</v>
      </c>
      <c r="N1387" s="109">
        <v>0</v>
      </c>
      <c r="O1387" s="109">
        <v>0</v>
      </c>
      <c r="P1387" s="109"/>
      <c r="Q1387" s="109"/>
      <c r="R1387" s="109"/>
      <c r="S1387" s="110"/>
      <c r="T1387" s="1183"/>
      <c r="U1387" s="112">
        <f t="shared" ref="U1387:AJ1387" si="409">+U1388+U1411</f>
        <v>0</v>
      </c>
      <c r="V1387" s="112"/>
      <c r="W1387" s="1101">
        <f t="shared" si="409"/>
        <v>0</v>
      </c>
      <c r="X1387" s="1161">
        <f t="shared" si="409"/>
        <v>0</v>
      </c>
      <c r="Y1387" s="1101">
        <f t="shared" si="409"/>
        <v>0</v>
      </c>
      <c r="Z1387" s="1101">
        <f t="shared" si="409"/>
        <v>0</v>
      </c>
      <c r="AA1387" s="1161">
        <f t="shared" si="409"/>
        <v>0</v>
      </c>
      <c r="AB1387" s="1101">
        <f t="shared" si="409"/>
        <v>0</v>
      </c>
      <c r="AC1387" s="1101">
        <f t="shared" si="409"/>
        <v>0</v>
      </c>
      <c r="AD1387" s="1161">
        <f t="shared" si="409"/>
        <v>0</v>
      </c>
      <c r="AE1387" s="1101">
        <f t="shared" si="409"/>
        <v>0</v>
      </c>
      <c r="AF1387" s="1101">
        <f t="shared" si="409"/>
        <v>0</v>
      </c>
      <c r="AG1387" s="1161">
        <f t="shared" si="409"/>
        <v>0</v>
      </c>
      <c r="AH1387" s="1101">
        <f t="shared" si="409"/>
        <v>0</v>
      </c>
      <c r="AI1387" s="521">
        <f t="shared" si="409"/>
        <v>0</v>
      </c>
      <c r="AJ1387" s="521">
        <f t="shared" si="409"/>
        <v>0</v>
      </c>
      <c r="AK1387" s="217"/>
      <c r="AL1387" s="217"/>
      <c r="AM1387" s="217"/>
      <c r="AN1387" s="109" t="s">
        <v>181</v>
      </c>
      <c r="AO1387" s="109"/>
      <c r="AP1387" s="109"/>
      <c r="AQ1387" s="411"/>
      <c r="AR1387" s="109"/>
      <c r="AS1387" s="473"/>
      <c r="AT1387" s="109"/>
      <c r="AU1387" s="659"/>
      <c r="AV1387" s="385">
        <f t="shared" ref="AV1387" si="410">+AV1388+AV1411</f>
        <v>0</v>
      </c>
      <c r="AW1387" s="429" t="s">
        <v>1800</v>
      </c>
    </row>
    <row r="1388" spans="1:49" s="153" customFormat="1" ht="40.35" customHeight="1" outlineLevel="2" collapsed="1" x14ac:dyDescent="0.25">
      <c r="A1388" s="148" t="str">
        <f t="shared" si="306"/>
        <v>4.15.3.1.0.0</v>
      </c>
      <c r="B1388" s="82">
        <v>4</v>
      </c>
      <c r="C1388" s="82">
        <v>15</v>
      </c>
      <c r="D1388" s="82">
        <v>3</v>
      </c>
      <c r="E1388" s="82">
        <v>1</v>
      </c>
      <c r="F1388" s="82">
        <v>0</v>
      </c>
      <c r="G1388" s="82">
        <v>0</v>
      </c>
      <c r="H1388" s="149"/>
      <c r="I1388" s="149"/>
      <c r="J1388" s="1289" t="s">
        <v>1541</v>
      </c>
      <c r="K1388" s="1290"/>
      <c r="L1388" s="82" t="s">
        <v>1540</v>
      </c>
      <c r="M1388" s="82">
        <v>0</v>
      </c>
      <c r="N1388" s="82">
        <v>0</v>
      </c>
      <c r="O1388" s="82">
        <v>0</v>
      </c>
      <c r="P1388" s="82"/>
      <c r="Q1388" s="82"/>
      <c r="R1388" s="82"/>
      <c r="S1388" s="149"/>
      <c r="T1388" s="193"/>
      <c r="U1388" s="380">
        <f t="shared" ref="U1388:AJ1388" si="411">SUM(U1389:U1410)</f>
        <v>0</v>
      </c>
      <c r="V1388" s="380"/>
      <c r="W1388" s="513">
        <f t="shared" si="411"/>
        <v>0</v>
      </c>
      <c r="X1388" s="1160">
        <f t="shared" si="411"/>
        <v>0</v>
      </c>
      <c r="Y1388" s="380">
        <f t="shared" si="411"/>
        <v>0</v>
      </c>
      <c r="Z1388" s="513">
        <f t="shared" si="411"/>
        <v>0</v>
      </c>
      <c r="AA1388" s="1160">
        <f t="shared" si="411"/>
        <v>0</v>
      </c>
      <c r="AB1388" s="380">
        <f t="shared" si="411"/>
        <v>0</v>
      </c>
      <c r="AC1388" s="513">
        <f t="shared" si="411"/>
        <v>0</v>
      </c>
      <c r="AD1388" s="1160">
        <f t="shared" si="411"/>
        <v>0</v>
      </c>
      <c r="AE1388" s="380">
        <f t="shared" si="411"/>
        <v>0</v>
      </c>
      <c r="AF1388" s="380">
        <f t="shared" si="411"/>
        <v>0</v>
      </c>
      <c r="AG1388" s="1160">
        <f t="shared" si="411"/>
        <v>0</v>
      </c>
      <c r="AH1388" s="380">
        <f t="shared" si="411"/>
        <v>0</v>
      </c>
      <c r="AI1388" s="513">
        <f t="shared" si="411"/>
        <v>0</v>
      </c>
      <c r="AJ1388" s="513">
        <f t="shared" si="411"/>
        <v>0</v>
      </c>
      <c r="AK1388" s="198"/>
      <c r="AL1388" s="198"/>
      <c r="AM1388" s="198"/>
      <c r="AN1388" s="82" t="s">
        <v>181</v>
      </c>
      <c r="AO1388" s="82"/>
      <c r="AP1388" s="82"/>
      <c r="AQ1388" s="365"/>
      <c r="AR1388" s="82"/>
      <c r="AS1388" s="483"/>
      <c r="AT1388" s="82"/>
      <c r="AU1388" s="666"/>
      <c r="AV1388" s="380">
        <f t="shared" ref="AV1388" si="412">SUM(AV1389:AV1410)</f>
        <v>0</v>
      </c>
      <c r="AW1388" s="444"/>
    </row>
    <row r="1389" spans="1:49" ht="41.1" hidden="1" customHeight="1" outlineLevel="3" x14ac:dyDescent="0.25">
      <c r="A1389" s="63" t="str">
        <f t="shared" si="306"/>
        <v>4.15.3.1.1.58-64</v>
      </c>
      <c r="B1389" s="64">
        <v>4</v>
      </c>
      <c r="C1389" s="64">
        <v>15</v>
      </c>
      <c r="D1389" s="64">
        <v>3</v>
      </c>
      <c r="E1389" s="64">
        <v>1</v>
      </c>
      <c r="F1389" s="64">
        <v>1</v>
      </c>
      <c r="G1389" s="64" t="s">
        <v>64</v>
      </c>
      <c r="H1389" s="65"/>
      <c r="I1389" s="65"/>
      <c r="J1389" s="66"/>
      <c r="K1389" s="67" t="s">
        <v>1542</v>
      </c>
      <c r="L1389" s="64" t="s">
        <v>1540</v>
      </c>
      <c r="M1389" s="68" t="s">
        <v>1543</v>
      </c>
      <c r="N1389" s="64" t="s">
        <v>47</v>
      </c>
      <c r="O1389" s="64" t="s">
        <v>1544</v>
      </c>
      <c r="P1389" s="64"/>
      <c r="Q1389" s="69"/>
      <c r="R1389" s="69"/>
      <c r="S1389" s="65"/>
      <c r="T1389" s="194"/>
      <c r="U1389" s="370">
        <v>0</v>
      </c>
      <c r="V1389" s="370"/>
      <c r="W1389" s="370">
        <v>0</v>
      </c>
      <c r="X1389" s="1129">
        <v>0</v>
      </c>
      <c r="Y1389" s="370">
        <v>0</v>
      </c>
      <c r="Z1389" s="370">
        <v>0</v>
      </c>
      <c r="AA1389" s="1129">
        <v>0</v>
      </c>
      <c r="AB1389" s="370">
        <v>0</v>
      </c>
      <c r="AC1389" s="370">
        <v>0</v>
      </c>
      <c r="AD1389" s="1129">
        <v>0</v>
      </c>
      <c r="AE1389" s="370">
        <v>0</v>
      </c>
      <c r="AF1389" s="370">
        <v>0</v>
      </c>
      <c r="AG1389" s="1129">
        <v>0</v>
      </c>
      <c r="AH1389" s="505">
        <f t="shared" ref="AH1389:AH1410" si="413">+U1389+Y1389+AC1389+AE1389</f>
        <v>0</v>
      </c>
      <c r="AI1389" s="132"/>
      <c r="AJ1389" s="75">
        <f t="shared" ref="AJ1389:AJ1410" si="414">+W1390+Z1390+AC1390+AF1390</f>
        <v>0</v>
      </c>
      <c r="AK1389" s="75"/>
      <c r="AL1389" s="75"/>
      <c r="AM1389" s="75"/>
      <c r="AN1389" s="64" t="s">
        <v>181</v>
      </c>
      <c r="AO1389" s="64"/>
      <c r="AP1389" s="64"/>
      <c r="AQ1389" s="189"/>
      <c r="AR1389" s="64"/>
      <c r="AS1389" s="476"/>
      <c r="AT1389" s="64"/>
      <c r="AU1389" s="646"/>
      <c r="AV1389" s="259"/>
      <c r="AW1389" s="185"/>
    </row>
    <row r="1390" spans="1:49" ht="41.1" hidden="1" customHeight="1" outlineLevel="3" x14ac:dyDescent="0.25">
      <c r="A1390" s="63" t="str">
        <f t="shared" si="306"/>
        <v>4.15.3.1.2.58-64</v>
      </c>
      <c r="B1390" s="64">
        <v>4</v>
      </c>
      <c r="C1390" s="64">
        <v>15</v>
      </c>
      <c r="D1390" s="64">
        <v>3</v>
      </c>
      <c r="E1390" s="64">
        <v>1</v>
      </c>
      <c r="F1390" s="64">
        <v>2</v>
      </c>
      <c r="G1390" s="64" t="s">
        <v>64</v>
      </c>
      <c r="H1390" s="65"/>
      <c r="I1390" s="65"/>
      <c r="J1390" s="66"/>
      <c r="K1390" s="65" t="s">
        <v>1545</v>
      </c>
      <c r="L1390" s="64" t="s">
        <v>1540</v>
      </c>
      <c r="M1390" s="68" t="s">
        <v>1543</v>
      </c>
      <c r="N1390" s="64" t="s">
        <v>47</v>
      </c>
      <c r="O1390" s="64" t="s">
        <v>1544</v>
      </c>
      <c r="P1390" s="64"/>
      <c r="Q1390" s="69"/>
      <c r="R1390" s="69"/>
      <c r="S1390" s="65"/>
      <c r="T1390" s="194"/>
      <c r="U1390" s="370">
        <v>0</v>
      </c>
      <c r="V1390" s="370"/>
      <c r="W1390" s="370">
        <v>0</v>
      </c>
      <c r="X1390" s="1129">
        <v>0</v>
      </c>
      <c r="Y1390" s="370">
        <v>0</v>
      </c>
      <c r="Z1390" s="370">
        <v>0</v>
      </c>
      <c r="AA1390" s="1129">
        <v>0</v>
      </c>
      <c r="AB1390" s="370">
        <v>0</v>
      </c>
      <c r="AC1390" s="370">
        <v>0</v>
      </c>
      <c r="AD1390" s="1129">
        <v>0</v>
      </c>
      <c r="AE1390" s="370">
        <v>0</v>
      </c>
      <c r="AF1390" s="370">
        <v>0</v>
      </c>
      <c r="AG1390" s="1129">
        <v>0</v>
      </c>
      <c r="AH1390" s="505">
        <f t="shared" si="413"/>
        <v>0</v>
      </c>
      <c r="AI1390" s="132"/>
      <c r="AJ1390" s="75">
        <f t="shared" si="414"/>
        <v>0</v>
      </c>
      <c r="AK1390" s="75"/>
      <c r="AL1390" s="75"/>
      <c r="AM1390" s="75"/>
      <c r="AN1390" s="64" t="s">
        <v>181</v>
      </c>
      <c r="AO1390" s="64"/>
      <c r="AP1390" s="64"/>
      <c r="AQ1390" s="189"/>
      <c r="AR1390" s="64"/>
      <c r="AS1390" s="476"/>
      <c r="AT1390" s="64"/>
      <c r="AU1390" s="646"/>
      <c r="AV1390" s="259"/>
      <c r="AW1390" s="185"/>
    </row>
    <row r="1391" spans="1:49" ht="41.1" hidden="1" customHeight="1" outlineLevel="3" x14ac:dyDescent="0.25">
      <c r="A1391" s="63" t="str">
        <f t="shared" si="306"/>
        <v>4.15.3.1.3.58-64</v>
      </c>
      <c r="B1391" s="64">
        <v>4</v>
      </c>
      <c r="C1391" s="64">
        <v>15</v>
      </c>
      <c r="D1391" s="64">
        <v>3</v>
      </c>
      <c r="E1391" s="64">
        <v>1</v>
      </c>
      <c r="F1391" s="64">
        <v>3</v>
      </c>
      <c r="G1391" s="64" t="s">
        <v>64</v>
      </c>
      <c r="H1391" s="65"/>
      <c r="I1391" s="65"/>
      <c r="J1391" s="66"/>
      <c r="K1391" s="65" t="s">
        <v>1546</v>
      </c>
      <c r="L1391" s="64" t="s">
        <v>1540</v>
      </c>
      <c r="M1391" s="68" t="s">
        <v>1543</v>
      </c>
      <c r="N1391" s="64" t="s">
        <v>47</v>
      </c>
      <c r="O1391" s="64" t="s">
        <v>1544</v>
      </c>
      <c r="P1391" s="64"/>
      <c r="Q1391" s="69"/>
      <c r="R1391" s="69"/>
      <c r="S1391" s="65"/>
      <c r="T1391" s="194"/>
      <c r="U1391" s="370">
        <v>0</v>
      </c>
      <c r="V1391" s="370"/>
      <c r="W1391" s="370">
        <v>0</v>
      </c>
      <c r="X1391" s="1129">
        <v>0</v>
      </c>
      <c r="Y1391" s="370">
        <v>0</v>
      </c>
      <c r="Z1391" s="370">
        <v>0</v>
      </c>
      <c r="AA1391" s="1129">
        <v>0</v>
      </c>
      <c r="AB1391" s="370">
        <v>0</v>
      </c>
      <c r="AC1391" s="370">
        <v>0</v>
      </c>
      <c r="AD1391" s="1129">
        <v>0</v>
      </c>
      <c r="AE1391" s="370">
        <v>0</v>
      </c>
      <c r="AF1391" s="370">
        <v>0</v>
      </c>
      <c r="AG1391" s="1129">
        <v>0</v>
      </c>
      <c r="AH1391" s="505">
        <f t="shared" si="413"/>
        <v>0</v>
      </c>
      <c r="AI1391" s="132"/>
      <c r="AJ1391" s="75">
        <f t="shared" si="414"/>
        <v>0</v>
      </c>
      <c r="AK1391" s="75"/>
      <c r="AL1391" s="75"/>
      <c r="AM1391" s="75"/>
      <c r="AN1391" s="64" t="s">
        <v>181</v>
      </c>
      <c r="AO1391" s="64"/>
      <c r="AP1391" s="64"/>
      <c r="AQ1391" s="189"/>
      <c r="AR1391" s="64"/>
      <c r="AS1391" s="476"/>
      <c r="AT1391" s="64"/>
      <c r="AU1391" s="646"/>
      <c r="AV1391" s="259"/>
      <c r="AW1391" s="185"/>
    </row>
    <row r="1392" spans="1:49" ht="41.1" hidden="1" customHeight="1" outlineLevel="3" x14ac:dyDescent="0.25">
      <c r="A1392" s="63" t="str">
        <f t="shared" si="306"/>
        <v>4.15.3.1.4.58-64</v>
      </c>
      <c r="B1392" s="64">
        <v>4</v>
      </c>
      <c r="C1392" s="64">
        <v>15</v>
      </c>
      <c r="D1392" s="64">
        <v>3</v>
      </c>
      <c r="E1392" s="64">
        <v>1</v>
      </c>
      <c r="F1392" s="64">
        <v>4</v>
      </c>
      <c r="G1392" s="64" t="s">
        <v>64</v>
      </c>
      <c r="H1392" s="65"/>
      <c r="I1392" s="65"/>
      <c r="J1392" s="66"/>
      <c r="K1392" s="67" t="s">
        <v>1716</v>
      </c>
      <c r="L1392" s="64" t="s">
        <v>1540</v>
      </c>
      <c r="M1392" s="68" t="s">
        <v>1543</v>
      </c>
      <c r="N1392" s="64" t="s">
        <v>47</v>
      </c>
      <c r="O1392" s="64" t="s">
        <v>1544</v>
      </c>
      <c r="P1392" s="64"/>
      <c r="Q1392" s="69"/>
      <c r="R1392" s="69"/>
      <c r="S1392" s="65"/>
      <c r="T1392" s="194"/>
      <c r="U1392" s="370">
        <v>0</v>
      </c>
      <c r="V1392" s="370"/>
      <c r="W1392" s="370">
        <v>0</v>
      </c>
      <c r="X1392" s="1129">
        <v>0</v>
      </c>
      <c r="Y1392" s="370">
        <v>0</v>
      </c>
      <c r="Z1392" s="370">
        <v>0</v>
      </c>
      <c r="AA1392" s="1129">
        <v>0</v>
      </c>
      <c r="AB1392" s="370">
        <v>0</v>
      </c>
      <c r="AC1392" s="370">
        <v>0</v>
      </c>
      <c r="AD1392" s="1129">
        <v>0</v>
      </c>
      <c r="AE1392" s="370">
        <v>0</v>
      </c>
      <c r="AF1392" s="370">
        <v>0</v>
      </c>
      <c r="AG1392" s="1129">
        <v>0</v>
      </c>
      <c r="AH1392" s="505">
        <f t="shared" si="413"/>
        <v>0</v>
      </c>
      <c r="AI1392" s="132"/>
      <c r="AJ1392" s="75">
        <f t="shared" si="414"/>
        <v>0</v>
      </c>
      <c r="AK1392" s="75"/>
      <c r="AL1392" s="75"/>
      <c r="AM1392" s="75"/>
      <c r="AN1392" s="64" t="s">
        <v>181</v>
      </c>
      <c r="AO1392" s="64"/>
      <c r="AP1392" s="64"/>
      <c r="AQ1392" s="189"/>
      <c r="AR1392" s="64"/>
      <c r="AS1392" s="476"/>
      <c r="AT1392" s="64"/>
      <c r="AU1392" s="646"/>
      <c r="AV1392" s="259"/>
      <c r="AW1392" s="185"/>
    </row>
    <row r="1393" spans="1:49" ht="41.1" hidden="1" customHeight="1" outlineLevel="3" x14ac:dyDescent="0.25">
      <c r="A1393" s="63" t="str">
        <f t="shared" si="306"/>
        <v>4.15.3.1.5.61-64-60</v>
      </c>
      <c r="B1393" s="64">
        <v>4</v>
      </c>
      <c r="C1393" s="64">
        <v>15</v>
      </c>
      <c r="D1393" s="64">
        <v>3</v>
      </c>
      <c r="E1393" s="64">
        <v>1</v>
      </c>
      <c r="F1393" s="64">
        <v>5</v>
      </c>
      <c r="G1393" s="64" t="s">
        <v>1547</v>
      </c>
      <c r="H1393" s="65"/>
      <c r="I1393" s="65"/>
      <c r="J1393" s="66"/>
      <c r="K1393" s="67" t="s">
        <v>1548</v>
      </c>
      <c r="L1393" s="64" t="s">
        <v>1540</v>
      </c>
      <c r="M1393" s="68" t="s">
        <v>1543</v>
      </c>
      <c r="N1393" s="64" t="s">
        <v>47</v>
      </c>
      <c r="O1393" s="64" t="s">
        <v>1544</v>
      </c>
      <c r="P1393" s="64"/>
      <c r="Q1393" s="69"/>
      <c r="R1393" s="69"/>
      <c r="S1393" s="65"/>
      <c r="T1393" s="194"/>
      <c r="U1393" s="370">
        <v>0</v>
      </c>
      <c r="V1393" s="370"/>
      <c r="W1393" s="370">
        <v>0</v>
      </c>
      <c r="X1393" s="1129">
        <v>0</v>
      </c>
      <c r="Y1393" s="370">
        <v>0</v>
      </c>
      <c r="Z1393" s="370">
        <v>0</v>
      </c>
      <c r="AA1393" s="1129">
        <v>0</v>
      </c>
      <c r="AB1393" s="370">
        <v>0</v>
      </c>
      <c r="AC1393" s="370">
        <v>0</v>
      </c>
      <c r="AD1393" s="1129">
        <v>0</v>
      </c>
      <c r="AE1393" s="370">
        <v>0</v>
      </c>
      <c r="AF1393" s="370">
        <v>0</v>
      </c>
      <c r="AG1393" s="1129">
        <v>0</v>
      </c>
      <c r="AH1393" s="505">
        <f t="shared" si="413"/>
        <v>0</v>
      </c>
      <c r="AI1393" s="132"/>
      <c r="AJ1393" s="75">
        <f t="shared" si="414"/>
        <v>0</v>
      </c>
      <c r="AK1393" s="75"/>
      <c r="AL1393" s="75"/>
      <c r="AM1393" s="75"/>
      <c r="AN1393" s="64" t="s">
        <v>181</v>
      </c>
      <c r="AO1393" s="64"/>
      <c r="AP1393" s="64"/>
      <c r="AQ1393" s="189"/>
      <c r="AR1393" s="64"/>
      <c r="AS1393" s="476"/>
      <c r="AT1393" s="64"/>
      <c r="AU1393" s="646"/>
      <c r="AV1393" s="259"/>
      <c r="AW1393" s="185"/>
    </row>
    <row r="1394" spans="1:49" ht="41.1" hidden="1" customHeight="1" outlineLevel="3" x14ac:dyDescent="0.25">
      <c r="A1394" s="63" t="str">
        <f t="shared" si="306"/>
        <v>4.15.3.1.6.58-59</v>
      </c>
      <c r="B1394" s="64">
        <v>4</v>
      </c>
      <c r="C1394" s="64">
        <v>15</v>
      </c>
      <c r="D1394" s="64">
        <v>3</v>
      </c>
      <c r="E1394" s="64">
        <v>1</v>
      </c>
      <c r="F1394" s="64">
        <v>6</v>
      </c>
      <c r="G1394" s="64" t="s">
        <v>1549</v>
      </c>
      <c r="H1394" s="65"/>
      <c r="I1394" s="65"/>
      <c r="J1394" s="66"/>
      <c r="K1394" s="67" t="s">
        <v>1550</v>
      </c>
      <c r="L1394" s="64" t="s">
        <v>1540</v>
      </c>
      <c r="M1394" s="68" t="s">
        <v>1543</v>
      </c>
      <c r="N1394" s="64" t="s">
        <v>47</v>
      </c>
      <c r="O1394" s="64" t="s">
        <v>1544</v>
      </c>
      <c r="P1394" s="64"/>
      <c r="Q1394" s="69"/>
      <c r="R1394" s="69"/>
      <c r="S1394" s="65"/>
      <c r="T1394" s="194"/>
      <c r="U1394" s="370">
        <v>0</v>
      </c>
      <c r="V1394" s="370"/>
      <c r="W1394" s="370">
        <v>0</v>
      </c>
      <c r="X1394" s="1129">
        <v>0</v>
      </c>
      <c r="Y1394" s="370">
        <v>0</v>
      </c>
      <c r="Z1394" s="370">
        <v>0</v>
      </c>
      <c r="AA1394" s="1129">
        <v>0</v>
      </c>
      <c r="AB1394" s="370">
        <v>0</v>
      </c>
      <c r="AC1394" s="370">
        <v>0</v>
      </c>
      <c r="AD1394" s="1129">
        <v>0</v>
      </c>
      <c r="AE1394" s="370">
        <v>0</v>
      </c>
      <c r="AF1394" s="370">
        <v>0</v>
      </c>
      <c r="AG1394" s="1129">
        <v>0</v>
      </c>
      <c r="AH1394" s="505">
        <f t="shared" si="413"/>
        <v>0</v>
      </c>
      <c r="AI1394" s="132"/>
      <c r="AJ1394" s="75">
        <f t="shared" si="414"/>
        <v>0</v>
      </c>
      <c r="AK1394" s="75"/>
      <c r="AL1394" s="75"/>
      <c r="AM1394" s="75"/>
      <c r="AN1394" s="64" t="s">
        <v>181</v>
      </c>
      <c r="AO1394" s="64"/>
      <c r="AP1394" s="64"/>
      <c r="AQ1394" s="189"/>
      <c r="AR1394" s="64"/>
      <c r="AS1394" s="476"/>
      <c r="AT1394" s="64"/>
      <c r="AU1394" s="646"/>
      <c r="AV1394" s="259"/>
      <c r="AW1394" s="185"/>
    </row>
    <row r="1395" spans="1:49" ht="41.1" hidden="1" customHeight="1" outlineLevel="3" x14ac:dyDescent="0.25">
      <c r="A1395" s="63" t="str">
        <f t="shared" si="306"/>
        <v>4.15.3.1.7.62-63</v>
      </c>
      <c r="B1395" s="64">
        <v>4</v>
      </c>
      <c r="C1395" s="64">
        <v>15</v>
      </c>
      <c r="D1395" s="64">
        <v>3</v>
      </c>
      <c r="E1395" s="64">
        <v>1</v>
      </c>
      <c r="F1395" s="64">
        <v>7</v>
      </c>
      <c r="G1395" s="64" t="s">
        <v>1551</v>
      </c>
      <c r="H1395" s="65"/>
      <c r="I1395" s="65"/>
      <c r="J1395" s="66"/>
      <c r="K1395" s="67" t="s">
        <v>1781</v>
      </c>
      <c r="L1395" s="64" t="s">
        <v>1540</v>
      </c>
      <c r="M1395" s="68" t="s">
        <v>1543</v>
      </c>
      <c r="N1395" s="64" t="s">
        <v>47</v>
      </c>
      <c r="O1395" s="64" t="s">
        <v>1544</v>
      </c>
      <c r="P1395" s="64"/>
      <c r="Q1395" s="69"/>
      <c r="R1395" s="69"/>
      <c r="S1395" s="65"/>
      <c r="T1395" s="194"/>
      <c r="U1395" s="370">
        <v>0</v>
      </c>
      <c r="V1395" s="370"/>
      <c r="W1395" s="370">
        <v>0</v>
      </c>
      <c r="X1395" s="1129">
        <v>0</v>
      </c>
      <c r="Y1395" s="370">
        <v>0</v>
      </c>
      <c r="Z1395" s="370">
        <v>0</v>
      </c>
      <c r="AA1395" s="1129">
        <v>0</v>
      </c>
      <c r="AB1395" s="370">
        <v>0</v>
      </c>
      <c r="AC1395" s="370">
        <v>0</v>
      </c>
      <c r="AD1395" s="1129">
        <v>0</v>
      </c>
      <c r="AE1395" s="370">
        <v>0</v>
      </c>
      <c r="AF1395" s="370">
        <v>0</v>
      </c>
      <c r="AG1395" s="1129">
        <v>0</v>
      </c>
      <c r="AH1395" s="505">
        <f t="shared" si="413"/>
        <v>0</v>
      </c>
      <c r="AI1395" s="132"/>
      <c r="AJ1395" s="75">
        <f t="shared" si="414"/>
        <v>0</v>
      </c>
      <c r="AK1395" s="75"/>
      <c r="AL1395" s="75"/>
      <c r="AM1395" s="75"/>
      <c r="AN1395" s="64" t="s">
        <v>181</v>
      </c>
      <c r="AO1395" s="64"/>
      <c r="AP1395" s="64"/>
      <c r="AQ1395" s="189"/>
      <c r="AR1395" s="64"/>
      <c r="AS1395" s="476"/>
      <c r="AT1395" s="64"/>
      <c r="AU1395" s="646"/>
      <c r="AV1395" s="259"/>
      <c r="AW1395" s="185"/>
    </row>
    <row r="1396" spans="1:49" ht="41.1" hidden="1" customHeight="1" outlineLevel="3" x14ac:dyDescent="0.25">
      <c r="A1396" s="63" t="str">
        <f t="shared" si="306"/>
        <v>4.15.3.1.8.58-64</v>
      </c>
      <c r="B1396" s="64">
        <v>4</v>
      </c>
      <c r="C1396" s="64">
        <v>15</v>
      </c>
      <c r="D1396" s="64">
        <v>3</v>
      </c>
      <c r="E1396" s="64">
        <v>1</v>
      </c>
      <c r="F1396" s="64">
        <v>8</v>
      </c>
      <c r="G1396" s="64" t="s">
        <v>64</v>
      </c>
      <c r="H1396" s="65"/>
      <c r="I1396" s="65"/>
      <c r="J1396" s="66"/>
      <c r="K1396" s="67" t="s">
        <v>1717</v>
      </c>
      <c r="L1396" s="64" t="s">
        <v>1540</v>
      </c>
      <c r="M1396" s="68" t="s">
        <v>1543</v>
      </c>
      <c r="N1396" s="64" t="s">
        <v>47</v>
      </c>
      <c r="O1396" s="64" t="s">
        <v>1544</v>
      </c>
      <c r="P1396" s="64"/>
      <c r="Q1396" s="69"/>
      <c r="R1396" s="69"/>
      <c r="S1396" s="65"/>
      <c r="T1396" s="194"/>
      <c r="U1396" s="370">
        <v>0</v>
      </c>
      <c r="V1396" s="370"/>
      <c r="W1396" s="370">
        <v>0</v>
      </c>
      <c r="X1396" s="1129">
        <v>0</v>
      </c>
      <c r="Y1396" s="370">
        <v>0</v>
      </c>
      <c r="Z1396" s="370">
        <v>0</v>
      </c>
      <c r="AA1396" s="1129">
        <v>0</v>
      </c>
      <c r="AB1396" s="370">
        <v>0</v>
      </c>
      <c r="AC1396" s="370">
        <v>0</v>
      </c>
      <c r="AD1396" s="1129">
        <v>0</v>
      </c>
      <c r="AE1396" s="370">
        <v>0</v>
      </c>
      <c r="AF1396" s="370">
        <v>0</v>
      </c>
      <c r="AG1396" s="1129">
        <v>0</v>
      </c>
      <c r="AH1396" s="505">
        <f t="shared" si="413"/>
        <v>0</v>
      </c>
      <c r="AI1396" s="132"/>
      <c r="AJ1396" s="75">
        <f t="shared" si="414"/>
        <v>0</v>
      </c>
      <c r="AK1396" s="75"/>
      <c r="AL1396" s="75"/>
      <c r="AM1396" s="75"/>
      <c r="AN1396" s="64" t="s">
        <v>181</v>
      </c>
      <c r="AO1396" s="64"/>
      <c r="AP1396" s="64"/>
      <c r="AQ1396" s="189"/>
      <c r="AR1396" s="64"/>
      <c r="AS1396" s="476"/>
      <c r="AT1396" s="64"/>
      <c r="AU1396" s="646"/>
      <c r="AV1396" s="259"/>
      <c r="AW1396" s="185"/>
    </row>
    <row r="1397" spans="1:49" ht="41.1" hidden="1" customHeight="1" outlineLevel="3" x14ac:dyDescent="0.25">
      <c r="A1397" s="63" t="str">
        <f t="shared" si="306"/>
        <v>4.15.3.1.9.60-61-64</v>
      </c>
      <c r="B1397" s="64">
        <v>4</v>
      </c>
      <c r="C1397" s="64">
        <v>15</v>
      </c>
      <c r="D1397" s="64">
        <v>3</v>
      </c>
      <c r="E1397" s="64">
        <v>1</v>
      </c>
      <c r="F1397" s="64">
        <v>9</v>
      </c>
      <c r="G1397" s="64" t="s">
        <v>1062</v>
      </c>
      <c r="H1397" s="65"/>
      <c r="I1397" s="65"/>
      <c r="J1397" s="66"/>
      <c r="K1397" s="67" t="s">
        <v>1552</v>
      </c>
      <c r="L1397" s="64" t="s">
        <v>1540</v>
      </c>
      <c r="M1397" s="68" t="s">
        <v>1543</v>
      </c>
      <c r="N1397" s="64" t="s">
        <v>47</v>
      </c>
      <c r="O1397" s="64" t="s">
        <v>1544</v>
      </c>
      <c r="P1397" s="64"/>
      <c r="Q1397" s="69"/>
      <c r="R1397" s="69"/>
      <c r="S1397" s="65"/>
      <c r="T1397" s="194"/>
      <c r="U1397" s="370">
        <v>0</v>
      </c>
      <c r="V1397" s="370"/>
      <c r="W1397" s="370">
        <v>0</v>
      </c>
      <c r="X1397" s="1129">
        <v>0</v>
      </c>
      <c r="Y1397" s="370">
        <v>0</v>
      </c>
      <c r="Z1397" s="370">
        <v>0</v>
      </c>
      <c r="AA1397" s="1129">
        <v>0</v>
      </c>
      <c r="AB1397" s="370">
        <v>0</v>
      </c>
      <c r="AC1397" s="370">
        <v>0</v>
      </c>
      <c r="AD1397" s="1129">
        <v>0</v>
      </c>
      <c r="AE1397" s="370">
        <v>0</v>
      </c>
      <c r="AF1397" s="370">
        <v>0</v>
      </c>
      <c r="AG1397" s="1129">
        <v>0</v>
      </c>
      <c r="AH1397" s="505">
        <f t="shared" si="413"/>
        <v>0</v>
      </c>
      <c r="AI1397" s="132"/>
      <c r="AJ1397" s="75">
        <f t="shared" si="414"/>
        <v>0</v>
      </c>
      <c r="AK1397" s="75"/>
      <c r="AL1397" s="75"/>
      <c r="AM1397" s="75"/>
      <c r="AN1397" s="64" t="s">
        <v>181</v>
      </c>
      <c r="AO1397" s="64"/>
      <c r="AP1397" s="64"/>
      <c r="AQ1397" s="189"/>
      <c r="AR1397" s="64"/>
      <c r="AS1397" s="476"/>
      <c r="AT1397" s="64"/>
      <c r="AU1397" s="646"/>
      <c r="AV1397" s="259"/>
      <c r="AW1397" s="185"/>
    </row>
    <row r="1398" spans="1:49" ht="41.1" hidden="1" customHeight="1" outlineLevel="3" x14ac:dyDescent="0.25">
      <c r="A1398" s="63" t="str">
        <f t="shared" si="306"/>
        <v>4.15.3.1.10.58-59</v>
      </c>
      <c r="B1398" s="64">
        <v>4</v>
      </c>
      <c r="C1398" s="64">
        <v>15</v>
      </c>
      <c r="D1398" s="64">
        <v>3</v>
      </c>
      <c r="E1398" s="64">
        <v>1</v>
      </c>
      <c r="F1398" s="64">
        <v>10</v>
      </c>
      <c r="G1398" s="64" t="s">
        <v>1549</v>
      </c>
      <c r="H1398" s="65"/>
      <c r="I1398" s="65"/>
      <c r="J1398" s="66"/>
      <c r="K1398" s="67" t="s">
        <v>1553</v>
      </c>
      <c r="L1398" s="64" t="s">
        <v>1540</v>
      </c>
      <c r="M1398" s="68" t="s">
        <v>1543</v>
      </c>
      <c r="N1398" s="64" t="s">
        <v>47</v>
      </c>
      <c r="O1398" s="64" t="s">
        <v>1544</v>
      </c>
      <c r="P1398" s="64"/>
      <c r="Q1398" s="69"/>
      <c r="R1398" s="69"/>
      <c r="S1398" s="65"/>
      <c r="T1398" s="194"/>
      <c r="U1398" s="370">
        <v>0</v>
      </c>
      <c r="V1398" s="370"/>
      <c r="W1398" s="370">
        <v>0</v>
      </c>
      <c r="X1398" s="1129">
        <v>0</v>
      </c>
      <c r="Y1398" s="370">
        <v>0</v>
      </c>
      <c r="Z1398" s="370">
        <v>0</v>
      </c>
      <c r="AA1398" s="1129">
        <v>0</v>
      </c>
      <c r="AB1398" s="370">
        <v>0</v>
      </c>
      <c r="AC1398" s="370">
        <v>0</v>
      </c>
      <c r="AD1398" s="1129">
        <v>0</v>
      </c>
      <c r="AE1398" s="370">
        <v>0</v>
      </c>
      <c r="AF1398" s="370">
        <v>0</v>
      </c>
      <c r="AG1398" s="1129">
        <v>0</v>
      </c>
      <c r="AH1398" s="505">
        <f t="shared" si="413"/>
        <v>0</v>
      </c>
      <c r="AI1398" s="132"/>
      <c r="AJ1398" s="75">
        <f t="shared" si="414"/>
        <v>0</v>
      </c>
      <c r="AK1398" s="75"/>
      <c r="AL1398" s="75"/>
      <c r="AM1398" s="75"/>
      <c r="AN1398" s="64" t="s">
        <v>181</v>
      </c>
      <c r="AO1398" s="64"/>
      <c r="AP1398" s="64"/>
      <c r="AQ1398" s="189"/>
      <c r="AR1398" s="64"/>
      <c r="AS1398" s="476"/>
      <c r="AT1398" s="64"/>
      <c r="AU1398" s="646"/>
      <c r="AV1398" s="259"/>
      <c r="AW1398" s="185"/>
    </row>
    <row r="1399" spans="1:49" ht="41.1" hidden="1" customHeight="1" outlineLevel="3" x14ac:dyDescent="0.25">
      <c r="A1399" s="63" t="str">
        <f t="shared" si="306"/>
        <v>4.15.3.1.11.62-63</v>
      </c>
      <c r="B1399" s="64">
        <v>4</v>
      </c>
      <c r="C1399" s="64">
        <v>15</v>
      </c>
      <c r="D1399" s="64">
        <v>3</v>
      </c>
      <c r="E1399" s="64">
        <v>1</v>
      </c>
      <c r="F1399" s="64">
        <v>11</v>
      </c>
      <c r="G1399" s="64" t="s">
        <v>1551</v>
      </c>
      <c r="H1399" s="65"/>
      <c r="I1399" s="65"/>
      <c r="J1399" s="66"/>
      <c r="K1399" s="67" t="s">
        <v>1782</v>
      </c>
      <c r="L1399" s="64" t="s">
        <v>1540</v>
      </c>
      <c r="M1399" s="68" t="s">
        <v>1543</v>
      </c>
      <c r="N1399" s="64" t="s">
        <v>47</v>
      </c>
      <c r="O1399" s="64" t="s">
        <v>1544</v>
      </c>
      <c r="P1399" s="64"/>
      <c r="Q1399" s="69"/>
      <c r="R1399" s="69"/>
      <c r="S1399" s="65"/>
      <c r="T1399" s="194"/>
      <c r="U1399" s="370">
        <v>0</v>
      </c>
      <c r="V1399" s="370"/>
      <c r="W1399" s="370">
        <v>0</v>
      </c>
      <c r="X1399" s="1129">
        <v>0</v>
      </c>
      <c r="Y1399" s="370">
        <v>0</v>
      </c>
      <c r="Z1399" s="370">
        <v>0</v>
      </c>
      <c r="AA1399" s="1129">
        <v>0</v>
      </c>
      <c r="AB1399" s="370">
        <v>0</v>
      </c>
      <c r="AC1399" s="370">
        <v>0</v>
      </c>
      <c r="AD1399" s="1129">
        <v>0</v>
      </c>
      <c r="AE1399" s="370">
        <v>0</v>
      </c>
      <c r="AF1399" s="370">
        <v>0</v>
      </c>
      <c r="AG1399" s="1129">
        <v>0</v>
      </c>
      <c r="AH1399" s="505">
        <f t="shared" si="413"/>
        <v>0</v>
      </c>
      <c r="AI1399" s="132"/>
      <c r="AJ1399" s="75">
        <f t="shared" si="414"/>
        <v>0</v>
      </c>
      <c r="AK1399" s="75"/>
      <c r="AL1399" s="75"/>
      <c r="AM1399" s="75"/>
      <c r="AN1399" s="64" t="s">
        <v>181</v>
      </c>
      <c r="AO1399" s="64"/>
      <c r="AP1399" s="64"/>
      <c r="AQ1399" s="189"/>
      <c r="AR1399" s="64"/>
      <c r="AS1399" s="476"/>
      <c r="AT1399" s="64"/>
      <c r="AU1399" s="646"/>
      <c r="AV1399" s="259"/>
      <c r="AW1399" s="185"/>
    </row>
    <row r="1400" spans="1:49" ht="41.1" hidden="1" customHeight="1" outlineLevel="3" x14ac:dyDescent="0.25">
      <c r="A1400" s="63" t="str">
        <f t="shared" si="306"/>
        <v>4.15.3.1.12.61-64-60</v>
      </c>
      <c r="B1400" s="64">
        <v>4</v>
      </c>
      <c r="C1400" s="64">
        <v>15</v>
      </c>
      <c r="D1400" s="64">
        <v>3</v>
      </c>
      <c r="E1400" s="64">
        <v>1</v>
      </c>
      <c r="F1400" s="64">
        <v>12</v>
      </c>
      <c r="G1400" s="64" t="s">
        <v>1547</v>
      </c>
      <c r="H1400" s="65"/>
      <c r="I1400" s="65"/>
      <c r="J1400" s="66"/>
      <c r="K1400" s="67" t="s">
        <v>1554</v>
      </c>
      <c r="L1400" s="64" t="s">
        <v>1540</v>
      </c>
      <c r="M1400" s="68" t="s">
        <v>1543</v>
      </c>
      <c r="N1400" s="64" t="s">
        <v>47</v>
      </c>
      <c r="O1400" s="64" t="s">
        <v>1544</v>
      </c>
      <c r="P1400" s="64"/>
      <c r="Q1400" s="69"/>
      <c r="R1400" s="69"/>
      <c r="S1400" s="65"/>
      <c r="T1400" s="194"/>
      <c r="U1400" s="370">
        <v>0</v>
      </c>
      <c r="V1400" s="370"/>
      <c r="W1400" s="370">
        <v>0</v>
      </c>
      <c r="X1400" s="1129">
        <v>0</v>
      </c>
      <c r="Y1400" s="370">
        <v>0</v>
      </c>
      <c r="Z1400" s="370">
        <v>0</v>
      </c>
      <c r="AA1400" s="1129">
        <v>0</v>
      </c>
      <c r="AB1400" s="370">
        <v>0</v>
      </c>
      <c r="AC1400" s="370">
        <v>0</v>
      </c>
      <c r="AD1400" s="1129">
        <v>0</v>
      </c>
      <c r="AE1400" s="370">
        <v>0</v>
      </c>
      <c r="AF1400" s="370">
        <v>0</v>
      </c>
      <c r="AG1400" s="1129">
        <v>0</v>
      </c>
      <c r="AH1400" s="505">
        <f t="shared" si="413"/>
        <v>0</v>
      </c>
      <c r="AI1400" s="132"/>
      <c r="AJ1400" s="75">
        <f t="shared" si="414"/>
        <v>0</v>
      </c>
      <c r="AK1400" s="75"/>
      <c r="AL1400" s="75"/>
      <c r="AM1400" s="75"/>
      <c r="AN1400" s="64" t="s">
        <v>181</v>
      </c>
      <c r="AO1400" s="64"/>
      <c r="AP1400" s="64"/>
      <c r="AQ1400" s="189"/>
      <c r="AR1400" s="64"/>
      <c r="AS1400" s="476"/>
      <c r="AT1400" s="64"/>
      <c r="AU1400" s="646"/>
      <c r="AV1400" s="259"/>
      <c r="AW1400" s="185"/>
    </row>
    <row r="1401" spans="1:49" ht="41.1" hidden="1" customHeight="1" outlineLevel="3" x14ac:dyDescent="0.25">
      <c r="A1401" s="63" t="str">
        <f t="shared" si="306"/>
        <v>4.15.3.1.13.58-59</v>
      </c>
      <c r="B1401" s="64">
        <v>4</v>
      </c>
      <c r="C1401" s="64">
        <v>15</v>
      </c>
      <c r="D1401" s="64">
        <v>3</v>
      </c>
      <c r="E1401" s="64">
        <v>1</v>
      </c>
      <c r="F1401" s="64">
        <v>13</v>
      </c>
      <c r="G1401" s="64" t="s">
        <v>1549</v>
      </c>
      <c r="H1401" s="65"/>
      <c r="I1401" s="65"/>
      <c r="J1401" s="66"/>
      <c r="K1401" s="67" t="s">
        <v>1555</v>
      </c>
      <c r="L1401" s="64" t="s">
        <v>1540</v>
      </c>
      <c r="M1401" s="68" t="s">
        <v>1543</v>
      </c>
      <c r="N1401" s="64" t="s">
        <v>47</v>
      </c>
      <c r="O1401" s="64" t="s">
        <v>1544</v>
      </c>
      <c r="P1401" s="64"/>
      <c r="Q1401" s="69"/>
      <c r="R1401" s="69"/>
      <c r="S1401" s="65"/>
      <c r="T1401" s="194"/>
      <c r="U1401" s="370">
        <v>0</v>
      </c>
      <c r="V1401" s="370"/>
      <c r="W1401" s="370">
        <v>0</v>
      </c>
      <c r="X1401" s="1129">
        <v>0</v>
      </c>
      <c r="Y1401" s="370">
        <v>0</v>
      </c>
      <c r="Z1401" s="370">
        <v>0</v>
      </c>
      <c r="AA1401" s="1129">
        <v>0</v>
      </c>
      <c r="AB1401" s="370">
        <v>0</v>
      </c>
      <c r="AC1401" s="370">
        <v>0</v>
      </c>
      <c r="AD1401" s="1129">
        <v>0</v>
      </c>
      <c r="AE1401" s="370">
        <v>0</v>
      </c>
      <c r="AF1401" s="370">
        <v>0</v>
      </c>
      <c r="AG1401" s="1129">
        <v>0</v>
      </c>
      <c r="AH1401" s="505">
        <f t="shared" si="413"/>
        <v>0</v>
      </c>
      <c r="AI1401" s="132"/>
      <c r="AJ1401" s="75">
        <f t="shared" si="414"/>
        <v>0</v>
      </c>
      <c r="AK1401" s="75"/>
      <c r="AL1401" s="75"/>
      <c r="AM1401" s="75"/>
      <c r="AN1401" s="64" t="s">
        <v>181</v>
      </c>
      <c r="AO1401" s="64"/>
      <c r="AP1401" s="64"/>
      <c r="AQ1401" s="189"/>
      <c r="AR1401" s="64"/>
      <c r="AS1401" s="476"/>
      <c r="AT1401" s="64"/>
      <c r="AU1401" s="646"/>
      <c r="AV1401" s="259"/>
      <c r="AW1401" s="185"/>
    </row>
    <row r="1402" spans="1:49" ht="41.1" hidden="1" customHeight="1" outlineLevel="3" x14ac:dyDescent="0.25">
      <c r="A1402" s="63" t="str">
        <f t="shared" ref="A1402:A1568" si="415">CONCATENATE(B1402,".",C1402,".",D1402,".",E1402,".",F1402,".",G1402)</f>
        <v>4.15.3.1.14.62-63</v>
      </c>
      <c r="B1402" s="64">
        <v>4</v>
      </c>
      <c r="C1402" s="64">
        <v>15</v>
      </c>
      <c r="D1402" s="64">
        <v>3</v>
      </c>
      <c r="E1402" s="64">
        <v>1</v>
      </c>
      <c r="F1402" s="64">
        <v>14</v>
      </c>
      <c r="G1402" s="64" t="s">
        <v>1551</v>
      </c>
      <c r="H1402" s="65"/>
      <c r="I1402" s="65"/>
      <c r="J1402" s="66"/>
      <c r="K1402" s="67" t="s">
        <v>1783</v>
      </c>
      <c r="L1402" s="64" t="s">
        <v>1540</v>
      </c>
      <c r="M1402" s="68" t="s">
        <v>1543</v>
      </c>
      <c r="N1402" s="64" t="s">
        <v>47</v>
      </c>
      <c r="O1402" s="64" t="s">
        <v>1544</v>
      </c>
      <c r="P1402" s="64"/>
      <c r="Q1402" s="69"/>
      <c r="R1402" s="69"/>
      <c r="S1402" s="65"/>
      <c r="T1402" s="194"/>
      <c r="U1402" s="370">
        <v>0</v>
      </c>
      <c r="V1402" s="370"/>
      <c r="W1402" s="370">
        <v>0</v>
      </c>
      <c r="X1402" s="1129">
        <v>0</v>
      </c>
      <c r="Y1402" s="370">
        <v>0</v>
      </c>
      <c r="Z1402" s="370">
        <v>0</v>
      </c>
      <c r="AA1402" s="1129">
        <v>0</v>
      </c>
      <c r="AB1402" s="370">
        <v>0</v>
      </c>
      <c r="AC1402" s="370">
        <v>0</v>
      </c>
      <c r="AD1402" s="1129">
        <v>0</v>
      </c>
      <c r="AE1402" s="370">
        <v>0</v>
      </c>
      <c r="AF1402" s="370">
        <v>0</v>
      </c>
      <c r="AG1402" s="1129">
        <v>0</v>
      </c>
      <c r="AH1402" s="505">
        <f t="shared" si="413"/>
        <v>0</v>
      </c>
      <c r="AI1402" s="132"/>
      <c r="AJ1402" s="75">
        <f t="shared" si="414"/>
        <v>0</v>
      </c>
      <c r="AK1402" s="75"/>
      <c r="AL1402" s="75"/>
      <c r="AM1402" s="75"/>
      <c r="AN1402" s="64" t="s">
        <v>181</v>
      </c>
      <c r="AO1402" s="64"/>
      <c r="AP1402" s="64"/>
      <c r="AQ1402" s="189"/>
      <c r="AR1402" s="64"/>
      <c r="AS1402" s="476"/>
      <c r="AT1402" s="64"/>
      <c r="AU1402" s="646"/>
      <c r="AV1402" s="259"/>
      <c r="AW1402" s="185"/>
    </row>
    <row r="1403" spans="1:49" ht="41.1" hidden="1" customHeight="1" outlineLevel="3" x14ac:dyDescent="0.25">
      <c r="A1403" s="63" t="str">
        <f t="shared" si="415"/>
        <v>4.15.3.1.15.60-61-64</v>
      </c>
      <c r="B1403" s="64">
        <v>4</v>
      </c>
      <c r="C1403" s="64">
        <v>15</v>
      </c>
      <c r="D1403" s="64">
        <v>3</v>
      </c>
      <c r="E1403" s="64">
        <v>1</v>
      </c>
      <c r="F1403" s="64">
        <v>15</v>
      </c>
      <c r="G1403" s="64" t="s">
        <v>1062</v>
      </c>
      <c r="H1403" s="65"/>
      <c r="I1403" s="65"/>
      <c r="J1403" s="66"/>
      <c r="K1403" s="67" t="s">
        <v>1556</v>
      </c>
      <c r="L1403" s="64" t="s">
        <v>1540</v>
      </c>
      <c r="M1403" s="68" t="s">
        <v>1543</v>
      </c>
      <c r="N1403" s="64" t="s">
        <v>47</v>
      </c>
      <c r="O1403" s="64" t="s">
        <v>1544</v>
      </c>
      <c r="P1403" s="64"/>
      <c r="Q1403" s="69"/>
      <c r="R1403" s="69"/>
      <c r="S1403" s="65"/>
      <c r="T1403" s="194"/>
      <c r="U1403" s="370">
        <v>0</v>
      </c>
      <c r="V1403" s="370"/>
      <c r="W1403" s="370">
        <v>0</v>
      </c>
      <c r="X1403" s="1129">
        <v>0</v>
      </c>
      <c r="Y1403" s="370">
        <v>0</v>
      </c>
      <c r="Z1403" s="370">
        <v>0</v>
      </c>
      <c r="AA1403" s="1129">
        <v>0</v>
      </c>
      <c r="AB1403" s="370">
        <v>0</v>
      </c>
      <c r="AC1403" s="370">
        <v>0</v>
      </c>
      <c r="AD1403" s="1129">
        <v>0</v>
      </c>
      <c r="AE1403" s="370">
        <v>0</v>
      </c>
      <c r="AF1403" s="370">
        <v>0</v>
      </c>
      <c r="AG1403" s="1129">
        <v>0</v>
      </c>
      <c r="AH1403" s="505">
        <f t="shared" si="413"/>
        <v>0</v>
      </c>
      <c r="AI1403" s="132"/>
      <c r="AJ1403" s="75">
        <f t="shared" si="414"/>
        <v>0</v>
      </c>
      <c r="AK1403" s="75"/>
      <c r="AL1403" s="75"/>
      <c r="AM1403" s="75"/>
      <c r="AN1403" s="64" t="s">
        <v>181</v>
      </c>
      <c r="AO1403" s="64"/>
      <c r="AP1403" s="64"/>
      <c r="AQ1403" s="189"/>
      <c r="AR1403" s="64"/>
      <c r="AS1403" s="476"/>
      <c r="AT1403" s="64"/>
      <c r="AU1403" s="646"/>
      <c r="AV1403" s="259"/>
      <c r="AW1403" s="185"/>
    </row>
    <row r="1404" spans="1:49" ht="41.1" hidden="1" customHeight="1" outlineLevel="3" x14ac:dyDescent="0.25">
      <c r="A1404" s="63" t="str">
        <f t="shared" si="415"/>
        <v>4.15.3.1.16.58-59</v>
      </c>
      <c r="B1404" s="64">
        <v>4</v>
      </c>
      <c r="C1404" s="64">
        <v>15</v>
      </c>
      <c r="D1404" s="64">
        <v>3</v>
      </c>
      <c r="E1404" s="64">
        <v>1</v>
      </c>
      <c r="F1404" s="64">
        <v>16</v>
      </c>
      <c r="G1404" s="64" t="s">
        <v>1549</v>
      </c>
      <c r="H1404" s="65"/>
      <c r="I1404" s="65"/>
      <c r="J1404" s="66"/>
      <c r="K1404" s="67" t="s">
        <v>1557</v>
      </c>
      <c r="L1404" s="64" t="s">
        <v>1540</v>
      </c>
      <c r="M1404" s="68" t="s">
        <v>1543</v>
      </c>
      <c r="N1404" s="64" t="s">
        <v>47</v>
      </c>
      <c r="O1404" s="64" t="s">
        <v>1544</v>
      </c>
      <c r="P1404" s="64"/>
      <c r="Q1404" s="69"/>
      <c r="R1404" s="69"/>
      <c r="S1404" s="65"/>
      <c r="T1404" s="194"/>
      <c r="U1404" s="370">
        <v>0</v>
      </c>
      <c r="V1404" s="370"/>
      <c r="W1404" s="370">
        <v>0</v>
      </c>
      <c r="X1404" s="1129">
        <v>0</v>
      </c>
      <c r="Y1404" s="370">
        <v>0</v>
      </c>
      <c r="Z1404" s="370">
        <v>0</v>
      </c>
      <c r="AA1404" s="1129">
        <v>0</v>
      </c>
      <c r="AB1404" s="370">
        <v>0</v>
      </c>
      <c r="AC1404" s="370">
        <v>0</v>
      </c>
      <c r="AD1404" s="1129">
        <v>0</v>
      </c>
      <c r="AE1404" s="370">
        <v>0</v>
      </c>
      <c r="AF1404" s="370">
        <v>0</v>
      </c>
      <c r="AG1404" s="1129">
        <v>0</v>
      </c>
      <c r="AH1404" s="505">
        <f t="shared" si="413"/>
        <v>0</v>
      </c>
      <c r="AI1404" s="132"/>
      <c r="AJ1404" s="75">
        <f t="shared" si="414"/>
        <v>0</v>
      </c>
      <c r="AK1404" s="75"/>
      <c r="AL1404" s="75"/>
      <c r="AM1404" s="75"/>
      <c r="AN1404" s="64" t="s">
        <v>181</v>
      </c>
      <c r="AO1404" s="64"/>
      <c r="AP1404" s="64"/>
      <c r="AQ1404" s="189"/>
      <c r="AR1404" s="64"/>
      <c r="AS1404" s="476"/>
      <c r="AT1404" s="64"/>
      <c r="AU1404" s="646"/>
      <c r="AV1404" s="259"/>
      <c r="AW1404" s="185"/>
    </row>
    <row r="1405" spans="1:49" ht="41.1" hidden="1" customHeight="1" outlineLevel="3" x14ac:dyDescent="0.25">
      <c r="A1405" s="63" t="str">
        <f t="shared" si="415"/>
        <v>4.15.3.1.17.62-63</v>
      </c>
      <c r="B1405" s="64">
        <v>4</v>
      </c>
      <c r="C1405" s="64">
        <v>15</v>
      </c>
      <c r="D1405" s="64">
        <v>3</v>
      </c>
      <c r="E1405" s="64">
        <v>1</v>
      </c>
      <c r="F1405" s="64">
        <v>17</v>
      </c>
      <c r="G1405" s="64" t="s">
        <v>1551</v>
      </c>
      <c r="H1405" s="65"/>
      <c r="I1405" s="65"/>
      <c r="J1405" s="66"/>
      <c r="K1405" s="67" t="s">
        <v>1784</v>
      </c>
      <c r="L1405" s="64" t="s">
        <v>1540</v>
      </c>
      <c r="M1405" s="68" t="s">
        <v>1543</v>
      </c>
      <c r="N1405" s="64" t="s">
        <v>47</v>
      </c>
      <c r="O1405" s="64" t="s">
        <v>1544</v>
      </c>
      <c r="P1405" s="64"/>
      <c r="Q1405" s="69"/>
      <c r="R1405" s="69"/>
      <c r="S1405" s="65"/>
      <c r="T1405" s="194"/>
      <c r="U1405" s="370">
        <v>0</v>
      </c>
      <c r="V1405" s="370"/>
      <c r="W1405" s="370">
        <v>0</v>
      </c>
      <c r="X1405" s="1129">
        <v>0</v>
      </c>
      <c r="Y1405" s="370">
        <v>0</v>
      </c>
      <c r="Z1405" s="370">
        <v>0</v>
      </c>
      <c r="AA1405" s="1129">
        <v>0</v>
      </c>
      <c r="AB1405" s="370">
        <v>0</v>
      </c>
      <c r="AC1405" s="370">
        <v>0</v>
      </c>
      <c r="AD1405" s="1129">
        <v>0</v>
      </c>
      <c r="AE1405" s="370">
        <v>0</v>
      </c>
      <c r="AF1405" s="370">
        <v>0</v>
      </c>
      <c r="AG1405" s="1129">
        <v>0</v>
      </c>
      <c r="AH1405" s="505">
        <f t="shared" si="413"/>
        <v>0</v>
      </c>
      <c r="AI1405" s="132"/>
      <c r="AJ1405" s="75">
        <f t="shared" si="414"/>
        <v>0</v>
      </c>
      <c r="AK1405" s="75"/>
      <c r="AL1405" s="75"/>
      <c r="AM1405" s="75"/>
      <c r="AN1405" s="64" t="s">
        <v>181</v>
      </c>
      <c r="AO1405" s="64"/>
      <c r="AP1405" s="64"/>
      <c r="AQ1405" s="189"/>
      <c r="AR1405" s="64"/>
      <c r="AS1405" s="476"/>
      <c r="AT1405" s="64"/>
      <c r="AU1405" s="646"/>
      <c r="AV1405" s="259"/>
      <c r="AW1405" s="185"/>
    </row>
    <row r="1406" spans="1:49" ht="41.1" hidden="1" customHeight="1" outlineLevel="3" x14ac:dyDescent="0.25">
      <c r="A1406" s="63" t="str">
        <f t="shared" si="415"/>
        <v>4.15.3.1.18.58-64</v>
      </c>
      <c r="B1406" s="64">
        <v>4</v>
      </c>
      <c r="C1406" s="64">
        <v>15</v>
      </c>
      <c r="D1406" s="64">
        <v>3</v>
      </c>
      <c r="E1406" s="64">
        <v>1</v>
      </c>
      <c r="F1406" s="64">
        <v>18</v>
      </c>
      <c r="G1406" s="64" t="s">
        <v>64</v>
      </c>
      <c r="H1406" s="65"/>
      <c r="I1406" s="65"/>
      <c r="J1406" s="66"/>
      <c r="K1406" s="67" t="s">
        <v>1718</v>
      </c>
      <c r="L1406" s="64" t="s">
        <v>1540</v>
      </c>
      <c r="M1406" s="68" t="s">
        <v>1543</v>
      </c>
      <c r="N1406" s="64" t="s">
        <v>47</v>
      </c>
      <c r="O1406" s="64" t="s">
        <v>1544</v>
      </c>
      <c r="P1406" s="64"/>
      <c r="Q1406" s="69"/>
      <c r="R1406" s="69"/>
      <c r="S1406" s="65"/>
      <c r="T1406" s="194"/>
      <c r="U1406" s="370">
        <v>0</v>
      </c>
      <c r="V1406" s="370"/>
      <c r="W1406" s="370">
        <v>0</v>
      </c>
      <c r="X1406" s="1129">
        <v>0</v>
      </c>
      <c r="Y1406" s="370">
        <v>0</v>
      </c>
      <c r="Z1406" s="370">
        <v>0</v>
      </c>
      <c r="AA1406" s="1129">
        <v>0</v>
      </c>
      <c r="AB1406" s="370">
        <v>0</v>
      </c>
      <c r="AC1406" s="370">
        <v>0</v>
      </c>
      <c r="AD1406" s="1129">
        <v>0</v>
      </c>
      <c r="AE1406" s="370">
        <v>0</v>
      </c>
      <c r="AF1406" s="370">
        <v>0</v>
      </c>
      <c r="AG1406" s="1129">
        <v>0</v>
      </c>
      <c r="AH1406" s="505">
        <f t="shared" si="413"/>
        <v>0</v>
      </c>
      <c r="AI1406" s="132"/>
      <c r="AJ1406" s="75">
        <f t="shared" si="414"/>
        <v>0</v>
      </c>
      <c r="AK1406" s="75"/>
      <c r="AL1406" s="75"/>
      <c r="AM1406" s="75"/>
      <c r="AN1406" s="64" t="s">
        <v>181</v>
      </c>
      <c r="AO1406" s="64"/>
      <c r="AP1406" s="64"/>
      <c r="AQ1406" s="189"/>
      <c r="AR1406" s="64"/>
      <c r="AS1406" s="476"/>
      <c r="AT1406" s="64"/>
      <c r="AU1406" s="646"/>
      <c r="AV1406" s="259"/>
      <c r="AW1406" s="185"/>
    </row>
    <row r="1407" spans="1:49" ht="41.1" hidden="1" customHeight="1" outlineLevel="3" x14ac:dyDescent="0.25">
      <c r="A1407" s="63" t="str">
        <f t="shared" si="415"/>
        <v>4.15.3.1.19.58-64</v>
      </c>
      <c r="B1407" s="64">
        <v>4</v>
      </c>
      <c r="C1407" s="64">
        <v>15</v>
      </c>
      <c r="D1407" s="64">
        <v>3</v>
      </c>
      <c r="E1407" s="64">
        <v>1</v>
      </c>
      <c r="F1407" s="64">
        <v>19</v>
      </c>
      <c r="G1407" s="64" t="s">
        <v>64</v>
      </c>
      <c r="H1407" s="65"/>
      <c r="I1407" s="65"/>
      <c r="J1407" s="66"/>
      <c r="K1407" s="67" t="s">
        <v>1719</v>
      </c>
      <c r="L1407" s="64" t="s">
        <v>1540</v>
      </c>
      <c r="M1407" s="68" t="s">
        <v>1543</v>
      </c>
      <c r="N1407" s="64" t="s">
        <v>47</v>
      </c>
      <c r="O1407" s="64" t="s">
        <v>1544</v>
      </c>
      <c r="P1407" s="64"/>
      <c r="Q1407" s="69"/>
      <c r="R1407" s="69"/>
      <c r="S1407" s="65"/>
      <c r="T1407" s="194"/>
      <c r="U1407" s="370">
        <v>0</v>
      </c>
      <c r="V1407" s="370"/>
      <c r="W1407" s="370">
        <v>0</v>
      </c>
      <c r="X1407" s="1129">
        <v>0</v>
      </c>
      <c r="Y1407" s="370">
        <v>0</v>
      </c>
      <c r="Z1407" s="370">
        <v>0</v>
      </c>
      <c r="AA1407" s="1129">
        <v>0</v>
      </c>
      <c r="AB1407" s="370">
        <v>0</v>
      </c>
      <c r="AC1407" s="370">
        <v>0</v>
      </c>
      <c r="AD1407" s="1129">
        <v>0</v>
      </c>
      <c r="AE1407" s="370">
        <v>0</v>
      </c>
      <c r="AF1407" s="370">
        <v>0</v>
      </c>
      <c r="AG1407" s="1129">
        <v>0</v>
      </c>
      <c r="AH1407" s="505">
        <f t="shared" si="413"/>
        <v>0</v>
      </c>
      <c r="AI1407" s="132"/>
      <c r="AJ1407" s="75">
        <f t="shared" si="414"/>
        <v>0</v>
      </c>
      <c r="AK1407" s="75"/>
      <c r="AL1407" s="75"/>
      <c r="AM1407" s="75"/>
      <c r="AN1407" s="64" t="s">
        <v>181</v>
      </c>
      <c r="AO1407" s="64"/>
      <c r="AP1407" s="64"/>
      <c r="AQ1407" s="189"/>
      <c r="AR1407" s="64"/>
      <c r="AS1407" s="476"/>
      <c r="AT1407" s="64"/>
      <c r="AU1407" s="646"/>
      <c r="AV1407" s="259"/>
      <c r="AW1407" s="185"/>
    </row>
    <row r="1408" spans="1:49" ht="41.1" hidden="1" customHeight="1" outlineLevel="3" x14ac:dyDescent="0.25">
      <c r="A1408" s="63" t="str">
        <f t="shared" si="415"/>
        <v>4.15.3.1.20.60-61-64</v>
      </c>
      <c r="B1408" s="64">
        <v>4</v>
      </c>
      <c r="C1408" s="64">
        <v>15</v>
      </c>
      <c r="D1408" s="64">
        <v>3</v>
      </c>
      <c r="E1408" s="64">
        <v>1</v>
      </c>
      <c r="F1408" s="64">
        <v>20</v>
      </c>
      <c r="G1408" s="64" t="s">
        <v>1062</v>
      </c>
      <c r="H1408" s="65"/>
      <c r="I1408" s="65"/>
      <c r="J1408" s="66"/>
      <c r="K1408" s="67" t="s">
        <v>1558</v>
      </c>
      <c r="L1408" s="64" t="s">
        <v>1540</v>
      </c>
      <c r="M1408" s="68" t="s">
        <v>1543</v>
      </c>
      <c r="N1408" s="64" t="s">
        <v>47</v>
      </c>
      <c r="O1408" s="64" t="s">
        <v>1544</v>
      </c>
      <c r="P1408" s="64"/>
      <c r="Q1408" s="69"/>
      <c r="R1408" s="69"/>
      <c r="S1408" s="65"/>
      <c r="T1408" s="194"/>
      <c r="U1408" s="370">
        <v>0</v>
      </c>
      <c r="V1408" s="370"/>
      <c r="W1408" s="370">
        <v>0</v>
      </c>
      <c r="X1408" s="1129">
        <v>0</v>
      </c>
      <c r="Y1408" s="370">
        <v>0</v>
      </c>
      <c r="Z1408" s="370">
        <v>0</v>
      </c>
      <c r="AA1408" s="1129">
        <v>0</v>
      </c>
      <c r="AB1408" s="370">
        <v>0</v>
      </c>
      <c r="AC1408" s="370">
        <v>0</v>
      </c>
      <c r="AD1408" s="1129">
        <v>0</v>
      </c>
      <c r="AE1408" s="370">
        <v>0</v>
      </c>
      <c r="AF1408" s="370">
        <v>0</v>
      </c>
      <c r="AG1408" s="1129">
        <v>0</v>
      </c>
      <c r="AH1408" s="505">
        <f t="shared" si="413"/>
        <v>0</v>
      </c>
      <c r="AI1408" s="132"/>
      <c r="AJ1408" s="75">
        <f t="shared" si="414"/>
        <v>0</v>
      </c>
      <c r="AK1408" s="75"/>
      <c r="AL1408" s="75"/>
      <c r="AM1408" s="75"/>
      <c r="AN1408" s="64" t="s">
        <v>181</v>
      </c>
      <c r="AO1408" s="64"/>
      <c r="AP1408" s="64"/>
      <c r="AQ1408" s="189"/>
      <c r="AR1408" s="64"/>
      <c r="AS1408" s="476"/>
      <c r="AT1408" s="64"/>
      <c r="AU1408" s="646"/>
      <c r="AV1408" s="259"/>
      <c r="AW1408" s="185"/>
    </row>
    <row r="1409" spans="1:49" ht="41.1" hidden="1" customHeight="1" outlineLevel="3" x14ac:dyDescent="0.25">
      <c r="A1409" s="63" t="str">
        <f t="shared" si="415"/>
        <v>4.15.3.1.21.58-59</v>
      </c>
      <c r="B1409" s="64">
        <v>4</v>
      </c>
      <c r="C1409" s="64">
        <v>15</v>
      </c>
      <c r="D1409" s="64">
        <v>3</v>
      </c>
      <c r="E1409" s="64">
        <v>1</v>
      </c>
      <c r="F1409" s="64">
        <v>21</v>
      </c>
      <c r="G1409" s="64" t="s">
        <v>1549</v>
      </c>
      <c r="H1409" s="65"/>
      <c r="I1409" s="65"/>
      <c r="J1409" s="66"/>
      <c r="K1409" s="67" t="s">
        <v>1559</v>
      </c>
      <c r="L1409" s="64" t="s">
        <v>1540</v>
      </c>
      <c r="M1409" s="68" t="s">
        <v>1543</v>
      </c>
      <c r="N1409" s="64" t="s">
        <v>47</v>
      </c>
      <c r="O1409" s="64" t="s">
        <v>1544</v>
      </c>
      <c r="P1409" s="64"/>
      <c r="Q1409" s="69"/>
      <c r="R1409" s="69"/>
      <c r="S1409" s="65"/>
      <c r="T1409" s="194"/>
      <c r="U1409" s="370">
        <v>0</v>
      </c>
      <c r="V1409" s="370"/>
      <c r="W1409" s="370">
        <v>0</v>
      </c>
      <c r="X1409" s="1129">
        <v>0</v>
      </c>
      <c r="Y1409" s="370">
        <v>0</v>
      </c>
      <c r="Z1409" s="370">
        <v>0</v>
      </c>
      <c r="AA1409" s="1129">
        <v>0</v>
      </c>
      <c r="AB1409" s="370">
        <v>0</v>
      </c>
      <c r="AC1409" s="370">
        <v>0</v>
      </c>
      <c r="AD1409" s="1129">
        <v>0</v>
      </c>
      <c r="AE1409" s="370">
        <v>0</v>
      </c>
      <c r="AF1409" s="370">
        <v>0</v>
      </c>
      <c r="AG1409" s="1129">
        <v>0</v>
      </c>
      <c r="AH1409" s="505">
        <f t="shared" si="413"/>
        <v>0</v>
      </c>
      <c r="AI1409" s="132"/>
      <c r="AJ1409" s="75">
        <f t="shared" si="414"/>
        <v>0</v>
      </c>
      <c r="AK1409" s="75"/>
      <c r="AL1409" s="75"/>
      <c r="AM1409" s="75"/>
      <c r="AN1409" s="64" t="s">
        <v>181</v>
      </c>
      <c r="AO1409" s="64"/>
      <c r="AP1409" s="64"/>
      <c r="AQ1409" s="189"/>
      <c r="AR1409" s="64"/>
      <c r="AS1409" s="476"/>
      <c r="AT1409" s="64"/>
      <c r="AU1409" s="646"/>
      <c r="AV1409" s="259"/>
      <c r="AW1409" s="185"/>
    </row>
    <row r="1410" spans="1:49" ht="41.1" hidden="1" customHeight="1" outlineLevel="3" x14ac:dyDescent="0.25">
      <c r="A1410" s="63" t="str">
        <f t="shared" si="415"/>
        <v>4.15.3.1.22.62-63</v>
      </c>
      <c r="B1410" s="64">
        <v>4</v>
      </c>
      <c r="C1410" s="64">
        <v>15</v>
      </c>
      <c r="D1410" s="64">
        <v>3</v>
      </c>
      <c r="E1410" s="64">
        <v>1</v>
      </c>
      <c r="F1410" s="64">
        <v>22</v>
      </c>
      <c r="G1410" s="64" t="s">
        <v>1551</v>
      </c>
      <c r="H1410" s="65"/>
      <c r="I1410" s="65"/>
      <c r="J1410" s="66"/>
      <c r="K1410" s="67" t="s">
        <v>1785</v>
      </c>
      <c r="L1410" s="64" t="s">
        <v>1540</v>
      </c>
      <c r="M1410" s="68" t="s">
        <v>1543</v>
      </c>
      <c r="N1410" s="64" t="s">
        <v>47</v>
      </c>
      <c r="O1410" s="64" t="s">
        <v>1544</v>
      </c>
      <c r="P1410" s="64"/>
      <c r="Q1410" s="69"/>
      <c r="R1410" s="69"/>
      <c r="S1410" s="65"/>
      <c r="T1410" s="194"/>
      <c r="U1410" s="370">
        <v>0</v>
      </c>
      <c r="V1410" s="370"/>
      <c r="W1410" s="370">
        <v>0</v>
      </c>
      <c r="X1410" s="1129">
        <v>0</v>
      </c>
      <c r="Y1410" s="370">
        <v>0</v>
      </c>
      <c r="Z1410" s="370">
        <v>0</v>
      </c>
      <c r="AA1410" s="1129">
        <v>0</v>
      </c>
      <c r="AB1410" s="370">
        <v>0</v>
      </c>
      <c r="AC1410" s="370">
        <v>0</v>
      </c>
      <c r="AD1410" s="1129">
        <v>0</v>
      </c>
      <c r="AE1410" s="370">
        <v>0</v>
      </c>
      <c r="AF1410" s="370">
        <v>0</v>
      </c>
      <c r="AG1410" s="1129">
        <v>0</v>
      </c>
      <c r="AH1410" s="505">
        <f t="shared" si="413"/>
        <v>0</v>
      </c>
      <c r="AI1410" s="132"/>
      <c r="AJ1410" s="75">
        <f t="shared" si="414"/>
        <v>0</v>
      </c>
      <c r="AK1410" s="75"/>
      <c r="AL1410" s="75"/>
      <c r="AM1410" s="75"/>
      <c r="AN1410" s="64" t="s">
        <v>181</v>
      </c>
      <c r="AO1410" s="64"/>
      <c r="AP1410" s="64"/>
      <c r="AQ1410" s="189"/>
      <c r="AR1410" s="64"/>
      <c r="AS1410" s="476"/>
      <c r="AT1410" s="64"/>
      <c r="AU1410" s="646"/>
      <c r="AV1410" s="259"/>
      <c r="AW1410" s="185"/>
    </row>
    <row r="1411" spans="1:49" s="153" customFormat="1" ht="34.35" customHeight="1" outlineLevel="2" collapsed="1" x14ac:dyDescent="0.25">
      <c r="A1411" s="148" t="str">
        <f t="shared" si="415"/>
        <v>4.15.3.2.0.0</v>
      </c>
      <c r="B1411" s="82">
        <v>4</v>
      </c>
      <c r="C1411" s="82">
        <v>15</v>
      </c>
      <c r="D1411" s="82">
        <v>3</v>
      </c>
      <c r="E1411" s="82">
        <v>2</v>
      </c>
      <c r="F1411" s="82">
        <v>0</v>
      </c>
      <c r="G1411" s="82">
        <v>0</v>
      </c>
      <c r="H1411" s="149"/>
      <c r="I1411" s="149"/>
      <c r="J1411" s="1260" t="s">
        <v>1560</v>
      </c>
      <c r="K1411" s="1259"/>
      <c r="L1411" s="82" t="s">
        <v>72</v>
      </c>
      <c r="M1411" s="82" t="s">
        <v>73</v>
      </c>
      <c r="N1411" s="82" t="s">
        <v>74</v>
      </c>
      <c r="O1411" s="82" t="s">
        <v>1540</v>
      </c>
      <c r="P1411" s="82"/>
      <c r="Q1411" s="82"/>
      <c r="R1411" s="82"/>
      <c r="S1411" s="149"/>
      <c r="T1411" s="193"/>
      <c r="U1411" s="209">
        <f t="shared" ref="U1411:AH1411" si="416">SUM(U1412:U1428)</f>
        <v>0</v>
      </c>
      <c r="V1411" s="209"/>
      <c r="W1411" s="209">
        <f t="shared" si="416"/>
        <v>0</v>
      </c>
      <c r="X1411" s="1133">
        <f t="shared" si="416"/>
        <v>0</v>
      </c>
      <c r="Y1411" s="209">
        <f t="shared" si="416"/>
        <v>0</v>
      </c>
      <c r="Z1411" s="209">
        <f t="shared" si="416"/>
        <v>0</v>
      </c>
      <c r="AA1411" s="1133">
        <f t="shared" si="416"/>
        <v>0</v>
      </c>
      <c r="AB1411" s="209">
        <f t="shared" si="416"/>
        <v>0</v>
      </c>
      <c r="AC1411" s="209">
        <f t="shared" si="416"/>
        <v>0</v>
      </c>
      <c r="AD1411" s="1133">
        <f t="shared" si="416"/>
        <v>0</v>
      </c>
      <c r="AE1411" s="209">
        <f t="shared" si="416"/>
        <v>0</v>
      </c>
      <c r="AF1411" s="209">
        <f t="shared" si="416"/>
        <v>0</v>
      </c>
      <c r="AG1411" s="1133">
        <f t="shared" si="416"/>
        <v>0</v>
      </c>
      <c r="AH1411" s="209">
        <f t="shared" si="416"/>
        <v>0</v>
      </c>
      <c r="AI1411" s="380">
        <f t="shared" ref="AI1411" si="417">+SUM(AI1412:AI1428)</f>
        <v>0</v>
      </c>
      <c r="AJ1411" s="380">
        <f>+SUM(AJ1412:AJ1428)</f>
        <v>0</v>
      </c>
      <c r="AK1411" s="198"/>
      <c r="AL1411" s="198"/>
      <c r="AM1411" s="198"/>
      <c r="AN1411" s="82" t="s">
        <v>181</v>
      </c>
      <c r="AO1411" s="82"/>
      <c r="AP1411" s="82"/>
      <c r="AQ1411" s="365"/>
      <c r="AR1411" s="82"/>
      <c r="AS1411" s="483"/>
      <c r="AT1411" s="82"/>
      <c r="AU1411" s="666"/>
      <c r="AV1411" s="380">
        <f t="shared" ref="AV1411" si="418">+SUM(AV1412:AV1428)</f>
        <v>0</v>
      </c>
      <c r="AW1411" s="444"/>
    </row>
    <row r="1412" spans="1:49" ht="41.1" hidden="1" customHeight="1" outlineLevel="3" x14ac:dyDescent="0.25">
      <c r="A1412" s="63" t="str">
        <f t="shared" si="415"/>
        <v>4.15.3.2.1.58-64</v>
      </c>
      <c r="B1412" s="64">
        <v>4</v>
      </c>
      <c r="C1412" s="64">
        <v>15</v>
      </c>
      <c r="D1412" s="64">
        <v>3</v>
      </c>
      <c r="E1412" s="64">
        <v>2</v>
      </c>
      <c r="F1412" s="64">
        <v>1</v>
      </c>
      <c r="G1412" s="64" t="s">
        <v>64</v>
      </c>
      <c r="H1412" s="65"/>
      <c r="I1412" s="65"/>
      <c r="J1412" s="65"/>
      <c r="K1412" s="67" t="s">
        <v>122</v>
      </c>
      <c r="L1412" s="64" t="s">
        <v>72</v>
      </c>
      <c r="M1412" s="64" t="s">
        <v>73</v>
      </c>
      <c r="N1412" s="64" t="s">
        <v>74</v>
      </c>
      <c r="O1412" s="64" t="s">
        <v>1540</v>
      </c>
      <c r="P1412" s="64"/>
      <c r="Q1412" s="64"/>
      <c r="R1412" s="64"/>
      <c r="S1412" s="65"/>
      <c r="T1412" s="194"/>
      <c r="U1412" s="75">
        <v>0</v>
      </c>
      <c r="V1412" s="75"/>
      <c r="W1412" s="75">
        <v>0</v>
      </c>
      <c r="X1412" s="1122">
        <v>0</v>
      </c>
      <c r="Y1412" s="75">
        <v>0</v>
      </c>
      <c r="Z1412" s="75">
        <v>0</v>
      </c>
      <c r="AA1412" s="1122">
        <v>0</v>
      </c>
      <c r="AB1412" s="75">
        <v>0</v>
      </c>
      <c r="AC1412" s="75">
        <v>0</v>
      </c>
      <c r="AD1412" s="1122">
        <v>0</v>
      </c>
      <c r="AE1412" s="75">
        <v>0</v>
      </c>
      <c r="AF1412" s="75">
        <v>0</v>
      </c>
      <c r="AG1412" s="1122">
        <v>0</v>
      </c>
      <c r="AH1412" s="505">
        <f t="shared" ref="AH1412:AH1428" si="419">+U1412+Y1412+AB1412+AE1412</f>
        <v>0</v>
      </c>
      <c r="AI1412" s="132"/>
      <c r="AJ1412" s="75">
        <f t="shared" ref="AJ1412:AJ1428" si="420">+W1413+Z1413+AC1413+AF1413</f>
        <v>0</v>
      </c>
      <c r="AK1412" s="75"/>
      <c r="AL1412" s="75"/>
      <c r="AM1412" s="75"/>
      <c r="AN1412" s="64" t="s">
        <v>181</v>
      </c>
      <c r="AO1412" s="64"/>
      <c r="AP1412" s="64"/>
      <c r="AQ1412" s="189"/>
      <c r="AR1412" s="64"/>
      <c r="AS1412" s="476"/>
      <c r="AT1412" s="64"/>
      <c r="AU1412" s="646"/>
      <c r="AV1412" s="65"/>
      <c r="AW1412" s="335" t="s">
        <v>1094</v>
      </c>
    </row>
    <row r="1413" spans="1:49" ht="35.450000000000003" hidden="1" customHeight="1" outlineLevel="3" x14ac:dyDescent="0.25">
      <c r="A1413" s="63" t="str">
        <f t="shared" si="415"/>
        <v>4.15.3.2.3.58-64</v>
      </c>
      <c r="B1413" s="64">
        <v>4</v>
      </c>
      <c r="C1413" s="64">
        <v>15</v>
      </c>
      <c r="D1413" s="64">
        <v>3</v>
      </c>
      <c r="E1413" s="64">
        <v>2</v>
      </c>
      <c r="F1413" s="64">
        <v>3</v>
      </c>
      <c r="G1413" s="64" t="s">
        <v>64</v>
      </c>
      <c r="H1413" s="65"/>
      <c r="I1413" s="65"/>
      <c r="J1413" s="65"/>
      <c r="K1413" s="67" t="s">
        <v>1561</v>
      </c>
      <c r="L1413" s="64" t="s">
        <v>72</v>
      </c>
      <c r="M1413" s="64" t="s">
        <v>73</v>
      </c>
      <c r="N1413" s="64" t="s">
        <v>74</v>
      </c>
      <c r="O1413" s="64" t="s">
        <v>1540</v>
      </c>
      <c r="P1413" s="64"/>
      <c r="Q1413" s="64"/>
      <c r="R1413" s="64"/>
      <c r="S1413" s="65"/>
      <c r="T1413" s="194"/>
      <c r="U1413" s="75">
        <v>0</v>
      </c>
      <c r="V1413" s="75"/>
      <c r="W1413" s="75">
        <v>0</v>
      </c>
      <c r="X1413" s="1122">
        <v>0</v>
      </c>
      <c r="Y1413" s="75">
        <v>0</v>
      </c>
      <c r="Z1413" s="75">
        <v>0</v>
      </c>
      <c r="AA1413" s="1122">
        <v>0</v>
      </c>
      <c r="AB1413" s="75">
        <v>0</v>
      </c>
      <c r="AC1413" s="75">
        <v>0</v>
      </c>
      <c r="AD1413" s="1122">
        <v>0</v>
      </c>
      <c r="AE1413" s="75">
        <v>0</v>
      </c>
      <c r="AF1413" s="75">
        <v>0</v>
      </c>
      <c r="AG1413" s="1122">
        <v>0</v>
      </c>
      <c r="AH1413" s="505">
        <f t="shared" si="419"/>
        <v>0</v>
      </c>
      <c r="AI1413" s="132"/>
      <c r="AJ1413" s="75">
        <f t="shared" si="420"/>
        <v>0</v>
      </c>
      <c r="AK1413" s="75"/>
      <c r="AL1413" s="75"/>
      <c r="AM1413" s="75"/>
      <c r="AN1413" s="64" t="s">
        <v>181</v>
      </c>
      <c r="AO1413" s="64"/>
      <c r="AP1413" s="64"/>
      <c r="AQ1413" s="189"/>
      <c r="AR1413" s="64"/>
      <c r="AS1413" s="476"/>
      <c r="AT1413" s="64"/>
      <c r="AU1413" s="646"/>
      <c r="AV1413" s="259"/>
      <c r="AW1413" s="335" t="s">
        <v>1094</v>
      </c>
    </row>
    <row r="1414" spans="1:49" ht="35.450000000000003" hidden="1" customHeight="1" outlineLevel="3" x14ac:dyDescent="0.25">
      <c r="A1414" s="63" t="str">
        <f t="shared" si="415"/>
        <v>4.15.3.2.4.58-64</v>
      </c>
      <c r="B1414" s="64">
        <v>4</v>
      </c>
      <c r="C1414" s="64">
        <v>15</v>
      </c>
      <c r="D1414" s="64">
        <v>3</v>
      </c>
      <c r="E1414" s="64">
        <v>2</v>
      </c>
      <c r="F1414" s="64">
        <v>4</v>
      </c>
      <c r="G1414" s="64" t="s">
        <v>64</v>
      </c>
      <c r="H1414" s="65"/>
      <c r="I1414" s="65"/>
      <c r="J1414" s="66"/>
      <c r="K1414" s="65" t="s">
        <v>1562</v>
      </c>
      <c r="L1414" s="64" t="s">
        <v>72</v>
      </c>
      <c r="M1414" s="64" t="s">
        <v>73</v>
      </c>
      <c r="N1414" s="64" t="s">
        <v>74</v>
      </c>
      <c r="O1414" s="64" t="s">
        <v>1540</v>
      </c>
      <c r="P1414" s="64"/>
      <c r="Q1414" s="64"/>
      <c r="R1414" s="64"/>
      <c r="S1414" s="65"/>
      <c r="T1414" s="194"/>
      <c r="U1414" s="75">
        <v>0</v>
      </c>
      <c r="V1414" s="75"/>
      <c r="W1414" s="75">
        <v>0</v>
      </c>
      <c r="X1414" s="1122">
        <v>0</v>
      </c>
      <c r="Y1414" s="75">
        <v>0</v>
      </c>
      <c r="Z1414" s="75">
        <v>0</v>
      </c>
      <c r="AA1414" s="1122">
        <v>0</v>
      </c>
      <c r="AB1414" s="75">
        <v>0</v>
      </c>
      <c r="AC1414" s="75">
        <v>0</v>
      </c>
      <c r="AD1414" s="1122">
        <v>0</v>
      </c>
      <c r="AE1414" s="75">
        <v>0</v>
      </c>
      <c r="AF1414" s="75">
        <v>0</v>
      </c>
      <c r="AG1414" s="1122">
        <v>0</v>
      </c>
      <c r="AH1414" s="505">
        <f t="shared" si="419"/>
        <v>0</v>
      </c>
      <c r="AI1414" s="132"/>
      <c r="AJ1414" s="75">
        <f t="shared" si="420"/>
        <v>0</v>
      </c>
      <c r="AK1414" s="75"/>
      <c r="AL1414" s="75"/>
      <c r="AM1414" s="75"/>
      <c r="AN1414" s="64" t="s">
        <v>181</v>
      </c>
      <c r="AO1414" s="64"/>
      <c r="AP1414" s="64"/>
      <c r="AQ1414" s="189"/>
      <c r="AR1414" s="64"/>
      <c r="AS1414" s="476"/>
      <c r="AT1414" s="64"/>
      <c r="AU1414" s="646"/>
      <c r="AV1414" s="259"/>
      <c r="AW1414" s="185"/>
    </row>
    <row r="1415" spans="1:49" ht="35.450000000000003" hidden="1" customHeight="1" outlineLevel="3" x14ac:dyDescent="0.25">
      <c r="A1415" s="63" t="str">
        <f t="shared" si="415"/>
        <v>4.15.3.2.5.58</v>
      </c>
      <c r="B1415" s="64">
        <v>4</v>
      </c>
      <c r="C1415" s="64">
        <v>15</v>
      </c>
      <c r="D1415" s="64">
        <v>3</v>
      </c>
      <c r="E1415" s="64">
        <v>2</v>
      </c>
      <c r="F1415" s="64">
        <v>5</v>
      </c>
      <c r="G1415" s="64">
        <v>58</v>
      </c>
      <c r="H1415" s="65"/>
      <c r="I1415" s="65"/>
      <c r="J1415" s="66"/>
      <c r="K1415" s="121" t="s">
        <v>1563</v>
      </c>
      <c r="L1415" s="64" t="s">
        <v>72</v>
      </c>
      <c r="M1415" s="64" t="s">
        <v>73</v>
      </c>
      <c r="N1415" s="64" t="s">
        <v>74</v>
      </c>
      <c r="O1415" s="64" t="s">
        <v>1540</v>
      </c>
      <c r="P1415" s="64"/>
      <c r="Q1415" s="64"/>
      <c r="R1415" s="64"/>
      <c r="S1415" s="65"/>
      <c r="T1415" s="194"/>
      <c r="U1415" s="75">
        <v>0</v>
      </c>
      <c r="V1415" s="75"/>
      <c r="W1415" s="75">
        <v>0</v>
      </c>
      <c r="X1415" s="1122">
        <v>0</v>
      </c>
      <c r="Y1415" s="75">
        <v>0</v>
      </c>
      <c r="Z1415" s="75">
        <v>0</v>
      </c>
      <c r="AA1415" s="1122">
        <v>0</v>
      </c>
      <c r="AB1415" s="75">
        <v>0</v>
      </c>
      <c r="AC1415" s="75">
        <v>0</v>
      </c>
      <c r="AD1415" s="1122">
        <v>0</v>
      </c>
      <c r="AE1415" s="75">
        <v>0</v>
      </c>
      <c r="AF1415" s="75">
        <v>0</v>
      </c>
      <c r="AG1415" s="1122">
        <v>0</v>
      </c>
      <c r="AH1415" s="505">
        <f t="shared" si="419"/>
        <v>0</v>
      </c>
      <c r="AI1415" s="132"/>
      <c r="AJ1415" s="75">
        <f t="shared" si="420"/>
        <v>0</v>
      </c>
      <c r="AK1415" s="79"/>
      <c r="AL1415" s="79"/>
      <c r="AM1415" s="79"/>
      <c r="AN1415" s="64" t="s">
        <v>181</v>
      </c>
      <c r="AO1415" s="1282"/>
      <c r="AP1415" s="1282"/>
      <c r="AQ1415" s="1282"/>
      <c r="AR1415" s="1285"/>
      <c r="AS1415" s="1285"/>
      <c r="AT1415" s="1282"/>
      <c r="AU1415" s="1286"/>
      <c r="AV1415" s="259"/>
      <c r="AW1415" s="1274" t="s">
        <v>2055</v>
      </c>
    </row>
    <row r="1416" spans="1:49" ht="35.450000000000003" hidden="1" customHeight="1" outlineLevel="3" x14ac:dyDescent="0.25">
      <c r="A1416" s="63" t="str">
        <f t="shared" si="415"/>
        <v>4.15.3.2.5.59</v>
      </c>
      <c r="B1416" s="64">
        <v>4</v>
      </c>
      <c r="C1416" s="64">
        <v>15</v>
      </c>
      <c r="D1416" s="64">
        <v>3</v>
      </c>
      <c r="E1416" s="64">
        <v>2</v>
      </c>
      <c r="F1416" s="64">
        <v>5</v>
      </c>
      <c r="G1416" s="64">
        <v>59</v>
      </c>
      <c r="H1416" s="65"/>
      <c r="I1416" s="65"/>
      <c r="J1416" s="66"/>
      <c r="K1416" s="121" t="s">
        <v>1564</v>
      </c>
      <c r="L1416" s="64" t="s">
        <v>72</v>
      </c>
      <c r="M1416" s="64" t="s">
        <v>73</v>
      </c>
      <c r="N1416" s="64" t="s">
        <v>74</v>
      </c>
      <c r="O1416" s="64" t="s">
        <v>1540</v>
      </c>
      <c r="P1416" s="64"/>
      <c r="Q1416" s="64"/>
      <c r="R1416" s="64"/>
      <c r="S1416" s="65"/>
      <c r="T1416" s="194"/>
      <c r="U1416" s="75">
        <v>0</v>
      </c>
      <c r="V1416" s="75"/>
      <c r="W1416" s="75">
        <v>0</v>
      </c>
      <c r="X1416" s="1122">
        <v>0</v>
      </c>
      <c r="Y1416" s="75">
        <v>0</v>
      </c>
      <c r="Z1416" s="75">
        <v>0</v>
      </c>
      <c r="AA1416" s="1122">
        <v>0</v>
      </c>
      <c r="AB1416" s="75">
        <v>0</v>
      </c>
      <c r="AC1416" s="75">
        <v>0</v>
      </c>
      <c r="AD1416" s="1122">
        <v>0</v>
      </c>
      <c r="AE1416" s="75">
        <v>0</v>
      </c>
      <c r="AF1416" s="75">
        <v>0</v>
      </c>
      <c r="AG1416" s="1122">
        <v>0</v>
      </c>
      <c r="AH1416" s="505">
        <f t="shared" si="419"/>
        <v>0</v>
      </c>
      <c r="AI1416" s="132"/>
      <c r="AJ1416" s="75">
        <f t="shared" si="420"/>
        <v>0</v>
      </c>
      <c r="AK1416" s="79"/>
      <c r="AL1416" s="79"/>
      <c r="AM1416" s="79"/>
      <c r="AN1416" s="64" t="s">
        <v>181</v>
      </c>
      <c r="AO1416" s="1283"/>
      <c r="AP1416" s="1283"/>
      <c r="AQ1416" s="1283"/>
      <c r="AR1416" s="1283"/>
      <c r="AS1416" s="1283"/>
      <c r="AT1416" s="1283"/>
      <c r="AU1416" s="1287"/>
      <c r="AV1416" s="259"/>
      <c r="AW1416" s="1275"/>
    </row>
    <row r="1417" spans="1:49" ht="35.450000000000003" hidden="1" customHeight="1" outlineLevel="3" x14ac:dyDescent="0.25">
      <c r="A1417" s="63" t="str">
        <f t="shared" si="415"/>
        <v>4.15.3.2.5.60</v>
      </c>
      <c r="B1417" s="64">
        <v>4</v>
      </c>
      <c r="C1417" s="64">
        <v>15</v>
      </c>
      <c r="D1417" s="64">
        <v>3</v>
      </c>
      <c r="E1417" s="64">
        <v>2</v>
      </c>
      <c r="F1417" s="64">
        <v>5</v>
      </c>
      <c r="G1417" s="64">
        <v>60</v>
      </c>
      <c r="H1417" s="65"/>
      <c r="I1417" s="65"/>
      <c r="J1417" s="66"/>
      <c r="K1417" s="121" t="s">
        <v>1565</v>
      </c>
      <c r="L1417" s="64" t="s">
        <v>72</v>
      </c>
      <c r="M1417" s="64" t="s">
        <v>73</v>
      </c>
      <c r="N1417" s="64" t="s">
        <v>74</v>
      </c>
      <c r="O1417" s="64" t="s">
        <v>1540</v>
      </c>
      <c r="P1417" s="64"/>
      <c r="Q1417" s="64"/>
      <c r="R1417" s="64"/>
      <c r="S1417" s="65"/>
      <c r="T1417" s="194"/>
      <c r="U1417" s="75">
        <v>0</v>
      </c>
      <c r="V1417" s="75"/>
      <c r="W1417" s="75">
        <v>0</v>
      </c>
      <c r="X1417" s="1122">
        <v>0</v>
      </c>
      <c r="Y1417" s="75">
        <v>0</v>
      </c>
      <c r="Z1417" s="75">
        <v>0</v>
      </c>
      <c r="AA1417" s="1122">
        <v>0</v>
      </c>
      <c r="AB1417" s="75">
        <v>0</v>
      </c>
      <c r="AC1417" s="75">
        <v>0</v>
      </c>
      <c r="AD1417" s="1122">
        <v>0</v>
      </c>
      <c r="AE1417" s="75">
        <v>0</v>
      </c>
      <c r="AF1417" s="75">
        <v>0</v>
      </c>
      <c r="AG1417" s="1122">
        <v>0</v>
      </c>
      <c r="AH1417" s="505">
        <f t="shared" si="419"/>
        <v>0</v>
      </c>
      <c r="AI1417" s="132"/>
      <c r="AJ1417" s="75">
        <f t="shared" si="420"/>
        <v>0</v>
      </c>
      <c r="AK1417" s="79"/>
      <c r="AL1417" s="79"/>
      <c r="AM1417" s="79"/>
      <c r="AN1417" s="64" t="s">
        <v>181</v>
      </c>
      <c r="AO1417" s="1283"/>
      <c r="AP1417" s="1283"/>
      <c r="AQ1417" s="1283"/>
      <c r="AR1417" s="1283"/>
      <c r="AS1417" s="1283"/>
      <c r="AT1417" s="1283"/>
      <c r="AU1417" s="1287"/>
      <c r="AV1417" s="259"/>
      <c r="AW1417" s="1275"/>
    </row>
    <row r="1418" spans="1:49" ht="35.450000000000003" hidden="1" customHeight="1" outlineLevel="3" x14ac:dyDescent="0.25">
      <c r="A1418" s="63" t="str">
        <f t="shared" si="415"/>
        <v>4.15.3.2.5.61</v>
      </c>
      <c r="B1418" s="64">
        <v>4</v>
      </c>
      <c r="C1418" s="64">
        <v>15</v>
      </c>
      <c r="D1418" s="64">
        <v>3</v>
      </c>
      <c r="E1418" s="64">
        <v>2</v>
      </c>
      <c r="F1418" s="64">
        <v>5</v>
      </c>
      <c r="G1418" s="64">
        <v>61</v>
      </c>
      <c r="H1418" s="65"/>
      <c r="I1418" s="65"/>
      <c r="J1418" s="66"/>
      <c r="K1418" s="121" t="s">
        <v>1566</v>
      </c>
      <c r="L1418" s="64" t="s">
        <v>72</v>
      </c>
      <c r="M1418" s="64" t="s">
        <v>73</v>
      </c>
      <c r="N1418" s="64" t="s">
        <v>74</v>
      </c>
      <c r="O1418" s="64" t="s">
        <v>1540</v>
      </c>
      <c r="P1418" s="64"/>
      <c r="Q1418" s="64"/>
      <c r="R1418" s="64"/>
      <c r="S1418" s="65"/>
      <c r="T1418" s="194"/>
      <c r="U1418" s="75">
        <v>0</v>
      </c>
      <c r="V1418" s="75"/>
      <c r="W1418" s="75">
        <v>0</v>
      </c>
      <c r="X1418" s="1122">
        <v>0</v>
      </c>
      <c r="Y1418" s="75">
        <v>0</v>
      </c>
      <c r="Z1418" s="75">
        <v>0</v>
      </c>
      <c r="AA1418" s="1122">
        <v>0</v>
      </c>
      <c r="AB1418" s="75">
        <v>0</v>
      </c>
      <c r="AC1418" s="75">
        <v>0</v>
      </c>
      <c r="AD1418" s="1122">
        <v>0</v>
      </c>
      <c r="AE1418" s="75">
        <v>0</v>
      </c>
      <c r="AF1418" s="75">
        <v>0</v>
      </c>
      <c r="AG1418" s="1122">
        <v>0</v>
      </c>
      <c r="AH1418" s="505">
        <f t="shared" si="419"/>
        <v>0</v>
      </c>
      <c r="AI1418" s="132"/>
      <c r="AJ1418" s="75">
        <f t="shared" si="420"/>
        <v>0</v>
      </c>
      <c r="AK1418" s="79"/>
      <c r="AL1418" s="79"/>
      <c r="AM1418" s="79"/>
      <c r="AN1418" s="64" t="s">
        <v>181</v>
      </c>
      <c r="AO1418" s="1283"/>
      <c r="AP1418" s="1283"/>
      <c r="AQ1418" s="1283"/>
      <c r="AR1418" s="1283"/>
      <c r="AS1418" s="1283"/>
      <c r="AT1418" s="1283"/>
      <c r="AU1418" s="1287"/>
      <c r="AV1418" s="259"/>
      <c r="AW1418" s="1275"/>
    </row>
    <row r="1419" spans="1:49" ht="35.450000000000003" hidden="1" customHeight="1" outlineLevel="3" x14ac:dyDescent="0.25">
      <c r="A1419" s="63" t="str">
        <f t="shared" si="415"/>
        <v>4.15.3.2.5.62</v>
      </c>
      <c r="B1419" s="64">
        <v>4</v>
      </c>
      <c r="C1419" s="64">
        <v>15</v>
      </c>
      <c r="D1419" s="64">
        <v>3</v>
      </c>
      <c r="E1419" s="64">
        <v>2</v>
      </c>
      <c r="F1419" s="64">
        <v>5</v>
      </c>
      <c r="G1419" s="64">
        <v>62</v>
      </c>
      <c r="H1419" s="65"/>
      <c r="I1419" s="65"/>
      <c r="J1419" s="66"/>
      <c r="K1419" s="121" t="s">
        <v>1786</v>
      </c>
      <c r="L1419" s="64" t="s">
        <v>72</v>
      </c>
      <c r="M1419" s="64" t="s">
        <v>73</v>
      </c>
      <c r="N1419" s="64" t="s">
        <v>74</v>
      </c>
      <c r="O1419" s="64" t="s">
        <v>1540</v>
      </c>
      <c r="P1419" s="64"/>
      <c r="Q1419" s="64"/>
      <c r="R1419" s="64"/>
      <c r="S1419" s="65"/>
      <c r="T1419" s="194"/>
      <c r="U1419" s="75">
        <v>0</v>
      </c>
      <c r="V1419" s="75"/>
      <c r="W1419" s="75">
        <v>0</v>
      </c>
      <c r="X1419" s="1122">
        <v>0</v>
      </c>
      <c r="Y1419" s="75">
        <v>0</v>
      </c>
      <c r="Z1419" s="75">
        <v>0</v>
      </c>
      <c r="AA1419" s="1122">
        <v>0</v>
      </c>
      <c r="AB1419" s="75">
        <v>0</v>
      </c>
      <c r="AC1419" s="75">
        <v>0</v>
      </c>
      <c r="AD1419" s="1122">
        <v>0</v>
      </c>
      <c r="AE1419" s="75">
        <v>0</v>
      </c>
      <c r="AF1419" s="75">
        <v>0</v>
      </c>
      <c r="AG1419" s="1122">
        <v>0</v>
      </c>
      <c r="AH1419" s="505">
        <f t="shared" si="419"/>
        <v>0</v>
      </c>
      <c r="AI1419" s="132"/>
      <c r="AJ1419" s="75">
        <f t="shared" si="420"/>
        <v>0</v>
      </c>
      <c r="AK1419" s="79"/>
      <c r="AL1419" s="79"/>
      <c r="AM1419" s="79"/>
      <c r="AN1419" s="64" t="s">
        <v>181</v>
      </c>
      <c r="AO1419" s="1283"/>
      <c r="AP1419" s="1283"/>
      <c r="AQ1419" s="1283"/>
      <c r="AR1419" s="1283"/>
      <c r="AS1419" s="1283"/>
      <c r="AT1419" s="1283"/>
      <c r="AU1419" s="1287"/>
      <c r="AV1419" s="259"/>
      <c r="AW1419" s="1275"/>
    </row>
    <row r="1420" spans="1:49" ht="35.450000000000003" hidden="1" customHeight="1" outlineLevel="3" x14ac:dyDescent="0.25">
      <c r="A1420" s="63" t="str">
        <f t="shared" si="415"/>
        <v>4.15.3.2.5.63</v>
      </c>
      <c r="B1420" s="64">
        <v>4</v>
      </c>
      <c r="C1420" s="64">
        <v>15</v>
      </c>
      <c r="D1420" s="64">
        <v>3</v>
      </c>
      <c r="E1420" s="64">
        <v>2</v>
      </c>
      <c r="F1420" s="64">
        <v>5</v>
      </c>
      <c r="G1420" s="64">
        <v>63</v>
      </c>
      <c r="H1420" s="65"/>
      <c r="I1420" s="65"/>
      <c r="J1420" s="66"/>
      <c r="K1420" s="121" t="s">
        <v>1567</v>
      </c>
      <c r="L1420" s="64" t="s">
        <v>72</v>
      </c>
      <c r="M1420" s="64" t="s">
        <v>73</v>
      </c>
      <c r="N1420" s="64" t="s">
        <v>74</v>
      </c>
      <c r="O1420" s="64" t="s">
        <v>1540</v>
      </c>
      <c r="P1420" s="64"/>
      <c r="Q1420" s="64"/>
      <c r="R1420" s="64"/>
      <c r="S1420" s="65"/>
      <c r="T1420" s="194"/>
      <c r="U1420" s="75">
        <v>0</v>
      </c>
      <c r="V1420" s="75"/>
      <c r="W1420" s="75">
        <v>0</v>
      </c>
      <c r="X1420" s="1122">
        <v>0</v>
      </c>
      <c r="Y1420" s="75">
        <v>0</v>
      </c>
      <c r="Z1420" s="75">
        <v>0</v>
      </c>
      <c r="AA1420" s="1122">
        <v>0</v>
      </c>
      <c r="AB1420" s="75">
        <v>0</v>
      </c>
      <c r="AC1420" s="75">
        <v>0</v>
      </c>
      <c r="AD1420" s="1122">
        <v>0</v>
      </c>
      <c r="AE1420" s="75">
        <v>0</v>
      </c>
      <c r="AF1420" s="75">
        <v>0</v>
      </c>
      <c r="AG1420" s="1122">
        <v>0</v>
      </c>
      <c r="AH1420" s="505">
        <f t="shared" si="419"/>
        <v>0</v>
      </c>
      <c r="AI1420" s="132"/>
      <c r="AJ1420" s="75">
        <f t="shared" si="420"/>
        <v>0</v>
      </c>
      <c r="AK1420" s="79"/>
      <c r="AL1420" s="79"/>
      <c r="AM1420" s="79"/>
      <c r="AN1420" s="64" t="s">
        <v>181</v>
      </c>
      <c r="AO1420" s="1283"/>
      <c r="AP1420" s="1283"/>
      <c r="AQ1420" s="1283"/>
      <c r="AR1420" s="1283"/>
      <c r="AS1420" s="1283"/>
      <c r="AT1420" s="1283"/>
      <c r="AU1420" s="1287"/>
      <c r="AV1420" s="259"/>
      <c r="AW1420" s="1275"/>
    </row>
    <row r="1421" spans="1:49" ht="35.450000000000003" hidden="1" customHeight="1" outlineLevel="3" x14ac:dyDescent="0.25">
      <c r="A1421" s="63" t="str">
        <f t="shared" si="415"/>
        <v>4.15.3.2.5.64</v>
      </c>
      <c r="B1421" s="64">
        <v>4</v>
      </c>
      <c r="C1421" s="64">
        <v>15</v>
      </c>
      <c r="D1421" s="64">
        <v>3</v>
      </c>
      <c r="E1421" s="64">
        <v>2</v>
      </c>
      <c r="F1421" s="64">
        <v>5</v>
      </c>
      <c r="G1421" s="64">
        <v>64</v>
      </c>
      <c r="H1421" s="65"/>
      <c r="I1421" s="65"/>
      <c r="J1421" s="66"/>
      <c r="K1421" s="121" t="s">
        <v>1568</v>
      </c>
      <c r="L1421" s="64" t="s">
        <v>72</v>
      </c>
      <c r="M1421" s="64" t="s">
        <v>73</v>
      </c>
      <c r="N1421" s="64" t="s">
        <v>74</v>
      </c>
      <c r="O1421" s="64" t="s">
        <v>1540</v>
      </c>
      <c r="P1421" s="64"/>
      <c r="Q1421" s="64"/>
      <c r="R1421" s="64"/>
      <c r="S1421" s="65"/>
      <c r="T1421" s="194"/>
      <c r="U1421" s="75">
        <v>0</v>
      </c>
      <c r="V1421" s="75"/>
      <c r="W1421" s="75">
        <v>0</v>
      </c>
      <c r="X1421" s="1122">
        <v>0</v>
      </c>
      <c r="Y1421" s="75">
        <v>0</v>
      </c>
      <c r="Z1421" s="75">
        <v>0</v>
      </c>
      <c r="AA1421" s="1122">
        <v>0</v>
      </c>
      <c r="AB1421" s="75">
        <v>0</v>
      </c>
      <c r="AC1421" s="75">
        <v>0</v>
      </c>
      <c r="AD1421" s="1122">
        <v>0</v>
      </c>
      <c r="AE1421" s="75">
        <v>0</v>
      </c>
      <c r="AF1421" s="75">
        <v>0</v>
      </c>
      <c r="AG1421" s="1122">
        <v>0</v>
      </c>
      <c r="AH1421" s="505">
        <f t="shared" si="419"/>
        <v>0</v>
      </c>
      <c r="AI1421" s="132"/>
      <c r="AJ1421" s="75">
        <f t="shared" si="420"/>
        <v>0</v>
      </c>
      <c r="AK1421" s="79"/>
      <c r="AL1421" s="79"/>
      <c r="AM1421" s="79"/>
      <c r="AN1421" s="64" t="s">
        <v>181</v>
      </c>
      <c r="AO1421" s="1284"/>
      <c r="AP1421" s="1284"/>
      <c r="AQ1421" s="1284"/>
      <c r="AR1421" s="1284"/>
      <c r="AS1421" s="1284"/>
      <c r="AT1421" s="1284"/>
      <c r="AU1421" s="1288"/>
      <c r="AV1421" s="259"/>
      <c r="AW1421" s="1276"/>
    </row>
    <row r="1422" spans="1:49" ht="35.450000000000003" hidden="1" customHeight="1" outlineLevel="3" x14ac:dyDescent="0.25">
      <c r="A1422" s="63" t="str">
        <f t="shared" si="415"/>
        <v>4.15.3.2.6.58</v>
      </c>
      <c r="B1422" s="64">
        <v>4</v>
      </c>
      <c r="C1422" s="64">
        <v>15</v>
      </c>
      <c r="D1422" s="64">
        <v>3</v>
      </c>
      <c r="E1422" s="64">
        <v>2</v>
      </c>
      <c r="F1422" s="64">
        <v>6</v>
      </c>
      <c r="G1422" s="64">
        <v>58</v>
      </c>
      <c r="H1422" s="65"/>
      <c r="I1422" s="65"/>
      <c r="J1422" s="65"/>
      <c r="K1422" s="67" t="s">
        <v>1569</v>
      </c>
      <c r="L1422" s="64" t="s">
        <v>72</v>
      </c>
      <c r="M1422" s="64" t="s">
        <v>73</v>
      </c>
      <c r="N1422" s="64" t="s">
        <v>74</v>
      </c>
      <c r="O1422" s="64">
        <v>0</v>
      </c>
      <c r="P1422" s="64"/>
      <c r="Q1422" s="64"/>
      <c r="R1422" s="64"/>
      <c r="S1422" s="65"/>
      <c r="T1422" s="194"/>
      <c r="U1422" s="75">
        <v>0</v>
      </c>
      <c r="V1422" s="75"/>
      <c r="W1422" s="75">
        <v>0</v>
      </c>
      <c r="X1422" s="1122">
        <v>0</v>
      </c>
      <c r="Y1422" s="75">
        <v>0</v>
      </c>
      <c r="Z1422" s="75">
        <v>0</v>
      </c>
      <c r="AA1422" s="1122">
        <v>0</v>
      </c>
      <c r="AB1422" s="75">
        <v>0</v>
      </c>
      <c r="AC1422" s="75">
        <v>0</v>
      </c>
      <c r="AD1422" s="1122">
        <v>0</v>
      </c>
      <c r="AE1422" s="75">
        <v>0</v>
      </c>
      <c r="AF1422" s="75">
        <v>0</v>
      </c>
      <c r="AG1422" s="1122">
        <v>0</v>
      </c>
      <c r="AH1422" s="505">
        <f t="shared" si="419"/>
        <v>0</v>
      </c>
      <c r="AI1422" s="132"/>
      <c r="AJ1422" s="75">
        <f t="shared" si="420"/>
        <v>0</v>
      </c>
      <c r="AK1422" s="75"/>
      <c r="AL1422" s="75"/>
      <c r="AM1422" s="75"/>
      <c r="AN1422" s="64" t="s">
        <v>181</v>
      </c>
      <c r="AO1422" s="64"/>
      <c r="AP1422" s="64"/>
      <c r="AQ1422" s="189"/>
      <c r="AR1422" s="64"/>
      <c r="AS1422" s="476"/>
      <c r="AT1422" s="64"/>
      <c r="AU1422" s="646"/>
      <c r="AV1422" s="259"/>
      <c r="AW1422" s="185"/>
    </row>
    <row r="1423" spans="1:49" ht="35.450000000000003" hidden="1" customHeight="1" outlineLevel="3" x14ac:dyDescent="0.25">
      <c r="A1423" s="63" t="str">
        <f t="shared" si="415"/>
        <v>4.15.3.2.6.59</v>
      </c>
      <c r="B1423" s="64">
        <v>4</v>
      </c>
      <c r="C1423" s="64">
        <v>15</v>
      </c>
      <c r="D1423" s="64">
        <v>3</v>
      </c>
      <c r="E1423" s="64">
        <v>2</v>
      </c>
      <c r="F1423" s="64">
        <v>6</v>
      </c>
      <c r="G1423" s="64">
        <v>59</v>
      </c>
      <c r="H1423" s="65"/>
      <c r="I1423" s="65"/>
      <c r="J1423" s="65"/>
      <c r="K1423" s="65" t="s">
        <v>1570</v>
      </c>
      <c r="L1423" s="64" t="s">
        <v>72</v>
      </c>
      <c r="M1423" s="64" t="s">
        <v>73</v>
      </c>
      <c r="N1423" s="64" t="s">
        <v>74</v>
      </c>
      <c r="O1423" s="64">
        <v>1</v>
      </c>
      <c r="P1423" s="64"/>
      <c r="Q1423" s="64"/>
      <c r="R1423" s="64"/>
      <c r="S1423" s="65"/>
      <c r="T1423" s="194"/>
      <c r="U1423" s="75">
        <v>0</v>
      </c>
      <c r="V1423" s="75"/>
      <c r="W1423" s="75">
        <v>0</v>
      </c>
      <c r="X1423" s="1122">
        <v>0</v>
      </c>
      <c r="Y1423" s="75">
        <v>0</v>
      </c>
      <c r="Z1423" s="75">
        <v>0</v>
      </c>
      <c r="AA1423" s="1122">
        <v>0</v>
      </c>
      <c r="AB1423" s="75">
        <v>0</v>
      </c>
      <c r="AC1423" s="75">
        <v>0</v>
      </c>
      <c r="AD1423" s="1122">
        <v>0</v>
      </c>
      <c r="AE1423" s="75">
        <v>0</v>
      </c>
      <c r="AF1423" s="75">
        <v>0</v>
      </c>
      <c r="AG1423" s="1122">
        <v>0</v>
      </c>
      <c r="AH1423" s="505">
        <f t="shared" si="419"/>
        <v>0</v>
      </c>
      <c r="AI1423" s="132"/>
      <c r="AJ1423" s="75">
        <f t="shared" si="420"/>
        <v>0</v>
      </c>
      <c r="AK1423" s="75"/>
      <c r="AL1423" s="75"/>
      <c r="AM1423" s="75"/>
      <c r="AN1423" s="64" t="s">
        <v>181</v>
      </c>
      <c r="AO1423" s="64"/>
      <c r="AP1423" s="64"/>
      <c r="AQ1423" s="189"/>
      <c r="AR1423" s="64"/>
      <c r="AS1423" s="476"/>
      <c r="AT1423" s="64"/>
      <c r="AU1423" s="646"/>
      <c r="AV1423" s="259"/>
      <c r="AW1423" s="185"/>
    </row>
    <row r="1424" spans="1:49" ht="35.450000000000003" hidden="1" customHeight="1" outlineLevel="3" x14ac:dyDescent="0.25">
      <c r="A1424" s="63" t="str">
        <f t="shared" si="415"/>
        <v>4.15.3.2.6.60</v>
      </c>
      <c r="B1424" s="64">
        <v>4</v>
      </c>
      <c r="C1424" s="64">
        <v>15</v>
      </c>
      <c r="D1424" s="64">
        <v>3</v>
      </c>
      <c r="E1424" s="64">
        <v>2</v>
      </c>
      <c r="F1424" s="64">
        <v>6</v>
      </c>
      <c r="G1424" s="64">
        <v>60</v>
      </c>
      <c r="H1424" s="65"/>
      <c r="I1424" s="65"/>
      <c r="J1424" s="65"/>
      <c r="K1424" s="65" t="s">
        <v>1571</v>
      </c>
      <c r="L1424" s="64" t="s">
        <v>72</v>
      </c>
      <c r="M1424" s="64" t="s">
        <v>73</v>
      </c>
      <c r="N1424" s="64" t="s">
        <v>74</v>
      </c>
      <c r="O1424" s="64">
        <v>2</v>
      </c>
      <c r="P1424" s="64"/>
      <c r="Q1424" s="64"/>
      <c r="R1424" s="64"/>
      <c r="S1424" s="65"/>
      <c r="T1424" s="194"/>
      <c r="U1424" s="75">
        <v>0</v>
      </c>
      <c r="V1424" s="75"/>
      <c r="W1424" s="75">
        <v>0</v>
      </c>
      <c r="X1424" s="1122">
        <v>0</v>
      </c>
      <c r="Y1424" s="75">
        <v>0</v>
      </c>
      <c r="Z1424" s="75">
        <v>0</v>
      </c>
      <c r="AA1424" s="1122">
        <v>0</v>
      </c>
      <c r="AB1424" s="75">
        <v>0</v>
      </c>
      <c r="AC1424" s="75">
        <v>0</v>
      </c>
      <c r="AD1424" s="1122">
        <v>0</v>
      </c>
      <c r="AE1424" s="75">
        <v>0</v>
      </c>
      <c r="AF1424" s="75">
        <v>0</v>
      </c>
      <c r="AG1424" s="1122">
        <v>0</v>
      </c>
      <c r="AH1424" s="505">
        <f t="shared" si="419"/>
        <v>0</v>
      </c>
      <c r="AI1424" s="132"/>
      <c r="AJ1424" s="75">
        <f t="shared" si="420"/>
        <v>0</v>
      </c>
      <c r="AK1424" s="75"/>
      <c r="AL1424" s="75"/>
      <c r="AM1424" s="75"/>
      <c r="AN1424" s="64" t="s">
        <v>181</v>
      </c>
      <c r="AO1424" s="64"/>
      <c r="AP1424" s="64"/>
      <c r="AQ1424" s="189"/>
      <c r="AR1424" s="64"/>
      <c r="AS1424" s="476"/>
      <c r="AT1424" s="64"/>
      <c r="AU1424" s="646"/>
      <c r="AV1424" s="259"/>
      <c r="AW1424" s="185"/>
    </row>
    <row r="1425" spans="1:62" ht="35.450000000000003" hidden="1" customHeight="1" outlineLevel="3" x14ac:dyDescent="0.25">
      <c r="A1425" s="63" t="str">
        <f t="shared" si="415"/>
        <v>4.15.3.2.6.61</v>
      </c>
      <c r="B1425" s="64">
        <v>4</v>
      </c>
      <c r="C1425" s="64">
        <v>15</v>
      </c>
      <c r="D1425" s="64">
        <v>3</v>
      </c>
      <c r="E1425" s="64">
        <v>2</v>
      </c>
      <c r="F1425" s="64">
        <v>6</v>
      </c>
      <c r="G1425" s="64">
        <v>61</v>
      </c>
      <c r="H1425" s="65"/>
      <c r="I1425" s="65"/>
      <c r="J1425" s="65"/>
      <c r="K1425" s="65" t="s">
        <v>1572</v>
      </c>
      <c r="L1425" s="64" t="s">
        <v>72</v>
      </c>
      <c r="M1425" s="64" t="s">
        <v>73</v>
      </c>
      <c r="N1425" s="64" t="s">
        <v>74</v>
      </c>
      <c r="O1425" s="64">
        <v>3</v>
      </c>
      <c r="P1425" s="64"/>
      <c r="Q1425" s="64"/>
      <c r="R1425" s="64"/>
      <c r="S1425" s="65"/>
      <c r="T1425" s="194"/>
      <c r="U1425" s="75">
        <v>0</v>
      </c>
      <c r="V1425" s="75"/>
      <c r="W1425" s="75">
        <v>0</v>
      </c>
      <c r="X1425" s="1122">
        <v>0</v>
      </c>
      <c r="Y1425" s="75">
        <v>0</v>
      </c>
      <c r="Z1425" s="75">
        <v>0</v>
      </c>
      <c r="AA1425" s="1122">
        <v>0</v>
      </c>
      <c r="AB1425" s="75">
        <v>0</v>
      </c>
      <c r="AC1425" s="75">
        <v>0</v>
      </c>
      <c r="AD1425" s="1122">
        <v>0</v>
      </c>
      <c r="AE1425" s="75">
        <v>0</v>
      </c>
      <c r="AF1425" s="75">
        <v>0</v>
      </c>
      <c r="AG1425" s="1122">
        <v>0</v>
      </c>
      <c r="AH1425" s="505">
        <f t="shared" si="419"/>
        <v>0</v>
      </c>
      <c r="AI1425" s="132"/>
      <c r="AJ1425" s="75">
        <f t="shared" si="420"/>
        <v>0</v>
      </c>
      <c r="AK1425" s="75"/>
      <c r="AL1425" s="75"/>
      <c r="AM1425" s="75"/>
      <c r="AN1425" s="64" t="s">
        <v>181</v>
      </c>
      <c r="AO1425" s="64"/>
      <c r="AP1425" s="64"/>
      <c r="AQ1425" s="189"/>
      <c r="AR1425" s="64"/>
      <c r="AS1425" s="476"/>
      <c r="AT1425" s="64"/>
      <c r="AU1425" s="646"/>
      <c r="AV1425" s="259"/>
      <c r="AW1425" s="185"/>
    </row>
    <row r="1426" spans="1:62" ht="35.450000000000003" hidden="1" customHeight="1" outlineLevel="3" x14ac:dyDescent="0.25">
      <c r="A1426" s="63" t="str">
        <f t="shared" si="415"/>
        <v>4.15.3.2.6.62</v>
      </c>
      <c r="B1426" s="64">
        <v>4</v>
      </c>
      <c r="C1426" s="64">
        <v>15</v>
      </c>
      <c r="D1426" s="64">
        <v>3</v>
      </c>
      <c r="E1426" s="64">
        <v>2</v>
      </c>
      <c r="F1426" s="64">
        <v>6</v>
      </c>
      <c r="G1426" s="64">
        <v>62</v>
      </c>
      <c r="H1426" s="65"/>
      <c r="I1426" s="65"/>
      <c r="J1426" s="65"/>
      <c r="K1426" s="65" t="s">
        <v>1573</v>
      </c>
      <c r="L1426" s="64" t="s">
        <v>72</v>
      </c>
      <c r="M1426" s="64" t="s">
        <v>73</v>
      </c>
      <c r="N1426" s="64" t="s">
        <v>74</v>
      </c>
      <c r="O1426" s="64">
        <v>4</v>
      </c>
      <c r="P1426" s="64"/>
      <c r="Q1426" s="64"/>
      <c r="R1426" s="64"/>
      <c r="S1426" s="65"/>
      <c r="T1426" s="194"/>
      <c r="U1426" s="75">
        <v>0</v>
      </c>
      <c r="V1426" s="75"/>
      <c r="W1426" s="75">
        <v>0</v>
      </c>
      <c r="X1426" s="1122">
        <v>0</v>
      </c>
      <c r="Y1426" s="75">
        <v>0</v>
      </c>
      <c r="Z1426" s="75">
        <v>0</v>
      </c>
      <c r="AA1426" s="1122">
        <v>0</v>
      </c>
      <c r="AB1426" s="75">
        <v>0</v>
      </c>
      <c r="AC1426" s="75">
        <v>0</v>
      </c>
      <c r="AD1426" s="1122">
        <v>0</v>
      </c>
      <c r="AE1426" s="75">
        <v>0</v>
      </c>
      <c r="AF1426" s="75">
        <v>0</v>
      </c>
      <c r="AG1426" s="1122">
        <v>0</v>
      </c>
      <c r="AH1426" s="505">
        <f t="shared" si="419"/>
        <v>0</v>
      </c>
      <c r="AI1426" s="132"/>
      <c r="AJ1426" s="75">
        <f t="shared" si="420"/>
        <v>0</v>
      </c>
      <c r="AK1426" s="75"/>
      <c r="AL1426" s="75"/>
      <c r="AM1426" s="75"/>
      <c r="AN1426" s="64" t="s">
        <v>181</v>
      </c>
      <c r="AO1426" s="64"/>
      <c r="AP1426" s="64"/>
      <c r="AQ1426" s="189"/>
      <c r="AR1426" s="64"/>
      <c r="AS1426" s="476"/>
      <c r="AT1426" s="64"/>
      <c r="AU1426" s="646"/>
      <c r="AV1426" s="259"/>
      <c r="AW1426" s="185"/>
    </row>
    <row r="1427" spans="1:62" ht="35.450000000000003" hidden="1" customHeight="1" outlineLevel="3" x14ac:dyDescent="0.25">
      <c r="A1427" s="63" t="str">
        <f t="shared" si="415"/>
        <v>4.15.3.2.6.63</v>
      </c>
      <c r="B1427" s="64">
        <v>4</v>
      </c>
      <c r="C1427" s="64">
        <v>15</v>
      </c>
      <c r="D1427" s="64">
        <v>3</v>
      </c>
      <c r="E1427" s="64">
        <v>2</v>
      </c>
      <c r="F1427" s="64">
        <v>6</v>
      </c>
      <c r="G1427" s="64">
        <v>63</v>
      </c>
      <c r="H1427" s="65"/>
      <c r="I1427" s="65"/>
      <c r="J1427" s="65"/>
      <c r="K1427" s="65" t="s">
        <v>1787</v>
      </c>
      <c r="L1427" s="64" t="s">
        <v>72</v>
      </c>
      <c r="M1427" s="64" t="s">
        <v>73</v>
      </c>
      <c r="N1427" s="64" t="s">
        <v>74</v>
      </c>
      <c r="O1427" s="64">
        <v>5</v>
      </c>
      <c r="P1427" s="64"/>
      <c r="Q1427" s="64"/>
      <c r="R1427" s="64"/>
      <c r="S1427" s="65"/>
      <c r="T1427" s="194"/>
      <c r="U1427" s="75">
        <v>0</v>
      </c>
      <c r="V1427" s="75"/>
      <c r="W1427" s="75">
        <v>0</v>
      </c>
      <c r="X1427" s="1122">
        <v>0</v>
      </c>
      <c r="Y1427" s="75">
        <v>0</v>
      </c>
      <c r="Z1427" s="75">
        <v>0</v>
      </c>
      <c r="AA1427" s="1122">
        <v>0</v>
      </c>
      <c r="AB1427" s="75">
        <v>0</v>
      </c>
      <c r="AC1427" s="75">
        <v>0</v>
      </c>
      <c r="AD1427" s="1122">
        <v>0</v>
      </c>
      <c r="AE1427" s="75">
        <v>0</v>
      </c>
      <c r="AF1427" s="75">
        <v>0</v>
      </c>
      <c r="AG1427" s="1122">
        <v>0</v>
      </c>
      <c r="AH1427" s="505">
        <f t="shared" si="419"/>
        <v>0</v>
      </c>
      <c r="AI1427" s="132"/>
      <c r="AJ1427" s="75">
        <f t="shared" si="420"/>
        <v>0</v>
      </c>
      <c r="AK1427" s="75"/>
      <c r="AL1427" s="75"/>
      <c r="AM1427" s="75"/>
      <c r="AN1427" s="64" t="s">
        <v>181</v>
      </c>
      <c r="AO1427" s="64"/>
      <c r="AP1427" s="64"/>
      <c r="AQ1427" s="189"/>
      <c r="AR1427" s="64"/>
      <c r="AS1427" s="476"/>
      <c r="AT1427" s="64"/>
      <c r="AU1427" s="646"/>
      <c r="AV1427" s="259"/>
      <c r="AW1427" s="185"/>
    </row>
    <row r="1428" spans="1:62" ht="35.450000000000003" hidden="1" customHeight="1" outlineLevel="3" x14ac:dyDescent="0.25">
      <c r="A1428" s="63" t="str">
        <f t="shared" si="415"/>
        <v>4.15.3.2.6.64</v>
      </c>
      <c r="B1428" s="64">
        <v>4</v>
      </c>
      <c r="C1428" s="64">
        <v>15</v>
      </c>
      <c r="D1428" s="64">
        <v>3</v>
      </c>
      <c r="E1428" s="64">
        <v>2</v>
      </c>
      <c r="F1428" s="64">
        <v>6</v>
      </c>
      <c r="G1428" s="64">
        <v>64</v>
      </c>
      <c r="H1428" s="65"/>
      <c r="I1428" s="65"/>
      <c r="J1428" s="65"/>
      <c r="K1428" s="67" t="s">
        <v>1574</v>
      </c>
      <c r="L1428" s="64" t="s">
        <v>72</v>
      </c>
      <c r="M1428" s="64" t="s">
        <v>73</v>
      </c>
      <c r="N1428" s="64" t="s">
        <v>74</v>
      </c>
      <c r="O1428" s="64">
        <v>6</v>
      </c>
      <c r="P1428" s="64"/>
      <c r="Q1428" s="64"/>
      <c r="R1428" s="64"/>
      <c r="S1428" s="65"/>
      <c r="T1428" s="194"/>
      <c r="U1428" s="75">
        <v>0</v>
      </c>
      <c r="V1428" s="75"/>
      <c r="W1428" s="75">
        <v>0</v>
      </c>
      <c r="X1428" s="1122">
        <v>0</v>
      </c>
      <c r="Y1428" s="75">
        <v>0</v>
      </c>
      <c r="Z1428" s="75">
        <v>0</v>
      </c>
      <c r="AA1428" s="1122">
        <v>0</v>
      </c>
      <c r="AB1428" s="75">
        <v>0</v>
      </c>
      <c r="AC1428" s="75">
        <v>0</v>
      </c>
      <c r="AD1428" s="1122">
        <v>0</v>
      </c>
      <c r="AE1428" s="75">
        <v>0</v>
      </c>
      <c r="AF1428" s="75">
        <v>0</v>
      </c>
      <c r="AG1428" s="1122">
        <v>0</v>
      </c>
      <c r="AH1428" s="505">
        <f t="shared" si="419"/>
        <v>0</v>
      </c>
      <c r="AI1428" s="132"/>
      <c r="AJ1428" s="75">
        <f t="shared" si="420"/>
        <v>0</v>
      </c>
      <c r="AK1428" s="75"/>
      <c r="AL1428" s="75"/>
      <c r="AM1428" s="75"/>
      <c r="AN1428" s="64" t="s">
        <v>181</v>
      </c>
      <c r="AO1428" s="64"/>
      <c r="AP1428" s="64"/>
      <c r="AQ1428" s="189"/>
      <c r="AR1428" s="64"/>
      <c r="AS1428" s="476"/>
      <c r="AT1428" s="64"/>
      <c r="AU1428" s="646"/>
      <c r="AV1428" s="259"/>
      <c r="AW1428" s="185"/>
    </row>
    <row r="1429" spans="1:62" s="153" customFormat="1" ht="30" customHeight="1" outlineLevel="2" x14ac:dyDescent="0.25">
      <c r="A1429" s="108" t="str">
        <f t="shared" si="415"/>
        <v>4.16.3.0.0.0</v>
      </c>
      <c r="B1429" s="109">
        <v>4</v>
      </c>
      <c r="C1429" s="109">
        <v>16</v>
      </c>
      <c r="D1429" s="109">
        <v>3</v>
      </c>
      <c r="E1429" s="109">
        <v>0</v>
      </c>
      <c r="F1429" s="109">
        <v>0</v>
      </c>
      <c r="G1429" s="109">
        <v>0</v>
      </c>
      <c r="H1429" s="110"/>
      <c r="I1429" s="1277" t="s">
        <v>1575</v>
      </c>
      <c r="J1429" s="1278"/>
      <c r="K1429" s="1279"/>
      <c r="L1429" s="109" t="s">
        <v>1576</v>
      </c>
      <c r="M1429" s="109" t="s">
        <v>1464</v>
      </c>
      <c r="N1429" s="109" t="s">
        <v>1444</v>
      </c>
      <c r="O1429" s="109" t="s">
        <v>1577</v>
      </c>
      <c r="P1429" s="109"/>
      <c r="Q1429" s="108"/>
      <c r="R1429" s="108"/>
      <c r="S1429" s="108"/>
      <c r="T1429" s="1183"/>
      <c r="U1429" s="112">
        <f t="shared" ref="U1429:AM1429" si="421">+U1430+U1439+U1448+U1457+U1466+U1475+U1484+U1493</f>
        <v>0</v>
      </c>
      <c r="V1429" s="112"/>
      <c r="W1429" s="1101">
        <f t="shared" si="421"/>
        <v>0</v>
      </c>
      <c r="X1429" s="1161">
        <f t="shared" si="421"/>
        <v>0</v>
      </c>
      <c r="Y1429" s="1101">
        <f t="shared" si="421"/>
        <v>0</v>
      </c>
      <c r="Z1429" s="1101">
        <f t="shared" si="421"/>
        <v>0</v>
      </c>
      <c r="AA1429" s="1161">
        <f t="shared" si="421"/>
        <v>0</v>
      </c>
      <c r="AB1429" s="1101">
        <f t="shared" si="421"/>
        <v>0</v>
      </c>
      <c r="AC1429" s="1101">
        <f t="shared" si="421"/>
        <v>0</v>
      </c>
      <c r="AD1429" s="1161">
        <f t="shared" si="421"/>
        <v>0</v>
      </c>
      <c r="AE1429" s="1101">
        <f t="shared" si="421"/>
        <v>0</v>
      </c>
      <c r="AF1429" s="1101">
        <f t="shared" si="421"/>
        <v>0</v>
      </c>
      <c r="AG1429" s="1161">
        <f t="shared" si="421"/>
        <v>0</v>
      </c>
      <c r="AH1429" s="374">
        <f t="shared" si="421"/>
        <v>0</v>
      </c>
      <c r="AI1429" s="514">
        <f t="shared" si="421"/>
        <v>0</v>
      </c>
      <c r="AJ1429" s="514">
        <f>+AJ1430+AJ1439+AJ1448+AJ1457+AJ1466+AJ1475+AJ1484+AJ1493</f>
        <v>0</v>
      </c>
      <c r="AK1429" s="514">
        <f t="shared" si="421"/>
        <v>0</v>
      </c>
      <c r="AL1429" s="514">
        <f t="shared" si="421"/>
        <v>0</v>
      </c>
      <c r="AM1429" s="514">
        <f t="shared" si="421"/>
        <v>0</v>
      </c>
      <c r="AN1429" s="109" t="s">
        <v>181</v>
      </c>
      <c r="AO1429" s="109"/>
      <c r="AP1429" s="109"/>
      <c r="AQ1429" s="411"/>
      <c r="AR1429" s="109"/>
      <c r="AS1429" s="473"/>
      <c r="AT1429" s="109"/>
      <c r="AU1429" s="659"/>
      <c r="AV1429" s="374">
        <f t="shared" ref="AV1429" si="422">+AV1430+AV1439+AV1448+AV1457+AV1466+AV1475+AV1484+AV1493</f>
        <v>0</v>
      </c>
      <c r="AW1429" s="461"/>
      <c r="AX1429" s="289"/>
      <c r="AY1429" s="290"/>
      <c r="AZ1429" s="291"/>
      <c r="BA1429" s="1280"/>
      <c r="BB1429" s="1280"/>
      <c r="BC1429" s="1281"/>
      <c r="BD1429" s="289"/>
      <c r="BE1429" s="289"/>
      <c r="BF1429" s="289"/>
      <c r="BG1429" s="289"/>
      <c r="BH1429" s="289"/>
      <c r="BI1429" s="290"/>
      <c r="BJ1429" s="291"/>
    </row>
    <row r="1430" spans="1:62" s="153" customFormat="1" ht="48.75" customHeight="1" outlineLevel="2" collapsed="1" x14ac:dyDescent="0.25">
      <c r="A1430" s="148" t="str">
        <f t="shared" si="415"/>
        <v>4.16.3.1.0.58</v>
      </c>
      <c r="B1430" s="82">
        <v>4</v>
      </c>
      <c r="C1430" s="82">
        <v>16</v>
      </c>
      <c r="D1430" s="82">
        <v>3</v>
      </c>
      <c r="E1430" s="82">
        <v>1</v>
      </c>
      <c r="F1430" s="82">
        <v>0</v>
      </c>
      <c r="G1430" s="82">
        <v>58</v>
      </c>
      <c r="H1430" s="149"/>
      <c r="I1430" s="149"/>
      <c r="J1430" s="1260" t="s">
        <v>1578</v>
      </c>
      <c r="K1430" s="1259"/>
      <c r="L1430" s="82" t="s">
        <v>1452</v>
      </c>
      <c r="M1430" s="82" t="s">
        <v>1464</v>
      </c>
      <c r="N1430" s="82" t="s">
        <v>1444</v>
      </c>
      <c r="O1430" s="82" t="s">
        <v>1204</v>
      </c>
      <c r="P1430" s="82"/>
      <c r="Q1430" s="82"/>
      <c r="R1430" s="82"/>
      <c r="S1430" s="149"/>
      <c r="T1430" s="193"/>
      <c r="U1430" s="152">
        <f t="shared" ref="U1430:AG1430" si="423">SUM(U1431:U1438)</f>
        <v>0</v>
      </c>
      <c r="V1430" s="152"/>
      <c r="W1430" s="1102">
        <f t="shared" si="423"/>
        <v>0</v>
      </c>
      <c r="X1430" s="1162">
        <f t="shared" si="423"/>
        <v>0</v>
      </c>
      <c r="Y1430" s="1102">
        <f t="shared" si="423"/>
        <v>0</v>
      </c>
      <c r="Z1430" s="1102">
        <f t="shared" si="423"/>
        <v>0</v>
      </c>
      <c r="AA1430" s="1162">
        <f t="shared" si="423"/>
        <v>0</v>
      </c>
      <c r="AB1430" s="1102">
        <f t="shared" si="423"/>
        <v>0</v>
      </c>
      <c r="AC1430" s="1102">
        <f t="shared" si="423"/>
        <v>0</v>
      </c>
      <c r="AD1430" s="1162">
        <f t="shared" si="423"/>
        <v>0</v>
      </c>
      <c r="AE1430" s="1102">
        <f t="shared" si="423"/>
        <v>0</v>
      </c>
      <c r="AF1430" s="1102">
        <f t="shared" si="423"/>
        <v>0</v>
      </c>
      <c r="AG1430" s="1162">
        <f t="shared" si="423"/>
        <v>0</v>
      </c>
      <c r="AH1430" s="380">
        <f t="shared" ref="AH1430" si="424">+SUM(AH1431:AH1438)</f>
        <v>0</v>
      </c>
      <c r="AI1430" s="513">
        <f>+SUM(AI1431:AI1438)</f>
        <v>0</v>
      </c>
      <c r="AJ1430" s="513">
        <f>+SUM(AJ1431:AJ1438)</f>
        <v>0</v>
      </c>
      <c r="AK1430" s="198"/>
      <c r="AL1430" s="198"/>
      <c r="AM1430" s="198"/>
      <c r="AN1430" s="82" t="s">
        <v>181</v>
      </c>
      <c r="AO1430" s="82"/>
      <c r="AP1430" s="82"/>
      <c r="AQ1430" s="365"/>
      <c r="AR1430" s="82"/>
      <c r="AS1430" s="483"/>
      <c r="AT1430" s="82"/>
      <c r="AU1430" s="666"/>
      <c r="AV1430" s="380">
        <f t="shared" ref="AV1430" si="425">+SUM(AV1431:AV1438)</f>
        <v>0</v>
      </c>
      <c r="AW1430" s="449" t="s">
        <v>1579</v>
      </c>
    </row>
    <row r="1431" spans="1:62" ht="23.45" hidden="1" customHeight="1" outlineLevel="3" x14ac:dyDescent="0.25">
      <c r="A1431" s="63" t="str">
        <f t="shared" si="415"/>
        <v>4.16.3.1.1.58</v>
      </c>
      <c r="B1431" s="64">
        <v>4</v>
      </c>
      <c r="C1431" s="64">
        <v>16</v>
      </c>
      <c r="D1431" s="64">
        <v>3</v>
      </c>
      <c r="E1431" s="64">
        <v>1</v>
      </c>
      <c r="F1431" s="64">
        <v>1</v>
      </c>
      <c r="G1431" s="64">
        <v>58</v>
      </c>
      <c r="H1431" s="65"/>
      <c r="I1431" s="65"/>
      <c r="J1431" s="66"/>
      <c r="K1431" s="65" t="s">
        <v>1580</v>
      </c>
      <c r="L1431" s="64" t="s">
        <v>1576</v>
      </c>
      <c r="M1431" s="64" t="s">
        <v>144</v>
      </c>
      <c r="N1431" s="64" t="s">
        <v>265</v>
      </c>
      <c r="O1431" s="64" t="s">
        <v>1544</v>
      </c>
      <c r="P1431" s="64"/>
      <c r="Q1431" s="64"/>
      <c r="R1431" s="170">
        <v>12</v>
      </c>
      <c r="S1431" s="65" t="s">
        <v>1581</v>
      </c>
      <c r="T1431" s="194">
        <v>3</v>
      </c>
      <c r="U1431" s="179">
        <v>0</v>
      </c>
      <c r="V1431" s="179"/>
      <c r="W1431" s="179">
        <v>0</v>
      </c>
      <c r="X1431" s="1159">
        <v>0</v>
      </c>
      <c r="Y1431" s="179">
        <v>0</v>
      </c>
      <c r="Z1431" s="179">
        <v>0</v>
      </c>
      <c r="AA1431" s="1159">
        <v>0</v>
      </c>
      <c r="AB1431" s="179">
        <v>0</v>
      </c>
      <c r="AC1431" s="179">
        <v>0</v>
      </c>
      <c r="AD1431" s="1159">
        <v>0</v>
      </c>
      <c r="AE1431" s="179">
        <v>0</v>
      </c>
      <c r="AF1431" s="179">
        <v>0</v>
      </c>
      <c r="AG1431" s="1159">
        <f t="shared" ref="AG1431:AG1438" si="426">+U1431+Y1431+AB1431+AE1431</f>
        <v>0</v>
      </c>
      <c r="AH1431" s="505">
        <f t="shared" ref="AH1431:AH1438" si="427">+W1431+Y1431+AB1431+AE1431</f>
        <v>0</v>
      </c>
      <c r="AI1431" s="132"/>
      <c r="AJ1431" s="75">
        <f t="shared" ref="AJ1431:AJ1438" si="428">+W1432+Z1432+AC1432+AF1432</f>
        <v>0</v>
      </c>
      <c r="AK1431" s="75"/>
      <c r="AL1431" s="75"/>
      <c r="AM1431" s="75"/>
      <c r="AN1431" s="64" t="s">
        <v>181</v>
      </c>
      <c r="AO1431" s="64"/>
      <c r="AP1431" s="64"/>
      <c r="AQ1431" s="189"/>
      <c r="AR1431" s="64"/>
      <c r="AS1431" s="476"/>
      <c r="AT1431" s="64"/>
      <c r="AU1431" s="646"/>
      <c r="AV1431" s="259" t="s">
        <v>1582</v>
      </c>
      <c r="AW1431" s="185"/>
    </row>
    <row r="1432" spans="1:62" ht="23.45" hidden="1" customHeight="1" outlineLevel="3" x14ac:dyDescent="0.25">
      <c r="A1432" s="63" t="str">
        <f t="shared" si="415"/>
        <v>4.16.3.1.2.58</v>
      </c>
      <c r="B1432" s="64">
        <v>4</v>
      </c>
      <c r="C1432" s="64">
        <v>16</v>
      </c>
      <c r="D1432" s="64">
        <v>3</v>
      </c>
      <c r="E1432" s="64">
        <v>1</v>
      </c>
      <c r="F1432" s="64">
        <v>2</v>
      </c>
      <c r="G1432" s="64">
        <v>58</v>
      </c>
      <c r="H1432" s="65"/>
      <c r="I1432" s="65"/>
      <c r="J1432" s="66"/>
      <c r="K1432" s="65" t="s">
        <v>1583</v>
      </c>
      <c r="L1432" s="64" t="s">
        <v>1475</v>
      </c>
      <c r="M1432" s="64" t="s">
        <v>1318</v>
      </c>
      <c r="N1432" s="64" t="s">
        <v>1223</v>
      </c>
      <c r="O1432" s="64" t="s">
        <v>1544</v>
      </c>
      <c r="P1432" s="69"/>
      <c r="Q1432" s="69"/>
      <c r="R1432" s="64">
        <v>12</v>
      </c>
      <c r="S1432" s="65" t="s">
        <v>1581</v>
      </c>
      <c r="T1432" s="194">
        <v>3</v>
      </c>
      <c r="U1432" s="179">
        <v>0</v>
      </c>
      <c r="V1432" s="179"/>
      <c r="W1432" s="179">
        <v>0</v>
      </c>
      <c r="X1432" s="1159">
        <v>0</v>
      </c>
      <c r="Y1432" s="179">
        <v>0</v>
      </c>
      <c r="Z1432" s="179">
        <v>0</v>
      </c>
      <c r="AA1432" s="1159">
        <v>0</v>
      </c>
      <c r="AB1432" s="179">
        <v>0</v>
      </c>
      <c r="AC1432" s="179">
        <v>0</v>
      </c>
      <c r="AD1432" s="1159">
        <v>0</v>
      </c>
      <c r="AE1432" s="179">
        <v>0</v>
      </c>
      <c r="AF1432" s="179">
        <v>0</v>
      </c>
      <c r="AG1432" s="1159">
        <f t="shared" si="426"/>
        <v>0</v>
      </c>
      <c r="AH1432" s="505">
        <f t="shared" si="427"/>
        <v>0</v>
      </c>
      <c r="AI1432" s="132"/>
      <c r="AJ1432" s="75">
        <f t="shared" si="428"/>
        <v>0</v>
      </c>
      <c r="AK1432" s="75"/>
      <c r="AL1432" s="75"/>
      <c r="AM1432" s="75"/>
      <c r="AN1432" s="64" t="s">
        <v>181</v>
      </c>
      <c r="AO1432" s="995"/>
      <c r="AP1432" s="995"/>
      <c r="AQ1432" s="996"/>
      <c r="AR1432" s="104"/>
      <c r="AS1432" s="997"/>
      <c r="AT1432" s="998"/>
      <c r="AU1432" s="981"/>
      <c r="AV1432" s="259" t="s">
        <v>1584</v>
      </c>
      <c r="AW1432" s="335"/>
    </row>
    <row r="1433" spans="1:62" ht="23.45" hidden="1" customHeight="1" outlineLevel="3" x14ac:dyDescent="0.25">
      <c r="A1433" s="63" t="str">
        <f t="shared" si="415"/>
        <v>4.16.3.1.3.58</v>
      </c>
      <c r="B1433" s="64">
        <v>4</v>
      </c>
      <c r="C1433" s="64">
        <v>16</v>
      </c>
      <c r="D1433" s="64">
        <v>3</v>
      </c>
      <c r="E1433" s="64">
        <v>1</v>
      </c>
      <c r="F1433" s="64">
        <v>3</v>
      </c>
      <c r="G1433" s="64">
        <v>58</v>
      </c>
      <c r="H1433" s="65"/>
      <c r="I1433" s="65"/>
      <c r="J1433" s="66"/>
      <c r="K1433" s="65" t="s">
        <v>1586</v>
      </c>
      <c r="L1433" s="64" t="s">
        <v>1475</v>
      </c>
      <c r="M1433" s="64" t="s">
        <v>1318</v>
      </c>
      <c r="N1433" s="64" t="s">
        <v>1249</v>
      </c>
      <c r="O1433" s="64" t="s">
        <v>1544</v>
      </c>
      <c r="P1433" s="69"/>
      <c r="Q1433" s="69"/>
      <c r="R1433" s="171">
        <v>6</v>
      </c>
      <c r="S1433" s="65"/>
      <c r="T1433" s="194">
        <v>1</v>
      </c>
      <c r="U1433" s="179">
        <v>0</v>
      </c>
      <c r="V1433" s="179"/>
      <c r="W1433" s="179">
        <v>0</v>
      </c>
      <c r="X1433" s="1159">
        <v>0</v>
      </c>
      <c r="Y1433" s="179">
        <v>0</v>
      </c>
      <c r="Z1433" s="179">
        <v>0</v>
      </c>
      <c r="AA1433" s="1159">
        <v>0</v>
      </c>
      <c r="AB1433" s="179">
        <v>0</v>
      </c>
      <c r="AC1433" s="179">
        <v>0</v>
      </c>
      <c r="AD1433" s="1159">
        <v>0</v>
      </c>
      <c r="AE1433" s="179">
        <v>0</v>
      </c>
      <c r="AF1433" s="179">
        <v>0</v>
      </c>
      <c r="AG1433" s="1159">
        <f t="shared" si="426"/>
        <v>0</v>
      </c>
      <c r="AH1433" s="505">
        <f t="shared" si="427"/>
        <v>0</v>
      </c>
      <c r="AI1433" s="132"/>
      <c r="AJ1433" s="75">
        <f t="shared" si="428"/>
        <v>0</v>
      </c>
      <c r="AK1433" s="75"/>
      <c r="AL1433" s="75"/>
      <c r="AM1433" s="75"/>
      <c r="AN1433" s="64" t="s">
        <v>181</v>
      </c>
      <c r="AO1433" s="64"/>
      <c r="AP1433" s="64"/>
      <c r="AQ1433" s="189"/>
      <c r="AR1433" s="64"/>
      <c r="AS1433" s="476"/>
      <c r="AT1433" s="64"/>
      <c r="AU1433" s="646"/>
      <c r="AV1433" s="259" t="s">
        <v>1587</v>
      </c>
      <c r="AW1433" s="185" t="s">
        <v>127</v>
      </c>
    </row>
    <row r="1434" spans="1:62" ht="23.45" hidden="1" customHeight="1" outlineLevel="3" x14ac:dyDescent="0.25">
      <c r="A1434" s="63" t="str">
        <f t="shared" si="415"/>
        <v>4.16.3.1.4.58</v>
      </c>
      <c r="B1434" s="64">
        <v>4</v>
      </c>
      <c r="C1434" s="64">
        <v>16</v>
      </c>
      <c r="D1434" s="64">
        <v>3</v>
      </c>
      <c r="E1434" s="64">
        <v>1</v>
      </c>
      <c r="F1434" s="64">
        <v>4</v>
      </c>
      <c r="G1434" s="64">
        <v>58</v>
      </c>
      <c r="H1434" s="65"/>
      <c r="I1434" s="65"/>
      <c r="J1434" s="66"/>
      <c r="K1434" s="65" t="s">
        <v>1588</v>
      </c>
      <c r="L1434" s="64" t="s">
        <v>1475</v>
      </c>
      <c r="M1434" s="64" t="s">
        <v>1318</v>
      </c>
      <c r="N1434" s="64" t="s">
        <v>74</v>
      </c>
      <c r="O1434" s="64" t="s">
        <v>1524</v>
      </c>
      <c r="P1434" s="69"/>
      <c r="Q1434" s="69"/>
      <c r="R1434" s="171">
        <v>14</v>
      </c>
      <c r="S1434" s="65" t="s">
        <v>1589</v>
      </c>
      <c r="T1434" s="194">
        <v>5</v>
      </c>
      <c r="U1434" s="179">
        <v>0</v>
      </c>
      <c r="V1434" s="179"/>
      <c r="W1434" s="179">
        <v>0</v>
      </c>
      <c r="X1434" s="1159">
        <v>0</v>
      </c>
      <c r="Y1434" s="179">
        <v>0</v>
      </c>
      <c r="Z1434" s="179">
        <v>0</v>
      </c>
      <c r="AA1434" s="1159">
        <v>0</v>
      </c>
      <c r="AB1434" s="179">
        <v>0</v>
      </c>
      <c r="AC1434" s="179">
        <v>0</v>
      </c>
      <c r="AD1434" s="1159">
        <v>0</v>
      </c>
      <c r="AE1434" s="179">
        <v>0</v>
      </c>
      <c r="AF1434" s="179">
        <v>0</v>
      </c>
      <c r="AG1434" s="1159">
        <f t="shared" si="426"/>
        <v>0</v>
      </c>
      <c r="AH1434" s="505">
        <f t="shared" si="427"/>
        <v>0</v>
      </c>
      <c r="AI1434" s="132"/>
      <c r="AJ1434" s="75">
        <f t="shared" si="428"/>
        <v>0</v>
      </c>
      <c r="AK1434" s="75"/>
      <c r="AL1434" s="75"/>
      <c r="AM1434" s="75"/>
      <c r="AN1434" s="64" t="s">
        <v>181</v>
      </c>
      <c r="AO1434" s="64"/>
      <c r="AP1434" s="64"/>
      <c r="AQ1434" s="189"/>
      <c r="AR1434" s="64"/>
      <c r="AS1434" s="476"/>
      <c r="AT1434" s="64"/>
      <c r="AU1434" s="646"/>
      <c r="AV1434" s="259" t="s">
        <v>1590</v>
      </c>
      <c r="AW1434" s="185"/>
    </row>
    <row r="1435" spans="1:62" ht="23.45" hidden="1" customHeight="1" outlineLevel="3" x14ac:dyDescent="0.25">
      <c r="A1435" s="63" t="str">
        <f t="shared" si="415"/>
        <v>4.16.3.1.5.58</v>
      </c>
      <c r="B1435" s="64">
        <v>4</v>
      </c>
      <c r="C1435" s="64">
        <v>16</v>
      </c>
      <c r="D1435" s="64">
        <v>3</v>
      </c>
      <c r="E1435" s="64">
        <v>1</v>
      </c>
      <c r="F1435" s="64">
        <v>5</v>
      </c>
      <c r="G1435" s="64">
        <v>58</v>
      </c>
      <c r="H1435" s="65"/>
      <c r="I1435" s="65"/>
      <c r="J1435" s="66"/>
      <c r="K1435" s="65" t="s">
        <v>1591</v>
      </c>
      <c r="L1435" s="64" t="s">
        <v>1475</v>
      </c>
      <c r="M1435" s="64" t="s">
        <v>1318</v>
      </c>
      <c r="N1435" s="64" t="s">
        <v>74</v>
      </c>
      <c r="O1435" s="64" t="s">
        <v>1524</v>
      </c>
      <c r="P1435" s="69"/>
      <c r="Q1435" s="69"/>
      <c r="R1435" s="171">
        <f>4*2</f>
        <v>8</v>
      </c>
      <c r="S1435" s="65" t="s">
        <v>1589</v>
      </c>
      <c r="T1435" s="194">
        <v>4</v>
      </c>
      <c r="U1435" s="179">
        <v>0</v>
      </c>
      <c r="V1435" s="179"/>
      <c r="W1435" s="179">
        <v>0</v>
      </c>
      <c r="X1435" s="1159">
        <v>0</v>
      </c>
      <c r="Y1435" s="179">
        <v>0</v>
      </c>
      <c r="Z1435" s="179">
        <v>0</v>
      </c>
      <c r="AA1435" s="1159">
        <v>0</v>
      </c>
      <c r="AB1435" s="179">
        <v>0</v>
      </c>
      <c r="AC1435" s="179">
        <v>0</v>
      </c>
      <c r="AD1435" s="1159">
        <v>0</v>
      </c>
      <c r="AE1435" s="179">
        <v>0</v>
      </c>
      <c r="AF1435" s="179">
        <v>0</v>
      </c>
      <c r="AG1435" s="1159">
        <f t="shared" si="426"/>
        <v>0</v>
      </c>
      <c r="AH1435" s="505">
        <f t="shared" si="427"/>
        <v>0</v>
      </c>
      <c r="AI1435" s="132"/>
      <c r="AJ1435" s="75">
        <f t="shared" si="428"/>
        <v>0</v>
      </c>
      <c r="AK1435" s="75"/>
      <c r="AL1435" s="75"/>
      <c r="AM1435" s="75"/>
      <c r="AN1435" s="64" t="s">
        <v>181</v>
      </c>
      <c r="AO1435" s="64"/>
      <c r="AP1435" s="64"/>
      <c r="AQ1435" s="189"/>
      <c r="AR1435" s="64"/>
      <c r="AS1435" s="476"/>
      <c r="AT1435" s="64"/>
      <c r="AU1435" s="646"/>
      <c r="AV1435" s="259" t="s">
        <v>1592</v>
      </c>
      <c r="AW1435" s="185"/>
    </row>
    <row r="1436" spans="1:62" ht="23.45" hidden="1" customHeight="1" outlineLevel="3" x14ac:dyDescent="0.25">
      <c r="A1436" s="63" t="str">
        <f t="shared" si="415"/>
        <v>4.16.3.1.6.58</v>
      </c>
      <c r="B1436" s="64">
        <v>4</v>
      </c>
      <c r="C1436" s="64">
        <v>16</v>
      </c>
      <c r="D1436" s="64">
        <v>3</v>
      </c>
      <c r="E1436" s="64">
        <v>1</v>
      </c>
      <c r="F1436" s="64">
        <v>6</v>
      </c>
      <c r="G1436" s="64">
        <v>58</v>
      </c>
      <c r="H1436" s="65"/>
      <c r="I1436" s="65"/>
      <c r="J1436" s="66"/>
      <c r="K1436" s="65" t="s">
        <v>1593</v>
      </c>
      <c r="L1436" s="64" t="s">
        <v>1475</v>
      </c>
      <c r="M1436" s="64" t="s">
        <v>1318</v>
      </c>
      <c r="N1436" s="64" t="s">
        <v>74</v>
      </c>
      <c r="O1436" s="64" t="s">
        <v>1475</v>
      </c>
      <c r="P1436" s="69"/>
      <c r="Q1436" s="69"/>
      <c r="R1436" s="171">
        <v>1</v>
      </c>
      <c r="S1436" s="65" t="s">
        <v>1589</v>
      </c>
      <c r="T1436" s="194"/>
      <c r="U1436" s="179">
        <v>0</v>
      </c>
      <c r="V1436" s="179"/>
      <c r="W1436" s="179">
        <v>0</v>
      </c>
      <c r="X1436" s="1159">
        <v>0</v>
      </c>
      <c r="Y1436" s="179">
        <v>0</v>
      </c>
      <c r="Z1436" s="179">
        <v>0</v>
      </c>
      <c r="AA1436" s="1159">
        <v>0</v>
      </c>
      <c r="AB1436" s="179">
        <v>0</v>
      </c>
      <c r="AC1436" s="179">
        <v>0</v>
      </c>
      <c r="AD1436" s="1159">
        <v>0</v>
      </c>
      <c r="AE1436" s="179">
        <v>0</v>
      </c>
      <c r="AF1436" s="179">
        <v>0</v>
      </c>
      <c r="AG1436" s="1159">
        <f t="shared" si="426"/>
        <v>0</v>
      </c>
      <c r="AH1436" s="505">
        <f t="shared" si="427"/>
        <v>0</v>
      </c>
      <c r="AI1436" s="132"/>
      <c r="AJ1436" s="75">
        <f t="shared" si="428"/>
        <v>0</v>
      </c>
      <c r="AK1436" s="75"/>
      <c r="AL1436" s="75"/>
      <c r="AM1436" s="75"/>
      <c r="AN1436" s="64" t="s">
        <v>181</v>
      </c>
      <c r="AO1436" s="64"/>
      <c r="AP1436" s="64"/>
      <c r="AQ1436" s="189"/>
      <c r="AR1436" s="64"/>
      <c r="AS1436" s="476"/>
      <c r="AT1436" s="64"/>
      <c r="AU1436" s="646"/>
      <c r="AV1436" s="259" t="s">
        <v>1593</v>
      </c>
      <c r="AW1436" s="185"/>
    </row>
    <row r="1437" spans="1:62" ht="23.45" hidden="1" customHeight="1" outlineLevel="3" x14ac:dyDescent="0.25">
      <c r="A1437" s="63" t="str">
        <f t="shared" si="415"/>
        <v>4.16.3.1.7.58</v>
      </c>
      <c r="B1437" s="64">
        <v>4</v>
      </c>
      <c r="C1437" s="64">
        <v>16</v>
      </c>
      <c r="D1437" s="64">
        <v>3</v>
      </c>
      <c r="E1437" s="64">
        <v>1</v>
      </c>
      <c r="F1437" s="64">
        <v>7</v>
      </c>
      <c r="G1437" s="64">
        <v>58</v>
      </c>
      <c r="H1437" s="65"/>
      <c r="I1437" s="65"/>
      <c r="J1437" s="66"/>
      <c r="K1437" s="65" t="s">
        <v>1594</v>
      </c>
      <c r="L1437" s="64" t="s">
        <v>1475</v>
      </c>
      <c r="M1437" s="64" t="s">
        <v>1318</v>
      </c>
      <c r="N1437" s="64" t="s">
        <v>74</v>
      </c>
      <c r="O1437" s="64" t="s">
        <v>1475</v>
      </c>
      <c r="P1437" s="69"/>
      <c r="Q1437" s="69"/>
      <c r="R1437" s="64">
        <v>1</v>
      </c>
      <c r="S1437" s="65" t="s">
        <v>1589</v>
      </c>
      <c r="T1437" s="194"/>
      <c r="U1437" s="179">
        <v>0</v>
      </c>
      <c r="V1437" s="179"/>
      <c r="W1437" s="179">
        <v>0</v>
      </c>
      <c r="X1437" s="1159">
        <v>0</v>
      </c>
      <c r="Y1437" s="179">
        <v>0</v>
      </c>
      <c r="Z1437" s="179">
        <v>0</v>
      </c>
      <c r="AA1437" s="1159">
        <v>0</v>
      </c>
      <c r="AB1437" s="179">
        <v>0</v>
      </c>
      <c r="AC1437" s="179">
        <v>0</v>
      </c>
      <c r="AD1437" s="1159">
        <v>0</v>
      </c>
      <c r="AE1437" s="179">
        <v>0</v>
      </c>
      <c r="AF1437" s="179">
        <v>0</v>
      </c>
      <c r="AG1437" s="1159">
        <f t="shared" si="426"/>
        <v>0</v>
      </c>
      <c r="AH1437" s="505">
        <f t="shared" si="427"/>
        <v>0</v>
      </c>
      <c r="AI1437" s="132"/>
      <c r="AJ1437" s="75">
        <f t="shared" si="428"/>
        <v>0</v>
      </c>
      <c r="AK1437" s="75"/>
      <c r="AL1437" s="75"/>
      <c r="AM1437" s="75"/>
      <c r="AN1437" s="64" t="s">
        <v>181</v>
      </c>
      <c r="AO1437" s="64"/>
      <c r="AP1437" s="64"/>
      <c r="AQ1437" s="189"/>
      <c r="AR1437" s="64"/>
      <c r="AS1437" s="476"/>
      <c r="AT1437" s="64"/>
      <c r="AU1437" s="646"/>
      <c r="AV1437" s="259" t="s">
        <v>1595</v>
      </c>
      <c r="AW1437" s="185"/>
    </row>
    <row r="1438" spans="1:62" ht="23.45" hidden="1" customHeight="1" outlineLevel="3" x14ac:dyDescent="0.25">
      <c r="A1438" s="63" t="str">
        <f t="shared" si="415"/>
        <v>4.16.3.1.8.58</v>
      </c>
      <c r="B1438" s="64">
        <v>4</v>
      </c>
      <c r="C1438" s="64">
        <v>16</v>
      </c>
      <c r="D1438" s="64">
        <v>3</v>
      </c>
      <c r="E1438" s="64">
        <v>1</v>
      </c>
      <c r="F1438" s="64">
        <v>8</v>
      </c>
      <c r="G1438" s="64">
        <v>58</v>
      </c>
      <c r="H1438" s="65"/>
      <c r="I1438" s="65"/>
      <c r="J1438" s="66"/>
      <c r="K1438" s="65" t="s">
        <v>1596</v>
      </c>
      <c r="L1438" s="64" t="s">
        <v>1475</v>
      </c>
      <c r="M1438" s="64" t="s">
        <v>1318</v>
      </c>
      <c r="N1438" s="64" t="s">
        <v>74</v>
      </c>
      <c r="O1438" s="64" t="s">
        <v>1475</v>
      </c>
      <c r="P1438" s="69"/>
      <c r="Q1438" s="69"/>
      <c r="R1438" s="64">
        <v>12</v>
      </c>
      <c r="S1438" s="65" t="s">
        <v>1597</v>
      </c>
      <c r="T1438" s="194">
        <v>3</v>
      </c>
      <c r="U1438" s="179">
        <v>0</v>
      </c>
      <c r="V1438" s="179"/>
      <c r="W1438" s="179">
        <v>0</v>
      </c>
      <c r="X1438" s="1159">
        <v>0</v>
      </c>
      <c r="Y1438" s="179">
        <v>0</v>
      </c>
      <c r="Z1438" s="179">
        <v>0</v>
      </c>
      <c r="AA1438" s="1159">
        <v>0</v>
      </c>
      <c r="AB1438" s="179">
        <v>0</v>
      </c>
      <c r="AC1438" s="179">
        <v>0</v>
      </c>
      <c r="AD1438" s="1159">
        <v>0</v>
      </c>
      <c r="AE1438" s="179">
        <v>0</v>
      </c>
      <c r="AF1438" s="179">
        <v>0</v>
      </c>
      <c r="AG1438" s="1159">
        <f t="shared" si="426"/>
        <v>0</v>
      </c>
      <c r="AH1438" s="505">
        <f t="shared" si="427"/>
        <v>0</v>
      </c>
      <c r="AI1438" s="132"/>
      <c r="AJ1438" s="75">
        <f t="shared" si="428"/>
        <v>0</v>
      </c>
      <c r="AK1438" s="75"/>
      <c r="AL1438" s="75"/>
      <c r="AM1438" s="75"/>
      <c r="AN1438" s="64" t="s">
        <v>181</v>
      </c>
      <c r="AO1438" s="64"/>
      <c r="AP1438" s="64"/>
      <c r="AQ1438" s="189"/>
      <c r="AR1438" s="64"/>
      <c r="AS1438" s="476"/>
      <c r="AT1438" s="64"/>
      <c r="AU1438" s="646"/>
      <c r="AV1438" s="259" t="s">
        <v>765</v>
      </c>
      <c r="AW1438" s="185" t="s">
        <v>780</v>
      </c>
    </row>
    <row r="1439" spans="1:62" s="153" customFormat="1" ht="53.25" customHeight="1" outlineLevel="2" collapsed="1" x14ac:dyDescent="0.25">
      <c r="A1439" s="148" t="str">
        <f t="shared" si="415"/>
        <v>4.16.3.2.0.59</v>
      </c>
      <c r="B1439" s="82">
        <v>4</v>
      </c>
      <c r="C1439" s="82">
        <v>16</v>
      </c>
      <c r="D1439" s="82">
        <v>3</v>
      </c>
      <c r="E1439" s="82">
        <v>2</v>
      </c>
      <c r="F1439" s="82">
        <v>0</v>
      </c>
      <c r="G1439" s="82">
        <v>59</v>
      </c>
      <c r="H1439" s="149"/>
      <c r="I1439" s="149"/>
      <c r="J1439" s="1260" t="s">
        <v>1598</v>
      </c>
      <c r="K1439" s="1259"/>
      <c r="L1439" s="82" t="s">
        <v>1576</v>
      </c>
      <c r="M1439" s="82" t="s">
        <v>1464</v>
      </c>
      <c r="N1439" s="82" t="s">
        <v>1444</v>
      </c>
      <c r="O1439" s="82" t="s">
        <v>1204</v>
      </c>
      <c r="P1439" s="82"/>
      <c r="Q1439" s="82"/>
      <c r="R1439" s="82"/>
      <c r="S1439" s="149"/>
      <c r="T1439" s="193"/>
      <c r="U1439" s="209">
        <f t="shared" ref="U1439:AH1439" si="429">SUM(U1440:U1447)</f>
        <v>0</v>
      </c>
      <c r="V1439" s="209"/>
      <c r="W1439" s="209">
        <f t="shared" si="429"/>
        <v>0</v>
      </c>
      <c r="X1439" s="1133">
        <f t="shared" si="429"/>
        <v>0</v>
      </c>
      <c r="Y1439" s="209">
        <f t="shared" si="429"/>
        <v>0</v>
      </c>
      <c r="Z1439" s="209">
        <f t="shared" si="429"/>
        <v>0</v>
      </c>
      <c r="AA1439" s="1133">
        <f t="shared" si="429"/>
        <v>0</v>
      </c>
      <c r="AB1439" s="209">
        <f t="shared" si="429"/>
        <v>0</v>
      </c>
      <c r="AC1439" s="209">
        <f t="shared" si="429"/>
        <v>0</v>
      </c>
      <c r="AD1439" s="1133">
        <f t="shared" si="429"/>
        <v>0</v>
      </c>
      <c r="AE1439" s="209">
        <f t="shared" si="429"/>
        <v>0</v>
      </c>
      <c r="AF1439" s="209">
        <f t="shared" si="429"/>
        <v>0</v>
      </c>
      <c r="AG1439" s="1133">
        <f t="shared" si="429"/>
        <v>0</v>
      </c>
      <c r="AH1439" s="209">
        <f t="shared" si="429"/>
        <v>0</v>
      </c>
      <c r="AI1439" s="513">
        <f>+SUM(AI1440:AI1447)</f>
        <v>0</v>
      </c>
      <c r="AJ1439" s="513">
        <f>+SUM(AJ1440:AJ1447)</f>
        <v>0</v>
      </c>
      <c r="AK1439" s="198"/>
      <c r="AL1439" s="198"/>
      <c r="AM1439" s="198"/>
      <c r="AN1439" s="82" t="s">
        <v>181</v>
      </c>
      <c r="AO1439" s="82"/>
      <c r="AP1439" s="82"/>
      <c r="AQ1439" s="365"/>
      <c r="AR1439" s="82"/>
      <c r="AS1439" s="483"/>
      <c r="AT1439" s="82"/>
      <c r="AU1439" s="666"/>
      <c r="AV1439" s="380">
        <f t="shared" ref="AV1439" si="430">+SUM(AV1440:AV1447)</f>
        <v>0</v>
      </c>
      <c r="AW1439" s="449" t="s">
        <v>1579</v>
      </c>
    </row>
    <row r="1440" spans="1:62" ht="36.6" hidden="1" customHeight="1" outlineLevel="3" x14ac:dyDescent="0.25">
      <c r="A1440" s="63" t="str">
        <f t="shared" si="415"/>
        <v>4.16.3.2.1.59</v>
      </c>
      <c r="B1440" s="64">
        <v>4</v>
      </c>
      <c r="C1440" s="64">
        <v>16</v>
      </c>
      <c r="D1440" s="64">
        <v>3</v>
      </c>
      <c r="E1440" s="64">
        <v>2</v>
      </c>
      <c r="F1440" s="64">
        <v>1</v>
      </c>
      <c r="G1440" s="64">
        <v>59</v>
      </c>
      <c r="H1440" s="65"/>
      <c r="I1440" s="65"/>
      <c r="J1440" s="66"/>
      <c r="K1440" s="65" t="s">
        <v>1580</v>
      </c>
      <c r="L1440" s="64" t="s">
        <v>1576</v>
      </c>
      <c r="M1440" s="64" t="s">
        <v>144</v>
      </c>
      <c r="N1440" s="64" t="s">
        <v>265</v>
      </c>
      <c r="O1440" s="64" t="s">
        <v>1544</v>
      </c>
      <c r="P1440" s="64"/>
      <c r="Q1440" s="64"/>
      <c r="R1440" s="64">
        <v>12</v>
      </c>
      <c r="S1440" s="65" t="s">
        <v>1581</v>
      </c>
      <c r="T1440" s="194">
        <v>3</v>
      </c>
      <c r="U1440" s="75">
        <v>0</v>
      </c>
      <c r="V1440" s="75"/>
      <c r="W1440" s="75">
        <v>0</v>
      </c>
      <c r="X1440" s="1122">
        <v>0</v>
      </c>
      <c r="Y1440" s="75">
        <v>0</v>
      </c>
      <c r="Z1440" s="75">
        <v>0</v>
      </c>
      <c r="AA1440" s="1122">
        <v>0</v>
      </c>
      <c r="AB1440" s="75">
        <v>0</v>
      </c>
      <c r="AC1440" s="75">
        <v>0</v>
      </c>
      <c r="AD1440" s="1122">
        <v>0</v>
      </c>
      <c r="AE1440" s="75">
        <v>0</v>
      </c>
      <c r="AF1440" s="75">
        <v>0</v>
      </c>
      <c r="AG1440" s="1122">
        <f t="shared" ref="AG1440:AG1447" si="431">+U1440+Y1440+AB1440+AE1440</f>
        <v>0</v>
      </c>
      <c r="AH1440" s="505">
        <f t="shared" ref="AH1440:AH1447" si="432">+W1440+Y1440+AB1440+AE1440</f>
        <v>0</v>
      </c>
      <c r="AI1440" s="132"/>
      <c r="AJ1440" s="75">
        <f t="shared" ref="AJ1440:AJ1447" si="433">+W1441+Z1441+AC1441+AF1441</f>
        <v>0</v>
      </c>
      <c r="AK1440" s="75"/>
      <c r="AL1440" s="75"/>
      <c r="AM1440" s="75"/>
      <c r="AN1440" s="64" t="s">
        <v>181</v>
      </c>
      <c r="AO1440" s="64"/>
      <c r="AP1440" s="64"/>
      <c r="AQ1440" s="189"/>
      <c r="AR1440" s="64"/>
      <c r="AS1440" s="476"/>
      <c r="AT1440" s="64"/>
      <c r="AU1440" s="646"/>
      <c r="AV1440" s="259" t="s">
        <v>1582</v>
      </c>
      <c r="AW1440" s="185"/>
    </row>
    <row r="1441" spans="1:49" ht="36.6" hidden="1" customHeight="1" outlineLevel="3" x14ac:dyDescent="0.25">
      <c r="A1441" s="63" t="str">
        <f t="shared" si="415"/>
        <v>4.16.3.2.2.59</v>
      </c>
      <c r="B1441" s="64">
        <v>4</v>
      </c>
      <c r="C1441" s="64">
        <v>16</v>
      </c>
      <c r="D1441" s="64">
        <v>3</v>
      </c>
      <c r="E1441" s="64">
        <v>2</v>
      </c>
      <c r="F1441" s="64">
        <v>2</v>
      </c>
      <c r="G1441" s="64">
        <v>59</v>
      </c>
      <c r="H1441" s="65"/>
      <c r="I1441" s="65"/>
      <c r="J1441" s="66"/>
      <c r="K1441" s="65" t="s">
        <v>1583</v>
      </c>
      <c r="L1441" s="64" t="s">
        <v>1475</v>
      </c>
      <c r="M1441" s="64" t="s">
        <v>1318</v>
      </c>
      <c r="N1441" s="64" t="s">
        <v>1223</v>
      </c>
      <c r="O1441" s="64" t="s">
        <v>1544</v>
      </c>
      <c r="P1441" s="69"/>
      <c r="Q1441" s="69"/>
      <c r="R1441" s="64">
        <v>12</v>
      </c>
      <c r="S1441" s="65" t="s">
        <v>1581</v>
      </c>
      <c r="T1441" s="194">
        <v>3</v>
      </c>
      <c r="U1441" s="75">
        <v>0</v>
      </c>
      <c r="V1441" s="75"/>
      <c r="W1441" s="75">
        <v>0</v>
      </c>
      <c r="X1441" s="1122">
        <v>0</v>
      </c>
      <c r="Y1441" s="75">
        <v>0</v>
      </c>
      <c r="Z1441" s="75">
        <v>0</v>
      </c>
      <c r="AA1441" s="1122">
        <v>0</v>
      </c>
      <c r="AB1441" s="75">
        <v>0</v>
      </c>
      <c r="AC1441" s="75">
        <v>0</v>
      </c>
      <c r="AD1441" s="1122">
        <v>0</v>
      </c>
      <c r="AE1441" s="75">
        <v>0</v>
      </c>
      <c r="AF1441" s="75">
        <v>0</v>
      </c>
      <c r="AG1441" s="1122">
        <f t="shared" si="431"/>
        <v>0</v>
      </c>
      <c r="AH1441" s="505">
        <f t="shared" si="432"/>
        <v>0</v>
      </c>
      <c r="AI1441" s="132"/>
      <c r="AJ1441" s="75">
        <f t="shared" si="433"/>
        <v>0</v>
      </c>
      <c r="AK1441" s="75"/>
      <c r="AL1441" s="75"/>
      <c r="AM1441" s="75"/>
      <c r="AN1441" s="64" t="s">
        <v>181</v>
      </c>
      <c r="AO1441" s="995"/>
      <c r="AP1441" s="995"/>
      <c r="AQ1441" s="996"/>
      <c r="AR1441" s="104"/>
      <c r="AS1441" s="997"/>
      <c r="AT1441" s="998"/>
      <c r="AU1441" s="981"/>
      <c r="AV1441" s="259" t="s">
        <v>1584</v>
      </c>
      <c r="AW1441" s="335"/>
    </row>
    <row r="1442" spans="1:49" ht="36.6" hidden="1" customHeight="1" outlineLevel="3" x14ac:dyDescent="0.25">
      <c r="A1442" s="63" t="str">
        <f t="shared" si="415"/>
        <v>4.16.3.2.3.59</v>
      </c>
      <c r="B1442" s="64">
        <v>4</v>
      </c>
      <c r="C1442" s="64">
        <v>16</v>
      </c>
      <c r="D1442" s="64">
        <v>3</v>
      </c>
      <c r="E1442" s="64">
        <v>2</v>
      </c>
      <c r="F1442" s="64">
        <v>3</v>
      </c>
      <c r="G1442" s="64">
        <v>59</v>
      </c>
      <c r="H1442" s="65"/>
      <c r="I1442" s="65"/>
      <c r="J1442" s="66"/>
      <c r="K1442" s="65" t="s">
        <v>1586</v>
      </c>
      <c r="L1442" s="64" t="s">
        <v>1475</v>
      </c>
      <c r="M1442" s="64" t="s">
        <v>1318</v>
      </c>
      <c r="N1442" s="64" t="s">
        <v>1249</v>
      </c>
      <c r="O1442" s="64" t="s">
        <v>1544</v>
      </c>
      <c r="P1442" s="69"/>
      <c r="Q1442" s="69"/>
      <c r="R1442" s="171">
        <v>6</v>
      </c>
      <c r="S1442" s="65"/>
      <c r="T1442" s="194">
        <v>1</v>
      </c>
      <c r="U1442" s="75">
        <v>0</v>
      </c>
      <c r="V1442" s="75"/>
      <c r="W1442" s="75">
        <v>0</v>
      </c>
      <c r="X1442" s="1122">
        <v>0</v>
      </c>
      <c r="Y1442" s="75">
        <v>0</v>
      </c>
      <c r="Z1442" s="75">
        <v>0</v>
      </c>
      <c r="AA1442" s="1122">
        <v>0</v>
      </c>
      <c r="AB1442" s="75">
        <v>0</v>
      </c>
      <c r="AC1442" s="75">
        <v>0</v>
      </c>
      <c r="AD1442" s="1122">
        <v>0</v>
      </c>
      <c r="AE1442" s="75">
        <v>0</v>
      </c>
      <c r="AF1442" s="75">
        <v>0</v>
      </c>
      <c r="AG1442" s="1122">
        <f t="shared" si="431"/>
        <v>0</v>
      </c>
      <c r="AH1442" s="505">
        <f t="shared" si="432"/>
        <v>0</v>
      </c>
      <c r="AI1442" s="132"/>
      <c r="AJ1442" s="75">
        <f t="shared" si="433"/>
        <v>0</v>
      </c>
      <c r="AK1442" s="75"/>
      <c r="AL1442" s="75"/>
      <c r="AM1442" s="75"/>
      <c r="AN1442" s="64" t="s">
        <v>181</v>
      </c>
      <c r="AO1442" s="64"/>
      <c r="AP1442" s="64"/>
      <c r="AQ1442" s="189"/>
      <c r="AR1442" s="64"/>
      <c r="AS1442" s="476"/>
      <c r="AT1442" s="64"/>
      <c r="AU1442" s="646"/>
      <c r="AV1442" s="259" t="s">
        <v>1587</v>
      </c>
      <c r="AW1442" s="185" t="s">
        <v>127</v>
      </c>
    </row>
    <row r="1443" spans="1:49" ht="36.6" hidden="1" customHeight="1" outlineLevel="3" x14ac:dyDescent="0.25">
      <c r="A1443" s="63" t="str">
        <f t="shared" si="415"/>
        <v>4.16.3.2.4.59</v>
      </c>
      <c r="B1443" s="64">
        <v>4</v>
      </c>
      <c r="C1443" s="64">
        <v>16</v>
      </c>
      <c r="D1443" s="64">
        <v>3</v>
      </c>
      <c r="E1443" s="64">
        <v>2</v>
      </c>
      <c r="F1443" s="64">
        <v>4</v>
      </c>
      <c r="G1443" s="64">
        <v>59</v>
      </c>
      <c r="H1443" s="65"/>
      <c r="I1443" s="65"/>
      <c r="J1443" s="66"/>
      <c r="K1443" s="65" t="s">
        <v>1588</v>
      </c>
      <c r="L1443" s="64" t="s">
        <v>1475</v>
      </c>
      <c r="M1443" s="64" t="s">
        <v>1318</v>
      </c>
      <c r="N1443" s="64" t="s">
        <v>74</v>
      </c>
      <c r="O1443" s="64" t="s">
        <v>1524</v>
      </c>
      <c r="P1443" s="69"/>
      <c r="Q1443" s="69"/>
      <c r="R1443" s="171">
        <v>14</v>
      </c>
      <c r="S1443" s="65" t="s">
        <v>1589</v>
      </c>
      <c r="T1443" s="194">
        <v>5</v>
      </c>
      <c r="U1443" s="75">
        <v>0</v>
      </c>
      <c r="V1443" s="75"/>
      <c r="W1443" s="75">
        <v>0</v>
      </c>
      <c r="X1443" s="1122">
        <v>0</v>
      </c>
      <c r="Y1443" s="75">
        <v>0</v>
      </c>
      <c r="Z1443" s="75">
        <v>0</v>
      </c>
      <c r="AA1443" s="1122">
        <v>0</v>
      </c>
      <c r="AB1443" s="75">
        <v>0</v>
      </c>
      <c r="AC1443" s="75">
        <v>0</v>
      </c>
      <c r="AD1443" s="1122">
        <v>0</v>
      </c>
      <c r="AE1443" s="75">
        <v>0</v>
      </c>
      <c r="AF1443" s="75">
        <v>0</v>
      </c>
      <c r="AG1443" s="1122">
        <f t="shared" si="431"/>
        <v>0</v>
      </c>
      <c r="AH1443" s="505">
        <f t="shared" si="432"/>
        <v>0</v>
      </c>
      <c r="AI1443" s="132"/>
      <c r="AJ1443" s="75">
        <f t="shared" si="433"/>
        <v>0</v>
      </c>
      <c r="AK1443" s="75"/>
      <c r="AL1443" s="75"/>
      <c r="AM1443" s="75"/>
      <c r="AN1443" s="64" t="s">
        <v>181</v>
      </c>
      <c r="AO1443" s="64"/>
      <c r="AP1443" s="64"/>
      <c r="AQ1443" s="189"/>
      <c r="AR1443" s="64"/>
      <c r="AS1443" s="476"/>
      <c r="AT1443" s="64"/>
      <c r="AU1443" s="646"/>
      <c r="AV1443" s="259" t="s">
        <v>1590</v>
      </c>
      <c r="AW1443" s="185"/>
    </row>
    <row r="1444" spans="1:49" ht="36.6" hidden="1" customHeight="1" outlineLevel="3" x14ac:dyDescent="0.25">
      <c r="A1444" s="63" t="str">
        <f t="shared" si="415"/>
        <v>4.16.3.2.5.59</v>
      </c>
      <c r="B1444" s="64">
        <v>4</v>
      </c>
      <c r="C1444" s="64">
        <v>16</v>
      </c>
      <c r="D1444" s="64">
        <v>3</v>
      </c>
      <c r="E1444" s="64">
        <v>2</v>
      </c>
      <c r="F1444" s="64">
        <v>5</v>
      </c>
      <c r="G1444" s="64">
        <v>59</v>
      </c>
      <c r="H1444" s="65"/>
      <c r="I1444" s="65"/>
      <c r="J1444" s="66"/>
      <c r="K1444" s="65" t="s">
        <v>1591</v>
      </c>
      <c r="L1444" s="64" t="s">
        <v>1475</v>
      </c>
      <c r="M1444" s="64" t="s">
        <v>1318</v>
      </c>
      <c r="N1444" s="64" t="s">
        <v>74</v>
      </c>
      <c r="O1444" s="64" t="s">
        <v>1524</v>
      </c>
      <c r="P1444" s="69"/>
      <c r="Q1444" s="69"/>
      <c r="R1444" s="64">
        <v>10</v>
      </c>
      <c r="S1444" s="65" t="s">
        <v>1589</v>
      </c>
      <c r="T1444" s="194">
        <v>5</v>
      </c>
      <c r="U1444" s="75">
        <v>0</v>
      </c>
      <c r="V1444" s="75"/>
      <c r="W1444" s="75">
        <v>0</v>
      </c>
      <c r="X1444" s="1122">
        <v>0</v>
      </c>
      <c r="Y1444" s="75">
        <v>0</v>
      </c>
      <c r="Z1444" s="75">
        <v>0</v>
      </c>
      <c r="AA1444" s="1122">
        <v>0</v>
      </c>
      <c r="AB1444" s="75">
        <v>0</v>
      </c>
      <c r="AC1444" s="75">
        <v>0</v>
      </c>
      <c r="AD1444" s="1122">
        <v>0</v>
      </c>
      <c r="AE1444" s="75">
        <v>0</v>
      </c>
      <c r="AF1444" s="75">
        <v>0</v>
      </c>
      <c r="AG1444" s="1122">
        <f t="shared" si="431"/>
        <v>0</v>
      </c>
      <c r="AH1444" s="505">
        <f t="shared" si="432"/>
        <v>0</v>
      </c>
      <c r="AI1444" s="132"/>
      <c r="AJ1444" s="75">
        <f t="shared" si="433"/>
        <v>0</v>
      </c>
      <c r="AK1444" s="75"/>
      <c r="AL1444" s="75"/>
      <c r="AM1444" s="75"/>
      <c r="AN1444" s="64" t="s">
        <v>181</v>
      </c>
      <c r="AO1444" s="64"/>
      <c r="AP1444" s="64"/>
      <c r="AQ1444" s="189"/>
      <c r="AR1444" s="64"/>
      <c r="AS1444" s="476"/>
      <c r="AT1444" s="64"/>
      <c r="AU1444" s="646"/>
      <c r="AV1444" s="259" t="s">
        <v>1592</v>
      </c>
      <c r="AW1444" s="185"/>
    </row>
    <row r="1445" spans="1:49" ht="36.6" hidden="1" customHeight="1" outlineLevel="3" x14ac:dyDescent="0.25">
      <c r="A1445" s="63" t="str">
        <f t="shared" si="415"/>
        <v>4.16.3.2.6.59</v>
      </c>
      <c r="B1445" s="64">
        <v>4</v>
      </c>
      <c r="C1445" s="64">
        <v>16</v>
      </c>
      <c r="D1445" s="64">
        <v>3</v>
      </c>
      <c r="E1445" s="64">
        <v>2</v>
      </c>
      <c r="F1445" s="64">
        <v>6</v>
      </c>
      <c r="G1445" s="64">
        <v>59</v>
      </c>
      <c r="H1445" s="65"/>
      <c r="I1445" s="65"/>
      <c r="J1445" s="66"/>
      <c r="K1445" s="65" t="s">
        <v>1593</v>
      </c>
      <c r="L1445" s="64" t="s">
        <v>1475</v>
      </c>
      <c r="M1445" s="64" t="s">
        <v>1318</v>
      </c>
      <c r="N1445" s="64" t="s">
        <v>74</v>
      </c>
      <c r="O1445" s="64" t="s">
        <v>1475</v>
      </c>
      <c r="P1445" s="69"/>
      <c r="Q1445" s="69"/>
      <c r="R1445" s="171">
        <v>1</v>
      </c>
      <c r="S1445" s="65" t="s">
        <v>1589</v>
      </c>
      <c r="T1445" s="194"/>
      <c r="U1445" s="75">
        <v>0</v>
      </c>
      <c r="V1445" s="75"/>
      <c r="W1445" s="75">
        <v>0</v>
      </c>
      <c r="X1445" s="1122">
        <v>0</v>
      </c>
      <c r="Y1445" s="75">
        <v>0</v>
      </c>
      <c r="Z1445" s="75">
        <v>0</v>
      </c>
      <c r="AA1445" s="1122">
        <v>0</v>
      </c>
      <c r="AB1445" s="75">
        <v>0</v>
      </c>
      <c r="AC1445" s="75">
        <v>0</v>
      </c>
      <c r="AD1445" s="1122">
        <v>0</v>
      </c>
      <c r="AE1445" s="75">
        <v>0</v>
      </c>
      <c r="AF1445" s="75">
        <v>0</v>
      </c>
      <c r="AG1445" s="1122">
        <f t="shared" si="431"/>
        <v>0</v>
      </c>
      <c r="AH1445" s="505">
        <f t="shared" si="432"/>
        <v>0</v>
      </c>
      <c r="AI1445" s="132"/>
      <c r="AJ1445" s="75">
        <f t="shared" si="433"/>
        <v>0</v>
      </c>
      <c r="AK1445" s="75"/>
      <c r="AL1445" s="75"/>
      <c r="AM1445" s="75"/>
      <c r="AN1445" s="64" t="s">
        <v>181</v>
      </c>
      <c r="AO1445" s="64"/>
      <c r="AP1445" s="64"/>
      <c r="AQ1445" s="189"/>
      <c r="AR1445" s="64"/>
      <c r="AS1445" s="476"/>
      <c r="AT1445" s="64"/>
      <c r="AU1445" s="646"/>
      <c r="AV1445" s="259" t="s">
        <v>1593</v>
      </c>
      <c r="AW1445" s="185"/>
    </row>
    <row r="1446" spans="1:49" ht="36.6" hidden="1" customHeight="1" outlineLevel="3" x14ac:dyDescent="0.25">
      <c r="A1446" s="63" t="str">
        <f t="shared" si="415"/>
        <v>4.16.3.2.7.59</v>
      </c>
      <c r="B1446" s="64">
        <v>4</v>
      </c>
      <c r="C1446" s="64">
        <v>16</v>
      </c>
      <c r="D1446" s="64">
        <v>3</v>
      </c>
      <c r="E1446" s="64">
        <v>2</v>
      </c>
      <c r="F1446" s="64">
        <v>7</v>
      </c>
      <c r="G1446" s="64">
        <v>59</v>
      </c>
      <c r="H1446" s="65"/>
      <c r="I1446" s="65"/>
      <c r="J1446" s="66"/>
      <c r="K1446" s="65" t="s">
        <v>1594</v>
      </c>
      <c r="L1446" s="64" t="s">
        <v>1475</v>
      </c>
      <c r="M1446" s="64" t="s">
        <v>1318</v>
      </c>
      <c r="N1446" s="64" t="s">
        <v>74</v>
      </c>
      <c r="O1446" s="64" t="s">
        <v>1475</v>
      </c>
      <c r="P1446" s="69"/>
      <c r="Q1446" s="69"/>
      <c r="R1446" s="64">
        <v>1</v>
      </c>
      <c r="S1446" s="65" t="s">
        <v>1589</v>
      </c>
      <c r="T1446" s="194"/>
      <c r="U1446" s="75">
        <v>0</v>
      </c>
      <c r="V1446" s="75"/>
      <c r="W1446" s="75">
        <v>0</v>
      </c>
      <c r="X1446" s="1122">
        <v>0</v>
      </c>
      <c r="Y1446" s="75">
        <v>0</v>
      </c>
      <c r="Z1446" s="75">
        <v>0</v>
      </c>
      <c r="AA1446" s="1122">
        <v>0</v>
      </c>
      <c r="AB1446" s="75">
        <v>0</v>
      </c>
      <c r="AC1446" s="75">
        <v>0</v>
      </c>
      <c r="AD1446" s="1122">
        <v>0</v>
      </c>
      <c r="AE1446" s="75">
        <v>0</v>
      </c>
      <c r="AF1446" s="75">
        <v>0</v>
      </c>
      <c r="AG1446" s="1122">
        <f t="shared" si="431"/>
        <v>0</v>
      </c>
      <c r="AH1446" s="505">
        <f t="shared" si="432"/>
        <v>0</v>
      </c>
      <c r="AI1446" s="132"/>
      <c r="AJ1446" s="75">
        <f t="shared" si="433"/>
        <v>0</v>
      </c>
      <c r="AK1446" s="75"/>
      <c r="AL1446" s="75"/>
      <c r="AM1446" s="75"/>
      <c r="AN1446" s="64" t="s">
        <v>181</v>
      </c>
      <c r="AO1446" s="64"/>
      <c r="AP1446" s="64"/>
      <c r="AQ1446" s="189"/>
      <c r="AR1446" s="64"/>
      <c r="AS1446" s="476"/>
      <c r="AT1446" s="64"/>
      <c r="AU1446" s="646"/>
      <c r="AV1446" s="259" t="s">
        <v>1595</v>
      </c>
      <c r="AW1446" s="185"/>
    </row>
    <row r="1447" spans="1:49" ht="36.6" hidden="1" customHeight="1" outlineLevel="3" x14ac:dyDescent="0.25">
      <c r="A1447" s="63" t="str">
        <f t="shared" si="415"/>
        <v>4.16.3.2.8.59</v>
      </c>
      <c r="B1447" s="64">
        <v>4</v>
      </c>
      <c r="C1447" s="64">
        <v>16</v>
      </c>
      <c r="D1447" s="64">
        <v>3</v>
      </c>
      <c r="E1447" s="64">
        <v>2</v>
      </c>
      <c r="F1447" s="64">
        <v>8</v>
      </c>
      <c r="G1447" s="64">
        <v>59</v>
      </c>
      <c r="H1447" s="65"/>
      <c r="I1447" s="65"/>
      <c r="J1447" s="66"/>
      <c r="K1447" s="65" t="s">
        <v>1596</v>
      </c>
      <c r="L1447" s="64" t="s">
        <v>1475</v>
      </c>
      <c r="M1447" s="64" t="s">
        <v>1318</v>
      </c>
      <c r="N1447" s="64" t="s">
        <v>74</v>
      </c>
      <c r="O1447" s="64" t="s">
        <v>1475</v>
      </c>
      <c r="P1447" s="69"/>
      <c r="Q1447" s="69"/>
      <c r="R1447" s="64">
        <v>12</v>
      </c>
      <c r="S1447" s="65" t="s">
        <v>1597</v>
      </c>
      <c r="T1447" s="194">
        <v>3</v>
      </c>
      <c r="U1447" s="75">
        <v>0</v>
      </c>
      <c r="V1447" s="75"/>
      <c r="W1447" s="75">
        <v>0</v>
      </c>
      <c r="X1447" s="1122">
        <v>0</v>
      </c>
      <c r="Y1447" s="75">
        <v>0</v>
      </c>
      <c r="Z1447" s="75">
        <v>0</v>
      </c>
      <c r="AA1447" s="1122">
        <v>0</v>
      </c>
      <c r="AB1447" s="75">
        <v>0</v>
      </c>
      <c r="AC1447" s="75">
        <v>0</v>
      </c>
      <c r="AD1447" s="1122">
        <v>0</v>
      </c>
      <c r="AE1447" s="75">
        <v>0</v>
      </c>
      <c r="AF1447" s="75">
        <v>0</v>
      </c>
      <c r="AG1447" s="1122">
        <f t="shared" si="431"/>
        <v>0</v>
      </c>
      <c r="AH1447" s="505">
        <f t="shared" si="432"/>
        <v>0</v>
      </c>
      <c r="AI1447" s="132"/>
      <c r="AJ1447" s="75">
        <f t="shared" si="433"/>
        <v>0</v>
      </c>
      <c r="AK1447" s="157"/>
      <c r="AL1447" s="157"/>
      <c r="AM1447" s="157"/>
      <c r="AN1447" s="64" t="s">
        <v>181</v>
      </c>
      <c r="AO1447" s="64"/>
      <c r="AP1447" s="64"/>
      <c r="AQ1447" s="189"/>
      <c r="AR1447" s="64"/>
      <c r="AS1447" s="476"/>
      <c r="AT1447" s="64"/>
      <c r="AU1447" s="646"/>
      <c r="AV1447" s="259" t="s">
        <v>765</v>
      </c>
      <c r="AW1447" s="185" t="s">
        <v>780</v>
      </c>
    </row>
    <row r="1448" spans="1:49" s="153" customFormat="1" ht="54.75" customHeight="1" outlineLevel="2" collapsed="1" x14ac:dyDescent="0.25">
      <c r="A1448" s="148" t="str">
        <f t="shared" si="415"/>
        <v>4.16.3.3.0.63</v>
      </c>
      <c r="B1448" s="82">
        <v>4</v>
      </c>
      <c r="C1448" s="82">
        <v>16</v>
      </c>
      <c r="D1448" s="82">
        <v>3</v>
      </c>
      <c r="E1448" s="82">
        <v>3</v>
      </c>
      <c r="F1448" s="82">
        <v>0</v>
      </c>
      <c r="G1448" s="82">
        <v>63</v>
      </c>
      <c r="H1448" s="149"/>
      <c r="I1448" s="149"/>
      <c r="J1448" s="1260" t="s">
        <v>1599</v>
      </c>
      <c r="K1448" s="1259"/>
      <c r="L1448" s="82" t="s">
        <v>1452</v>
      </c>
      <c r="M1448" s="82" t="s">
        <v>1464</v>
      </c>
      <c r="N1448" s="82" t="s">
        <v>1444</v>
      </c>
      <c r="O1448" s="82" t="s">
        <v>1204</v>
      </c>
      <c r="P1448" s="82"/>
      <c r="Q1448" s="82"/>
      <c r="R1448" s="82"/>
      <c r="S1448" s="149"/>
      <c r="T1448" s="193"/>
      <c r="U1448" s="209">
        <f t="shared" ref="U1448:AH1448" si="434">SUM(U1449:U1456)</f>
        <v>0</v>
      </c>
      <c r="V1448" s="209"/>
      <c r="W1448" s="209">
        <f t="shared" si="434"/>
        <v>0</v>
      </c>
      <c r="X1448" s="1133">
        <f t="shared" si="434"/>
        <v>0</v>
      </c>
      <c r="Y1448" s="209">
        <f t="shared" si="434"/>
        <v>0</v>
      </c>
      <c r="Z1448" s="209">
        <f t="shared" si="434"/>
        <v>0</v>
      </c>
      <c r="AA1448" s="1133">
        <f t="shared" si="434"/>
        <v>0</v>
      </c>
      <c r="AB1448" s="209">
        <f t="shared" si="434"/>
        <v>0</v>
      </c>
      <c r="AC1448" s="209">
        <f t="shared" si="434"/>
        <v>0</v>
      </c>
      <c r="AD1448" s="1133">
        <f t="shared" si="434"/>
        <v>0</v>
      </c>
      <c r="AE1448" s="209">
        <f t="shared" si="434"/>
        <v>0</v>
      </c>
      <c r="AF1448" s="209">
        <f t="shared" si="434"/>
        <v>0</v>
      </c>
      <c r="AG1448" s="1133">
        <f t="shared" si="434"/>
        <v>0</v>
      </c>
      <c r="AH1448" s="209">
        <f t="shared" si="434"/>
        <v>0</v>
      </c>
      <c r="AI1448" s="380">
        <f t="shared" ref="AI1448:AJ1448" si="435">+SUM(AI1449:AI1456)</f>
        <v>0</v>
      </c>
      <c r="AJ1448" s="380">
        <f t="shared" si="435"/>
        <v>0</v>
      </c>
      <c r="AK1448" s="198"/>
      <c r="AL1448" s="198"/>
      <c r="AM1448" s="198"/>
      <c r="AN1448" s="82" t="s">
        <v>181</v>
      </c>
      <c r="AO1448" s="82"/>
      <c r="AP1448" s="82"/>
      <c r="AQ1448" s="365"/>
      <c r="AR1448" s="82"/>
      <c r="AS1448" s="483"/>
      <c r="AT1448" s="82"/>
      <c r="AU1448" s="666"/>
      <c r="AV1448" s="380">
        <f t="shared" ref="AV1448" si="436">+SUM(AV1449:AV1456)</f>
        <v>0</v>
      </c>
      <c r="AW1448" s="449" t="s">
        <v>1579</v>
      </c>
    </row>
    <row r="1449" spans="1:49" ht="23.45" hidden="1" customHeight="1" outlineLevel="3" x14ac:dyDescent="0.25">
      <c r="A1449" s="63" t="str">
        <f t="shared" si="415"/>
        <v>4.16.3.3.1.63</v>
      </c>
      <c r="B1449" s="64">
        <v>4</v>
      </c>
      <c r="C1449" s="64">
        <v>16</v>
      </c>
      <c r="D1449" s="64">
        <v>3</v>
      </c>
      <c r="E1449" s="64">
        <v>3</v>
      </c>
      <c r="F1449" s="64">
        <v>1</v>
      </c>
      <c r="G1449" s="64">
        <v>63</v>
      </c>
      <c r="H1449" s="65"/>
      <c r="I1449" s="65"/>
      <c r="J1449" s="66"/>
      <c r="K1449" s="65" t="s">
        <v>1580</v>
      </c>
      <c r="L1449" s="64" t="s">
        <v>1576</v>
      </c>
      <c r="M1449" s="64" t="s">
        <v>144</v>
      </c>
      <c r="N1449" s="64" t="s">
        <v>265</v>
      </c>
      <c r="O1449" s="64" t="s">
        <v>1544</v>
      </c>
      <c r="P1449" s="64"/>
      <c r="Q1449" s="64"/>
      <c r="R1449" s="64">
        <v>12</v>
      </c>
      <c r="S1449" s="65" t="s">
        <v>1581</v>
      </c>
      <c r="T1449" s="194">
        <v>3</v>
      </c>
      <c r="U1449" s="179">
        <v>0</v>
      </c>
      <c r="V1449" s="179"/>
      <c r="W1449" s="179">
        <v>0</v>
      </c>
      <c r="X1449" s="1159">
        <v>0</v>
      </c>
      <c r="Y1449" s="179">
        <v>0</v>
      </c>
      <c r="Z1449" s="179">
        <v>0</v>
      </c>
      <c r="AA1449" s="1159">
        <v>0</v>
      </c>
      <c r="AB1449" s="179">
        <v>0</v>
      </c>
      <c r="AC1449" s="179">
        <v>0</v>
      </c>
      <c r="AD1449" s="1159">
        <v>0</v>
      </c>
      <c r="AE1449" s="179">
        <v>0</v>
      </c>
      <c r="AF1449" s="179">
        <v>0</v>
      </c>
      <c r="AG1449" s="1159">
        <v>0</v>
      </c>
      <c r="AH1449" s="505">
        <f t="shared" ref="AH1449:AH1456" si="437">+W1449+Y1449+AB1449+AE1449</f>
        <v>0</v>
      </c>
      <c r="AI1449" s="132"/>
      <c r="AJ1449" s="75">
        <f t="shared" ref="AJ1449:AJ1456" si="438">+U1449+Y1449+AB1449+AE1449</f>
        <v>0</v>
      </c>
      <c r="AK1449" s="75"/>
      <c r="AL1449" s="75"/>
      <c r="AM1449" s="75"/>
      <c r="AN1449" s="64" t="s">
        <v>181</v>
      </c>
      <c r="AO1449" s="64"/>
      <c r="AP1449" s="64"/>
      <c r="AQ1449" s="189"/>
      <c r="AR1449" s="64"/>
      <c r="AS1449" s="476"/>
      <c r="AT1449" s="64"/>
      <c r="AU1449" s="646"/>
      <c r="AV1449" s="259" t="s">
        <v>1582</v>
      </c>
      <c r="AW1449" s="185"/>
    </row>
    <row r="1450" spans="1:49" ht="23.45" hidden="1" customHeight="1" outlineLevel="3" x14ac:dyDescent="0.25">
      <c r="A1450" s="63" t="str">
        <f t="shared" si="415"/>
        <v>4.16.3.3.2.63</v>
      </c>
      <c r="B1450" s="64">
        <v>4</v>
      </c>
      <c r="C1450" s="64">
        <v>16</v>
      </c>
      <c r="D1450" s="64">
        <v>3</v>
      </c>
      <c r="E1450" s="64">
        <v>3</v>
      </c>
      <c r="F1450" s="64">
        <v>2</v>
      </c>
      <c r="G1450" s="64">
        <v>63</v>
      </c>
      <c r="H1450" s="65"/>
      <c r="I1450" s="65"/>
      <c r="J1450" s="66"/>
      <c r="K1450" s="65" t="s">
        <v>1583</v>
      </c>
      <c r="L1450" s="64" t="s">
        <v>1475</v>
      </c>
      <c r="M1450" s="64" t="s">
        <v>1318</v>
      </c>
      <c r="N1450" s="64" t="s">
        <v>1223</v>
      </c>
      <c r="O1450" s="64" t="s">
        <v>1544</v>
      </c>
      <c r="P1450" s="69"/>
      <c r="Q1450" s="69"/>
      <c r="R1450" s="64">
        <v>12</v>
      </c>
      <c r="S1450" s="65" t="s">
        <v>1581</v>
      </c>
      <c r="T1450" s="194">
        <v>3</v>
      </c>
      <c r="U1450" s="179">
        <v>0</v>
      </c>
      <c r="V1450" s="179"/>
      <c r="W1450" s="179">
        <v>0</v>
      </c>
      <c r="X1450" s="1159">
        <v>0</v>
      </c>
      <c r="Y1450" s="179">
        <v>0</v>
      </c>
      <c r="Z1450" s="179">
        <v>0</v>
      </c>
      <c r="AA1450" s="1159">
        <v>0</v>
      </c>
      <c r="AB1450" s="179">
        <v>0</v>
      </c>
      <c r="AC1450" s="179">
        <v>0</v>
      </c>
      <c r="AD1450" s="1159">
        <v>0</v>
      </c>
      <c r="AE1450" s="179">
        <v>0</v>
      </c>
      <c r="AF1450" s="179">
        <v>0</v>
      </c>
      <c r="AG1450" s="1159">
        <v>0</v>
      </c>
      <c r="AH1450" s="505">
        <f t="shared" si="437"/>
        <v>0</v>
      </c>
      <c r="AI1450" s="132"/>
      <c r="AJ1450" s="75">
        <f t="shared" si="438"/>
        <v>0</v>
      </c>
      <c r="AK1450" s="75"/>
      <c r="AL1450" s="75"/>
      <c r="AM1450" s="75"/>
      <c r="AN1450" s="64" t="s">
        <v>181</v>
      </c>
      <c r="AO1450" s="995"/>
      <c r="AP1450" s="995"/>
      <c r="AQ1450" s="996"/>
      <c r="AR1450" s="104"/>
      <c r="AS1450" s="997"/>
      <c r="AT1450" s="998"/>
      <c r="AU1450" s="981"/>
      <c r="AV1450" s="259" t="s">
        <v>1584</v>
      </c>
      <c r="AW1450" s="335"/>
    </row>
    <row r="1451" spans="1:49" ht="23.45" hidden="1" customHeight="1" outlineLevel="3" x14ac:dyDescent="0.25">
      <c r="A1451" s="63" t="str">
        <f t="shared" si="415"/>
        <v>4.16.3.3.3.63</v>
      </c>
      <c r="B1451" s="64">
        <v>4</v>
      </c>
      <c r="C1451" s="64">
        <v>16</v>
      </c>
      <c r="D1451" s="64">
        <v>3</v>
      </c>
      <c r="E1451" s="64">
        <v>3</v>
      </c>
      <c r="F1451" s="64">
        <v>3</v>
      </c>
      <c r="G1451" s="64">
        <v>63</v>
      </c>
      <c r="H1451" s="65"/>
      <c r="I1451" s="65"/>
      <c r="J1451" s="66"/>
      <c r="K1451" s="65" t="s">
        <v>1586</v>
      </c>
      <c r="L1451" s="64" t="s">
        <v>1475</v>
      </c>
      <c r="M1451" s="64" t="s">
        <v>1318</v>
      </c>
      <c r="N1451" s="64" t="s">
        <v>1249</v>
      </c>
      <c r="O1451" s="64" t="s">
        <v>1544</v>
      </c>
      <c r="P1451" s="69"/>
      <c r="Q1451" s="69"/>
      <c r="R1451" s="171">
        <v>6</v>
      </c>
      <c r="S1451" s="65"/>
      <c r="T1451" s="194">
        <v>1</v>
      </c>
      <c r="U1451" s="179">
        <v>0</v>
      </c>
      <c r="V1451" s="179"/>
      <c r="W1451" s="179">
        <v>0</v>
      </c>
      <c r="X1451" s="1159">
        <v>0</v>
      </c>
      <c r="Y1451" s="179">
        <v>0</v>
      </c>
      <c r="Z1451" s="179">
        <v>0</v>
      </c>
      <c r="AA1451" s="1159">
        <v>0</v>
      </c>
      <c r="AB1451" s="179">
        <v>0</v>
      </c>
      <c r="AC1451" s="179">
        <v>0</v>
      </c>
      <c r="AD1451" s="1159">
        <v>0</v>
      </c>
      <c r="AE1451" s="179">
        <v>0</v>
      </c>
      <c r="AF1451" s="179">
        <v>0</v>
      </c>
      <c r="AG1451" s="1159">
        <v>0</v>
      </c>
      <c r="AH1451" s="505">
        <f t="shared" si="437"/>
        <v>0</v>
      </c>
      <c r="AI1451" s="132"/>
      <c r="AJ1451" s="75">
        <f t="shared" si="438"/>
        <v>0</v>
      </c>
      <c r="AK1451" s="75"/>
      <c r="AL1451" s="75"/>
      <c r="AM1451" s="75"/>
      <c r="AN1451" s="64" t="s">
        <v>181</v>
      </c>
      <c r="AO1451" s="64"/>
      <c r="AP1451" s="64"/>
      <c r="AQ1451" s="189"/>
      <c r="AR1451" s="64"/>
      <c r="AS1451" s="476"/>
      <c r="AT1451" s="64"/>
      <c r="AU1451" s="646"/>
      <c r="AV1451" s="259" t="s">
        <v>1587</v>
      </c>
      <c r="AW1451" s="185" t="s">
        <v>127</v>
      </c>
    </row>
    <row r="1452" spans="1:49" ht="23.45" hidden="1" customHeight="1" outlineLevel="3" x14ac:dyDescent="0.25">
      <c r="A1452" s="63" t="str">
        <f t="shared" si="415"/>
        <v>4.16.3.3.4.63</v>
      </c>
      <c r="B1452" s="64">
        <v>4</v>
      </c>
      <c r="C1452" s="64">
        <v>16</v>
      </c>
      <c r="D1452" s="64">
        <v>3</v>
      </c>
      <c r="E1452" s="64">
        <v>3</v>
      </c>
      <c r="F1452" s="64">
        <v>4</v>
      </c>
      <c r="G1452" s="64">
        <v>63</v>
      </c>
      <c r="H1452" s="65"/>
      <c r="I1452" s="65"/>
      <c r="J1452" s="66"/>
      <c r="K1452" s="65" t="s">
        <v>1588</v>
      </c>
      <c r="L1452" s="64" t="s">
        <v>1475</v>
      </c>
      <c r="M1452" s="64" t="s">
        <v>1318</v>
      </c>
      <c r="N1452" s="64" t="s">
        <v>74</v>
      </c>
      <c r="O1452" s="64" t="s">
        <v>1524</v>
      </c>
      <c r="P1452" s="69"/>
      <c r="Q1452" s="69"/>
      <c r="R1452" s="171">
        <v>14</v>
      </c>
      <c r="S1452" s="65" t="s">
        <v>1589</v>
      </c>
      <c r="T1452" s="194">
        <v>5</v>
      </c>
      <c r="U1452" s="179">
        <v>0</v>
      </c>
      <c r="V1452" s="179"/>
      <c r="W1452" s="179">
        <v>0</v>
      </c>
      <c r="X1452" s="1159">
        <v>0</v>
      </c>
      <c r="Y1452" s="179">
        <v>0</v>
      </c>
      <c r="Z1452" s="179">
        <v>0</v>
      </c>
      <c r="AA1452" s="1159">
        <v>0</v>
      </c>
      <c r="AB1452" s="179">
        <v>0</v>
      </c>
      <c r="AC1452" s="179">
        <v>0</v>
      </c>
      <c r="AD1452" s="1159">
        <v>0</v>
      </c>
      <c r="AE1452" s="179">
        <v>0</v>
      </c>
      <c r="AF1452" s="179">
        <v>0</v>
      </c>
      <c r="AG1452" s="1159">
        <v>0</v>
      </c>
      <c r="AH1452" s="505">
        <f t="shared" si="437"/>
        <v>0</v>
      </c>
      <c r="AI1452" s="132"/>
      <c r="AJ1452" s="75">
        <f t="shared" si="438"/>
        <v>0</v>
      </c>
      <c r="AK1452" s="75"/>
      <c r="AL1452" s="75"/>
      <c r="AM1452" s="75"/>
      <c r="AN1452" s="64" t="s">
        <v>181</v>
      </c>
      <c r="AO1452" s="64"/>
      <c r="AP1452" s="64"/>
      <c r="AQ1452" s="189"/>
      <c r="AR1452" s="64"/>
      <c r="AS1452" s="476"/>
      <c r="AT1452" s="64"/>
      <c r="AU1452" s="646"/>
      <c r="AV1452" s="259" t="s">
        <v>1590</v>
      </c>
      <c r="AW1452" s="185"/>
    </row>
    <row r="1453" spans="1:49" ht="23.45" hidden="1" customHeight="1" outlineLevel="3" x14ac:dyDescent="0.25">
      <c r="A1453" s="63" t="str">
        <f t="shared" si="415"/>
        <v>4.16.3.3.5.63</v>
      </c>
      <c r="B1453" s="64">
        <v>4</v>
      </c>
      <c r="C1453" s="64">
        <v>16</v>
      </c>
      <c r="D1453" s="64">
        <v>3</v>
      </c>
      <c r="E1453" s="64">
        <v>3</v>
      </c>
      <c r="F1453" s="64">
        <v>5</v>
      </c>
      <c r="G1453" s="64">
        <v>63</v>
      </c>
      <c r="H1453" s="65"/>
      <c r="I1453" s="65"/>
      <c r="J1453" s="66"/>
      <c r="K1453" s="65" t="s">
        <v>1591</v>
      </c>
      <c r="L1453" s="64" t="s">
        <v>1475</v>
      </c>
      <c r="M1453" s="64" t="s">
        <v>1318</v>
      </c>
      <c r="N1453" s="64" t="s">
        <v>74</v>
      </c>
      <c r="O1453" s="64" t="s">
        <v>1524</v>
      </c>
      <c r="P1453" s="69"/>
      <c r="Q1453" s="69"/>
      <c r="R1453" s="171">
        <f>4*2</f>
        <v>8</v>
      </c>
      <c r="S1453" s="65" t="s">
        <v>1589</v>
      </c>
      <c r="T1453" s="194">
        <v>4</v>
      </c>
      <c r="U1453" s="179">
        <v>0</v>
      </c>
      <c r="V1453" s="179"/>
      <c r="W1453" s="179">
        <v>0</v>
      </c>
      <c r="X1453" s="1159">
        <v>0</v>
      </c>
      <c r="Y1453" s="179">
        <v>0</v>
      </c>
      <c r="Z1453" s="179">
        <v>0</v>
      </c>
      <c r="AA1453" s="1159">
        <v>0</v>
      </c>
      <c r="AB1453" s="179">
        <v>0</v>
      </c>
      <c r="AC1453" s="179">
        <v>0</v>
      </c>
      <c r="AD1453" s="1159">
        <v>0</v>
      </c>
      <c r="AE1453" s="179">
        <v>0</v>
      </c>
      <c r="AF1453" s="179">
        <v>0</v>
      </c>
      <c r="AG1453" s="1159">
        <v>0</v>
      </c>
      <c r="AH1453" s="505">
        <f t="shared" si="437"/>
        <v>0</v>
      </c>
      <c r="AI1453" s="132"/>
      <c r="AJ1453" s="75">
        <f t="shared" si="438"/>
        <v>0</v>
      </c>
      <c r="AK1453" s="75"/>
      <c r="AL1453" s="75"/>
      <c r="AM1453" s="75"/>
      <c r="AN1453" s="64" t="s">
        <v>181</v>
      </c>
      <c r="AO1453" s="64"/>
      <c r="AP1453" s="64"/>
      <c r="AQ1453" s="189"/>
      <c r="AR1453" s="64"/>
      <c r="AS1453" s="476"/>
      <c r="AT1453" s="64"/>
      <c r="AU1453" s="646"/>
      <c r="AV1453" s="259" t="s">
        <v>1592</v>
      </c>
      <c r="AW1453" s="185"/>
    </row>
    <row r="1454" spans="1:49" ht="23.45" hidden="1" customHeight="1" outlineLevel="3" x14ac:dyDescent="0.25">
      <c r="A1454" s="63" t="str">
        <f t="shared" si="415"/>
        <v>4.16.3.3.6.63</v>
      </c>
      <c r="B1454" s="64">
        <v>4</v>
      </c>
      <c r="C1454" s="64">
        <v>16</v>
      </c>
      <c r="D1454" s="64">
        <v>3</v>
      </c>
      <c r="E1454" s="64">
        <v>3</v>
      </c>
      <c r="F1454" s="64">
        <v>6</v>
      </c>
      <c r="G1454" s="64">
        <v>63</v>
      </c>
      <c r="H1454" s="65"/>
      <c r="I1454" s="65"/>
      <c r="J1454" s="66"/>
      <c r="K1454" s="65" t="s">
        <v>1593</v>
      </c>
      <c r="L1454" s="64" t="s">
        <v>1475</v>
      </c>
      <c r="M1454" s="64" t="s">
        <v>1318</v>
      </c>
      <c r="N1454" s="64" t="s">
        <v>74</v>
      </c>
      <c r="O1454" s="64" t="s">
        <v>1475</v>
      </c>
      <c r="P1454" s="69"/>
      <c r="Q1454" s="69"/>
      <c r="R1454" s="171">
        <v>1</v>
      </c>
      <c r="S1454" s="65" t="s">
        <v>1589</v>
      </c>
      <c r="T1454" s="194"/>
      <c r="U1454" s="179">
        <v>0</v>
      </c>
      <c r="V1454" s="179"/>
      <c r="W1454" s="179">
        <v>0</v>
      </c>
      <c r="X1454" s="1159">
        <v>0</v>
      </c>
      <c r="Y1454" s="179">
        <v>0</v>
      </c>
      <c r="Z1454" s="179">
        <v>0</v>
      </c>
      <c r="AA1454" s="1159">
        <v>0</v>
      </c>
      <c r="AB1454" s="179">
        <v>0</v>
      </c>
      <c r="AC1454" s="179">
        <v>0</v>
      </c>
      <c r="AD1454" s="1159">
        <v>0</v>
      </c>
      <c r="AE1454" s="179">
        <v>0</v>
      </c>
      <c r="AF1454" s="179">
        <v>0</v>
      </c>
      <c r="AG1454" s="1159">
        <v>0</v>
      </c>
      <c r="AH1454" s="505">
        <f t="shared" si="437"/>
        <v>0</v>
      </c>
      <c r="AI1454" s="132"/>
      <c r="AJ1454" s="75">
        <f t="shared" si="438"/>
        <v>0</v>
      </c>
      <c r="AK1454" s="75"/>
      <c r="AL1454" s="75"/>
      <c r="AM1454" s="75"/>
      <c r="AN1454" s="64" t="s">
        <v>181</v>
      </c>
      <c r="AO1454" s="64"/>
      <c r="AP1454" s="64"/>
      <c r="AQ1454" s="189"/>
      <c r="AR1454" s="64"/>
      <c r="AS1454" s="476"/>
      <c r="AT1454" s="64"/>
      <c r="AU1454" s="646"/>
      <c r="AV1454" s="259" t="s">
        <v>1593</v>
      </c>
      <c r="AW1454" s="185"/>
    </row>
    <row r="1455" spans="1:49" ht="23.45" hidden="1" customHeight="1" outlineLevel="3" x14ac:dyDescent="0.25">
      <c r="A1455" s="63" t="str">
        <f t="shared" si="415"/>
        <v>4.16.3.3.7.63</v>
      </c>
      <c r="B1455" s="64">
        <v>4</v>
      </c>
      <c r="C1455" s="64">
        <v>16</v>
      </c>
      <c r="D1455" s="64">
        <v>3</v>
      </c>
      <c r="E1455" s="64">
        <v>3</v>
      </c>
      <c r="F1455" s="64">
        <v>7</v>
      </c>
      <c r="G1455" s="64">
        <v>63</v>
      </c>
      <c r="H1455" s="65"/>
      <c r="I1455" s="65"/>
      <c r="J1455" s="66"/>
      <c r="K1455" s="65" t="s">
        <v>1594</v>
      </c>
      <c r="L1455" s="64" t="s">
        <v>1475</v>
      </c>
      <c r="M1455" s="64" t="s">
        <v>1318</v>
      </c>
      <c r="N1455" s="64" t="s">
        <v>74</v>
      </c>
      <c r="O1455" s="64" t="s">
        <v>1475</v>
      </c>
      <c r="P1455" s="69"/>
      <c r="Q1455" s="69"/>
      <c r="R1455" s="64">
        <v>1</v>
      </c>
      <c r="S1455" s="65" t="s">
        <v>1589</v>
      </c>
      <c r="T1455" s="194"/>
      <c r="U1455" s="179">
        <v>0</v>
      </c>
      <c r="V1455" s="179"/>
      <c r="W1455" s="179">
        <v>0</v>
      </c>
      <c r="X1455" s="1159">
        <v>0</v>
      </c>
      <c r="Y1455" s="179">
        <v>0</v>
      </c>
      <c r="Z1455" s="179">
        <v>0</v>
      </c>
      <c r="AA1455" s="1159">
        <v>0</v>
      </c>
      <c r="AB1455" s="179">
        <v>0</v>
      </c>
      <c r="AC1455" s="179">
        <v>0</v>
      </c>
      <c r="AD1455" s="1159">
        <v>0</v>
      </c>
      <c r="AE1455" s="179">
        <v>0</v>
      </c>
      <c r="AF1455" s="179">
        <v>0</v>
      </c>
      <c r="AG1455" s="1159">
        <v>0</v>
      </c>
      <c r="AH1455" s="505">
        <f t="shared" si="437"/>
        <v>0</v>
      </c>
      <c r="AI1455" s="132"/>
      <c r="AJ1455" s="75">
        <f t="shared" si="438"/>
        <v>0</v>
      </c>
      <c r="AK1455" s="75"/>
      <c r="AL1455" s="75"/>
      <c r="AM1455" s="75"/>
      <c r="AN1455" s="64" t="s">
        <v>181</v>
      </c>
      <c r="AO1455" s="64"/>
      <c r="AP1455" s="64"/>
      <c r="AQ1455" s="189"/>
      <c r="AR1455" s="64"/>
      <c r="AS1455" s="476"/>
      <c r="AT1455" s="64"/>
      <c r="AU1455" s="646"/>
      <c r="AV1455" s="259" t="s">
        <v>1595</v>
      </c>
      <c r="AW1455" s="185"/>
    </row>
    <row r="1456" spans="1:49" ht="23.45" hidden="1" customHeight="1" outlineLevel="3" x14ac:dyDescent="0.25">
      <c r="A1456" s="63" t="str">
        <f t="shared" si="415"/>
        <v>4.16.3.3.8.63</v>
      </c>
      <c r="B1456" s="64">
        <v>4</v>
      </c>
      <c r="C1456" s="64">
        <v>16</v>
      </c>
      <c r="D1456" s="64">
        <v>3</v>
      </c>
      <c r="E1456" s="64">
        <v>3</v>
      </c>
      <c r="F1456" s="64">
        <v>8</v>
      </c>
      <c r="G1456" s="64">
        <v>63</v>
      </c>
      <c r="H1456" s="65"/>
      <c r="I1456" s="65"/>
      <c r="J1456" s="66"/>
      <c r="K1456" s="65" t="s">
        <v>1596</v>
      </c>
      <c r="L1456" s="64" t="s">
        <v>1475</v>
      </c>
      <c r="M1456" s="64" t="s">
        <v>1318</v>
      </c>
      <c r="N1456" s="64" t="s">
        <v>74</v>
      </c>
      <c r="O1456" s="64" t="s">
        <v>1475</v>
      </c>
      <c r="P1456" s="69"/>
      <c r="Q1456" s="69"/>
      <c r="R1456" s="64">
        <v>12</v>
      </c>
      <c r="S1456" s="65" t="s">
        <v>1597</v>
      </c>
      <c r="T1456" s="194">
        <v>3</v>
      </c>
      <c r="U1456" s="179">
        <v>0</v>
      </c>
      <c r="V1456" s="179"/>
      <c r="W1456" s="179">
        <v>0</v>
      </c>
      <c r="X1456" s="1159">
        <v>0</v>
      </c>
      <c r="Y1456" s="179">
        <v>0</v>
      </c>
      <c r="Z1456" s="179">
        <v>0</v>
      </c>
      <c r="AA1456" s="1159">
        <v>0</v>
      </c>
      <c r="AB1456" s="179">
        <v>0</v>
      </c>
      <c r="AC1456" s="179">
        <v>0</v>
      </c>
      <c r="AD1456" s="1159">
        <v>0</v>
      </c>
      <c r="AE1456" s="179">
        <v>0</v>
      </c>
      <c r="AF1456" s="179">
        <v>0</v>
      </c>
      <c r="AG1456" s="1159">
        <v>0</v>
      </c>
      <c r="AH1456" s="505">
        <f t="shared" si="437"/>
        <v>0</v>
      </c>
      <c r="AI1456" s="132"/>
      <c r="AJ1456" s="75">
        <f t="shared" si="438"/>
        <v>0</v>
      </c>
      <c r="AK1456" s="157"/>
      <c r="AL1456" s="157"/>
      <c r="AM1456" s="157"/>
      <c r="AN1456" s="64" t="s">
        <v>181</v>
      </c>
      <c r="AO1456" s="64"/>
      <c r="AP1456" s="64"/>
      <c r="AQ1456" s="189"/>
      <c r="AR1456" s="64"/>
      <c r="AS1456" s="476"/>
      <c r="AT1456" s="64"/>
      <c r="AU1456" s="646"/>
      <c r="AV1456" s="259" t="s">
        <v>765</v>
      </c>
      <c r="AW1456" s="185" t="s">
        <v>780</v>
      </c>
    </row>
    <row r="1457" spans="1:49" s="153" customFormat="1" ht="54.75" customHeight="1" outlineLevel="2" collapsed="1" x14ac:dyDescent="0.25">
      <c r="A1457" s="148" t="str">
        <f t="shared" si="415"/>
        <v>4.16.3.4.0.64</v>
      </c>
      <c r="B1457" s="82">
        <v>4</v>
      </c>
      <c r="C1457" s="82">
        <v>16</v>
      </c>
      <c r="D1457" s="82">
        <v>3</v>
      </c>
      <c r="E1457" s="82">
        <v>4</v>
      </c>
      <c r="F1457" s="82">
        <v>0</v>
      </c>
      <c r="G1457" s="82">
        <v>64</v>
      </c>
      <c r="H1457" s="149"/>
      <c r="I1457" s="149"/>
      <c r="J1457" s="1260" t="s">
        <v>1600</v>
      </c>
      <c r="K1457" s="1259"/>
      <c r="L1457" s="82" t="s">
        <v>1576</v>
      </c>
      <c r="M1457" s="82" t="s">
        <v>1464</v>
      </c>
      <c r="N1457" s="82" t="s">
        <v>1444</v>
      </c>
      <c r="O1457" s="82" t="s">
        <v>1204</v>
      </c>
      <c r="P1457" s="82"/>
      <c r="Q1457" s="82"/>
      <c r="R1457" s="82"/>
      <c r="S1457" s="149"/>
      <c r="T1457" s="193"/>
      <c r="U1457" s="209">
        <f t="shared" ref="U1457:AH1457" si="439">SUM(U1458:U1465)</f>
        <v>0</v>
      </c>
      <c r="V1457" s="209"/>
      <c r="W1457" s="209">
        <f t="shared" si="439"/>
        <v>0</v>
      </c>
      <c r="X1457" s="1133">
        <f t="shared" si="439"/>
        <v>0</v>
      </c>
      <c r="Y1457" s="209">
        <f t="shared" si="439"/>
        <v>0</v>
      </c>
      <c r="Z1457" s="209">
        <f t="shared" si="439"/>
        <v>0</v>
      </c>
      <c r="AA1457" s="1133">
        <f t="shared" si="439"/>
        <v>0</v>
      </c>
      <c r="AB1457" s="209">
        <f t="shared" si="439"/>
        <v>0</v>
      </c>
      <c r="AC1457" s="209">
        <f t="shared" si="439"/>
        <v>0</v>
      </c>
      <c r="AD1457" s="1133">
        <f t="shared" si="439"/>
        <v>0</v>
      </c>
      <c r="AE1457" s="209">
        <f t="shared" si="439"/>
        <v>0</v>
      </c>
      <c r="AF1457" s="209">
        <f t="shared" si="439"/>
        <v>0</v>
      </c>
      <c r="AG1457" s="1133">
        <f t="shared" si="439"/>
        <v>0</v>
      </c>
      <c r="AH1457" s="209">
        <f t="shared" si="439"/>
        <v>0</v>
      </c>
      <c r="AI1457" s="380">
        <f t="shared" ref="AI1457:AJ1457" si="440">+SUM(AI1458:AI1465)</f>
        <v>0</v>
      </c>
      <c r="AJ1457" s="380">
        <f t="shared" si="440"/>
        <v>0</v>
      </c>
      <c r="AK1457" s="198"/>
      <c r="AL1457" s="198"/>
      <c r="AM1457" s="198"/>
      <c r="AN1457" s="82" t="s">
        <v>181</v>
      </c>
      <c r="AO1457" s="82"/>
      <c r="AP1457" s="82"/>
      <c r="AQ1457" s="365"/>
      <c r="AR1457" s="82"/>
      <c r="AS1457" s="483"/>
      <c r="AT1457" s="82"/>
      <c r="AU1457" s="666"/>
      <c r="AV1457" s="380">
        <f t="shared" ref="AV1457" si="441">+SUM(AV1458:AV1465)</f>
        <v>0</v>
      </c>
      <c r="AW1457" s="449" t="s">
        <v>1579</v>
      </c>
    </row>
    <row r="1458" spans="1:49" ht="36.6" hidden="1" customHeight="1" outlineLevel="3" x14ac:dyDescent="0.25">
      <c r="A1458" s="63" t="str">
        <f t="shared" si="415"/>
        <v>4.16.3.4.1.64</v>
      </c>
      <c r="B1458" s="64">
        <v>4</v>
      </c>
      <c r="C1458" s="64">
        <v>16</v>
      </c>
      <c r="D1458" s="64">
        <v>3</v>
      </c>
      <c r="E1458" s="64">
        <v>4</v>
      </c>
      <c r="F1458" s="64">
        <v>1</v>
      </c>
      <c r="G1458" s="64">
        <v>64</v>
      </c>
      <c r="H1458" s="65"/>
      <c r="I1458" s="65"/>
      <c r="J1458" s="66"/>
      <c r="K1458" s="65" t="s">
        <v>1580</v>
      </c>
      <c r="L1458" s="64" t="s">
        <v>1576</v>
      </c>
      <c r="M1458" s="64" t="s">
        <v>144</v>
      </c>
      <c r="N1458" s="64" t="s">
        <v>265</v>
      </c>
      <c r="O1458" s="64" t="s">
        <v>1544</v>
      </c>
      <c r="P1458" s="64"/>
      <c r="Q1458" s="64"/>
      <c r="R1458" s="64">
        <v>12</v>
      </c>
      <c r="S1458" s="65" t="s">
        <v>1581</v>
      </c>
      <c r="T1458" s="194">
        <v>3</v>
      </c>
      <c r="U1458" s="179">
        <v>0</v>
      </c>
      <c r="V1458" s="179"/>
      <c r="W1458" s="179">
        <v>0</v>
      </c>
      <c r="X1458" s="1159">
        <v>0</v>
      </c>
      <c r="Y1458" s="179">
        <v>0</v>
      </c>
      <c r="Z1458" s="179">
        <v>0</v>
      </c>
      <c r="AA1458" s="1159">
        <v>0</v>
      </c>
      <c r="AB1458" s="179">
        <v>0</v>
      </c>
      <c r="AC1458" s="179">
        <v>0</v>
      </c>
      <c r="AD1458" s="1159">
        <v>0</v>
      </c>
      <c r="AE1458" s="179">
        <v>0</v>
      </c>
      <c r="AF1458" s="179">
        <v>0</v>
      </c>
      <c r="AG1458" s="1159">
        <v>0</v>
      </c>
      <c r="AH1458" s="505">
        <f t="shared" ref="AH1458:AH1465" si="442">+U1458+Y1458+AB1458+AE1458</f>
        <v>0</v>
      </c>
      <c r="AI1458" s="132"/>
      <c r="AJ1458" s="75">
        <f t="shared" ref="AJ1458:AJ1465" si="443">+W1459+Z1459+AC1459+AF1459</f>
        <v>0</v>
      </c>
      <c r="AK1458" s="75"/>
      <c r="AL1458" s="75"/>
      <c r="AM1458" s="75"/>
      <c r="AN1458" s="64" t="s">
        <v>181</v>
      </c>
      <c r="AO1458" s="64"/>
      <c r="AP1458" s="64"/>
      <c r="AQ1458" s="189"/>
      <c r="AR1458" s="64"/>
      <c r="AS1458" s="476"/>
      <c r="AT1458" s="64"/>
      <c r="AU1458" s="646"/>
      <c r="AV1458" s="259" t="s">
        <v>1582</v>
      </c>
      <c r="AW1458" s="185"/>
    </row>
    <row r="1459" spans="1:49" ht="36.6" hidden="1" customHeight="1" outlineLevel="3" x14ac:dyDescent="0.25">
      <c r="A1459" s="63" t="str">
        <f t="shared" si="415"/>
        <v>4.16.3.4.2.64</v>
      </c>
      <c r="B1459" s="64">
        <v>4</v>
      </c>
      <c r="C1459" s="64">
        <v>16</v>
      </c>
      <c r="D1459" s="64">
        <v>3</v>
      </c>
      <c r="E1459" s="64">
        <v>4</v>
      </c>
      <c r="F1459" s="64">
        <v>2</v>
      </c>
      <c r="G1459" s="64">
        <v>64</v>
      </c>
      <c r="H1459" s="65"/>
      <c r="I1459" s="65"/>
      <c r="J1459" s="66"/>
      <c r="K1459" s="65" t="s">
        <v>1583</v>
      </c>
      <c r="L1459" s="64" t="s">
        <v>1475</v>
      </c>
      <c r="M1459" s="64" t="s">
        <v>1318</v>
      </c>
      <c r="N1459" s="64" t="s">
        <v>1223</v>
      </c>
      <c r="O1459" s="64" t="s">
        <v>1544</v>
      </c>
      <c r="P1459" s="69"/>
      <c r="Q1459" s="69"/>
      <c r="R1459" s="64">
        <v>12</v>
      </c>
      <c r="S1459" s="65" t="s">
        <v>1581</v>
      </c>
      <c r="T1459" s="194">
        <v>3</v>
      </c>
      <c r="U1459" s="179">
        <v>0</v>
      </c>
      <c r="V1459" s="179"/>
      <c r="W1459" s="179">
        <v>0</v>
      </c>
      <c r="X1459" s="1159">
        <v>0</v>
      </c>
      <c r="Y1459" s="179">
        <v>0</v>
      </c>
      <c r="Z1459" s="179">
        <v>0</v>
      </c>
      <c r="AA1459" s="1159">
        <v>0</v>
      </c>
      <c r="AB1459" s="179">
        <v>0</v>
      </c>
      <c r="AC1459" s="179">
        <v>0</v>
      </c>
      <c r="AD1459" s="1159">
        <v>0</v>
      </c>
      <c r="AE1459" s="179">
        <v>0</v>
      </c>
      <c r="AF1459" s="179">
        <v>0</v>
      </c>
      <c r="AG1459" s="1159">
        <v>0</v>
      </c>
      <c r="AH1459" s="505">
        <f t="shared" si="442"/>
        <v>0</v>
      </c>
      <c r="AI1459" s="132"/>
      <c r="AJ1459" s="75">
        <f t="shared" si="443"/>
        <v>0</v>
      </c>
      <c r="AK1459" s="75"/>
      <c r="AL1459" s="75"/>
      <c r="AM1459" s="75"/>
      <c r="AN1459" s="64" t="s">
        <v>181</v>
      </c>
      <c r="AO1459" s="995"/>
      <c r="AP1459" s="995"/>
      <c r="AQ1459" s="996"/>
      <c r="AR1459" s="104"/>
      <c r="AS1459" s="997"/>
      <c r="AT1459" s="998"/>
      <c r="AU1459" s="981"/>
      <c r="AV1459" s="259" t="s">
        <v>1584</v>
      </c>
      <c r="AW1459" s="335"/>
    </row>
    <row r="1460" spans="1:49" ht="36.6" hidden="1" customHeight="1" outlineLevel="3" x14ac:dyDescent="0.25">
      <c r="A1460" s="63" t="str">
        <f t="shared" si="415"/>
        <v>4.16.3.4.3.6</v>
      </c>
      <c r="B1460" s="64">
        <v>4</v>
      </c>
      <c r="C1460" s="64">
        <v>16</v>
      </c>
      <c r="D1460" s="64">
        <v>3</v>
      </c>
      <c r="E1460" s="64">
        <v>4</v>
      </c>
      <c r="F1460" s="64">
        <v>3</v>
      </c>
      <c r="G1460" s="64">
        <v>6</v>
      </c>
      <c r="H1460" s="65"/>
      <c r="I1460" s="65"/>
      <c r="J1460" s="66"/>
      <c r="K1460" s="65" t="s">
        <v>1586</v>
      </c>
      <c r="L1460" s="64" t="s">
        <v>1475</v>
      </c>
      <c r="M1460" s="64" t="s">
        <v>1318</v>
      </c>
      <c r="N1460" s="64" t="s">
        <v>1249</v>
      </c>
      <c r="O1460" s="64" t="s">
        <v>1544</v>
      </c>
      <c r="P1460" s="69"/>
      <c r="Q1460" s="69"/>
      <c r="R1460" s="171">
        <v>6</v>
      </c>
      <c r="S1460" s="65"/>
      <c r="T1460" s="194">
        <v>1</v>
      </c>
      <c r="U1460" s="179">
        <v>0</v>
      </c>
      <c r="V1460" s="179"/>
      <c r="W1460" s="179">
        <v>0</v>
      </c>
      <c r="X1460" s="1159">
        <v>0</v>
      </c>
      <c r="Y1460" s="179">
        <v>0</v>
      </c>
      <c r="Z1460" s="179">
        <v>0</v>
      </c>
      <c r="AA1460" s="1159">
        <v>0</v>
      </c>
      <c r="AB1460" s="179">
        <v>0</v>
      </c>
      <c r="AC1460" s="179">
        <v>0</v>
      </c>
      <c r="AD1460" s="1159">
        <v>0</v>
      </c>
      <c r="AE1460" s="179">
        <v>0</v>
      </c>
      <c r="AF1460" s="179">
        <v>0</v>
      </c>
      <c r="AG1460" s="1159">
        <v>0</v>
      </c>
      <c r="AH1460" s="505">
        <f t="shared" si="442"/>
        <v>0</v>
      </c>
      <c r="AI1460" s="132"/>
      <c r="AJ1460" s="75">
        <f t="shared" si="443"/>
        <v>0</v>
      </c>
      <c r="AK1460" s="75"/>
      <c r="AL1460" s="75"/>
      <c r="AM1460" s="75"/>
      <c r="AN1460" s="64" t="s">
        <v>181</v>
      </c>
      <c r="AO1460" s="64"/>
      <c r="AP1460" s="64"/>
      <c r="AQ1460" s="189"/>
      <c r="AR1460" s="64"/>
      <c r="AS1460" s="476"/>
      <c r="AT1460" s="64"/>
      <c r="AU1460" s="646"/>
      <c r="AV1460" s="259" t="s">
        <v>1587</v>
      </c>
      <c r="AW1460" s="185" t="s">
        <v>127</v>
      </c>
    </row>
    <row r="1461" spans="1:49" ht="36.6" hidden="1" customHeight="1" outlineLevel="3" x14ac:dyDescent="0.25">
      <c r="A1461" s="63" t="str">
        <f t="shared" si="415"/>
        <v>4.16.3.4.4.64</v>
      </c>
      <c r="B1461" s="64">
        <v>4</v>
      </c>
      <c r="C1461" s="64">
        <v>16</v>
      </c>
      <c r="D1461" s="64">
        <v>3</v>
      </c>
      <c r="E1461" s="64">
        <v>4</v>
      </c>
      <c r="F1461" s="64">
        <v>4</v>
      </c>
      <c r="G1461" s="64">
        <v>64</v>
      </c>
      <c r="H1461" s="65"/>
      <c r="I1461" s="65"/>
      <c r="J1461" s="65"/>
      <c r="K1461" s="65" t="s">
        <v>1588</v>
      </c>
      <c r="L1461" s="64" t="s">
        <v>1475</v>
      </c>
      <c r="M1461" s="64" t="s">
        <v>1318</v>
      </c>
      <c r="N1461" s="64" t="s">
        <v>74</v>
      </c>
      <c r="O1461" s="64" t="s">
        <v>1524</v>
      </c>
      <c r="P1461" s="69"/>
      <c r="Q1461" s="69"/>
      <c r="R1461" s="171">
        <v>14</v>
      </c>
      <c r="S1461" s="65" t="s">
        <v>1589</v>
      </c>
      <c r="T1461" s="194">
        <v>5</v>
      </c>
      <c r="U1461" s="179">
        <v>0</v>
      </c>
      <c r="V1461" s="179"/>
      <c r="W1461" s="179">
        <v>0</v>
      </c>
      <c r="X1461" s="1159">
        <v>0</v>
      </c>
      <c r="Y1461" s="179">
        <v>0</v>
      </c>
      <c r="Z1461" s="179">
        <v>0</v>
      </c>
      <c r="AA1461" s="1159">
        <v>0</v>
      </c>
      <c r="AB1461" s="179">
        <v>0</v>
      </c>
      <c r="AC1461" s="179">
        <v>0</v>
      </c>
      <c r="AD1461" s="1159">
        <v>0</v>
      </c>
      <c r="AE1461" s="179">
        <v>0</v>
      </c>
      <c r="AF1461" s="179">
        <v>0</v>
      </c>
      <c r="AG1461" s="1159">
        <v>0</v>
      </c>
      <c r="AH1461" s="505">
        <f t="shared" si="442"/>
        <v>0</v>
      </c>
      <c r="AI1461" s="132"/>
      <c r="AJ1461" s="75">
        <f t="shared" si="443"/>
        <v>0</v>
      </c>
      <c r="AK1461" s="75"/>
      <c r="AL1461" s="75"/>
      <c r="AM1461" s="75"/>
      <c r="AN1461" s="64" t="s">
        <v>181</v>
      </c>
      <c r="AO1461" s="64"/>
      <c r="AP1461" s="64"/>
      <c r="AQ1461" s="189"/>
      <c r="AR1461" s="64"/>
      <c r="AS1461" s="476"/>
      <c r="AT1461" s="64"/>
      <c r="AU1461" s="646"/>
      <c r="AV1461" s="259" t="s">
        <v>1590</v>
      </c>
      <c r="AW1461" s="185"/>
    </row>
    <row r="1462" spans="1:49" ht="36.6" hidden="1" customHeight="1" outlineLevel="3" x14ac:dyDescent="0.25">
      <c r="A1462" s="63" t="str">
        <f t="shared" si="415"/>
        <v>4.16.3.4.5.64</v>
      </c>
      <c r="B1462" s="64">
        <v>4</v>
      </c>
      <c r="C1462" s="64">
        <v>16</v>
      </c>
      <c r="D1462" s="64">
        <v>3</v>
      </c>
      <c r="E1462" s="64">
        <v>4</v>
      </c>
      <c r="F1462" s="64">
        <v>5</v>
      </c>
      <c r="G1462" s="64">
        <v>64</v>
      </c>
      <c r="H1462" s="65"/>
      <c r="I1462" s="65"/>
      <c r="J1462" s="66"/>
      <c r="K1462" s="65" t="s">
        <v>1591</v>
      </c>
      <c r="L1462" s="64" t="s">
        <v>1475</v>
      </c>
      <c r="M1462" s="64" t="s">
        <v>1318</v>
      </c>
      <c r="N1462" s="64" t="s">
        <v>74</v>
      </c>
      <c r="O1462" s="64" t="s">
        <v>1524</v>
      </c>
      <c r="P1462" s="69"/>
      <c r="Q1462" s="69"/>
      <c r="R1462" s="171">
        <f>4*2</f>
        <v>8</v>
      </c>
      <c r="S1462" s="65" t="s">
        <v>1589</v>
      </c>
      <c r="T1462" s="194">
        <v>4</v>
      </c>
      <c r="U1462" s="179">
        <v>0</v>
      </c>
      <c r="V1462" s="179"/>
      <c r="W1462" s="179">
        <v>0</v>
      </c>
      <c r="X1462" s="1159">
        <v>0</v>
      </c>
      <c r="Y1462" s="179">
        <v>0</v>
      </c>
      <c r="Z1462" s="179">
        <v>0</v>
      </c>
      <c r="AA1462" s="1159">
        <v>0</v>
      </c>
      <c r="AB1462" s="179">
        <v>0</v>
      </c>
      <c r="AC1462" s="179">
        <v>0</v>
      </c>
      <c r="AD1462" s="1159">
        <v>0</v>
      </c>
      <c r="AE1462" s="179">
        <v>0</v>
      </c>
      <c r="AF1462" s="179">
        <v>0</v>
      </c>
      <c r="AG1462" s="1159">
        <v>0</v>
      </c>
      <c r="AH1462" s="505">
        <f t="shared" si="442"/>
        <v>0</v>
      </c>
      <c r="AI1462" s="132"/>
      <c r="AJ1462" s="75">
        <f t="shared" si="443"/>
        <v>0</v>
      </c>
      <c r="AK1462" s="75"/>
      <c r="AL1462" s="75"/>
      <c r="AM1462" s="75"/>
      <c r="AN1462" s="64" t="s">
        <v>181</v>
      </c>
      <c r="AO1462" s="64"/>
      <c r="AP1462" s="64"/>
      <c r="AQ1462" s="189"/>
      <c r="AR1462" s="64"/>
      <c r="AS1462" s="476"/>
      <c r="AT1462" s="64"/>
      <c r="AU1462" s="646"/>
      <c r="AV1462" s="259" t="s">
        <v>1592</v>
      </c>
      <c r="AW1462" s="185"/>
    </row>
    <row r="1463" spans="1:49" ht="36.6" hidden="1" customHeight="1" outlineLevel="3" x14ac:dyDescent="0.25">
      <c r="A1463" s="63" t="str">
        <f t="shared" si="415"/>
        <v>4.16.3.4.6.64</v>
      </c>
      <c r="B1463" s="64">
        <v>4</v>
      </c>
      <c r="C1463" s="64">
        <v>16</v>
      </c>
      <c r="D1463" s="64">
        <v>3</v>
      </c>
      <c r="E1463" s="64">
        <v>4</v>
      </c>
      <c r="F1463" s="64">
        <v>6</v>
      </c>
      <c r="G1463" s="64">
        <v>64</v>
      </c>
      <c r="H1463" s="65"/>
      <c r="I1463" s="65"/>
      <c r="J1463" s="66"/>
      <c r="K1463" s="65" t="s">
        <v>1593</v>
      </c>
      <c r="L1463" s="64" t="s">
        <v>1475</v>
      </c>
      <c r="M1463" s="64" t="s">
        <v>1318</v>
      </c>
      <c r="N1463" s="64" t="s">
        <v>74</v>
      </c>
      <c r="O1463" s="64" t="s">
        <v>1475</v>
      </c>
      <c r="P1463" s="69"/>
      <c r="Q1463" s="69"/>
      <c r="R1463" s="171">
        <v>1</v>
      </c>
      <c r="S1463" s="65" t="s">
        <v>1589</v>
      </c>
      <c r="T1463" s="194"/>
      <c r="U1463" s="179">
        <v>0</v>
      </c>
      <c r="V1463" s="179"/>
      <c r="W1463" s="179">
        <v>0</v>
      </c>
      <c r="X1463" s="1159">
        <v>0</v>
      </c>
      <c r="Y1463" s="179">
        <v>0</v>
      </c>
      <c r="Z1463" s="179">
        <v>0</v>
      </c>
      <c r="AA1463" s="1159">
        <v>0</v>
      </c>
      <c r="AB1463" s="179">
        <v>0</v>
      </c>
      <c r="AC1463" s="179">
        <v>0</v>
      </c>
      <c r="AD1463" s="1159">
        <v>0</v>
      </c>
      <c r="AE1463" s="179">
        <v>0</v>
      </c>
      <c r="AF1463" s="179">
        <v>0</v>
      </c>
      <c r="AG1463" s="1159">
        <v>0</v>
      </c>
      <c r="AH1463" s="505">
        <f t="shared" si="442"/>
        <v>0</v>
      </c>
      <c r="AI1463" s="132"/>
      <c r="AJ1463" s="75">
        <f t="shared" si="443"/>
        <v>0</v>
      </c>
      <c r="AK1463" s="75"/>
      <c r="AL1463" s="75"/>
      <c r="AM1463" s="75"/>
      <c r="AN1463" s="64" t="s">
        <v>181</v>
      </c>
      <c r="AO1463" s="64"/>
      <c r="AP1463" s="64"/>
      <c r="AQ1463" s="189"/>
      <c r="AR1463" s="64"/>
      <c r="AS1463" s="476"/>
      <c r="AT1463" s="64"/>
      <c r="AU1463" s="646"/>
      <c r="AV1463" s="259" t="s">
        <v>1593</v>
      </c>
      <c r="AW1463" s="185"/>
    </row>
    <row r="1464" spans="1:49" ht="36.6" hidden="1" customHeight="1" outlineLevel="3" x14ac:dyDescent="0.25">
      <c r="A1464" s="63" t="str">
        <f t="shared" si="415"/>
        <v>4.16.3.4.7.64</v>
      </c>
      <c r="B1464" s="64">
        <v>4</v>
      </c>
      <c r="C1464" s="64">
        <v>16</v>
      </c>
      <c r="D1464" s="64">
        <v>3</v>
      </c>
      <c r="E1464" s="64">
        <v>4</v>
      </c>
      <c r="F1464" s="64">
        <v>7</v>
      </c>
      <c r="G1464" s="64">
        <v>64</v>
      </c>
      <c r="H1464" s="65"/>
      <c r="I1464" s="65"/>
      <c r="J1464" s="66"/>
      <c r="K1464" s="65" t="s">
        <v>1594</v>
      </c>
      <c r="L1464" s="64" t="s">
        <v>1475</v>
      </c>
      <c r="M1464" s="64" t="s">
        <v>1318</v>
      </c>
      <c r="N1464" s="64" t="s">
        <v>74</v>
      </c>
      <c r="O1464" s="64" t="s">
        <v>1475</v>
      </c>
      <c r="P1464" s="69"/>
      <c r="Q1464" s="69"/>
      <c r="R1464" s="64">
        <v>1</v>
      </c>
      <c r="S1464" s="65" t="s">
        <v>1589</v>
      </c>
      <c r="T1464" s="194"/>
      <c r="U1464" s="179">
        <v>0</v>
      </c>
      <c r="V1464" s="179"/>
      <c r="W1464" s="179">
        <v>0</v>
      </c>
      <c r="X1464" s="1159">
        <v>0</v>
      </c>
      <c r="Y1464" s="179">
        <v>0</v>
      </c>
      <c r="Z1464" s="179">
        <v>0</v>
      </c>
      <c r="AA1464" s="1159">
        <v>0</v>
      </c>
      <c r="AB1464" s="179">
        <v>0</v>
      </c>
      <c r="AC1464" s="179">
        <v>0</v>
      </c>
      <c r="AD1464" s="1159">
        <v>0</v>
      </c>
      <c r="AE1464" s="179">
        <v>0</v>
      </c>
      <c r="AF1464" s="179">
        <v>0</v>
      </c>
      <c r="AG1464" s="1159">
        <v>0</v>
      </c>
      <c r="AH1464" s="505">
        <f t="shared" si="442"/>
        <v>0</v>
      </c>
      <c r="AI1464" s="132"/>
      <c r="AJ1464" s="75">
        <f t="shared" si="443"/>
        <v>0</v>
      </c>
      <c r="AK1464" s="75"/>
      <c r="AL1464" s="75"/>
      <c r="AM1464" s="75"/>
      <c r="AN1464" s="64" t="s">
        <v>181</v>
      </c>
      <c r="AO1464" s="64"/>
      <c r="AP1464" s="64"/>
      <c r="AQ1464" s="189"/>
      <c r="AR1464" s="64"/>
      <c r="AS1464" s="476"/>
      <c r="AT1464" s="64"/>
      <c r="AU1464" s="646"/>
      <c r="AV1464" s="259" t="s">
        <v>1595</v>
      </c>
      <c r="AW1464" s="185"/>
    </row>
    <row r="1465" spans="1:49" ht="36.6" hidden="1" customHeight="1" outlineLevel="3" x14ac:dyDescent="0.25">
      <c r="A1465" s="63" t="str">
        <f t="shared" si="415"/>
        <v>4.16.3.4.8.64</v>
      </c>
      <c r="B1465" s="64">
        <v>4</v>
      </c>
      <c r="C1465" s="64">
        <v>16</v>
      </c>
      <c r="D1465" s="64">
        <v>3</v>
      </c>
      <c r="E1465" s="64">
        <v>4</v>
      </c>
      <c r="F1465" s="64">
        <v>8</v>
      </c>
      <c r="G1465" s="64">
        <v>64</v>
      </c>
      <c r="H1465" s="65"/>
      <c r="I1465" s="65"/>
      <c r="J1465" s="66"/>
      <c r="K1465" s="65" t="s">
        <v>1596</v>
      </c>
      <c r="L1465" s="64" t="s">
        <v>1475</v>
      </c>
      <c r="M1465" s="64" t="s">
        <v>1318</v>
      </c>
      <c r="N1465" s="64" t="s">
        <v>74</v>
      </c>
      <c r="O1465" s="64" t="s">
        <v>1475</v>
      </c>
      <c r="P1465" s="69"/>
      <c r="Q1465" s="69"/>
      <c r="R1465" s="64">
        <v>12</v>
      </c>
      <c r="S1465" s="65" t="s">
        <v>1597</v>
      </c>
      <c r="T1465" s="194">
        <v>3</v>
      </c>
      <c r="U1465" s="179">
        <v>0</v>
      </c>
      <c r="V1465" s="179"/>
      <c r="W1465" s="179">
        <v>0</v>
      </c>
      <c r="X1465" s="1159">
        <v>0</v>
      </c>
      <c r="Y1465" s="179">
        <v>0</v>
      </c>
      <c r="Z1465" s="179">
        <v>0</v>
      </c>
      <c r="AA1465" s="1159">
        <v>0</v>
      </c>
      <c r="AB1465" s="179">
        <v>0</v>
      </c>
      <c r="AC1465" s="179">
        <v>0</v>
      </c>
      <c r="AD1465" s="1159">
        <v>0</v>
      </c>
      <c r="AE1465" s="179">
        <v>0</v>
      </c>
      <c r="AF1465" s="179">
        <v>0</v>
      </c>
      <c r="AG1465" s="1159">
        <v>0</v>
      </c>
      <c r="AH1465" s="505">
        <f t="shared" si="442"/>
        <v>0</v>
      </c>
      <c r="AI1465" s="132"/>
      <c r="AJ1465" s="75">
        <f t="shared" si="443"/>
        <v>0</v>
      </c>
      <c r="AK1465" s="75"/>
      <c r="AL1465" s="75"/>
      <c r="AM1465" s="75"/>
      <c r="AN1465" s="64" t="s">
        <v>181</v>
      </c>
      <c r="AO1465" s="64"/>
      <c r="AP1465" s="64"/>
      <c r="AQ1465" s="189"/>
      <c r="AR1465" s="64"/>
      <c r="AS1465" s="476"/>
      <c r="AT1465" s="64"/>
      <c r="AU1465" s="646"/>
      <c r="AV1465" s="259" t="s">
        <v>765</v>
      </c>
      <c r="AW1465" s="185" t="s">
        <v>780</v>
      </c>
    </row>
    <row r="1466" spans="1:49" s="153" customFormat="1" ht="50.25" customHeight="1" outlineLevel="2" collapsed="1" x14ac:dyDescent="0.25">
      <c r="A1466" s="148" t="str">
        <f t="shared" si="415"/>
        <v>4.16.3.5.0.61</v>
      </c>
      <c r="B1466" s="82">
        <v>4</v>
      </c>
      <c r="C1466" s="82">
        <v>16</v>
      </c>
      <c r="D1466" s="82">
        <v>3</v>
      </c>
      <c r="E1466" s="82">
        <v>5</v>
      </c>
      <c r="F1466" s="82">
        <v>0</v>
      </c>
      <c r="G1466" s="82">
        <v>61</v>
      </c>
      <c r="H1466" s="149"/>
      <c r="I1466" s="149"/>
      <c r="J1466" s="1260" t="s">
        <v>1601</v>
      </c>
      <c r="K1466" s="1259"/>
      <c r="L1466" s="82" t="s">
        <v>1576</v>
      </c>
      <c r="M1466" s="82" t="s">
        <v>1464</v>
      </c>
      <c r="N1466" s="82" t="s">
        <v>1444</v>
      </c>
      <c r="O1466" s="82" t="s">
        <v>1204</v>
      </c>
      <c r="P1466" s="82"/>
      <c r="Q1466" s="82"/>
      <c r="R1466" s="82"/>
      <c r="S1466" s="149"/>
      <c r="T1466" s="193"/>
      <c r="U1466" s="209">
        <f t="shared" ref="U1466:AH1466" si="444">SUM(U1467:U1474)</f>
        <v>0</v>
      </c>
      <c r="V1466" s="209"/>
      <c r="W1466" s="209">
        <f t="shared" si="444"/>
        <v>0</v>
      </c>
      <c r="X1466" s="1133">
        <f t="shared" si="444"/>
        <v>0</v>
      </c>
      <c r="Y1466" s="209">
        <f t="shared" si="444"/>
        <v>0</v>
      </c>
      <c r="Z1466" s="209">
        <f t="shared" si="444"/>
        <v>0</v>
      </c>
      <c r="AA1466" s="1133">
        <f t="shared" si="444"/>
        <v>0</v>
      </c>
      <c r="AB1466" s="209">
        <f t="shared" si="444"/>
        <v>0</v>
      </c>
      <c r="AC1466" s="209">
        <f t="shared" si="444"/>
        <v>0</v>
      </c>
      <c r="AD1466" s="1133">
        <f t="shared" si="444"/>
        <v>0</v>
      </c>
      <c r="AE1466" s="209">
        <f t="shared" si="444"/>
        <v>0</v>
      </c>
      <c r="AF1466" s="209">
        <f t="shared" si="444"/>
        <v>0</v>
      </c>
      <c r="AG1466" s="1133">
        <f t="shared" si="444"/>
        <v>0</v>
      </c>
      <c r="AH1466" s="209">
        <f t="shared" si="444"/>
        <v>0</v>
      </c>
      <c r="AI1466" s="380">
        <f t="shared" ref="AI1466:AJ1466" si="445">+SUM(AI1467:AI1474)</f>
        <v>0</v>
      </c>
      <c r="AJ1466" s="380">
        <f t="shared" si="445"/>
        <v>0</v>
      </c>
      <c r="AK1466" s="198"/>
      <c r="AL1466" s="198"/>
      <c r="AM1466" s="198"/>
      <c r="AN1466" s="82" t="s">
        <v>181</v>
      </c>
      <c r="AO1466" s="82"/>
      <c r="AP1466" s="82"/>
      <c r="AQ1466" s="365"/>
      <c r="AR1466" s="82"/>
      <c r="AS1466" s="483"/>
      <c r="AT1466" s="82"/>
      <c r="AU1466" s="666"/>
      <c r="AV1466" s="380">
        <f t="shared" ref="AV1466" si="446">+SUM(AV1467:AV1474)</f>
        <v>0</v>
      </c>
      <c r="AW1466" s="449" t="s">
        <v>1579</v>
      </c>
    </row>
    <row r="1467" spans="1:49" ht="27.6" hidden="1" customHeight="1" outlineLevel="3" x14ac:dyDescent="0.25">
      <c r="A1467" s="63" t="str">
        <f t="shared" si="415"/>
        <v>4.16.3.5.1.61</v>
      </c>
      <c r="B1467" s="64">
        <v>4</v>
      </c>
      <c r="C1467" s="64">
        <v>16</v>
      </c>
      <c r="D1467" s="64">
        <v>3</v>
      </c>
      <c r="E1467" s="64">
        <v>5</v>
      </c>
      <c r="F1467" s="64">
        <v>1</v>
      </c>
      <c r="G1467" s="64">
        <v>61</v>
      </c>
      <c r="H1467" s="65"/>
      <c r="I1467" s="65"/>
      <c r="J1467" s="66"/>
      <c r="K1467" s="65" t="s">
        <v>1580</v>
      </c>
      <c r="L1467" s="64" t="s">
        <v>1576</v>
      </c>
      <c r="M1467" s="64" t="s">
        <v>144</v>
      </c>
      <c r="N1467" s="64" t="s">
        <v>265</v>
      </c>
      <c r="O1467" s="64" t="s">
        <v>1544</v>
      </c>
      <c r="P1467" s="64"/>
      <c r="Q1467" s="64"/>
      <c r="R1467" s="64">
        <v>12</v>
      </c>
      <c r="S1467" s="65" t="s">
        <v>1581</v>
      </c>
      <c r="T1467" s="194">
        <v>3</v>
      </c>
      <c r="U1467" s="179">
        <v>0</v>
      </c>
      <c r="V1467" s="179"/>
      <c r="W1467" s="179">
        <v>0</v>
      </c>
      <c r="X1467" s="1159">
        <v>0</v>
      </c>
      <c r="Y1467" s="179">
        <v>0</v>
      </c>
      <c r="Z1467" s="179">
        <v>0</v>
      </c>
      <c r="AA1467" s="1159">
        <v>0</v>
      </c>
      <c r="AB1467" s="179">
        <v>0</v>
      </c>
      <c r="AC1467" s="179">
        <v>0</v>
      </c>
      <c r="AD1467" s="1159">
        <v>0</v>
      </c>
      <c r="AE1467" s="179">
        <v>0</v>
      </c>
      <c r="AF1467" s="179">
        <v>0</v>
      </c>
      <c r="AG1467" s="1159">
        <v>0</v>
      </c>
      <c r="AH1467" s="505">
        <f t="shared" ref="AH1467:AH1474" si="447">+U1467+Y1467+AB1467+AE1467</f>
        <v>0</v>
      </c>
      <c r="AI1467" s="132"/>
      <c r="AJ1467" s="75">
        <f t="shared" ref="AJ1467:AJ1474" si="448">+W1468+Z1468+AC1468+AF1468</f>
        <v>0</v>
      </c>
      <c r="AK1467" s="75"/>
      <c r="AL1467" s="75"/>
      <c r="AM1467" s="75"/>
      <c r="AN1467" s="64" t="s">
        <v>181</v>
      </c>
      <c r="AO1467" s="64"/>
      <c r="AP1467" s="64"/>
      <c r="AQ1467" s="189"/>
      <c r="AR1467" s="64"/>
      <c r="AS1467" s="476"/>
      <c r="AT1467" s="64"/>
      <c r="AU1467" s="646"/>
      <c r="AV1467" s="259" t="s">
        <v>1582</v>
      </c>
      <c r="AW1467" s="185"/>
    </row>
    <row r="1468" spans="1:49" ht="27.6" hidden="1" customHeight="1" outlineLevel="3" x14ac:dyDescent="0.25">
      <c r="A1468" s="63" t="str">
        <f t="shared" si="415"/>
        <v>4.16.3.5.2.61</v>
      </c>
      <c r="B1468" s="64">
        <v>4</v>
      </c>
      <c r="C1468" s="64">
        <v>16</v>
      </c>
      <c r="D1468" s="64">
        <v>3</v>
      </c>
      <c r="E1468" s="64">
        <v>5</v>
      </c>
      <c r="F1468" s="64">
        <v>2</v>
      </c>
      <c r="G1468" s="64">
        <v>61</v>
      </c>
      <c r="H1468" s="65"/>
      <c r="I1468" s="65"/>
      <c r="J1468" s="66"/>
      <c r="K1468" s="65" t="s">
        <v>1583</v>
      </c>
      <c r="L1468" s="64" t="s">
        <v>1475</v>
      </c>
      <c r="M1468" s="64" t="s">
        <v>1318</v>
      </c>
      <c r="N1468" s="64" t="s">
        <v>1223</v>
      </c>
      <c r="O1468" s="64" t="s">
        <v>1544</v>
      </c>
      <c r="P1468" s="69"/>
      <c r="Q1468" s="69"/>
      <c r="R1468" s="64">
        <v>12</v>
      </c>
      <c r="S1468" s="65" t="s">
        <v>1581</v>
      </c>
      <c r="T1468" s="194">
        <v>3</v>
      </c>
      <c r="U1468" s="179">
        <v>0</v>
      </c>
      <c r="V1468" s="179"/>
      <c r="W1468" s="179">
        <v>0</v>
      </c>
      <c r="X1468" s="1159">
        <v>0</v>
      </c>
      <c r="Y1468" s="179">
        <v>0</v>
      </c>
      <c r="Z1468" s="179">
        <v>0</v>
      </c>
      <c r="AA1468" s="1159">
        <v>0</v>
      </c>
      <c r="AB1468" s="179">
        <v>0</v>
      </c>
      <c r="AC1468" s="179">
        <v>0</v>
      </c>
      <c r="AD1468" s="1159">
        <v>0</v>
      </c>
      <c r="AE1468" s="179">
        <v>0</v>
      </c>
      <c r="AF1468" s="179">
        <v>0</v>
      </c>
      <c r="AG1468" s="1159">
        <v>0</v>
      </c>
      <c r="AH1468" s="505">
        <f t="shared" si="447"/>
        <v>0</v>
      </c>
      <c r="AI1468" s="132"/>
      <c r="AJ1468" s="75">
        <f t="shared" si="448"/>
        <v>0</v>
      </c>
      <c r="AK1468" s="75"/>
      <c r="AL1468" s="75"/>
      <c r="AM1468" s="75"/>
      <c r="AN1468" s="64" t="s">
        <v>181</v>
      </c>
      <c r="AO1468" s="995"/>
      <c r="AP1468" s="995"/>
      <c r="AQ1468" s="996"/>
      <c r="AR1468" s="104"/>
      <c r="AS1468" s="997"/>
      <c r="AT1468" s="998"/>
      <c r="AU1468" s="981"/>
      <c r="AV1468" s="259" t="s">
        <v>1584</v>
      </c>
      <c r="AW1468" s="335"/>
    </row>
    <row r="1469" spans="1:49" ht="27.6" hidden="1" customHeight="1" outlineLevel="3" x14ac:dyDescent="0.25">
      <c r="A1469" s="63" t="str">
        <f t="shared" si="415"/>
        <v>4.16.3.5.3.61</v>
      </c>
      <c r="B1469" s="64">
        <v>4</v>
      </c>
      <c r="C1469" s="64">
        <v>16</v>
      </c>
      <c r="D1469" s="64">
        <v>3</v>
      </c>
      <c r="E1469" s="64">
        <v>5</v>
      </c>
      <c r="F1469" s="64">
        <v>3</v>
      </c>
      <c r="G1469" s="64">
        <v>61</v>
      </c>
      <c r="H1469" s="65"/>
      <c r="I1469" s="65"/>
      <c r="J1469" s="66"/>
      <c r="K1469" s="65" t="s">
        <v>1586</v>
      </c>
      <c r="L1469" s="64" t="s">
        <v>1475</v>
      </c>
      <c r="M1469" s="64" t="s">
        <v>1318</v>
      </c>
      <c r="N1469" s="64" t="s">
        <v>1249</v>
      </c>
      <c r="O1469" s="64" t="s">
        <v>1544</v>
      </c>
      <c r="P1469" s="69"/>
      <c r="Q1469" s="69"/>
      <c r="R1469" s="171">
        <v>6</v>
      </c>
      <c r="S1469" s="65"/>
      <c r="T1469" s="194">
        <v>1</v>
      </c>
      <c r="U1469" s="179">
        <v>0</v>
      </c>
      <c r="V1469" s="179"/>
      <c r="W1469" s="179">
        <v>0</v>
      </c>
      <c r="X1469" s="1159">
        <v>0</v>
      </c>
      <c r="Y1469" s="179">
        <v>0</v>
      </c>
      <c r="Z1469" s="179">
        <v>0</v>
      </c>
      <c r="AA1469" s="1159">
        <v>0</v>
      </c>
      <c r="AB1469" s="179">
        <v>0</v>
      </c>
      <c r="AC1469" s="179">
        <v>0</v>
      </c>
      <c r="AD1469" s="1159">
        <v>0</v>
      </c>
      <c r="AE1469" s="179">
        <v>0</v>
      </c>
      <c r="AF1469" s="179">
        <v>0</v>
      </c>
      <c r="AG1469" s="1159">
        <v>0</v>
      </c>
      <c r="AH1469" s="505">
        <f t="shared" si="447"/>
        <v>0</v>
      </c>
      <c r="AI1469" s="132"/>
      <c r="AJ1469" s="75">
        <f t="shared" si="448"/>
        <v>0</v>
      </c>
      <c r="AK1469" s="75"/>
      <c r="AL1469" s="75"/>
      <c r="AM1469" s="75"/>
      <c r="AN1469" s="64" t="s">
        <v>181</v>
      </c>
      <c r="AO1469" s="64"/>
      <c r="AP1469" s="64"/>
      <c r="AQ1469" s="189"/>
      <c r="AR1469" s="64"/>
      <c r="AS1469" s="476"/>
      <c r="AT1469" s="64"/>
      <c r="AU1469" s="646"/>
      <c r="AV1469" s="259" t="s">
        <v>1587</v>
      </c>
      <c r="AW1469" s="185" t="s">
        <v>127</v>
      </c>
    </row>
    <row r="1470" spans="1:49" ht="27.6" hidden="1" customHeight="1" outlineLevel="3" x14ac:dyDescent="0.25">
      <c r="A1470" s="63" t="str">
        <f t="shared" si="415"/>
        <v>4.16.3.5.4.61</v>
      </c>
      <c r="B1470" s="64">
        <v>4</v>
      </c>
      <c r="C1470" s="64">
        <v>16</v>
      </c>
      <c r="D1470" s="64">
        <v>3</v>
      </c>
      <c r="E1470" s="64">
        <v>5</v>
      </c>
      <c r="F1470" s="64">
        <v>4</v>
      </c>
      <c r="G1470" s="64">
        <v>61</v>
      </c>
      <c r="H1470" s="65"/>
      <c r="I1470" s="65"/>
      <c r="J1470" s="66"/>
      <c r="K1470" s="65" t="s">
        <v>1588</v>
      </c>
      <c r="L1470" s="64" t="s">
        <v>1475</v>
      </c>
      <c r="M1470" s="64" t="s">
        <v>1318</v>
      </c>
      <c r="N1470" s="64" t="s">
        <v>74</v>
      </c>
      <c r="O1470" s="64" t="s">
        <v>1524</v>
      </c>
      <c r="P1470" s="69"/>
      <c r="Q1470" s="69"/>
      <c r="R1470" s="171">
        <v>14</v>
      </c>
      <c r="S1470" s="65" t="s">
        <v>1589</v>
      </c>
      <c r="T1470" s="194">
        <v>5</v>
      </c>
      <c r="U1470" s="179">
        <v>0</v>
      </c>
      <c r="V1470" s="179"/>
      <c r="W1470" s="179">
        <v>0</v>
      </c>
      <c r="X1470" s="1159">
        <v>0</v>
      </c>
      <c r="Y1470" s="179">
        <v>0</v>
      </c>
      <c r="Z1470" s="179">
        <v>0</v>
      </c>
      <c r="AA1470" s="1159">
        <v>0</v>
      </c>
      <c r="AB1470" s="179">
        <v>0</v>
      </c>
      <c r="AC1470" s="179">
        <v>0</v>
      </c>
      <c r="AD1470" s="1159">
        <v>0</v>
      </c>
      <c r="AE1470" s="179">
        <v>0</v>
      </c>
      <c r="AF1470" s="179">
        <v>0</v>
      </c>
      <c r="AG1470" s="1159">
        <v>0</v>
      </c>
      <c r="AH1470" s="505">
        <f t="shared" si="447"/>
        <v>0</v>
      </c>
      <c r="AI1470" s="132"/>
      <c r="AJ1470" s="75">
        <f t="shared" si="448"/>
        <v>0</v>
      </c>
      <c r="AK1470" s="75"/>
      <c r="AL1470" s="75"/>
      <c r="AM1470" s="75"/>
      <c r="AN1470" s="64" t="s">
        <v>181</v>
      </c>
      <c r="AO1470" s="64"/>
      <c r="AP1470" s="64"/>
      <c r="AQ1470" s="189"/>
      <c r="AR1470" s="64"/>
      <c r="AS1470" s="476"/>
      <c r="AT1470" s="64"/>
      <c r="AU1470" s="646"/>
      <c r="AV1470" s="259" t="s">
        <v>1590</v>
      </c>
      <c r="AW1470" s="185"/>
    </row>
    <row r="1471" spans="1:49" ht="27.6" hidden="1" customHeight="1" outlineLevel="3" x14ac:dyDescent="0.25">
      <c r="A1471" s="63" t="str">
        <f t="shared" si="415"/>
        <v>4.16.3.5.5.61</v>
      </c>
      <c r="B1471" s="64">
        <v>4</v>
      </c>
      <c r="C1471" s="64">
        <v>16</v>
      </c>
      <c r="D1471" s="64">
        <v>3</v>
      </c>
      <c r="E1471" s="64">
        <v>5</v>
      </c>
      <c r="F1471" s="64">
        <v>5</v>
      </c>
      <c r="G1471" s="64">
        <v>61</v>
      </c>
      <c r="H1471" s="65"/>
      <c r="I1471" s="65"/>
      <c r="J1471" s="66"/>
      <c r="K1471" s="65" t="s">
        <v>1591</v>
      </c>
      <c r="L1471" s="64" t="s">
        <v>1475</v>
      </c>
      <c r="M1471" s="64" t="s">
        <v>1318</v>
      </c>
      <c r="N1471" s="64" t="s">
        <v>74</v>
      </c>
      <c r="O1471" s="64" t="s">
        <v>1524</v>
      </c>
      <c r="P1471" s="69"/>
      <c r="Q1471" s="69"/>
      <c r="R1471" s="171">
        <f>4*2</f>
        <v>8</v>
      </c>
      <c r="S1471" s="65" t="s">
        <v>1589</v>
      </c>
      <c r="T1471" s="194">
        <v>4</v>
      </c>
      <c r="U1471" s="179">
        <v>0</v>
      </c>
      <c r="V1471" s="179"/>
      <c r="W1471" s="179">
        <v>0</v>
      </c>
      <c r="X1471" s="1159">
        <v>0</v>
      </c>
      <c r="Y1471" s="179">
        <v>0</v>
      </c>
      <c r="Z1471" s="179">
        <v>0</v>
      </c>
      <c r="AA1471" s="1159">
        <v>0</v>
      </c>
      <c r="AB1471" s="179">
        <v>0</v>
      </c>
      <c r="AC1471" s="179">
        <v>0</v>
      </c>
      <c r="AD1471" s="1159">
        <v>0</v>
      </c>
      <c r="AE1471" s="179">
        <v>0</v>
      </c>
      <c r="AF1471" s="179">
        <v>0</v>
      </c>
      <c r="AG1471" s="1159">
        <v>0</v>
      </c>
      <c r="AH1471" s="505">
        <f t="shared" si="447"/>
        <v>0</v>
      </c>
      <c r="AI1471" s="132"/>
      <c r="AJ1471" s="75">
        <f t="shared" si="448"/>
        <v>0</v>
      </c>
      <c r="AK1471" s="75"/>
      <c r="AL1471" s="75"/>
      <c r="AM1471" s="75"/>
      <c r="AN1471" s="64" t="s">
        <v>181</v>
      </c>
      <c r="AO1471" s="64"/>
      <c r="AP1471" s="64"/>
      <c r="AQ1471" s="189"/>
      <c r="AR1471" s="64"/>
      <c r="AS1471" s="476"/>
      <c r="AT1471" s="64"/>
      <c r="AU1471" s="646"/>
      <c r="AV1471" s="259" t="s">
        <v>1592</v>
      </c>
      <c r="AW1471" s="185"/>
    </row>
    <row r="1472" spans="1:49" ht="27.6" hidden="1" customHeight="1" outlineLevel="3" x14ac:dyDescent="0.25">
      <c r="A1472" s="63" t="str">
        <f t="shared" si="415"/>
        <v>4.16.3.5.6.61</v>
      </c>
      <c r="B1472" s="64">
        <v>4</v>
      </c>
      <c r="C1472" s="64">
        <v>16</v>
      </c>
      <c r="D1472" s="64">
        <v>3</v>
      </c>
      <c r="E1472" s="64">
        <v>5</v>
      </c>
      <c r="F1472" s="64">
        <v>6</v>
      </c>
      <c r="G1472" s="64">
        <v>61</v>
      </c>
      <c r="H1472" s="65"/>
      <c r="I1472" s="65"/>
      <c r="J1472" s="66"/>
      <c r="K1472" s="65" t="s">
        <v>1593</v>
      </c>
      <c r="L1472" s="64" t="s">
        <v>1475</v>
      </c>
      <c r="M1472" s="64" t="s">
        <v>1318</v>
      </c>
      <c r="N1472" s="64" t="s">
        <v>74</v>
      </c>
      <c r="O1472" s="64" t="s">
        <v>1475</v>
      </c>
      <c r="P1472" s="69"/>
      <c r="Q1472" s="69"/>
      <c r="R1472" s="171">
        <v>1</v>
      </c>
      <c r="S1472" s="65" t="s">
        <v>1589</v>
      </c>
      <c r="T1472" s="194"/>
      <c r="U1472" s="179">
        <v>0</v>
      </c>
      <c r="V1472" s="179"/>
      <c r="W1472" s="179">
        <v>0</v>
      </c>
      <c r="X1472" s="1159">
        <v>0</v>
      </c>
      <c r="Y1472" s="179">
        <v>0</v>
      </c>
      <c r="Z1472" s="179">
        <v>0</v>
      </c>
      <c r="AA1472" s="1159">
        <v>0</v>
      </c>
      <c r="AB1472" s="179">
        <v>0</v>
      </c>
      <c r="AC1472" s="179">
        <v>0</v>
      </c>
      <c r="AD1472" s="1159">
        <v>0</v>
      </c>
      <c r="AE1472" s="179">
        <v>0</v>
      </c>
      <c r="AF1472" s="179">
        <v>0</v>
      </c>
      <c r="AG1472" s="1159">
        <v>0</v>
      </c>
      <c r="AH1472" s="505">
        <f t="shared" si="447"/>
        <v>0</v>
      </c>
      <c r="AI1472" s="132"/>
      <c r="AJ1472" s="75">
        <f t="shared" si="448"/>
        <v>0</v>
      </c>
      <c r="AK1472" s="75"/>
      <c r="AL1472" s="75"/>
      <c r="AM1472" s="75"/>
      <c r="AN1472" s="64" t="s">
        <v>181</v>
      </c>
      <c r="AO1472" s="64"/>
      <c r="AP1472" s="64"/>
      <c r="AQ1472" s="189"/>
      <c r="AR1472" s="64"/>
      <c r="AS1472" s="476"/>
      <c r="AT1472" s="64"/>
      <c r="AU1472" s="646"/>
      <c r="AV1472" s="259" t="s">
        <v>1593</v>
      </c>
      <c r="AW1472" s="185"/>
    </row>
    <row r="1473" spans="1:55" ht="27.6" hidden="1" customHeight="1" outlineLevel="3" x14ac:dyDescent="0.25">
      <c r="A1473" s="63" t="str">
        <f t="shared" si="415"/>
        <v>4.16.3.5.7.61</v>
      </c>
      <c r="B1473" s="64">
        <v>4</v>
      </c>
      <c r="C1473" s="64">
        <v>16</v>
      </c>
      <c r="D1473" s="64">
        <v>3</v>
      </c>
      <c r="E1473" s="64">
        <v>5</v>
      </c>
      <c r="F1473" s="64">
        <v>7</v>
      </c>
      <c r="G1473" s="64">
        <v>61</v>
      </c>
      <c r="H1473" s="65"/>
      <c r="I1473" s="65"/>
      <c r="J1473" s="66"/>
      <c r="K1473" s="65" t="s">
        <v>1594</v>
      </c>
      <c r="L1473" s="64" t="s">
        <v>1475</v>
      </c>
      <c r="M1473" s="64" t="s">
        <v>1318</v>
      </c>
      <c r="N1473" s="64" t="s">
        <v>74</v>
      </c>
      <c r="O1473" s="64" t="s">
        <v>1475</v>
      </c>
      <c r="P1473" s="69"/>
      <c r="Q1473" s="69"/>
      <c r="R1473" s="64">
        <v>1</v>
      </c>
      <c r="S1473" s="65" t="s">
        <v>1589</v>
      </c>
      <c r="T1473" s="194"/>
      <c r="U1473" s="179">
        <v>0</v>
      </c>
      <c r="V1473" s="179"/>
      <c r="W1473" s="179">
        <v>0</v>
      </c>
      <c r="X1473" s="1159">
        <v>0</v>
      </c>
      <c r="Y1473" s="179">
        <v>0</v>
      </c>
      <c r="Z1473" s="179">
        <v>0</v>
      </c>
      <c r="AA1473" s="1159">
        <v>0</v>
      </c>
      <c r="AB1473" s="179">
        <v>0</v>
      </c>
      <c r="AC1473" s="179">
        <v>0</v>
      </c>
      <c r="AD1473" s="1159">
        <v>0</v>
      </c>
      <c r="AE1473" s="179">
        <v>0</v>
      </c>
      <c r="AF1473" s="179">
        <v>0</v>
      </c>
      <c r="AG1473" s="1159">
        <v>0</v>
      </c>
      <c r="AH1473" s="505">
        <f t="shared" si="447"/>
        <v>0</v>
      </c>
      <c r="AI1473" s="132"/>
      <c r="AJ1473" s="75">
        <f t="shared" si="448"/>
        <v>0</v>
      </c>
      <c r="AK1473" s="75"/>
      <c r="AL1473" s="75"/>
      <c r="AM1473" s="75"/>
      <c r="AN1473" s="64" t="s">
        <v>181</v>
      </c>
      <c r="AO1473" s="64"/>
      <c r="AP1473" s="64"/>
      <c r="AQ1473" s="189"/>
      <c r="AR1473" s="64"/>
      <c r="AS1473" s="476"/>
      <c r="AT1473" s="64"/>
      <c r="AU1473" s="646"/>
      <c r="AV1473" s="259" t="s">
        <v>1595</v>
      </c>
      <c r="AW1473" s="185"/>
    </row>
    <row r="1474" spans="1:55" ht="27.6" hidden="1" customHeight="1" outlineLevel="3" x14ac:dyDescent="0.25">
      <c r="A1474" s="63" t="str">
        <f t="shared" si="415"/>
        <v>4.16.3.5.8.61</v>
      </c>
      <c r="B1474" s="64">
        <v>4</v>
      </c>
      <c r="C1474" s="64">
        <v>16</v>
      </c>
      <c r="D1474" s="64">
        <v>3</v>
      </c>
      <c r="E1474" s="64">
        <v>5</v>
      </c>
      <c r="F1474" s="64">
        <v>8</v>
      </c>
      <c r="G1474" s="64">
        <v>61</v>
      </c>
      <c r="H1474" s="65"/>
      <c r="I1474" s="65"/>
      <c r="J1474" s="66"/>
      <c r="K1474" s="65" t="s">
        <v>1596</v>
      </c>
      <c r="L1474" s="64" t="s">
        <v>1475</v>
      </c>
      <c r="M1474" s="64" t="s">
        <v>1318</v>
      </c>
      <c r="N1474" s="64" t="s">
        <v>74</v>
      </c>
      <c r="O1474" s="64" t="s">
        <v>1475</v>
      </c>
      <c r="P1474" s="69"/>
      <c r="Q1474" s="69"/>
      <c r="R1474" s="64">
        <v>12</v>
      </c>
      <c r="S1474" s="65" t="s">
        <v>1597</v>
      </c>
      <c r="T1474" s="194">
        <v>3</v>
      </c>
      <c r="U1474" s="179">
        <v>0</v>
      </c>
      <c r="V1474" s="179"/>
      <c r="W1474" s="179">
        <v>0</v>
      </c>
      <c r="X1474" s="1159">
        <v>0</v>
      </c>
      <c r="Y1474" s="179">
        <v>0</v>
      </c>
      <c r="Z1474" s="179">
        <v>0</v>
      </c>
      <c r="AA1474" s="1159">
        <v>0</v>
      </c>
      <c r="AB1474" s="179">
        <v>0</v>
      </c>
      <c r="AC1474" s="179">
        <v>0</v>
      </c>
      <c r="AD1474" s="1159">
        <v>0</v>
      </c>
      <c r="AE1474" s="179">
        <v>0</v>
      </c>
      <c r="AF1474" s="179">
        <v>0</v>
      </c>
      <c r="AG1474" s="1159">
        <v>0</v>
      </c>
      <c r="AH1474" s="505">
        <f t="shared" si="447"/>
        <v>0</v>
      </c>
      <c r="AI1474" s="132"/>
      <c r="AJ1474" s="75">
        <f t="shared" si="448"/>
        <v>0</v>
      </c>
      <c r="AK1474" s="75"/>
      <c r="AL1474" s="75"/>
      <c r="AM1474" s="75"/>
      <c r="AN1474" s="64" t="s">
        <v>181</v>
      </c>
      <c r="AO1474" s="64"/>
      <c r="AP1474" s="64"/>
      <c r="AQ1474" s="189"/>
      <c r="AR1474" s="64"/>
      <c r="AS1474" s="476"/>
      <c r="AT1474" s="64"/>
      <c r="AU1474" s="646"/>
      <c r="AV1474" s="259" t="s">
        <v>765</v>
      </c>
      <c r="AW1474" s="185" t="s">
        <v>780</v>
      </c>
    </row>
    <row r="1475" spans="1:55" s="153" customFormat="1" ht="54.75" customHeight="1" outlineLevel="2" collapsed="1" x14ac:dyDescent="0.25">
      <c r="A1475" s="148" t="str">
        <f t="shared" si="415"/>
        <v>4.16.3.6.0.62</v>
      </c>
      <c r="B1475" s="82">
        <v>4</v>
      </c>
      <c r="C1475" s="82">
        <v>16</v>
      </c>
      <c r="D1475" s="82">
        <v>3</v>
      </c>
      <c r="E1475" s="82">
        <v>6</v>
      </c>
      <c r="F1475" s="82">
        <v>0</v>
      </c>
      <c r="G1475" s="82">
        <v>62</v>
      </c>
      <c r="H1475" s="149"/>
      <c r="I1475" s="149"/>
      <c r="J1475" s="1260" t="s">
        <v>1602</v>
      </c>
      <c r="K1475" s="1259"/>
      <c r="L1475" s="82" t="s">
        <v>1576</v>
      </c>
      <c r="M1475" s="82" t="s">
        <v>1464</v>
      </c>
      <c r="N1475" s="82" t="s">
        <v>1444</v>
      </c>
      <c r="O1475" s="82" t="s">
        <v>1204</v>
      </c>
      <c r="P1475" s="82"/>
      <c r="Q1475" s="82"/>
      <c r="R1475" s="82"/>
      <c r="S1475" s="149"/>
      <c r="T1475" s="193"/>
      <c r="U1475" s="209">
        <f t="shared" ref="U1475:AH1475" si="449">SUM(U1476:U1483)</f>
        <v>0</v>
      </c>
      <c r="V1475" s="209"/>
      <c r="W1475" s="209">
        <f t="shared" si="449"/>
        <v>0</v>
      </c>
      <c r="X1475" s="1133">
        <f t="shared" si="449"/>
        <v>0</v>
      </c>
      <c r="Y1475" s="209">
        <f t="shared" si="449"/>
        <v>0</v>
      </c>
      <c r="Z1475" s="209">
        <f t="shared" si="449"/>
        <v>0</v>
      </c>
      <c r="AA1475" s="1133">
        <f t="shared" si="449"/>
        <v>0</v>
      </c>
      <c r="AB1475" s="209">
        <f t="shared" si="449"/>
        <v>0</v>
      </c>
      <c r="AC1475" s="209">
        <f t="shared" si="449"/>
        <v>0</v>
      </c>
      <c r="AD1475" s="1133">
        <f t="shared" si="449"/>
        <v>0</v>
      </c>
      <c r="AE1475" s="209">
        <f t="shared" si="449"/>
        <v>0</v>
      </c>
      <c r="AF1475" s="209">
        <f t="shared" si="449"/>
        <v>0</v>
      </c>
      <c r="AG1475" s="1133">
        <f t="shared" si="449"/>
        <v>0</v>
      </c>
      <c r="AH1475" s="209">
        <f t="shared" si="449"/>
        <v>0</v>
      </c>
      <c r="AI1475" s="380">
        <f t="shared" ref="AI1475:AJ1475" si="450">+SUM(AI1476:AI1483)</f>
        <v>0</v>
      </c>
      <c r="AJ1475" s="380">
        <f t="shared" si="450"/>
        <v>0</v>
      </c>
      <c r="AK1475" s="198"/>
      <c r="AL1475" s="198"/>
      <c r="AM1475" s="198"/>
      <c r="AN1475" s="82" t="s">
        <v>181</v>
      </c>
      <c r="AO1475" s="82"/>
      <c r="AP1475" s="82"/>
      <c r="AQ1475" s="365"/>
      <c r="AR1475" s="82"/>
      <c r="AS1475" s="483"/>
      <c r="AT1475" s="82"/>
      <c r="AU1475" s="666"/>
      <c r="AV1475" s="380">
        <f t="shared" ref="AV1475" si="451">+SUM(AV1476:AV1483)</f>
        <v>0</v>
      </c>
      <c r="AW1475" s="449" t="s">
        <v>1579</v>
      </c>
    </row>
    <row r="1476" spans="1:55" ht="30.6" hidden="1" customHeight="1" outlineLevel="3" x14ac:dyDescent="0.25">
      <c r="A1476" s="63" t="str">
        <f t="shared" si="415"/>
        <v>4.16.3.6.1.62</v>
      </c>
      <c r="B1476" s="64">
        <v>4</v>
      </c>
      <c r="C1476" s="64">
        <v>16</v>
      </c>
      <c r="D1476" s="64">
        <v>3</v>
      </c>
      <c r="E1476" s="64">
        <v>6</v>
      </c>
      <c r="F1476" s="64">
        <v>1</v>
      </c>
      <c r="G1476" s="64">
        <v>62</v>
      </c>
      <c r="H1476" s="65"/>
      <c r="I1476" s="65"/>
      <c r="J1476" s="66"/>
      <c r="K1476" s="65" t="s">
        <v>1580</v>
      </c>
      <c r="L1476" s="64" t="s">
        <v>1576</v>
      </c>
      <c r="M1476" s="64" t="s">
        <v>144</v>
      </c>
      <c r="N1476" s="64" t="s">
        <v>265</v>
      </c>
      <c r="O1476" s="64" t="s">
        <v>1544</v>
      </c>
      <c r="P1476" s="64"/>
      <c r="Q1476" s="64"/>
      <c r="R1476" s="64">
        <v>12</v>
      </c>
      <c r="S1476" s="65" t="s">
        <v>1581</v>
      </c>
      <c r="T1476" s="194">
        <v>3</v>
      </c>
      <c r="U1476" s="155">
        <v>0</v>
      </c>
      <c r="V1476" s="155"/>
      <c r="W1476" s="155">
        <v>0</v>
      </c>
      <c r="X1476" s="1132">
        <v>0</v>
      </c>
      <c r="Y1476" s="155">
        <v>0</v>
      </c>
      <c r="Z1476" s="155">
        <v>0</v>
      </c>
      <c r="AA1476" s="1132">
        <v>0</v>
      </c>
      <c r="AB1476" s="155">
        <v>0</v>
      </c>
      <c r="AC1476" s="155">
        <v>0</v>
      </c>
      <c r="AD1476" s="1132">
        <v>0</v>
      </c>
      <c r="AE1476" s="155">
        <v>0</v>
      </c>
      <c r="AF1476" s="155">
        <v>0</v>
      </c>
      <c r="AG1476" s="1132">
        <v>0</v>
      </c>
      <c r="AH1476" s="505">
        <f t="shared" ref="AH1476:AH1483" si="452">+U1476+Y1476+AB1476+AE1476</f>
        <v>0</v>
      </c>
      <c r="AI1476" s="132"/>
      <c r="AJ1476" s="75">
        <f t="shared" ref="AJ1476:AJ1483" si="453">+W1477+Z1477+AC1477+AF1477</f>
        <v>0</v>
      </c>
      <c r="AK1476" s="75"/>
      <c r="AL1476" s="75"/>
      <c r="AM1476" s="75"/>
      <c r="AN1476" s="64" t="s">
        <v>181</v>
      </c>
      <c r="AO1476" s="64"/>
      <c r="AP1476" s="64"/>
      <c r="AQ1476" s="189"/>
      <c r="AR1476" s="64"/>
      <c r="AS1476" s="476"/>
      <c r="AT1476" s="64"/>
      <c r="AU1476" s="646"/>
      <c r="AV1476" s="259" t="s">
        <v>1582</v>
      </c>
      <c r="AW1476" s="185"/>
    </row>
    <row r="1477" spans="1:55" ht="30.6" hidden="1" customHeight="1" outlineLevel="3" x14ac:dyDescent="0.25">
      <c r="A1477" s="63" t="str">
        <f t="shared" si="415"/>
        <v>4.16.3.6.2.62</v>
      </c>
      <c r="B1477" s="64">
        <v>4</v>
      </c>
      <c r="C1477" s="64">
        <v>16</v>
      </c>
      <c r="D1477" s="64">
        <v>3</v>
      </c>
      <c r="E1477" s="64">
        <v>6</v>
      </c>
      <c r="F1477" s="64">
        <v>2</v>
      </c>
      <c r="G1477" s="64">
        <v>62</v>
      </c>
      <c r="H1477" s="65"/>
      <c r="I1477" s="65"/>
      <c r="J1477" s="66"/>
      <c r="K1477" s="65" t="s">
        <v>1583</v>
      </c>
      <c r="L1477" s="64" t="s">
        <v>1475</v>
      </c>
      <c r="M1477" s="64" t="s">
        <v>1318</v>
      </c>
      <c r="N1477" s="64" t="s">
        <v>1223</v>
      </c>
      <c r="O1477" s="64" t="s">
        <v>1544</v>
      </c>
      <c r="P1477" s="69"/>
      <c r="Q1477" s="69"/>
      <c r="R1477" s="64">
        <v>12</v>
      </c>
      <c r="S1477" s="65" t="s">
        <v>1581</v>
      </c>
      <c r="T1477" s="194">
        <v>3</v>
      </c>
      <c r="U1477" s="155">
        <v>0</v>
      </c>
      <c r="V1477" s="155"/>
      <c r="W1477" s="155">
        <v>0</v>
      </c>
      <c r="X1477" s="1132">
        <v>0</v>
      </c>
      <c r="Y1477" s="155">
        <v>0</v>
      </c>
      <c r="Z1477" s="155">
        <v>0</v>
      </c>
      <c r="AA1477" s="1132">
        <v>0</v>
      </c>
      <c r="AB1477" s="155">
        <v>0</v>
      </c>
      <c r="AC1477" s="155">
        <v>0</v>
      </c>
      <c r="AD1477" s="1132">
        <v>0</v>
      </c>
      <c r="AE1477" s="155">
        <v>0</v>
      </c>
      <c r="AF1477" s="155">
        <v>0</v>
      </c>
      <c r="AG1477" s="1132">
        <v>0</v>
      </c>
      <c r="AH1477" s="505">
        <f t="shared" si="452"/>
        <v>0</v>
      </c>
      <c r="AI1477" s="132"/>
      <c r="AJ1477" s="75">
        <f t="shared" si="453"/>
        <v>0</v>
      </c>
      <c r="AK1477" s="75"/>
      <c r="AL1477" s="75"/>
      <c r="AM1477" s="75"/>
      <c r="AN1477" s="64" t="s">
        <v>181</v>
      </c>
      <c r="AO1477" s="995"/>
      <c r="AP1477" s="995"/>
      <c r="AQ1477" s="996"/>
      <c r="AR1477" s="104"/>
      <c r="AS1477" s="997"/>
      <c r="AT1477" s="998"/>
      <c r="AU1477" s="981"/>
      <c r="AV1477" s="259" t="s">
        <v>1584</v>
      </c>
      <c r="AW1477" s="335"/>
    </row>
    <row r="1478" spans="1:55" ht="30.6" hidden="1" customHeight="1" outlineLevel="3" x14ac:dyDescent="0.25">
      <c r="A1478" s="63" t="str">
        <f t="shared" si="415"/>
        <v>4.16.3.6.3.62</v>
      </c>
      <c r="B1478" s="64">
        <v>4</v>
      </c>
      <c r="C1478" s="64">
        <v>16</v>
      </c>
      <c r="D1478" s="64">
        <v>3</v>
      </c>
      <c r="E1478" s="64">
        <v>6</v>
      </c>
      <c r="F1478" s="64">
        <v>3</v>
      </c>
      <c r="G1478" s="64">
        <v>62</v>
      </c>
      <c r="H1478" s="65"/>
      <c r="I1478" s="65"/>
      <c r="J1478" s="66"/>
      <c r="K1478" s="65" t="s">
        <v>1586</v>
      </c>
      <c r="L1478" s="64" t="s">
        <v>1475</v>
      </c>
      <c r="M1478" s="64" t="s">
        <v>1318</v>
      </c>
      <c r="N1478" s="64" t="s">
        <v>1249</v>
      </c>
      <c r="O1478" s="64" t="s">
        <v>1544</v>
      </c>
      <c r="P1478" s="69"/>
      <c r="Q1478" s="69"/>
      <c r="R1478" s="171">
        <v>6</v>
      </c>
      <c r="S1478" s="65"/>
      <c r="T1478" s="194">
        <v>1</v>
      </c>
      <c r="U1478" s="155">
        <v>0</v>
      </c>
      <c r="V1478" s="155"/>
      <c r="W1478" s="155">
        <v>0</v>
      </c>
      <c r="X1478" s="1132">
        <v>0</v>
      </c>
      <c r="Y1478" s="155">
        <v>0</v>
      </c>
      <c r="Z1478" s="155">
        <v>0</v>
      </c>
      <c r="AA1478" s="1132">
        <v>0</v>
      </c>
      <c r="AB1478" s="155">
        <v>0</v>
      </c>
      <c r="AC1478" s="155">
        <v>0</v>
      </c>
      <c r="AD1478" s="1132">
        <v>0</v>
      </c>
      <c r="AE1478" s="155">
        <v>0</v>
      </c>
      <c r="AF1478" s="155">
        <v>0</v>
      </c>
      <c r="AG1478" s="1132">
        <v>0</v>
      </c>
      <c r="AH1478" s="505">
        <f t="shared" si="452"/>
        <v>0</v>
      </c>
      <c r="AI1478" s="132"/>
      <c r="AJ1478" s="75">
        <f t="shared" si="453"/>
        <v>0</v>
      </c>
      <c r="AK1478" s="75"/>
      <c r="AL1478" s="75"/>
      <c r="AM1478" s="75"/>
      <c r="AN1478" s="64" t="s">
        <v>181</v>
      </c>
      <c r="AO1478" s="64"/>
      <c r="AP1478" s="64"/>
      <c r="AQ1478" s="189"/>
      <c r="AR1478" s="64"/>
      <c r="AS1478" s="476"/>
      <c r="AT1478" s="64"/>
      <c r="AU1478" s="646"/>
      <c r="AV1478" s="259" t="s">
        <v>1587</v>
      </c>
      <c r="AW1478" s="185" t="s">
        <v>127</v>
      </c>
    </row>
    <row r="1479" spans="1:55" ht="30.6" hidden="1" customHeight="1" outlineLevel="3" x14ac:dyDescent="0.25">
      <c r="A1479" s="63" t="str">
        <f t="shared" si="415"/>
        <v>4.16.3.6.4.62</v>
      </c>
      <c r="B1479" s="64">
        <v>4</v>
      </c>
      <c r="C1479" s="64">
        <v>16</v>
      </c>
      <c r="D1479" s="64">
        <v>3</v>
      </c>
      <c r="E1479" s="64">
        <v>6</v>
      </c>
      <c r="F1479" s="64">
        <v>4</v>
      </c>
      <c r="G1479" s="64">
        <v>62</v>
      </c>
      <c r="H1479" s="65"/>
      <c r="I1479" s="65"/>
      <c r="J1479" s="65"/>
      <c r="K1479" s="65" t="s">
        <v>1588</v>
      </c>
      <c r="L1479" s="64" t="s">
        <v>1475</v>
      </c>
      <c r="M1479" s="64" t="s">
        <v>1318</v>
      </c>
      <c r="N1479" s="64" t="s">
        <v>74</v>
      </c>
      <c r="O1479" s="64" t="s">
        <v>1524</v>
      </c>
      <c r="P1479" s="69"/>
      <c r="Q1479" s="69"/>
      <c r="R1479" s="171">
        <v>14</v>
      </c>
      <c r="S1479" s="65" t="s">
        <v>1589</v>
      </c>
      <c r="T1479" s="194">
        <v>5</v>
      </c>
      <c r="U1479" s="155">
        <v>0</v>
      </c>
      <c r="V1479" s="155"/>
      <c r="W1479" s="155">
        <v>0</v>
      </c>
      <c r="X1479" s="1132">
        <v>0</v>
      </c>
      <c r="Y1479" s="155">
        <v>0</v>
      </c>
      <c r="Z1479" s="155">
        <v>0</v>
      </c>
      <c r="AA1479" s="1132">
        <v>0</v>
      </c>
      <c r="AB1479" s="155">
        <v>0</v>
      </c>
      <c r="AC1479" s="155">
        <v>0</v>
      </c>
      <c r="AD1479" s="1132">
        <v>0</v>
      </c>
      <c r="AE1479" s="155">
        <v>0</v>
      </c>
      <c r="AF1479" s="155">
        <v>0</v>
      </c>
      <c r="AG1479" s="1132">
        <v>0</v>
      </c>
      <c r="AH1479" s="505">
        <f t="shared" si="452"/>
        <v>0</v>
      </c>
      <c r="AI1479" s="132"/>
      <c r="AJ1479" s="75">
        <f t="shared" si="453"/>
        <v>0</v>
      </c>
      <c r="AK1479" s="75"/>
      <c r="AL1479" s="75"/>
      <c r="AM1479" s="75"/>
      <c r="AN1479" s="64" t="s">
        <v>181</v>
      </c>
      <c r="AO1479" s="64"/>
      <c r="AP1479" s="64"/>
      <c r="AQ1479" s="189"/>
      <c r="AR1479" s="64"/>
      <c r="AS1479" s="476"/>
      <c r="AT1479" s="64"/>
      <c r="AU1479" s="646"/>
      <c r="AV1479" s="259" t="s">
        <v>1590</v>
      </c>
      <c r="AW1479" s="185"/>
    </row>
    <row r="1480" spans="1:55" ht="30.6" hidden="1" customHeight="1" outlineLevel="3" x14ac:dyDescent="0.25">
      <c r="A1480" s="63" t="str">
        <f t="shared" si="415"/>
        <v>4.16.3.6.5.62</v>
      </c>
      <c r="B1480" s="64">
        <v>4</v>
      </c>
      <c r="C1480" s="64">
        <v>16</v>
      </c>
      <c r="D1480" s="64">
        <v>3</v>
      </c>
      <c r="E1480" s="64">
        <v>6</v>
      </c>
      <c r="F1480" s="64">
        <v>5</v>
      </c>
      <c r="G1480" s="64">
        <v>62</v>
      </c>
      <c r="H1480" s="65"/>
      <c r="I1480" s="65"/>
      <c r="J1480" s="66"/>
      <c r="K1480" s="65" t="s">
        <v>1591</v>
      </c>
      <c r="L1480" s="64" t="s">
        <v>1475</v>
      </c>
      <c r="M1480" s="64" t="s">
        <v>1318</v>
      </c>
      <c r="N1480" s="64" t="s">
        <v>74</v>
      </c>
      <c r="O1480" s="64" t="s">
        <v>1524</v>
      </c>
      <c r="P1480" s="69"/>
      <c r="Q1480" s="69"/>
      <c r="R1480" s="64">
        <v>10</v>
      </c>
      <c r="S1480" s="65" t="s">
        <v>1589</v>
      </c>
      <c r="T1480" s="194">
        <v>5</v>
      </c>
      <c r="U1480" s="155">
        <v>0</v>
      </c>
      <c r="V1480" s="155"/>
      <c r="W1480" s="155">
        <v>0</v>
      </c>
      <c r="X1480" s="1132">
        <v>0</v>
      </c>
      <c r="Y1480" s="155">
        <v>0</v>
      </c>
      <c r="Z1480" s="155">
        <v>0</v>
      </c>
      <c r="AA1480" s="1132">
        <v>0</v>
      </c>
      <c r="AB1480" s="155">
        <v>0</v>
      </c>
      <c r="AC1480" s="155">
        <v>0</v>
      </c>
      <c r="AD1480" s="1132">
        <v>0</v>
      </c>
      <c r="AE1480" s="155">
        <v>0</v>
      </c>
      <c r="AF1480" s="155">
        <v>0</v>
      </c>
      <c r="AG1480" s="1132">
        <v>0</v>
      </c>
      <c r="AH1480" s="505">
        <f t="shared" si="452"/>
        <v>0</v>
      </c>
      <c r="AI1480" s="132"/>
      <c r="AJ1480" s="75">
        <f t="shared" si="453"/>
        <v>0</v>
      </c>
      <c r="AK1480" s="75"/>
      <c r="AL1480" s="75"/>
      <c r="AM1480" s="75"/>
      <c r="AN1480" s="64" t="s">
        <v>181</v>
      </c>
      <c r="AO1480" s="64"/>
      <c r="AP1480" s="64"/>
      <c r="AQ1480" s="189"/>
      <c r="AR1480" s="64"/>
      <c r="AS1480" s="476"/>
      <c r="AT1480" s="64"/>
      <c r="AU1480" s="646"/>
      <c r="AV1480" s="259" t="s">
        <v>1592</v>
      </c>
      <c r="AW1480" s="185"/>
      <c r="BC1480" s="272"/>
    </row>
    <row r="1481" spans="1:55" ht="30.6" hidden="1" customHeight="1" outlineLevel="3" x14ac:dyDescent="0.25">
      <c r="A1481" s="63" t="str">
        <f t="shared" si="415"/>
        <v>4.16.3.6.6.62</v>
      </c>
      <c r="B1481" s="64">
        <v>4</v>
      </c>
      <c r="C1481" s="64">
        <v>16</v>
      </c>
      <c r="D1481" s="64">
        <v>3</v>
      </c>
      <c r="E1481" s="64">
        <v>6</v>
      </c>
      <c r="F1481" s="64">
        <v>6</v>
      </c>
      <c r="G1481" s="64">
        <v>62</v>
      </c>
      <c r="H1481" s="65"/>
      <c r="I1481" s="65"/>
      <c r="J1481" s="66"/>
      <c r="K1481" s="65" t="s">
        <v>1593</v>
      </c>
      <c r="L1481" s="64" t="s">
        <v>1475</v>
      </c>
      <c r="M1481" s="64" t="s">
        <v>1318</v>
      </c>
      <c r="N1481" s="64" t="s">
        <v>74</v>
      </c>
      <c r="O1481" s="64" t="s">
        <v>1475</v>
      </c>
      <c r="P1481" s="69"/>
      <c r="Q1481" s="69"/>
      <c r="R1481" s="171">
        <v>1</v>
      </c>
      <c r="S1481" s="65" t="s">
        <v>1589</v>
      </c>
      <c r="T1481" s="194"/>
      <c r="U1481" s="155">
        <v>0</v>
      </c>
      <c r="V1481" s="155"/>
      <c r="W1481" s="155">
        <v>0</v>
      </c>
      <c r="X1481" s="1132">
        <v>0</v>
      </c>
      <c r="Y1481" s="155">
        <v>0</v>
      </c>
      <c r="Z1481" s="155">
        <v>0</v>
      </c>
      <c r="AA1481" s="1132">
        <v>0</v>
      </c>
      <c r="AB1481" s="155">
        <v>0</v>
      </c>
      <c r="AC1481" s="155">
        <v>0</v>
      </c>
      <c r="AD1481" s="1132">
        <v>0</v>
      </c>
      <c r="AE1481" s="155">
        <v>0</v>
      </c>
      <c r="AF1481" s="155">
        <v>0</v>
      </c>
      <c r="AG1481" s="1132">
        <v>0</v>
      </c>
      <c r="AH1481" s="505">
        <f t="shared" si="452"/>
        <v>0</v>
      </c>
      <c r="AI1481" s="132"/>
      <c r="AJ1481" s="75">
        <f t="shared" si="453"/>
        <v>0</v>
      </c>
      <c r="AK1481" s="75"/>
      <c r="AL1481" s="75"/>
      <c r="AM1481" s="75"/>
      <c r="AN1481" s="64" t="s">
        <v>181</v>
      </c>
      <c r="AO1481" s="64"/>
      <c r="AP1481" s="64"/>
      <c r="AQ1481" s="189"/>
      <c r="AR1481" s="64"/>
      <c r="AS1481" s="476"/>
      <c r="AT1481" s="64"/>
      <c r="AU1481" s="646"/>
      <c r="AV1481" s="259" t="s">
        <v>1593</v>
      </c>
      <c r="AW1481" s="185"/>
    </row>
    <row r="1482" spans="1:55" ht="30.6" hidden="1" customHeight="1" outlineLevel="3" x14ac:dyDescent="0.25">
      <c r="A1482" s="63" t="str">
        <f t="shared" si="415"/>
        <v>4.16.3.6.7.62</v>
      </c>
      <c r="B1482" s="64">
        <v>4</v>
      </c>
      <c r="C1482" s="64">
        <v>16</v>
      </c>
      <c r="D1482" s="64">
        <v>3</v>
      </c>
      <c r="E1482" s="64">
        <v>6</v>
      </c>
      <c r="F1482" s="64">
        <v>7</v>
      </c>
      <c r="G1482" s="64">
        <v>62</v>
      </c>
      <c r="H1482" s="65"/>
      <c r="I1482" s="65"/>
      <c r="J1482" s="66"/>
      <c r="K1482" s="65" t="s">
        <v>1594</v>
      </c>
      <c r="L1482" s="64" t="s">
        <v>1475</v>
      </c>
      <c r="M1482" s="64" t="s">
        <v>1318</v>
      </c>
      <c r="N1482" s="64" t="s">
        <v>74</v>
      </c>
      <c r="O1482" s="64" t="s">
        <v>1475</v>
      </c>
      <c r="P1482" s="69"/>
      <c r="Q1482" s="69"/>
      <c r="R1482" s="64">
        <v>1</v>
      </c>
      <c r="S1482" s="65" t="s">
        <v>1589</v>
      </c>
      <c r="T1482" s="194"/>
      <c r="U1482" s="155">
        <v>0</v>
      </c>
      <c r="V1482" s="155"/>
      <c r="W1482" s="155">
        <v>0</v>
      </c>
      <c r="X1482" s="1132">
        <v>0</v>
      </c>
      <c r="Y1482" s="155">
        <v>0</v>
      </c>
      <c r="Z1482" s="155">
        <v>0</v>
      </c>
      <c r="AA1482" s="1132">
        <v>0</v>
      </c>
      <c r="AB1482" s="155">
        <v>0</v>
      </c>
      <c r="AC1482" s="155">
        <v>0</v>
      </c>
      <c r="AD1482" s="1132">
        <v>0</v>
      </c>
      <c r="AE1482" s="155">
        <v>0</v>
      </c>
      <c r="AF1482" s="155">
        <v>0</v>
      </c>
      <c r="AG1482" s="1132">
        <v>0</v>
      </c>
      <c r="AH1482" s="505">
        <f t="shared" si="452"/>
        <v>0</v>
      </c>
      <c r="AI1482" s="132"/>
      <c r="AJ1482" s="75">
        <f t="shared" si="453"/>
        <v>0</v>
      </c>
      <c r="AK1482" s="75"/>
      <c r="AL1482" s="75"/>
      <c r="AM1482" s="75"/>
      <c r="AN1482" s="64" t="s">
        <v>181</v>
      </c>
      <c r="AO1482" s="64"/>
      <c r="AP1482" s="64"/>
      <c r="AQ1482" s="189"/>
      <c r="AR1482" s="64"/>
      <c r="AS1482" s="476"/>
      <c r="AT1482" s="64"/>
      <c r="AU1482" s="646"/>
      <c r="AV1482" s="259" t="s">
        <v>1595</v>
      </c>
      <c r="AW1482" s="185"/>
    </row>
    <row r="1483" spans="1:55" ht="30.6" hidden="1" customHeight="1" outlineLevel="3" x14ac:dyDescent="0.25">
      <c r="A1483" s="63" t="str">
        <f t="shared" si="415"/>
        <v>4.16.3.6.8.62</v>
      </c>
      <c r="B1483" s="64">
        <v>4</v>
      </c>
      <c r="C1483" s="64">
        <v>16</v>
      </c>
      <c r="D1483" s="64">
        <v>3</v>
      </c>
      <c r="E1483" s="64">
        <v>6</v>
      </c>
      <c r="F1483" s="64">
        <v>8</v>
      </c>
      <c r="G1483" s="64">
        <v>62</v>
      </c>
      <c r="H1483" s="65"/>
      <c r="I1483" s="65"/>
      <c r="J1483" s="66"/>
      <c r="K1483" s="65" t="s">
        <v>1596</v>
      </c>
      <c r="L1483" s="64" t="s">
        <v>1475</v>
      </c>
      <c r="M1483" s="64" t="s">
        <v>1318</v>
      </c>
      <c r="N1483" s="64" t="s">
        <v>74</v>
      </c>
      <c r="O1483" s="64" t="s">
        <v>1475</v>
      </c>
      <c r="P1483" s="69"/>
      <c r="Q1483" s="69"/>
      <c r="R1483" s="64">
        <v>12</v>
      </c>
      <c r="S1483" s="65" t="s">
        <v>1597</v>
      </c>
      <c r="T1483" s="194">
        <v>3</v>
      </c>
      <c r="U1483" s="155">
        <v>0</v>
      </c>
      <c r="V1483" s="155"/>
      <c r="W1483" s="155">
        <v>0</v>
      </c>
      <c r="X1483" s="1132">
        <v>0</v>
      </c>
      <c r="Y1483" s="155">
        <v>0</v>
      </c>
      <c r="Z1483" s="155">
        <v>0</v>
      </c>
      <c r="AA1483" s="1132">
        <v>0</v>
      </c>
      <c r="AB1483" s="155">
        <v>0</v>
      </c>
      <c r="AC1483" s="155">
        <v>0</v>
      </c>
      <c r="AD1483" s="1132">
        <v>0</v>
      </c>
      <c r="AE1483" s="155">
        <v>0</v>
      </c>
      <c r="AF1483" s="155">
        <v>0</v>
      </c>
      <c r="AG1483" s="1132">
        <v>0</v>
      </c>
      <c r="AH1483" s="505">
        <f t="shared" si="452"/>
        <v>0</v>
      </c>
      <c r="AI1483" s="132"/>
      <c r="AJ1483" s="75">
        <f t="shared" si="453"/>
        <v>0</v>
      </c>
      <c r="AK1483" s="78"/>
      <c r="AL1483" s="78"/>
      <c r="AM1483" s="78"/>
      <c r="AN1483" s="64" t="s">
        <v>181</v>
      </c>
      <c r="AO1483" s="64"/>
      <c r="AP1483" s="64"/>
      <c r="AQ1483" s="189"/>
      <c r="AR1483" s="64"/>
      <c r="AS1483" s="476"/>
      <c r="AT1483" s="64"/>
      <c r="AU1483" s="646"/>
      <c r="AV1483" s="259" t="s">
        <v>765</v>
      </c>
      <c r="AW1483" s="185" t="s">
        <v>780</v>
      </c>
    </row>
    <row r="1484" spans="1:55" s="153" customFormat="1" ht="57.75" customHeight="1" outlineLevel="2" collapsed="1" x14ac:dyDescent="0.25">
      <c r="A1484" s="148" t="str">
        <f t="shared" si="415"/>
        <v>4.16.3.7.0.60</v>
      </c>
      <c r="B1484" s="82">
        <v>4</v>
      </c>
      <c r="C1484" s="82">
        <v>16</v>
      </c>
      <c r="D1484" s="82">
        <v>3</v>
      </c>
      <c r="E1484" s="82">
        <v>7</v>
      </c>
      <c r="F1484" s="82">
        <v>0</v>
      </c>
      <c r="G1484" s="82">
        <v>60</v>
      </c>
      <c r="H1484" s="149"/>
      <c r="I1484" s="149"/>
      <c r="J1484" s="1260" t="s">
        <v>1603</v>
      </c>
      <c r="K1484" s="1259"/>
      <c r="L1484" s="82" t="s">
        <v>1576</v>
      </c>
      <c r="M1484" s="82" t="s">
        <v>1464</v>
      </c>
      <c r="N1484" s="82" t="s">
        <v>1444</v>
      </c>
      <c r="O1484" s="82" t="s">
        <v>1204</v>
      </c>
      <c r="P1484" s="82"/>
      <c r="Q1484" s="82"/>
      <c r="R1484" s="82"/>
      <c r="S1484" s="149"/>
      <c r="T1484" s="193"/>
      <c r="U1484" s="209">
        <f t="shared" ref="U1484:AH1484" si="454">SUM(U1485:U1492)</f>
        <v>0</v>
      </c>
      <c r="V1484" s="209"/>
      <c r="W1484" s="209">
        <f t="shared" si="454"/>
        <v>0</v>
      </c>
      <c r="X1484" s="1133">
        <f t="shared" si="454"/>
        <v>0</v>
      </c>
      <c r="Y1484" s="209">
        <f t="shared" si="454"/>
        <v>0</v>
      </c>
      <c r="Z1484" s="209">
        <f t="shared" si="454"/>
        <v>0</v>
      </c>
      <c r="AA1484" s="1133">
        <f t="shared" si="454"/>
        <v>0</v>
      </c>
      <c r="AB1484" s="209">
        <f t="shared" si="454"/>
        <v>0</v>
      </c>
      <c r="AC1484" s="209">
        <f t="shared" si="454"/>
        <v>0</v>
      </c>
      <c r="AD1484" s="1133">
        <f t="shared" si="454"/>
        <v>0</v>
      </c>
      <c r="AE1484" s="209">
        <f t="shared" si="454"/>
        <v>0</v>
      </c>
      <c r="AF1484" s="209">
        <f t="shared" si="454"/>
        <v>0</v>
      </c>
      <c r="AG1484" s="1133">
        <f t="shared" si="454"/>
        <v>0</v>
      </c>
      <c r="AH1484" s="209">
        <f t="shared" si="454"/>
        <v>0</v>
      </c>
      <c r="AI1484" s="380">
        <f t="shared" ref="AI1484:AJ1484" si="455">+SUM(AI1485:AI1492)</f>
        <v>0</v>
      </c>
      <c r="AJ1484" s="380">
        <f t="shared" si="455"/>
        <v>0</v>
      </c>
      <c r="AK1484" s="198"/>
      <c r="AL1484" s="198"/>
      <c r="AM1484" s="198"/>
      <c r="AN1484" s="82" t="s">
        <v>181</v>
      </c>
      <c r="AO1484" s="82"/>
      <c r="AP1484" s="82"/>
      <c r="AQ1484" s="365"/>
      <c r="AR1484" s="82"/>
      <c r="AS1484" s="483"/>
      <c r="AT1484" s="82"/>
      <c r="AU1484" s="666"/>
      <c r="AV1484" s="380">
        <f t="shared" ref="AV1484" si="456">+SUM(AV1485:AV1492)</f>
        <v>0</v>
      </c>
      <c r="AW1484" s="449" t="s">
        <v>1579</v>
      </c>
    </row>
    <row r="1485" spans="1:55" ht="39" hidden="1" customHeight="1" outlineLevel="4" x14ac:dyDescent="0.25">
      <c r="A1485" s="63" t="str">
        <f t="shared" si="415"/>
        <v>4.16.3.7.1.61</v>
      </c>
      <c r="B1485" s="64">
        <v>4</v>
      </c>
      <c r="C1485" s="64">
        <v>16</v>
      </c>
      <c r="D1485" s="64">
        <v>3</v>
      </c>
      <c r="E1485" s="64">
        <v>7</v>
      </c>
      <c r="F1485" s="64">
        <v>1</v>
      </c>
      <c r="G1485" s="64">
        <v>61</v>
      </c>
      <c r="H1485" s="65"/>
      <c r="I1485" s="65"/>
      <c r="J1485" s="66"/>
      <c r="K1485" s="65" t="s">
        <v>1580</v>
      </c>
      <c r="L1485" s="64" t="s">
        <v>1576</v>
      </c>
      <c r="M1485" s="64" t="s">
        <v>144</v>
      </c>
      <c r="N1485" s="64" t="s">
        <v>265</v>
      </c>
      <c r="O1485" s="64" t="s">
        <v>1544</v>
      </c>
      <c r="P1485" s="64"/>
      <c r="Q1485" s="64"/>
      <c r="R1485" s="170">
        <v>12</v>
      </c>
      <c r="S1485" s="65" t="s">
        <v>1581</v>
      </c>
      <c r="T1485" s="194">
        <v>3</v>
      </c>
      <c r="U1485" s="155">
        <v>0</v>
      </c>
      <c r="V1485" s="155"/>
      <c r="W1485" s="155">
        <v>0</v>
      </c>
      <c r="X1485" s="1132">
        <v>0</v>
      </c>
      <c r="Y1485" s="155">
        <v>0</v>
      </c>
      <c r="Z1485" s="155">
        <v>0</v>
      </c>
      <c r="AA1485" s="1132">
        <v>0</v>
      </c>
      <c r="AB1485" s="155">
        <v>0</v>
      </c>
      <c r="AC1485" s="155">
        <v>0</v>
      </c>
      <c r="AD1485" s="1132">
        <v>0</v>
      </c>
      <c r="AE1485" s="155">
        <v>0</v>
      </c>
      <c r="AF1485" s="155">
        <v>0</v>
      </c>
      <c r="AG1485" s="1132">
        <v>0</v>
      </c>
      <c r="AH1485" s="505">
        <f t="shared" ref="AH1485:AH1492" si="457">+U1485+Y1485+AB1485+AE1485</f>
        <v>0</v>
      </c>
      <c r="AI1485" s="132"/>
      <c r="AJ1485" s="75">
        <f t="shared" ref="AJ1485:AJ1492" si="458">+W1486+Z1486+AC1486+AF1486</f>
        <v>0</v>
      </c>
      <c r="AK1485" s="75"/>
      <c r="AL1485" s="75"/>
      <c r="AM1485" s="75"/>
      <c r="AN1485" s="64" t="s">
        <v>181</v>
      </c>
      <c r="AO1485" s="64"/>
      <c r="AP1485" s="64"/>
      <c r="AQ1485" s="189"/>
      <c r="AR1485" s="64"/>
      <c r="AS1485" s="476"/>
      <c r="AT1485" s="64"/>
      <c r="AU1485" s="646"/>
      <c r="AV1485" s="259" t="s">
        <v>1582</v>
      </c>
      <c r="AW1485" s="185"/>
    </row>
    <row r="1486" spans="1:55" ht="39" hidden="1" customHeight="1" outlineLevel="4" x14ac:dyDescent="0.25">
      <c r="A1486" s="63" t="str">
        <f t="shared" si="415"/>
        <v>4.16.3.7.2.61</v>
      </c>
      <c r="B1486" s="64">
        <v>4</v>
      </c>
      <c r="C1486" s="64">
        <v>16</v>
      </c>
      <c r="D1486" s="64">
        <v>3</v>
      </c>
      <c r="E1486" s="64">
        <v>7</v>
      </c>
      <c r="F1486" s="64">
        <v>2</v>
      </c>
      <c r="G1486" s="64">
        <v>61</v>
      </c>
      <c r="H1486" s="65"/>
      <c r="I1486" s="65"/>
      <c r="J1486" s="66"/>
      <c r="K1486" s="65" t="s">
        <v>1583</v>
      </c>
      <c r="L1486" s="64" t="s">
        <v>1475</v>
      </c>
      <c r="M1486" s="64" t="s">
        <v>1318</v>
      </c>
      <c r="N1486" s="64" t="s">
        <v>1223</v>
      </c>
      <c r="O1486" s="64" t="s">
        <v>1544</v>
      </c>
      <c r="P1486" s="69"/>
      <c r="Q1486" s="69"/>
      <c r="R1486" s="64">
        <v>12</v>
      </c>
      <c r="S1486" s="65" t="s">
        <v>1581</v>
      </c>
      <c r="T1486" s="194">
        <v>3</v>
      </c>
      <c r="U1486" s="155">
        <v>0</v>
      </c>
      <c r="V1486" s="155"/>
      <c r="W1486" s="155">
        <v>0</v>
      </c>
      <c r="X1486" s="1132">
        <v>0</v>
      </c>
      <c r="Y1486" s="155">
        <v>0</v>
      </c>
      <c r="Z1486" s="155">
        <v>0</v>
      </c>
      <c r="AA1486" s="1132">
        <v>0</v>
      </c>
      <c r="AB1486" s="155">
        <v>0</v>
      </c>
      <c r="AC1486" s="155">
        <v>0</v>
      </c>
      <c r="AD1486" s="1132">
        <v>0</v>
      </c>
      <c r="AE1486" s="155">
        <v>0</v>
      </c>
      <c r="AF1486" s="155">
        <v>0</v>
      </c>
      <c r="AG1486" s="1132">
        <v>0</v>
      </c>
      <c r="AH1486" s="505">
        <f t="shared" si="457"/>
        <v>0</v>
      </c>
      <c r="AI1486" s="132"/>
      <c r="AJ1486" s="75">
        <f t="shared" si="458"/>
        <v>0</v>
      </c>
      <c r="AK1486" s="75"/>
      <c r="AL1486" s="75"/>
      <c r="AM1486" s="75"/>
      <c r="AN1486" s="64" t="s">
        <v>181</v>
      </c>
      <c r="AO1486" s="995"/>
      <c r="AP1486" s="995"/>
      <c r="AQ1486" s="996"/>
      <c r="AR1486" s="104"/>
      <c r="AS1486" s="997"/>
      <c r="AT1486" s="998"/>
      <c r="AU1486" s="981"/>
      <c r="AV1486" s="259" t="s">
        <v>1584</v>
      </c>
      <c r="AW1486" s="335"/>
    </row>
    <row r="1487" spans="1:55" ht="39" hidden="1" customHeight="1" outlineLevel="4" x14ac:dyDescent="0.25">
      <c r="A1487" s="63" t="str">
        <f t="shared" si="415"/>
        <v>4.16.3.7.3.61</v>
      </c>
      <c r="B1487" s="64">
        <v>4</v>
      </c>
      <c r="C1487" s="64">
        <v>16</v>
      </c>
      <c r="D1487" s="64">
        <v>3</v>
      </c>
      <c r="E1487" s="64">
        <v>7</v>
      </c>
      <c r="F1487" s="64">
        <v>3</v>
      </c>
      <c r="G1487" s="64">
        <v>61</v>
      </c>
      <c r="H1487" s="65"/>
      <c r="I1487" s="65"/>
      <c r="J1487" s="66"/>
      <c r="K1487" s="65" t="s">
        <v>1586</v>
      </c>
      <c r="L1487" s="64" t="s">
        <v>1475</v>
      </c>
      <c r="M1487" s="64" t="s">
        <v>1318</v>
      </c>
      <c r="N1487" s="64" t="s">
        <v>1249</v>
      </c>
      <c r="O1487" s="64" t="s">
        <v>1544</v>
      </c>
      <c r="P1487" s="69"/>
      <c r="Q1487" s="69"/>
      <c r="R1487" s="171">
        <v>6</v>
      </c>
      <c r="S1487" s="65"/>
      <c r="T1487" s="194">
        <v>1</v>
      </c>
      <c r="U1487" s="155">
        <v>0</v>
      </c>
      <c r="V1487" s="155"/>
      <c r="W1487" s="155">
        <v>0</v>
      </c>
      <c r="X1487" s="1132">
        <v>0</v>
      </c>
      <c r="Y1487" s="155">
        <v>0</v>
      </c>
      <c r="Z1487" s="155">
        <v>0</v>
      </c>
      <c r="AA1487" s="1132">
        <v>0</v>
      </c>
      <c r="AB1487" s="155">
        <v>0</v>
      </c>
      <c r="AC1487" s="155">
        <v>0</v>
      </c>
      <c r="AD1487" s="1132">
        <v>0</v>
      </c>
      <c r="AE1487" s="155">
        <v>0</v>
      </c>
      <c r="AF1487" s="155">
        <v>0</v>
      </c>
      <c r="AG1487" s="1132">
        <v>0</v>
      </c>
      <c r="AH1487" s="505">
        <f t="shared" si="457"/>
        <v>0</v>
      </c>
      <c r="AI1487" s="132"/>
      <c r="AJ1487" s="75">
        <f t="shared" si="458"/>
        <v>0</v>
      </c>
      <c r="AK1487" s="75"/>
      <c r="AL1487" s="75"/>
      <c r="AM1487" s="75"/>
      <c r="AN1487" s="64" t="s">
        <v>181</v>
      </c>
      <c r="AO1487" s="64"/>
      <c r="AP1487" s="64"/>
      <c r="AQ1487" s="189"/>
      <c r="AR1487" s="64"/>
      <c r="AS1487" s="476"/>
      <c r="AT1487" s="64"/>
      <c r="AU1487" s="646"/>
      <c r="AV1487" s="259" t="s">
        <v>1587</v>
      </c>
      <c r="AW1487" s="185" t="s">
        <v>127</v>
      </c>
    </row>
    <row r="1488" spans="1:55" ht="39" hidden="1" customHeight="1" outlineLevel="4" x14ac:dyDescent="0.25">
      <c r="A1488" s="63" t="str">
        <f t="shared" si="415"/>
        <v>4.16.3.7.4.61</v>
      </c>
      <c r="B1488" s="64">
        <v>4</v>
      </c>
      <c r="C1488" s="64">
        <v>16</v>
      </c>
      <c r="D1488" s="64">
        <v>3</v>
      </c>
      <c r="E1488" s="64">
        <v>7</v>
      </c>
      <c r="F1488" s="64">
        <v>4</v>
      </c>
      <c r="G1488" s="64">
        <v>61</v>
      </c>
      <c r="H1488" s="65"/>
      <c r="I1488" s="65"/>
      <c r="J1488" s="66"/>
      <c r="K1488" s="65" t="s">
        <v>1588</v>
      </c>
      <c r="L1488" s="64" t="s">
        <v>1475</v>
      </c>
      <c r="M1488" s="64" t="s">
        <v>1318</v>
      </c>
      <c r="N1488" s="64" t="s">
        <v>74</v>
      </c>
      <c r="O1488" s="64" t="s">
        <v>1524</v>
      </c>
      <c r="P1488" s="69"/>
      <c r="Q1488" s="69"/>
      <c r="R1488" s="171">
        <v>14</v>
      </c>
      <c r="S1488" s="65" t="s">
        <v>1589</v>
      </c>
      <c r="T1488" s="194">
        <v>5</v>
      </c>
      <c r="U1488" s="155">
        <v>0</v>
      </c>
      <c r="V1488" s="155"/>
      <c r="W1488" s="155">
        <v>0</v>
      </c>
      <c r="X1488" s="1132">
        <v>0</v>
      </c>
      <c r="Y1488" s="155">
        <v>0</v>
      </c>
      <c r="Z1488" s="155">
        <v>0</v>
      </c>
      <c r="AA1488" s="1132">
        <v>0</v>
      </c>
      <c r="AB1488" s="155">
        <v>0</v>
      </c>
      <c r="AC1488" s="155">
        <v>0</v>
      </c>
      <c r="AD1488" s="1132">
        <v>0</v>
      </c>
      <c r="AE1488" s="155">
        <v>0</v>
      </c>
      <c r="AF1488" s="155">
        <v>0</v>
      </c>
      <c r="AG1488" s="1132">
        <v>0</v>
      </c>
      <c r="AH1488" s="505">
        <f t="shared" si="457"/>
        <v>0</v>
      </c>
      <c r="AI1488" s="132"/>
      <c r="AJ1488" s="75">
        <f t="shared" si="458"/>
        <v>0</v>
      </c>
      <c r="AK1488" s="75"/>
      <c r="AL1488" s="75"/>
      <c r="AM1488" s="75"/>
      <c r="AN1488" s="64" t="s">
        <v>181</v>
      </c>
      <c r="AO1488" s="64"/>
      <c r="AP1488" s="64"/>
      <c r="AQ1488" s="189"/>
      <c r="AR1488" s="64"/>
      <c r="AS1488" s="476"/>
      <c r="AT1488" s="64"/>
      <c r="AU1488" s="646"/>
      <c r="AV1488" s="259" t="s">
        <v>1590</v>
      </c>
      <c r="AW1488" s="185"/>
    </row>
    <row r="1489" spans="1:49" ht="39" hidden="1" customHeight="1" outlineLevel="4" x14ac:dyDescent="0.25">
      <c r="A1489" s="63" t="str">
        <f t="shared" si="415"/>
        <v>4.16.3.7.5.61</v>
      </c>
      <c r="B1489" s="64">
        <v>4</v>
      </c>
      <c r="C1489" s="64">
        <v>16</v>
      </c>
      <c r="D1489" s="64">
        <v>3</v>
      </c>
      <c r="E1489" s="64">
        <v>7</v>
      </c>
      <c r="F1489" s="64">
        <v>5</v>
      </c>
      <c r="G1489" s="64">
        <v>61</v>
      </c>
      <c r="H1489" s="65"/>
      <c r="I1489" s="65"/>
      <c r="J1489" s="66"/>
      <c r="K1489" s="65" t="s">
        <v>1591</v>
      </c>
      <c r="L1489" s="64" t="s">
        <v>1475</v>
      </c>
      <c r="M1489" s="64" t="s">
        <v>1318</v>
      </c>
      <c r="N1489" s="64" t="s">
        <v>74</v>
      </c>
      <c r="O1489" s="64" t="s">
        <v>1524</v>
      </c>
      <c r="P1489" s="69"/>
      <c r="Q1489" s="69"/>
      <c r="R1489" s="171">
        <f>3*2</f>
        <v>6</v>
      </c>
      <c r="S1489" s="65" t="s">
        <v>1589</v>
      </c>
      <c r="T1489" s="194">
        <v>3</v>
      </c>
      <c r="U1489" s="155">
        <v>0</v>
      </c>
      <c r="V1489" s="155"/>
      <c r="W1489" s="155">
        <v>0</v>
      </c>
      <c r="X1489" s="1132">
        <v>0</v>
      </c>
      <c r="Y1489" s="155">
        <v>0</v>
      </c>
      <c r="Z1489" s="155">
        <v>0</v>
      </c>
      <c r="AA1489" s="1132">
        <v>0</v>
      </c>
      <c r="AB1489" s="155">
        <v>0</v>
      </c>
      <c r="AC1489" s="155">
        <v>0</v>
      </c>
      <c r="AD1489" s="1132">
        <v>0</v>
      </c>
      <c r="AE1489" s="155">
        <v>0</v>
      </c>
      <c r="AF1489" s="155">
        <v>0</v>
      </c>
      <c r="AG1489" s="1132">
        <v>0</v>
      </c>
      <c r="AH1489" s="505">
        <f t="shared" si="457"/>
        <v>0</v>
      </c>
      <c r="AI1489" s="132"/>
      <c r="AJ1489" s="75">
        <f t="shared" si="458"/>
        <v>0</v>
      </c>
      <c r="AK1489" s="75"/>
      <c r="AL1489" s="75"/>
      <c r="AM1489" s="75"/>
      <c r="AN1489" s="64" t="s">
        <v>181</v>
      </c>
      <c r="AO1489" s="64"/>
      <c r="AP1489" s="64"/>
      <c r="AQ1489" s="189"/>
      <c r="AR1489" s="64"/>
      <c r="AS1489" s="476"/>
      <c r="AT1489" s="64"/>
      <c r="AU1489" s="646"/>
      <c r="AV1489" s="259" t="s">
        <v>1592</v>
      </c>
      <c r="AW1489" s="185"/>
    </row>
    <row r="1490" spans="1:49" ht="39" hidden="1" customHeight="1" outlineLevel="4" x14ac:dyDescent="0.25">
      <c r="A1490" s="63" t="str">
        <f t="shared" si="415"/>
        <v>4.16.3.7.6.61</v>
      </c>
      <c r="B1490" s="64">
        <v>4</v>
      </c>
      <c r="C1490" s="64">
        <v>16</v>
      </c>
      <c r="D1490" s="64">
        <v>3</v>
      </c>
      <c r="E1490" s="64">
        <v>7</v>
      </c>
      <c r="F1490" s="64">
        <v>6</v>
      </c>
      <c r="G1490" s="64">
        <v>61</v>
      </c>
      <c r="H1490" s="65"/>
      <c r="I1490" s="65"/>
      <c r="J1490" s="66"/>
      <c r="K1490" s="65" t="s">
        <v>1593</v>
      </c>
      <c r="L1490" s="64" t="s">
        <v>1475</v>
      </c>
      <c r="M1490" s="64" t="s">
        <v>1318</v>
      </c>
      <c r="N1490" s="64" t="s">
        <v>74</v>
      </c>
      <c r="O1490" s="64" t="s">
        <v>1475</v>
      </c>
      <c r="P1490" s="69"/>
      <c r="Q1490" s="69"/>
      <c r="R1490" s="171">
        <v>1</v>
      </c>
      <c r="S1490" s="65" t="s">
        <v>1589</v>
      </c>
      <c r="T1490" s="194"/>
      <c r="U1490" s="155">
        <v>0</v>
      </c>
      <c r="V1490" s="155"/>
      <c r="W1490" s="155">
        <v>0</v>
      </c>
      <c r="X1490" s="1132">
        <v>0</v>
      </c>
      <c r="Y1490" s="155">
        <v>0</v>
      </c>
      <c r="Z1490" s="155">
        <v>0</v>
      </c>
      <c r="AA1490" s="1132">
        <v>0</v>
      </c>
      <c r="AB1490" s="155">
        <v>0</v>
      </c>
      <c r="AC1490" s="155">
        <v>0</v>
      </c>
      <c r="AD1490" s="1132">
        <v>0</v>
      </c>
      <c r="AE1490" s="155">
        <v>0</v>
      </c>
      <c r="AF1490" s="155">
        <v>0</v>
      </c>
      <c r="AG1490" s="1132">
        <v>0</v>
      </c>
      <c r="AH1490" s="505">
        <f t="shared" si="457"/>
        <v>0</v>
      </c>
      <c r="AI1490" s="132"/>
      <c r="AJ1490" s="75">
        <f t="shared" si="458"/>
        <v>0</v>
      </c>
      <c r="AK1490" s="75"/>
      <c r="AL1490" s="75"/>
      <c r="AM1490" s="75"/>
      <c r="AN1490" s="64" t="s">
        <v>181</v>
      </c>
      <c r="AO1490" s="64"/>
      <c r="AP1490" s="64"/>
      <c r="AQ1490" s="189"/>
      <c r="AR1490" s="64"/>
      <c r="AS1490" s="476"/>
      <c r="AT1490" s="64"/>
      <c r="AU1490" s="646"/>
      <c r="AV1490" s="259" t="s">
        <v>1593</v>
      </c>
      <c r="AW1490" s="185"/>
    </row>
    <row r="1491" spans="1:49" ht="39" hidden="1" customHeight="1" outlineLevel="4" x14ac:dyDescent="0.25">
      <c r="A1491" s="63" t="str">
        <f t="shared" si="415"/>
        <v>4.16.3.7.7.61</v>
      </c>
      <c r="B1491" s="64">
        <v>4</v>
      </c>
      <c r="C1491" s="64">
        <v>16</v>
      </c>
      <c r="D1491" s="64">
        <v>3</v>
      </c>
      <c r="E1491" s="64">
        <v>7</v>
      </c>
      <c r="F1491" s="64">
        <v>7</v>
      </c>
      <c r="G1491" s="64">
        <v>61</v>
      </c>
      <c r="H1491" s="65"/>
      <c r="I1491" s="65"/>
      <c r="J1491" s="66"/>
      <c r="K1491" s="65" t="s">
        <v>1594</v>
      </c>
      <c r="L1491" s="64" t="s">
        <v>1475</v>
      </c>
      <c r="M1491" s="64" t="s">
        <v>1318</v>
      </c>
      <c r="N1491" s="64" t="s">
        <v>74</v>
      </c>
      <c r="O1491" s="64" t="s">
        <v>1475</v>
      </c>
      <c r="P1491" s="69"/>
      <c r="Q1491" s="69"/>
      <c r="R1491" s="64">
        <v>1</v>
      </c>
      <c r="S1491" s="65" t="s">
        <v>1589</v>
      </c>
      <c r="T1491" s="194"/>
      <c r="U1491" s="155">
        <v>0</v>
      </c>
      <c r="V1491" s="155"/>
      <c r="W1491" s="155">
        <v>0</v>
      </c>
      <c r="X1491" s="1132">
        <v>0</v>
      </c>
      <c r="Y1491" s="155">
        <v>0</v>
      </c>
      <c r="Z1491" s="155">
        <v>0</v>
      </c>
      <c r="AA1491" s="1132">
        <v>0</v>
      </c>
      <c r="AB1491" s="155">
        <v>0</v>
      </c>
      <c r="AC1491" s="155">
        <v>0</v>
      </c>
      <c r="AD1491" s="1132">
        <v>0</v>
      </c>
      <c r="AE1491" s="155">
        <v>0</v>
      </c>
      <c r="AF1491" s="155">
        <v>0</v>
      </c>
      <c r="AG1491" s="1132">
        <v>0</v>
      </c>
      <c r="AH1491" s="505">
        <f t="shared" si="457"/>
        <v>0</v>
      </c>
      <c r="AI1491" s="132"/>
      <c r="AJ1491" s="75">
        <f t="shared" si="458"/>
        <v>0</v>
      </c>
      <c r="AK1491" s="75"/>
      <c r="AL1491" s="75"/>
      <c r="AM1491" s="75"/>
      <c r="AN1491" s="64" t="s">
        <v>181</v>
      </c>
      <c r="AO1491" s="64"/>
      <c r="AP1491" s="64"/>
      <c r="AQ1491" s="189"/>
      <c r="AR1491" s="64"/>
      <c r="AS1491" s="476"/>
      <c r="AT1491" s="64"/>
      <c r="AU1491" s="646"/>
      <c r="AV1491" s="259" t="s">
        <v>1595</v>
      </c>
      <c r="AW1491" s="185"/>
    </row>
    <row r="1492" spans="1:49" ht="39" hidden="1" customHeight="1" outlineLevel="4" x14ac:dyDescent="0.25">
      <c r="A1492" s="63" t="str">
        <f t="shared" si="415"/>
        <v>4.16.3.7.8.61</v>
      </c>
      <c r="B1492" s="64">
        <v>4</v>
      </c>
      <c r="C1492" s="64">
        <v>16</v>
      </c>
      <c r="D1492" s="64">
        <v>3</v>
      </c>
      <c r="E1492" s="64">
        <v>7</v>
      </c>
      <c r="F1492" s="64">
        <v>8</v>
      </c>
      <c r="G1492" s="64">
        <v>61</v>
      </c>
      <c r="H1492" s="65"/>
      <c r="I1492" s="65"/>
      <c r="J1492" s="66"/>
      <c r="K1492" s="65" t="s">
        <v>1596</v>
      </c>
      <c r="L1492" s="64" t="s">
        <v>1475</v>
      </c>
      <c r="M1492" s="64" t="s">
        <v>1318</v>
      </c>
      <c r="N1492" s="64" t="s">
        <v>74</v>
      </c>
      <c r="O1492" s="64" t="s">
        <v>1475</v>
      </c>
      <c r="P1492" s="69"/>
      <c r="Q1492" s="69"/>
      <c r="R1492" s="64">
        <v>12</v>
      </c>
      <c r="S1492" s="65" t="s">
        <v>1597</v>
      </c>
      <c r="T1492" s="194">
        <v>3</v>
      </c>
      <c r="U1492" s="155">
        <v>0</v>
      </c>
      <c r="V1492" s="155"/>
      <c r="W1492" s="155">
        <v>0</v>
      </c>
      <c r="X1492" s="1132">
        <v>0</v>
      </c>
      <c r="Y1492" s="155">
        <v>0</v>
      </c>
      <c r="Z1492" s="155">
        <v>0</v>
      </c>
      <c r="AA1492" s="1132">
        <v>0</v>
      </c>
      <c r="AB1492" s="155">
        <v>0</v>
      </c>
      <c r="AC1492" s="155">
        <v>0</v>
      </c>
      <c r="AD1492" s="1132">
        <v>0</v>
      </c>
      <c r="AE1492" s="155">
        <v>0</v>
      </c>
      <c r="AF1492" s="155">
        <v>0</v>
      </c>
      <c r="AG1492" s="1132">
        <v>0</v>
      </c>
      <c r="AH1492" s="505">
        <f t="shared" si="457"/>
        <v>0</v>
      </c>
      <c r="AI1492" s="132"/>
      <c r="AJ1492" s="75">
        <f t="shared" si="458"/>
        <v>0</v>
      </c>
      <c r="AK1492" s="75"/>
      <c r="AL1492" s="75"/>
      <c r="AM1492" s="75"/>
      <c r="AN1492" s="64" t="s">
        <v>181</v>
      </c>
      <c r="AO1492" s="64"/>
      <c r="AP1492" s="64"/>
      <c r="AQ1492" s="189"/>
      <c r="AR1492" s="64"/>
      <c r="AS1492" s="476"/>
      <c r="AT1492" s="64"/>
      <c r="AU1492" s="646"/>
      <c r="AV1492" s="259" t="s">
        <v>765</v>
      </c>
      <c r="AW1492" s="185" t="s">
        <v>780</v>
      </c>
    </row>
    <row r="1493" spans="1:49" s="153" customFormat="1" ht="54" customHeight="1" outlineLevel="2" collapsed="1" x14ac:dyDescent="0.25">
      <c r="A1493" s="148" t="str">
        <f t="shared" si="415"/>
        <v>4.16.3.8.0.0</v>
      </c>
      <c r="B1493" s="82">
        <v>4</v>
      </c>
      <c r="C1493" s="82">
        <v>16</v>
      </c>
      <c r="D1493" s="82">
        <v>3</v>
      </c>
      <c r="E1493" s="82">
        <v>8</v>
      </c>
      <c r="F1493" s="82">
        <v>0</v>
      </c>
      <c r="G1493" s="82">
        <v>0</v>
      </c>
      <c r="H1493" s="149"/>
      <c r="I1493" s="149"/>
      <c r="J1493" s="1260" t="s">
        <v>1604</v>
      </c>
      <c r="K1493" s="1259"/>
      <c r="L1493" s="82" t="s">
        <v>1576</v>
      </c>
      <c r="M1493" s="82" t="s">
        <v>1464</v>
      </c>
      <c r="N1493" s="82" t="s">
        <v>1444</v>
      </c>
      <c r="O1493" s="82" t="s">
        <v>1204</v>
      </c>
      <c r="P1493" s="82"/>
      <c r="Q1493" s="82"/>
      <c r="R1493" s="82"/>
      <c r="S1493" s="149"/>
      <c r="T1493" s="193"/>
      <c r="U1493" s="152">
        <f>SUM(U1494:U1498)</f>
        <v>0</v>
      </c>
      <c r="V1493" s="152"/>
      <c r="W1493" s="681">
        <f>SUM(W1494:W1498)</f>
        <v>0</v>
      </c>
      <c r="X1493" s="1160">
        <f t="shared" ref="X1493:AH1493" si="459">+SUM(X1494:X1498)</f>
        <v>0</v>
      </c>
      <c r="Y1493" s="380">
        <f t="shared" si="459"/>
        <v>0</v>
      </c>
      <c r="Z1493" s="845">
        <f t="shared" si="459"/>
        <v>0</v>
      </c>
      <c r="AA1493" s="1160">
        <f t="shared" si="459"/>
        <v>0</v>
      </c>
      <c r="AB1493" s="380">
        <f t="shared" si="459"/>
        <v>0</v>
      </c>
      <c r="AC1493" s="971">
        <f t="shared" si="459"/>
        <v>0</v>
      </c>
      <c r="AD1493" s="1160">
        <f t="shared" si="459"/>
        <v>0</v>
      </c>
      <c r="AE1493" s="380">
        <f t="shared" si="459"/>
        <v>0</v>
      </c>
      <c r="AF1493" s="380">
        <f t="shared" si="459"/>
        <v>0</v>
      </c>
      <c r="AG1493" s="1160">
        <f t="shared" ref="AG1493" si="460">+SUM(AG1494:AG1498)</f>
        <v>0</v>
      </c>
      <c r="AH1493" s="380">
        <f t="shared" si="459"/>
        <v>0</v>
      </c>
      <c r="AI1493" s="380">
        <f t="shared" ref="AI1493:AJ1493" si="461">+SUM(AI1494:AI1498)</f>
        <v>0</v>
      </c>
      <c r="AJ1493" s="380">
        <f t="shared" si="461"/>
        <v>0</v>
      </c>
      <c r="AK1493" s="198"/>
      <c r="AL1493" s="198"/>
      <c r="AM1493" s="198"/>
      <c r="AN1493" s="82" t="s">
        <v>181</v>
      </c>
      <c r="AO1493" s="82"/>
      <c r="AP1493" s="82"/>
      <c r="AQ1493" s="365"/>
      <c r="AR1493" s="82"/>
      <c r="AS1493" s="483"/>
      <c r="AT1493" s="82"/>
      <c r="AU1493" s="666"/>
      <c r="AV1493" s="380">
        <f t="shared" ref="AV1493" si="462">+SUM(AV1494:AV1498)</f>
        <v>0</v>
      </c>
      <c r="AW1493" s="449" t="s">
        <v>1579</v>
      </c>
    </row>
    <row r="1494" spans="1:49" ht="29.45" hidden="1" customHeight="1" outlineLevel="3" x14ac:dyDescent="0.25">
      <c r="A1494" s="63" t="str">
        <f t="shared" si="415"/>
        <v>4.16.3.8.1.58-64</v>
      </c>
      <c r="B1494" s="64">
        <v>4</v>
      </c>
      <c r="C1494" s="64">
        <v>16</v>
      </c>
      <c r="D1494" s="64">
        <v>3</v>
      </c>
      <c r="E1494" s="64">
        <v>8</v>
      </c>
      <c r="F1494" s="64">
        <v>1</v>
      </c>
      <c r="G1494" s="64" t="s">
        <v>64</v>
      </c>
      <c r="H1494" s="65"/>
      <c r="I1494" s="65"/>
      <c r="J1494" s="66"/>
      <c r="K1494" s="65" t="s">
        <v>1580</v>
      </c>
      <c r="L1494" s="64" t="s">
        <v>1576</v>
      </c>
      <c r="M1494" s="64" t="s">
        <v>144</v>
      </c>
      <c r="N1494" s="64" t="s">
        <v>265</v>
      </c>
      <c r="O1494" s="64" t="s">
        <v>1544</v>
      </c>
      <c r="P1494" s="64"/>
      <c r="Q1494" s="64"/>
      <c r="R1494" s="124">
        <v>12</v>
      </c>
      <c r="S1494" s="65"/>
      <c r="T1494" s="194"/>
      <c r="U1494" s="75">
        <v>0</v>
      </c>
      <c r="V1494" s="75"/>
      <c r="W1494" s="75">
        <v>0</v>
      </c>
      <c r="X1494" s="1122">
        <v>0</v>
      </c>
      <c r="Y1494" s="75">
        <v>0</v>
      </c>
      <c r="Z1494" s="75">
        <v>0</v>
      </c>
      <c r="AA1494" s="1122">
        <v>0</v>
      </c>
      <c r="AB1494" s="75">
        <v>0</v>
      </c>
      <c r="AC1494" s="75">
        <v>0</v>
      </c>
      <c r="AD1494" s="1122">
        <v>0</v>
      </c>
      <c r="AE1494" s="75">
        <v>0</v>
      </c>
      <c r="AF1494" s="75">
        <v>0</v>
      </c>
      <c r="AG1494" s="1122">
        <v>0</v>
      </c>
      <c r="AH1494" s="505">
        <f>+U1494+Y1494+AB1494+AE1494</f>
        <v>0</v>
      </c>
      <c r="AI1494" s="132"/>
      <c r="AJ1494" s="75">
        <f t="shared" ref="AJ1494:AJ1498" si="463">+W1495+Z1495+AC1495+AF1495</f>
        <v>0</v>
      </c>
      <c r="AK1494" s="75"/>
      <c r="AL1494" s="75"/>
      <c r="AM1494" s="75"/>
      <c r="AN1494" s="64" t="s">
        <v>181</v>
      </c>
      <c r="AO1494" s="64"/>
      <c r="AP1494" s="64"/>
      <c r="AQ1494" s="189"/>
      <c r="AR1494" s="64"/>
      <c r="AS1494" s="476"/>
      <c r="AT1494" s="64"/>
      <c r="AU1494" s="646"/>
      <c r="AV1494" s="259" t="s">
        <v>1466</v>
      </c>
      <c r="AW1494" s="185"/>
    </row>
    <row r="1495" spans="1:49" ht="29.45" hidden="1" customHeight="1" outlineLevel="3" x14ac:dyDescent="0.25">
      <c r="A1495" s="63" t="str">
        <f t="shared" si="415"/>
        <v>4.16.3.8.2.58-64</v>
      </c>
      <c r="B1495" s="64">
        <v>4</v>
      </c>
      <c r="C1495" s="64">
        <v>16</v>
      </c>
      <c r="D1495" s="64">
        <v>3</v>
      </c>
      <c r="E1495" s="64">
        <v>8</v>
      </c>
      <c r="F1495" s="64">
        <v>2</v>
      </c>
      <c r="G1495" s="64" t="s">
        <v>64</v>
      </c>
      <c r="H1495" s="65"/>
      <c r="I1495" s="65"/>
      <c r="J1495" s="66"/>
      <c r="K1495" s="65" t="s">
        <v>1605</v>
      </c>
      <c r="L1495" s="64" t="s">
        <v>1576</v>
      </c>
      <c r="M1495" s="64" t="s">
        <v>144</v>
      </c>
      <c r="N1495" s="64" t="s">
        <v>265</v>
      </c>
      <c r="O1495" s="64" t="s">
        <v>1544</v>
      </c>
      <c r="P1495" s="64"/>
      <c r="Q1495" s="64"/>
      <c r="R1495" s="124">
        <v>12</v>
      </c>
      <c r="S1495" s="65"/>
      <c r="T1495" s="194"/>
      <c r="U1495" s="75">
        <v>0</v>
      </c>
      <c r="V1495" s="75"/>
      <c r="W1495" s="75">
        <v>0</v>
      </c>
      <c r="X1495" s="1122">
        <v>0</v>
      </c>
      <c r="Y1495" s="75">
        <v>0</v>
      </c>
      <c r="Z1495" s="75">
        <v>0</v>
      </c>
      <c r="AA1495" s="1122">
        <v>0</v>
      </c>
      <c r="AB1495" s="75">
        <v>0</v>
      </c>
      <c r="AC1495" s="75">
        <v>0</v>
      </c>
      <c r="AD1495" s="1122">
        <v>0</v>
      </c>
      <c r="AE1495" s="75">
        <v>0</v>
      </c>
      <c r="AF1495" s="75">
        <v>0</v>
      </c>
      <c r="AG1495" s="1122">
        <v>0</v>
      </c>
      <c r="AH1495" s="505">
        <f>+U1495+Y1495+AB1495+AE1495</f>
        <v>0</v>
      </c>
      <c r="AI1495" s="132"/>
      <c r="AJ1495" s="75">
        <f t="shared" si="463"/>
        <v>0</v>
      </c>
      <c r="AK1495" s="75"/>
      <c r="AL1495" s="75"/>
      <c r="AM1495" s="75"/>
      <c r="AN1495" s="64" t="s">
        <v>181</v>
      </c>
      <c r="AO1495" s="64"/>
      <c r="AP1495" s="64"/>
      <c r="AQ1495" s="189"/>
      <c r="AR1495" s="64"/>
      <c r="AS1495" s="476"/>
      <c r="AT1495" s="64"/>
      <c r="AU1495" s="646"/>
      <c r="AV1495" s="259" t="s">
        <v>1606</v>
      </c>
      <c r="AW1495" s="185"/>
    </row>
    <row r="1496" spans="1:49" ht="29.45" hidden="1" customHeight="1" outlineLevel="3" x14ac:dyDescent="0.25">
      <c r="A1496" s="63" t="str">
        <f t="shared" si="415"/>
        <v>4.16.3.8.3.58-64</v>
      </c>
      <c r="B1496" s="64">
        <v>4</v>
      </c>
      <c r="C1496" s="64">
        <v>16</v>
      </c>
      <c r="D1496" s="64">
        <v>3</v>
      </c>
      <c r="E1496" s="64">
        <v>8</v>
      </c>
      <c r="F1496" s="64">
        <v>3</v>
      </c>
      <c r="G1496" s="64" t="s">
        <v>64</v>
      </c>
      <c r="H1496" s="65"/>
      <c r="I1496" s="65"/>
      <c r="J1496" s="66"/>
      <c r="K1496" s="65" t="s">
        <v>1583</v>
      </c>
      <c r="L1496" s="64" t="s">
        <v>1475</v>
      </c>
      <c r="M1496" s="64" t="s">
        <v>1318</v>
      </c>
      <c r="N1496" s="64" t="s">
        <v>1223</v>
      </c>
      <c r="O1496" s="64" t="s">
        <v>1544</v>
      </c>
      <c r="P1496" s="69"/>
      <c r="Q1496" s="69"/>
      <c r="R1496" s="64">
        <v>12</v>
      </c>
      <c r="S1496" s="65" t="s">
        <v>1581</v>
      </c>
      <c r="T1496" s="194">
        <v>3</v>
      </c>
      <c r="U1496" s="75">
        <v>0</v>
      </c>
      <c r="V1496" s="75"/>
      <c r="W1496" s="75">
        <v>0</v>
      </c>
      <c r="X1496" s="1122">
        <v>0</v>
      </c>
      <c r="Y1496" s="75">
        <v>0</v>
      </c>
      <c r="Z1496" s="75">
        <v>0</v>
      </c>
      <c r="AA1496" s="1122">
        <v>0</v>
      </c>
      <c r="AB1496" s="75">
        <v>0</v>
      </c>
      <c r="AC1496" s="75">
        <v>0</v>
      </c>
      <c r="AD1496" s="1122">
        <v>0</v>
      </c>
      <c r="AE1496" s="75">
        <v>0</v>
      </c>
      <c r="AF1496" s="75">
        <v>0</v>
      </c>
      <c r="AG1496" s="1122">
        <v>0</v>
      </c>
      <c r="AH1496" s="505">
        <f>+U1496+Y1496+AB1496+AE1496</f>
        <v>0</v>
      </c>
      <c r="AI1496" s="132"/>
      <c r="AJ1496" s="75">
        <f t="shared" si="463"/>
        <v>0</v>
      </c>
      <c r="AK1496" s="75"/>
      <c r="AL1496" s="75"/>
      <c r="AM1496" s="75"/>
      <c r="AN1496" s="64" t="s">
        <v>181</v>
      </c>
      <c r="AO1496" s="995"/>
      <c r="AP1496" s="995"/>
      <c r="AQ1496" s="996"/>
      <c r="AR1496" s="104"/>
      <c r="AS1496" s="997"/>
      <c r="AT1496" s="998"/>
      <c r="AU1496" s="981"/>
      <c r="AV1496" s="259" t="s">
        <v>1584</v>
      </c>
      <c r="AW1496" s="335"/>
    </row>
    <row r="1497" spans="1:49" ht="29.45" hidden="1" customHeight="1" outlineLevel="3" x14ac:dyDescent="0.25">
      <c r="A1497" s="63" t="str">
        <f t="shared" si="415"/>
        <v>4.16.3.8.4.58-64</v>
      </c>
      <c r="B1497" s="64">
        <v>4</v>
      </c>
      <c r="C1497" s="64">
        <v>16</v>
      </c>
      <c r="D1497" s="64">
        <v>3</v>
      </c>
      <c r="E1497" s="64">
        <v>8</v>
      </c>
      <c r="F1497" s="64">
        <v>4</v>
      </c>
      <c r="G1497" s="64" t="s">
        <v>64</v>
      </c>
      <c r="H1497" s="65"/>
      <c r="I1497" s="65"/>
      <c r="J1497" s="66"/>
      <c r="K1497" s="65" t="s">
        <v>1586</v>
      </c>
      <c r="L1497" s="64" t="s">
        <v>1475</v>
      </c>
      <c r="M1497" s="64" t="s">
        <v>1318</v>
      </c>
      <c r="N1497" s="64" t="s">
        <v>1223</v>
      </c>
      <c r="O1497" s="64" t="s">
        <v>1544</v>
      </c>
      <c r="P1497" s="69"/>
      <c r="Q1497" s="69"/>
      <c r="R1497" s="171">
        <v>6</v>
      </c>
      <c r="S1497" s="65"/>
      <c r="T1497" s="194">
        <v>1</v>
      </c>
      <c r="U1497" s="75">
        <v>0</v>
      </c>
      <c r="V1497" s="75"/>
      <c r="W1497" s="75">
        <v>0</v>
      </c>
      <c r="X1497" s="1122">
        <v>0</v>
      </c>
      <c r="Y1497" s="75">
        <v>0</v>
      </c>
      <c r="Z1497" s="75">
        <v>0</v>
      </c>
      <c r="AA1497" s="1122">
        <v>0</v>
      </c>
      <c r="AB1497" s="75">
        <v>0</v>
      </c>
      <c r="AC1497" s="75">
        <v>0</v>
      </c>
      <c r="AD1497" s="1122">
        <v>0</v>
      </c>
      <c r="AE1497" s="75">
        <v>0</v>
      </c>
      <c r="AF1497" s="75">
        <v>0</v>
      </c>
      <c r="AG1497" s="1122">
        <v>0</v>
      </c>
      <c r="AH1497" s="505">
        <f>+U1497+Y1497+AB1497+AE1497</f>
        <v>0</v>
      </c>
      <c r="AI1497" s="132"/>
      <c r="AJ1497" s="75">
        <f t="shared" si="463"/>
        <v>0</v>
      </c>
      <c r="AK1497" s="75"/>
      <c r="AL1497" s="75"/>
      <c r="AM1497" s="75"/>
      <c r="AN1497" s="64" t="s">
        <v>181</v>
      </c>
      <c r="AO1497" s="64"/>
      <c r="AP1497" s="64"/>
      <c r="AQ1497" s="189"/>
      <c r="AR1497" s="64"/>
      <c r="AS1497" s="476"/>
      <c r="AT1497" s="64"/>
      <c r="AU1497" s="646"/>
      <c r="AV1497" s="259" t="s">
        <v>1587</v>
      </c>
      <c r="AW1497" s="185"/>
    </row>
    <row r="1498" spans="1:49" ht="29.45" hidden="1" customHeight="1" outlineLevel="3" x14ac:dyDescent="0.25">
      <c r="A1498" s="63" t="str">
        <f t="shared" si="415"/>
        <v>4.16.3.8.5.58-64</v>
      </c>
      <c r="B1498" s="64">
        <v>4</v>
      </c>
      <c r="C1498" s="64">
        <v>16</v>
      </c>
      <c r="D1498" s="64">
        <v>3</v>
      </c>
      <c r="E1498" s="64">
        <v>8</v>
      </c>
      <c r="F1498" s="64">
        <v>5</v>
      </c>
      <c r="G1498" s="64" t="s">
        <v>64</v>
      </c>
      <c r="H1498" s="65"/>
      <c r="I1498" s="65"/>
      <c r="J1498" s="66"/>
      <c r="K1498" s="65" t="s">
        <v>1607</v>
      </c>
      <c r="L1498" s="64" t="s">
        <v>1475</v>
      </c>
      <c r="M1498" s="64" t="s">
        <v>1318</v>
      </c>
      <c r="N1498" s="64" t="s">
        <v>1249</v>
      </c>
      <c r="O1498" s="64" t="s">
        <v>1544</v>
      </c>
      <c r="P1498" s="64"/>
      <c r="Q1498" s="64"/>
      <c r="R1498" s="124">
        <v>2</v>
      </c>
      <c r="S1498" s="65"/>
      <c r="T1498" s="194">
        <v>2</v>
      </c>
      <c r="U1498" s="75">
        <v>0</v>
      </c>
      <c r="V1498" s="75"/>
      <c r="W1498" s="75">
        <v>0</v>
      </c>
      <c r="X1498" s="1122">
        <v>0</v>
      </c>
      <c r="Y1498" s="75">
        <v>0</v>
      </c>
      <c r="Z1498" s="75">
        <v>0</v>
      </c>
      <c r="AA1498" s="1122">
        <v>0</v>
      </c>
      <c r="AB1498" s="75">
        <v>0</v>
      </c>
      <c r="AC1498" s="75">
        <v>0</v>
      </c>
      <c r="AD1498" s="1122">
        <v>0</v>
      </c>
      <c r="AE1498" s="75">
        <v>0</v>
      </c>
      <c r="AF1498" s="75">
        <v>0</v>
      </c>
      <c r="AG1498" s="1122">
        <v>0</v>
      </c>
      <c r="AH1498" s="505">
        <f>+U1498+Y1498+AB1498+AE1498</f>
        <v>0</v>
      </c>
      <c r="AI1498" s="132"/>
      <c r="AJ1498" s="75">
        <f t="shared" si="463"/>
        <v>0</v>
      </c>
      <c r="AK1498" s="75"/>
      <c r="AL1498" s="75"/>
      <c r="AM1498" s="75"/>
      <c r="AN1498" s="64" t="s">
        <v>181</v>
      </c>
      <c r="AO1498" s="64"/>
      <c r="AP1498" s="64"/>
      <c r="AQ1498" s="189"/>
      <c r="AR1498" s="64"/>
      <c r="AS1498" s="476"/>
      <c r="AT1498" s="64"/>
      <c r="AU1498" s="646"/>
      <c r="AV1498" s="353" t="s">
        <v>1607</v>
      </c>
      <c r="AW1498" s="185"/>
    </row>
    <row r="1499" spans="1:49" s="153" customFormat="1" ht="15" customHeight="1" x14ac:dyDescent="0.25">
      <c r="A1499" s="246" t="str">
        <f t="shared" si="415"/>
        <v>5.0.0.0.0.0</v>
      </c>
      <c r="B1499" s="44">
        <v>5</v>
      </c>
      <c r="C1499" s="44">
        <v>0</v>
      </c>
      <c r="D1499" s="44">
        <v>0</v>
      </c>
      <c r="E1499" s="44">
        <v>0</v>
      </c>
      <c r="F1499" s="44">
        <v>0</v>
      </c>
      <c r="G1499" s="44">
        <v>0</v>
      </c>
      <c r="H1499" s="1269" t="s">
        <v>1608</v>
      </c>
      <c r="I1499" s="1270"/>
      <c r="J1499" s="1270"/>
      <c r="K1499" s="1271"/>
      <c r="L1499" s="44" t="s">
        <v>1609</v>
      </c>
      <c r="M1499" s="44"/>
      <c r="N1499" s="44"/>
      <c r="O1499" s="44"/>
      <c r="P1499" s="44"/>
      <c r="Q1499" s="44"/>
      <c r="R1499" s="44"/>
      <c r="S1499" s="247"/>
      <c r="T1499" s="1200"/>
      <c r="U1499" s="393">
        <f t="shared" ref="U1499:AJ1499" si="464">+U1500</f>
        <v>0</v>
      </c>
      <c r="V1499" s="393"/>
      <c r="W1499" s="393">
        <f t="shared" si="464"/>
        <v>0</v>
      </c>
      <c r="X1499" s="1163">
        <f t="shared" si="464"/>
        <v>0</v>
      </c>
      <c r="Y1499" s="393">
        <f t="shared" si="464"/>
        <v>0</v>
      </c>
      <c r="Z1499" s="393">
        <f t="shared" si="464"/>
        <v>0</v>
      </c>
      <c r="AA1499" s="1163">
        <f t="shared" si="464"/>
        <v>0</v>
      </c>
      <c r="AB1499" s="393">
        <f t="shared" si="464"/>
        <v>0</v>
      </c>
      <c r="AC1499" s="393">
        <f t="shared" si="464"/>
        <v>0</v>
      </c>
      <c r="AD1499" s="1163">
        <f t="shared" si="464"/>
        <v>0</v>
      </c>
      <c r="AE1499" s="393">
        <f t="shared" si="464"/>
        <v>0</v>
      </c>
      <c r="AF1499" s="393">
        <f t="shared" si="464"/>
        <v>0</v>
      </c>
      <c r="AG1499" s="1163">
        <f t="shared" si="464"/>
        <v>0</v>
      </c>
      <c r="AH1499" s="393">
        <f>+AH1500+AH1549</f>
        <v>0</v>
      </c>
      <c r="AI1499" s="530">
        <f t="shared" si="464"/>
        <v>0</v>
      </c>
      <c r="AJ1499" s="530">
        <f t="shared" si="464"/>
        <v>0</v>
      </c>
      <c r="AK1499" s="248"/>
      <c r="AL1499" s="248"/>
      <c r="AM1499" s="248"/>
      <c r="AN1499" s="44" t="s">
        <v>181</v>
      </c>
      <c r="AO1499" s="44"/>
      <c r="AP1499" s="44"/>
      <c r="AQ1499" s="420"/>
      <c r="AR1499" s="44"/>
      <c r="AS1499" s="486"/>
      <c r="AT1499" s="44"/>
      <c r="AU1499" s="658"/>
      <c r="AV1499" s="393">
        <f t="shared" ref="AV1499" si="465">+AV1500</f>
        <v>0</v>
      </c>
      <c r="AW1499" s="426"/>
    </row>
    <row r="1500" spans="1:49" s="153" customFormat="1" ht="43.35" customHeight="1" outlineLevel="1" x14ac:dyDescent="0.25">
      <c r="A1500" s="108" t="str">
        <f t="shared" si="415"/>
        <v>5.17.4.0.0.0</v>
      </c>
      <c r="B1500" s="109">
        <v>5</v>
      </c>
      <c r="C1500" s="109">
        <v>17</v>
      </c>
      <c r="D1500" s="109">
        <v>4</v>
      </c>
      <c r="E1500" s="109">
        <v>0</v>
      </c>
      <c r="F1500" s="109">
        <v>0</v>
      </c>
      <c r="G1500" s="109">
        <v>0</v>
      </c>
      <c r="H1500" s="110"/>
      <c r="I1500" s="1265" t="s">
        <v>1610</v>
      </c>
      <c r="J1500" s="1266"/>
      <c r="K1500" s="1267"/>
      <c r="L1500" s="109" t="s">
        <v>236</v>
      </c>
      <c r="M1500" s="109" t="s">
        <v>73</v>
      </c>
      <c r="N1500" s="109" t="s">
        <v>257</v>
      </c>
      <c r="O1500" s="109" t="s">
        <v>1611</v>
      </c>
      <c r="P1500" s="109"/>
      <c r="Q1500" s="109"/>
      <c r="R1500" s="109"/>
      <c r="S1500" s="110"/>
      <c r="T1500" s="1183"/>
      <c r="U1500" s="514">
        <f t="shared" ref="U1500:AJ1500" si="466">+U1501+U1505+U1509+U1517+U1527+U1535+U1543+U1547</f>
        <v>0</v>
      </c>
      <c r="V1500" s="514"/>
      <c r="W1500" s="514">
        <f t="shared" si="466"/>
        <v>0</v>
      </c>
      <c r="X1500" s="1164">
        <f t="shared" si="466"/>
        <v>0</v>
      </c>
      <c r="Y1500" s="514">
        <f t="shared" si="466"/>
        <v>0</v>
      </c>
      <c r="Z1500" s="514">
        <f t="shared" si="466"/>
        <v>0</v>
      </c>
      <c r="AA1500" s="1164">
        <f t="shared" si="466"/>
        <v>0</v>
      </c>
      <c r="AB1500" s="514">
        <f t="shared" si="466"/>
        <v>0</v>
      </c>
      <c r="AC1500" s="514">
        <f t="shared" si="466"/>
        <v>0</v>
      </c>
      <c r="AD1500" s="1164">
        <f t="shared" si="466"/>
        <v>0</v>
      </c>
      <c r="AE1500" s="514">
        <f t="shared" si="466"/>
        <v>0</v>
      </c>
      <c r="AF1500" s="514">
        <f t="shared" si="466"/>
        <v>0</v>
      </c>
      <c r="AG1500" s="1164">
        <f t="shared" si="466"/>
        <v>0</v>
      </c>
      <c r="AH1500" s="514">
        <f>+AH1501+AH1505+AH1509+AH1517+AH1527+AH1535+AH1543+AH1547</f>
        <v>0</v>
      </c>
      <c r="AI1500" s="514">
        <f t="shared" si="466"/>
        <v>0</v>
      </c>
      <c r="AJ1500" s="514">
        <f t="shared" si="466"/>
        <v>0</v>
      </c>
      <c r="AK1500" s="112"/>
      <c r="AL1500" s="112"/>
      <c r="AM1500" s="112"/>
      <c r="AN1500" s="109" t="s">
        <v>181</v>
      </c>
      <c r="AO1500" s="109"/>
      <c r="AP1500" s="109"/>
      <c r="AQ1500" s="411"/>
      <c r="AR1500" s="109"/>
      <c r="AS1500" s="473"/>
      <c r="AT1500" s="109"/>
      <c r="AU1500" s="659"/>
      <c r="AV1500" s="514">
        <f t="shared" ref="AV1500" si="467">+AV1501+AV1505+AV1509+AV1517+AV1527+AV1535+AV1543+AV1547</f>
        <v>0</v>
      </c>
      <c r="AW1500" s="445"/>
    </row>
    <row r="1501" spans="1:49" s="153" customFormat="1" ht="31.35" customHeight="1" outlineLevel="1" collapsed="1" x14ac:dyDescent="0.25">
      <c r="A1501" s="148" t="str">
        <f t="shared" si="415"/>
        <v>5.17.4.1.0.0</v>
      </c>
      <c r="B1501" s="82">
        <v>5</v>
      </c>
      <c r="C1501" s="82">
        <v>17</v>
      </c>
      <c r="D1501" s="82">
        <v>4</v>
      </c>
      <c r="E1501" s="82">
        <v>1</v>
      </c>
      <c r="F1501" s="82">
        <v>0</v>
      </c>
      <c r="G1501" s="82">
        <v>0</v>
      </c>
      <c r="H1501" s="149"/>
      <c r="I1501" s="149"/>
      <c r="J1501" s="1260" t="s">
        <v>1612</v>
      </c>
      <c r="K1501" s="1259"/>
      <c r="L1501" s="82" t="s">
        <v>236</v>
      </c>
      <c r="M1501" s="82" t="s">
        <v>73</v>
      </c>
      <c r="N1501" s="82" t="s">
        <v>257</v>
      </c>
      <c r="O1501" s="82" t="s">
        <v>1613</v>
      </c>
      <c r="P1501" s="148"/>
      <c r="Q1501" s="148"/>
      <c r="R1501" s="82"/>
      <c r="S1501" s="149"/>
      <c r="T1501" s="193"/>
      <c r="U1501" s="512">
        <f t="shared" ref="U1501:AJ1501" si="468">+SUM(U1502:U1504)</f>
        <v>0</v>
      </c>
      <c r="V1501" s="512"/>
      <c r="W1501" s="512">
        <f t="shared" si="468"/>
        <v>0</v>
      </c>
      <c r="X1501" s="1165">
        <f t="shared" si="468"/>
        <v>0</v>
      </c>
      <c r="Y1501" s="512">
        <f t="shared" si="468"/>
        <v>0</v>
      </c>
      <c r="Z1501" s="512">
        <f t="shared" si="468"/>
        <v>0</v>
      </c>
      <c r="AA1501" s="1165">
        <f t="shared" si="468"/>
        <v>0</v>
      </c>
      <c r="AB1501" s="512">
        <f t="shared" si="468"/>
        <v>0</v>
      </c>
      <c r="AC1501" s="512">
        <f t="shared" si="468"/>
        <v>0</v>
      </c>
      <c r="AD1501" s="1165">
        <f t="shared" si="468"/>
        <v>0</v>
      </c>
      <c r="AE1501" s="512">
        <f t="shared" si="468"/>
        <v>0</v>
      </c>
      <c r="AF1501" s="512">
        <f t="shared" si="468"/>
        <v>0</v>
      </c>
      <c r="AG1501" s="1165">
        <f t="shared" si="468"/>
        <v>0</v>
      </c>
      <c r="AH1501" s="512">
        <f t="shared" si="468"/>
        <v>0</v>
      </c>
      <c r="AI1501" s="512">
        <f t="shared" si="468"/>
        <v>0</v>
      </c>
      <c r="AJ1501" s="512">
        <f t="shared" si="468"/>
        <v>0</v>
      </c>
      <c r="AK1501" s="152"/>
      <c r="AL1501" s="152"/>
      <c r="AM1501" s="152"/>
      <c r="AN1501" s="82" t="s">
        <v>181</v>
      </c>
      <c r="AO1501" s="82"/>
      <c r="AP1501" s="82"/>
      <c r="AQ1501" s="365"/>
      <c r="AR1501" s="82"/>
      <c r="AS1501" s="483"/>
      <c r="AT1501" s="82"/>
      <c r="AU1501" s="666"/>
      <c r="AV1501" s="358"/>
      <c r="AW1501" s="444"/>
    </row>
    <row r="1502" spans="1:49" ht="57" hidden="1" customHeight="1" outlineLevel="2" x14ac:dyDescent="0.25">
      <c r="A1502" s="63" t="str">
        <f t="shared" si="415"/>
        <v>5.17.4.1.1.58</v>
      </c>
      <c r="B1502" s="64">
        <v>5</v>
      </c>
      <c r="C1502" s="64">
        <v>17</v>
      </c>
      <c r="D1502" s="64">
        <v>4</v>
      </c>
      <c r="E1502" s="64">
        <v>1</v>
      </c>
      <c r="F1502" s="64">
        <v>1</v>
      </c>
      <c r="G1502" s="64">
        <v>58</v>
      </c>
      <c r="H1502" s="65"/>
      <c r="I1502" s="65"/>
      <c r="J1502" s="65"/>
      <c r="K1502" s="67" t="s">
        <v>1616</v>
      </c>
      <c r="L1502" s="64" t="s">
        <v>236</v>
      </c>
      <c r="M1502" s="64" t="s">
        <v>73</v>
      </c>
      <c r="N1502" s="64" t="s">
        <v>257</v>
      </c>
      <c r="O1502" s="64" t="s">
        <v>1613</v>
      </c>
      <c r="P1502" s="64"/>
      <c r="Q1502" s="64"/>
      <c r="R1502" s="64"/>
      <c r="S1502" s="65"/>
      <c r="T1502" s="194"/>
      <c r="U1502" s="510">
        <v>0</v>
      </c>
      <c r="V1502" s="510"/>
      <c r="W1502" s="510">
        <v>0</v>
      </c>
      <c r="X1502" s="1166">
        <v>0</v>
      </c>
      <c r="Y1502" s="510">
        <v>0</v>
      </c>
      <c r="Z1502" s="510">
        <v>0</v>
      </c>
      <c r="AA1502" s="1166">
        <v>0</v>
      </c>
      <c r="AB1502" s="510">
        <v>0</v>
      </c>
      <c r="AC1502" s="510">
        <v>0</v>
      </c>
      <c r="AD1502" s="1166">
        <v>0</v>
      </c>
      <c r="AE1502" s="510">
        <v>0</v>
      </c>
      <c r="AF1502" s="510">
        <v>0</v>
      </c>
      <c r="AG1502" s="1166">
        <v>0</v>
      </c>
      <c r="AH1502" s="505">
        <f>+U1502+Y1502+AB1502+AE1502</f>
        <v>0</v>
      </c>
      <c r="AI1502" s="132"/>
      <c r="AJ1502" s="75">
        <f t="shared" ref="AJ1502:AJ1504" si="469">+W1503+Z1503+AC1503+AF1503</f>
        <v>0</v>
      </c>
      <c r="AK1502" s="75"/>
      <c r="AL1502" s="75"/>
      <c r="AM1502" s="75"/>
      <c r="AN1502" s="64" t="s">
        <v>181</v>
      </c>
      <c r="AO1502" s="64"/>
      <c r="AP1502" s="64"/>
      <c r="AQ1502" s="189"/>
      <c r="AR1502" s="64"/>
      <c r="AS1502" s="476"/>
      <c r="AT1502" s="64"/>
      <c r="AU1502" s="646"/>
      <c r="AV1502" s="259"/>
      <c r="AW1502" s="185"/>
    </row>
    <row r="1503" spans="1:49" ht="57" hidden="1" customHeight="1" outlineLevel="2" x14ac:dyDescent="0.25">
      <c r="A1503" s="63" t="str">
        <f t="shared" si="415"/>
        <v>5.17.4.1.2.58</v>
      </c>
      <c r="B1503" s="64">
        <v>5</v>
      </c>
      <c r="C1503" s="64">
        <v>17</v>
      </c>
      <c r="D1503" s="64">
        <v>4</v>
      </c>
      <c r="E1503" s="64">
        <v>1</v>
      </c>
      <c r="F1503" s="64">
        <v>2</v>
      </c>
      <c r="G1503" s="64">
        <v>58</v>
      </c>
      <c r="H1503" s="65"/>
      <c r="I1503" s="65"/>
      <c r="J1503" s="65"/>
      <c r="K1503" s="67" t="s">
        <v>1614</v>
      </c>
      <c r="L1503" s="64" t="s">
        <v>236</v>
      </c>
      <c r="M1503" s="64" t="s">
        <v>73</v>
      </c>
      <c r="N1503" s="64" t="s">
        <v>257</v>
      </c>
      <c r="O1503" s="64" t="s">
        <v>1613</v>
      </c>
      <c r="P1503" s="64"/>
      <c r="Q1503" s="64"/>
      <c r="R1503" s="64"/>
      <c r="S1503" s="65"/>
      <c r="T1503" s="194"/>
      <c r="U1503" s="510">
        <v>0</v>
      </c>
      <c r="V1503" s="510"/>
      <c r="W1503" s="510">
        <v>0</v>
      </c>
      <c r="X1503" s="1166">
        <v>0</v>
      </c>
      <c r="Y1503" s="510">
        <v>0</v>
      </c>
      <c r="Z1503" s="510">
        <v>0</v>
      </c>
      <c r="AA1503" s="1166">
        <v>0</v>
      </c>
      <c r="AB1503" s="510">
        <v>0</v>
      </c>
      <c r="AC1503" s="510">
        <v>0</v>
      </c>
      <c r="AD1503" s="1166">
        <v>0</v>
      </c>
      <c r="AE1503" s="510">
        <v>0</v>
      </c>
      <c r="AF1503" s="510">
        <v>0</v>
      </c>
      <c r="AG1503" s="1166">
        <v>0</v>
      </c>
      <c r="AH1503" s="505">
        <f>+U1503+Y1503+AB1503+AE1503</f>
        <v>0</v>
      </c>
      <c r="AI1503" s="132"/>
      <c r="AJ1503" s="75">
        <f t="shared" si="469"/>
        <v>0</v>
      </c>
      <c r="AK1503" s="75"/>
      <c r="AL1503" s="75"/>
      <c r="AM1503" s="75"/>
      <c r="AN1503" s="64" t="s">
        <v>181</v>
      </c>
      <c r="AO1503" s="64"/>
      <c r="AP1503" s="64"/>
      <c r="AQ1503" s="189"/>
      <c r="AR1503" s="64"/>
      <c r="AS1503" s="476"/>
      <c r="AT1503" s="64"/>
      <c r="AU1503" s="646"/>
      <c r="AV1503" s="259"/>
      <c r="AW1503" s="185"/>
    </row>
    <row r="1504" spans="1:49" ht="19.5" hidden="1" customHeight="1" outlineLevel="2" x14ac:dyDescent="0.25">
      <c r="A1504" s="63" t="str">
        <f t="shared" si="415"/>
        <v>5.17.4.1.3.58</v>
      </c>
      <c r="B1504" s="293">
        <v>5</v>
      </c>
      <c r="C1504" s="293">
        <v>17</v>
      </c>
      <c r="D1504" s="293">
        <v>4</v>
      </c>
      <c r="E1504" s="293">
        <v>1</v>
      </c>
      <c r="F1504" s="293">
        <v>3</v>
      </c>
      <c r="G1504" s="293">
        <v>58</v>
      </c>
      <c r="H1504" s="65"/>
      <c r="I1504" s="65"/>
      <c r="J1504" s="65"/>
      <c r="K1504" s="65" t="s">
        <v>1878</v>
      </c>
      <c r="L1504" s="64" t="s">
        <v>236</v>
      </c>
      <c r="M1504" s="64" t="s">
        <v>73</v>
      </c>
      <c r="N1504" s="64" t="s">
        <v>257</v>
      </c>
      <c r="O1504" s="64" t="s">
        <v>1613</v>
      </c>
      <c r="P1504" s="64"/>
      <c r="Q1504" s="64"/>
      <c r="R1504" s="64"/>
      <c r="S1504" s="65"/>
      <c r="T1504" s="194"/>
      <c r="U1504" s="510">
        <v>0</v>
      </c>
      <c r="V1504" s="510"/>
      <c r="W1504" s="510">
        <v>0</v>
      </c>
      <c r="X1504" s="1166">
        <v>0</v>
      </c>
      <c r="Y1504" s="510">
        <v>0</v>
      </c>
      <c r="Z1504" s="510">
        <v>0</v>
      </c>
      <c r="AA1504" s="1166">
        <v>0</v>
      </c>
      <c r="AB1504" s="510">
        <v>0</v>
      </c>
      <c r="AC1504" s="510">
        <v>0</v>
      </c>
      <c r="AD1504" s="1166">
        <v>0</v>
      </c>
      <c r="AE1504" s="510">
        <v>0</v>
      </c>
      <c r="AF1504" s="510">
        <v>0</v>
      </c>
      <c r="AG1504" s="1166">
        <v>0</v>
      </c>
      <c r="AH1504" s="505">
        <f>+U1504+Y1504+AB1504+AE1504</f>
        <v>0</v>
      </c>
      <c r="AI1504" s="132"/>
      <c r="AJ1504" s="75">
        <f t="shared" si="469"/>
        <v>0</v>
      </c>
      <c r="AK1504" s="75"/>
      <c r="AL1504" s="75"/>
      <c r="AM1504" s="75"/>
      <c r="AN1504" s="64" t="s">
        <v>181</v>
      </c>
      <c r="AO1504" s="64"/>
      <c r="AP1504" s="64"/>
      <c r="AQ1504" s="189"/>
      <c r="AR1504" s="64"/>
      <c r="AS1504" s="476"/>
      <c r="AT1504" s="64"/>
      <c r="AU1504" s="646"/>
      <c r="AV1504" s="259"/>
      <c r="AW1504" s="185"/>
    </row>
    <row r="1505" spans="1:49" s="153" customFormat="1" ht="29.1" customHeight="1" outlineLevel="1" collapsed="1" x14ac:dyDescent="0.25">
      <c r="A1505" s="148" t="str">
        <f t="shared" si="415"/>
        <v>5.17.4.2.0.0</v>
      </c>
      <c r="B1505" s="82">
        <v>5</v>
      </c>
      <c r="C1505" s="82">
        <v>17</v>
      </c>
      <c r="D1505" s="82">
        <v>4</v>
      </c>
      <c r="E1505" s="82">
        <v>2</v>
      </c>
      <c r="F1505" s="82">
        <v>0</v>
      </c>
      <c r="G1505" s="82">
        <v>0</v>
      </c>
      <c r="H1505" s="149"/>
      <c r="I1505" s="149"/>
      <c r="J1505" s="1260" t="s">
        <v>1615</v>
      </c>
      <c r="K1505" s="1259"/>
      <c r="L1505" s="82" t="s">
        <v>236</v>
      </c>
      <c r="M1505" s="82" t="s">
        <v>977</v>
      </c>
      <c r="N1505" s="82" t="s">
        <v>257</v>
      </c>
      <c r="O1505" s="82" t="s">
        <v>1613</v>
      </c>
      <c r="P1505" s="294"/>
      <c r="Q1505" s="294"/>
      <c r="R1505" s="82"/>
      <c r="S1505" s="149"/>
      <c r="T1505" s="193"/>
      <c r="U1505" s="512">
        <f t="shared" ref="U1505:AJ1505" si="470">+SUM(U1506:U1508)</f>
        <v>0</v>
      </c>
      <c r="V1505" s="512"/>
      <c r="W1505" s="512">
        <f t="shared" si="470"/>
        <v>0</v>
      </c>
      <c r="X1505" s="1165">
        <f t="shared" si="470"/>
        <v>0</v>
      </c>
      <c r="Y1505" s="512">
        <f t="shared" si="470"/>
        <v>0</v>
      </c>
      <c r="Z1505" s="512">
        <f t="shared" si="470"/>
        <v>0</v>
      </c>
      <c r="AA1505" s="1165">
        <f t="shared" si="470"/>
        <v>0</v>
      </c>
      <c r="AB1505" s="512">
        <f t="shared" si="470"/>
        <v>0</v>
      </c>
      <c r="AC1505" s="512">
        <f t="shared" si="470"/>
        <v>0</v>
      </c>
      <c r="AD1505" s="1165">
        <f t="shared" si="470"/>
        <v>0</v>
      </c>
      <c r="AE1505" s="512">
        <f t="shared" si="470"/>
        <v>0</v>
      </c>
      <c r="AF1505" s="512">
        <f t="shared" si="470"/>
        <v>0</v>
      </c>
      <c r="AG1505" s="1165">
        <f t="shared" si="470"/>
        <v>0</v>
      </c>
      <c r="AH1505" s="512">
        <f t="shared" si="470"/>
        <v>0</v>
      </c>
      <c r="AI1505" s="512">
        <f t="shared" si="470"/>
        <v>0</v>
      </c>
      <c r="AJ1505" s="512">
        <f t="shared" si="470"/>
        <v>0</v>
      </c>
      <c r="AK1505" s="152"/>
      <c r="AL1505" s="152"/>
      <c r="AM1505" s="152"/>
      <c r="AN1505" s="82" t="s">
        <v>181</v>
      </c>
      <c r="AO1505" s="82"/>
      <c r="AP1505" s="82"/>
      <c r="AQ1505" s="365"/>
      <c r="AR1505" s="82"/>
      <c r="AS1505" s="483"/>
      <c r="AT1505" s="82"/>
      <c r="AU1505" s="666"/>
      <c r="AV1505" s="358"/>
      <c r="AW1505" s="444"/>
    </row>
    <row r="1506" spans="1:49" ht="38.1" hidden="1" customHeight="1" outlineLevel="2" x14ac:dyDescent="0.25">
      <c r="A1506" s="63" t="str">
        <f t="shared" si="415"/>
        <v>5.17.4.2.1.59</v>
      </c>
      <c r="B1506" s="64">
        <v>5</v>
      </c>
      <c r="C1506" s="64">
        <v>17</v>
      </c>
      <c r="D1506" s="64">
        <v>4</v>
      </c>
      <c r="E1506" s="64">
        <v>2</v>
      </c>
      <c r="F1506" s="64">
        <v>1</v>
      </c>
      <c r="G1506" s="64">
        <v>59</v>
      </c>
      <c r="H1506" s="65"/>
      <c r="I1506" s="65"/>
      <c r="J1506" s="66"/>
      <c r="K1506" s="67" t="s">
        <v>1616</v>
      </c>
      <c r="L1506" s="64" t="s">
        <v>236</v>
      </c>
      <c r="M1506" s="64" t="s">
        <v>73</v>
      </c>
      <c r="N1506" s="64" t="s">
        <v>257</v>
      </c>
      <c r="O1506" s="64" t="s">
        <v>1613</v>
      </c>
      <c r="P1506" s="64"/>
      <c r="Q1506" s="64"/>
      <c r="R1506" s="64"/>
      <c r="S1506" s="65"/>
      <c r="T1506" s="194"/>
      <c r="U1506" s="510">
        <v>0</v>
      </c>
      <c r="V1506" s="510"/>
      <c r="W1506" s="510">
        <v>0</v>
      </c>
      <c r="X1506" s="1166">
        <v>0</v>
      </c>
      <c r="Y1506" s="510">
        <v>0</v>
      </c>
      <c r="Z1506" s="510">
        <v>0</v>
      </c>
      <c r="AA1506" s="1166">
        <v>0</v>
      </c>
      <c r="AB1506" s="510">
        <v>0</v>
      </c>
      <c r="AC1506" s="510">
        <v>0</v>
      </c>
      <c r="AD1506" s="1166">
        <v>0</v>
      </c>
      <c r="AE1506" s="510">
        <v>0</v>
      </c>
      <c r="AF1506" s="510">
        <v>0</v>
      </c>
      <c r="AG1506" s="1166">
        <v>0</v>
      </c>
      <c r="AH1506" s="505">
        <f>+U1506+Y1506+AB1506+AE1506</f>
        <v>0</v>
      </c>
      <c r="AI1506" s="132"/>
      <c r="AJ1506" s="75">
        <f t="shared" ref="AJ1506:AJ1508" si="471">+W1507+Z1507+AC1507+AF1507</f>
        <v>0</v>
      </c>
      <c r="AK1506" s="75"/>
      <c r="AL1506" s="75"/>
      <c r="AM1506" s="75"/>
      <c r="AN1506" s="64" t="s">
        <v>181</v>
      </c>
      <c r="AO1506" s="64"/>
      <c r="AP1506" s="64"/>
      <c r="AQ1506" s="189"/>
      <c r="AR1506" s="64"/>
      <c r="AS1506" s="476"/>
      <c r="AT1506" s="64"/>
      <c r="AU1506" s="646"/>
      <c r="AV1506" s="259"/>
      <c r="AW1506" s="185"/>
    </row>
    <row r="1507" spans="1:49" ht="38.1" hidden="1" customHeight="1" outlineLevel="2" x14ac:dyDescent="0.25">
      <c r="A1507" s="63" t="str">
        <f t="shared" si="415"/>
        <v>5.17.4.2.2.59</v>
      </c>
      <c r="B1507" s="64">
        <v>5</v>
      </c>
      <c r="C1507" s="64">
        <v>17</v>
      </c>
      <c r="D1507" s="64">
        <v>4</v>
      </c>
      <c r="E1507" s="64">
        <v>2</v>
      </c>
      <c r="F1507" s="64">
        <v>2</v>
      </c>
      <c r="G1507" s="64">
        <v>59</v>
      </c>
      <c r="H1507" s="65"/>
      <c r="I1507" s="65"/>
      <c r="J1507" s="66"/>
      <c r="K1507" s="67" t="s">
        <v>1617</v>
      </c>
      <c r="L1507" s="64" t="s">
        <v>236</v>
      </c>
      <c r="M1507" s="64" t="s">
        <v>73</v>
      </c>
      <c r="N1507" s="64" t="s">
        <v>257</v>
      </c>
      <c r="O1507" s="64" t="s">
        <v>1613</v>
      </c>
      <c r="P1507" s="64"/>
      <c r="Q1507" s="64"/>
      <c r="R1507" s="64"/>
      <c r="S1507" s="65"/>
      <c r="T1507" s="194"/>
      <c r="U1507" s="510">
        <v>0</v>
      </c>
      <c r="V1507" s="510"/>
      <c r="W1507" s="510">
        <v>0</v>
      </c>
      <c r="X1507" s="1166">
        <v>0</v>
      </c>
      <c r="Y1507" s="510">
        <v>0</v>
      </c>
      <c r="Z1507" s="510">
        <v>0</v>
      </c>
      <c r="AA1507" s="1166">
        <v>0</v>
      </c>
      <c r="AB1507" s="510">
        <v>0</v>
      </c>
      <c r="AC1507" s="510">
        <v>0</v>
      </c>
      <c r="AD1507" s="1166">
        <v>0</v>
      </c>
      <c r="AE1507" s="510">
        <v>0</v>
      </c>
      <c r="AF1507" s="510">
        <v>0</v>
      </c>
      <c r="AG1507" s="1166">
        <v>0</v>
      </c>
      <c r="AH1507" s="505">
        <f>+U1507+Y1507+AB1507+AE1507</f>
        <v>0</v>
      </c>
      <c r="AI1507" s="132"/>
      <c r="AJ1507" s="75">
        <f t="shared" si="471"/>
        <v>0</v>
      </c>
      <c r="AK1507" s="75"/>
      <c r="AL1507" s="75"/>
      <c r="AM1507" s="75"/>
      <c r="AN1507" s="64" t="s">
        <v>181</v>
      </c>
      <c r="AO1507" s="64"/>
      <c r="AP1507" s="64"/>
      <c r="AQ1507" s="189"/>
      <c r="AR1507" s="64"/>
      <c r="AS1507" s="476"/>
      <c r="AT1507" s="64"/>
      <c r="AU1507" s="646"/>
      <c r="AV1507" s="259"/>
      <c r="AW1507" s="185"/>
    </row>
    <row r="1508" spans="1:49" ht="38.1" hidden="1" customHeight="1" outlineLevel="2" x14ac:dyDescent="0.25">
      <c r="A1508" s="63" t="str">
        <f t="shared" si="415"/>
        <v>5.17.4.2.3.59</v>
      </c>
      <c r="B1508" s="64">
        <v>5</v>
      </c>
      <c r="C1508" s="64">
        <v>17</v>
      </c>
      <c r="D1508" s="64">
        <v>4</v>
      </c>
      <c r="E1508" s="64">
        <v>2</v>
      </c>
      <c r="F1508" s="64">
        <v>3</v>
      </c>
      <c r="G1508" s="64">
        <v>59</v>
      </c>
      <c r="H1508" s="65"/>
      <c r="I1508" s="65"/>
      <c r="J1508" s="66"/>
      <c r="K1508" s="67" t="s">
        <v>1618</v>
      </c>
      <c r="L1508" s="64" t="s">
        <v>236</v>
      </c>
      <c r="M1508" s="64" t="s">
        <v>73</v>
      </c>
      <c r="N1508" s="64" t="s">
        <v>257</v>
      </c>
      <c r="O1508" s="64" t="s">
        <v>1613</v>
      </c>
      <c r="P1508" s="64"/>
      <c r="Q1508" s="64"/>
      <c r="R1508" s="64"/>
      <c r="S1508" s="65"/>
      <c r="T1508" s="194"/>
      <c r="U1508" s="510">
        <v>0</v>
      </c>
      <c r="V1508" s="510"/>
      <c r="W1508" s="510">
        <v>0</v>
      </c>
      <c r="X1508" s="1166">
        <v>0</v>
      </c>
      <c r="Y1508" s="510">
        <v>0</v>
      </c>
      <c r="Z1508" s="510">
        <v>0</v>
      </c>
      <c r="AA1508" s="1166">
        <v>0</v>
      </c>
      <c r="AB1508" s="510">
        <v>0</v>
      </c>
      <c r="AC1508" s="510">
        <v>0</v>
      </c>
      <c r="AD1508" s="1166">
        <v>0</v>
      </c>
      <c r="AE1508" s="510">
        <v>0</v>
      </c>
      <c r="AF1508" s="510">
        <v>0</v>
      </c>
      <c r="AG1508" s="1166">
        <v>0</v>
      </c>
      <c r="AH1508" s="505">
        <f>+U1508+Y1508+AB1508+AE1508</f>
        <v>0</v>
      </c>
      <c r="AI1508" s="132"/>
      <c r="AJ1508" s="75">
        <f t="shared" si="471"/>
        <v>0</v>
      </c>
      <c r="AK1508" s="75"/>
      <c r="AL1508" s="75"/>
      <c r="AM1508" s="75"/>
      <c r="AN1508" s="64" t="s">
        <v>181</v>
      </c>
      <c r="AO1508" s="64"/>
      <c r="AP1508" s="64"/>
      <c r="AQ1508" s="189"/>
      <c r="AR1508" s="64"/>
      <c r="AS1508" s="476"/>
      <c r="AT1508" s="64"/>
      <c r="AU1508" s="646"/>
      <c r="AV1508" s="259"/>
      <c r="AW1508" s="185"/>
    </row>
    <row r="1509" spans="1:49" s="153" customFormat="1" ht="23.45" customHeight="1" outlineLevel="1" collapsed="1" x14ac:dyDescent="0.25">
      <c r="A1509" s="148" t="str">
        <f t="shared" si="415"/>
        <v>5.17.4.3.0.0</v>
      </c>
      <c r="B1509" s="82">
        <v>5</v>
      </c>
      <c r="C1509" s="82">
        <v>17</v>
      </c>
      <c r="D1509" s="82">
        <v>4</v>
      </c>
      <c r="E1509" s="82">
        <v>3</v>
      </c>
      <c r="F1509" s="82">
        <v>0</v>
      </c>
      <c r="G1509" s="82">
        <v>0</v>
      </c>
      <c r="H1509" s="149"/>
      <c r="I1509" s="149"/>
      <c r="J1509" s="1260" t="s">
        <v>1619</v>
      </c>
      <c r="K1509" s="1259"/>
      <c r="L1509" s="82" t="s">
        <v>236</v>
      </c>
      <c r="M1509" s="82" t="s">
        <v>73</v>
      </c>
      <c r="N1509" s="82" t="s">
        <v>257</v>
      </c>
      <c r="O1509" s="82" t="s">
        <v>1613</v>
      </c>
      <c r="P1509" s="294"/>
      <c r="Q1509" s="294"/>
      <c r="R1509" s="82"/>
      <c r="S1509" s="149"/>
      <c r="T1509" s="193"/>
      <c r="U1509" s="512">
        <f t="shared" ref="U1509:AJ1509" si="472">+SUM(U1510:U1516)</f>
        <v>0</v>
      </c>
      <c r="V1509" s="512"/>
      <c r="W1509" s="512">
        <f t="shared" si="472"/>
        <v>0</v>
      </c>
      <c r="X1509" s="1165">
        <f t="shared" si="472"/>
        <v>0</v>
      </c>
      <c r="Y1509" s="512">
        <f t="shared" si="472"/>
        <v>0</v>
      </c>
      <c r="Z1509" s="512">
        <f t="shared" si="472"/>
        <v>0</v>
      </c>
      <c r="AA1509" s="1165">
        <f t="shared" si="472"/>
        <v>0</v>
      </c>
      <c r="AB1509" s="512">
        <f t="shared" si="472"/>
        <v>0</v>
      </c>
      <c r="AC1509" s="512">
        <f t="shared" si="472"/>
        <v>0</v>
      </c>
      <c r="AD1509" s="1165">
        <f t="shared" si="472"/>
        <v>0</v>
      </c>
      <c r="AE1509" s="512">
        <f t="shared" si="472"/>
        <v>0</v>
      </c>
      <c r="AF1509" s="512">
        <f t="shared" si="472"/>
        <v>0</v>
      </c>
      <c r="AG1509" s="1165">
        <f t="shared" si="472"/>
        <v>0</v>
      </c>
      <c r="AH1509" s="512">
        <f t="shared" si="472"/>
        <v>0</v>
      </c>
      <c r="AI1509" s="512">
        <f t="shared" si="472"/>
        <v>0</v>
      </c>
      <c r="AJ1509" s="512">
        <f t="shared" si="472"/>
        <v>0</v>
      </c>
      <c r="AK1509" s="152"/>
      <c r="AL1509" s="152"/>
      <c r="AM1509" s="152"/>
      <c r="AN1509" s="82" t="s">
        <v>181</v>
      </c>
      <c r="AO1509" s="82"/>
      <c r="AP1509" s="82"/>
      <c r="AQ1509" s="365"/>
      <c r="AR1509" s="82"/>
      <c r="AS1509" s="483"/>
      <c r="AT1509" s="82"/>
      <c r="AU1509" s="666"/>
      <c r="AV1509" s="358"/>
      <c r="AW1509" s="444"/>
    </row>
    <row r="1510" spans="1:49" ht="39.6" hidden="1" customHeight="1" outlineLevel="2" x14ac:dyDescent="0.25">
      <c r="A1510" s="63" t="str">
        <f t="shared" si="415"/>
        <v>5.17.4.3.1.63</v>
      </c>
      <c r="B1510" s="64">
        <v>5</v>
      </c>
      <c r="C1510" s="64">
        <v>17</v>
      </c>
      <c r="D1510" s="64">
        <v>4</v>
      </c>
      <c r="E1510" s="64">
        <v>3</v>
      </c>
      <c r="F1510" s="64">
        <v>1</v>
      </c>
      <c r="G1510" s="64">
        <v>63</v>
      </c>
      <c r="H1510" s="65"/>
      <c r="I1510" s="65"/>
      <c r="J1510" s="65"/>
      <c r="K1510" s="67" t="s">
        <v>1616</v>
      </c>
      <c r="L1510" s="64" t="s">
        <v>236</v>
      </c>
      <c r="M1510" s="64" t="s">
        <v>73</v>
      </c>
      <c r="N1510" s="64" t="s">
        <v>257</v>
      </c>
      <c r="O1510" s="64" t="s">
        <v>1613</v>
      </c>
      <c r="P1510" s="64"/>
      <c r="Q1510" s="64"/>
      <c r="R1510" s="64"/>
      <c r="S1510" s="65"/>
      <c r="T1510" s="194"/>
      <c r="U1510" s="510">
        <v>0</v>
      </c>
      <c r="V1510" s="510"/>
      <c r="W1510" s="510">
        <v>0</v>
      </c>
      <c r="X1510" s="1166">
        <v>0</v>
      </c>
      <c r="Y1510" s="510">
        <v>0</v>
      </c>
      <c r="Z1510" s="510">
        <v>0</v>
      </c>
      <c r="AA1510" s="1166">
        <v>0</v>
      </c>
      <c r="AB1510" s="510">
        <v>0</v>
      </c>
      <c r="AC1510" s="510">
        <v>0</v>
      </c>
      <c r="AD1510" s="1166">
        <v>0</v>
      </c>
      <c r="AE1510" s="510">
        <v>0</v>
      </c>
      <c r="AF1510" s="510">
        <v>0</v>
      </c>
      <c r="AG1510" s="1166">
        <v>0</v>
      </c>
      <c r="AH1510" s="505">
        <f t="shared" ref="AH1510:AH1516" si="473">+U1510+Y1510+AB1510+AE1510</f>
        <v>0</v>
      </c>
      <c r="AI1510" s="132"/>
      <c r="AJ1510" s="75">
        <f t="shared" ref="AJ1510:AJ1516" si="474">+W1511+Z1511+AC1511+AF1511</f>
        <v>0</v>
      </c>
      <c r="AK1510" s="75"/>
      <c r="AL1510" s="75"/>
      <c r="AM1510" s="75"/>
      <c r="AN1510" s="64" t="s">
        <v>181</v>
      </c>
      <c r="AO1510" s="64"/>
      <c r="AP1510" s="64"/>
      <c r="AQ1510" s="189"/>
      <c r="AR1510" s="64"/>
      <c r="AS1510" s="476"/>
      <c r="AT1510" s="64"/>
      <c r="AU1510" s="646"/>
      <c r="AV1510" s="259"/>
      <c r="AW1510" s="185"/>
    </row>
    <row r="1511" spans="1:49" ht="39.6" hidden="1" customHeight="1" outlineLevel="2" x14ac:dyDescent="0.25">
      <c r="A1511" s="63" t="str">
        <f t="shared" si="415"/>
        <v>5.17.4.3.2.63</v>
      </c>
      <c r="B1511" s="64">
        <v>5</v>
      </c>
      <c r="C1511" s="64">
        <v>17</v>
      </c>
      <c r="D1511" s="64">
        <v>4</v>
      </c>
      <c r="E1511" s="64">
        <v>3</v>
      </c>
      <c r="F1511" s="64">
        <v>2</v>
      </c>
      <c r="G1511" s="64">
        <v>63</v>
      </c>
      <c r="H1511" s="65"/>
      <c r="I1511" s="65"/>
      <c r="J1511" s="65"/>
      <c r="K1511" s="67" t="s">
        <v>1617</v>
      </c>
      <c r="L1511" s="64" t="s">
        <v>236</v>
      </c>
      <c r="M1511" s="64" t="s">
        <v>73</v>
      </c>
      <c r="N1511" s="64" t="s">
        <v>257</v>
      </c>
      <c r="O1511" s="64" t="s">
        <v>1613</v>
      </c>
      <c r="P1511" s="64"/>
      <c r="Q1511" s="64"/>
      <c r="R1511" s="64"/>
      <c r="S1511" s="65"/>
      <c r="T1511" s="194"/>
      <c r="U1511" s="510">
        <v>0</v>
      </c>
      <c r="V1511" s="510"/>
      <c r="W1511" s="510">
        <v>0</v>
      </c>
      <c r="X1511" s="1166">
        <v>0</v>
      </c>
      <c r="Y1511" s="510">
        <v>0</v>
      </c>
      <c r="Z1511" s="510">
        <v>0</v>
      </c>
      <c r="AA1511" s="1166">
        <v>0</v>
      </c>
      <c r="AB1511" s="510">
        <v>0</v>
      </c>
      <c r="AC1511" s="510">
        <v>0</v>
      </c>
      <c r="AD1511" s="1166">
        <v>0</v>
      </c>
      <c r="AE1511" s="510">
        <v>0</v>
      </c>
      <c r="AF1511" s="510">
        <v>0</v>
      </c>
      <c r="AG1511" s="1166">
        <v>0</v>
      </c>
      <c r="AH1511" s="505">
        <f t="shared" si="473"/>
        <v>0</v>
      </c>
      <c r="AI1511" s="132"/>
      <c r="AJ1511" s="75">
        <f t="shared" si="474"/>
        <v>0</v>
      </c>
      <c r="AK1511" s="75"/>
      <c r="AL1511" s="75"/>
      <c r="AM1511" s="75"/>
      <c r="AN1511" s="64" t="s">
        <v>181</v>
      </c>
      <c r="AO1511" s="64"/>
      <c r="AP1511" s="64"/>
      <c r="AQ1511" s="189"/>
      <c r="AR1511" s="64"/>
      <c r="AS1511" s="476"/>
      <c r="AT1511" s="64"/>
      <c r="AU1511" s="646"/>
      <c r="AV1511" s="259"/>
      <c r="AW1511" s="185"/>
    </row>
    <row r="1512" spans="1:49" ht="39.6" hidden="1" customHeight="1" outlineLevel="2" x14ac:dyDescent="0.25">
      <c r="A1512" s="63" t="str">
        <f t="shared" si="415"/>
        <v>5.17.4.3.3.63</v>
      </c>
      <c r="B1512" s="64">
        <v>5</v>
      </c>
      <c r="C1512" s="64">
        <v>17</v>
      </c>
      <c r="D1512" s="64">
        <v>4</v>
      </c>
      <c r="E1512" s="64">
        <v>3</v>
      </c>
      <c r="F1512" s="64">
        <v>3</v>
      </c>
      <c r="G1512" s="64">
        <v>63</v>
      </c>
      <c r="H1512" s="65"/>
      <c r="I1512" s="65"/>
      <c r="J1512" s="66"/>
      <c r="K1512" s="65" t="s">
        <v>1620</v>
      </c>
      <c r="L1512" s="64" t="s">
        <v>236</v>
      </c>
      <c r="M1512" s="64" t="s">
        <v>73</v>
      </c>
      <c r="N1512" s="64" t="s">
        <v>257</v>
      </c>
      <c r="O1512" s="64" t="s">
        <v>1613</v>
      </c>
      <c r="P1512" s="64"/>
      <c r="Q1512" s="64"/>
      <c r="R1512" s="64"/>
      <c r="S1512" s="65"/>
      <c r="T1512" s="194"/>
      <c r="U1512" s="510">
        <v>0</v>
      </c>
      <c r="V1512" s="510"/>
      <c r="W1512" s="510">
        <v>0</v>
      </c>
      <c r="X1512" s="1166">
        <v>0</v>
      </c>
      <c r="Y1512" s="510">
        <v>0</v>
      </c>
      <c r="Z1512" s="510">
        <v>0</v>
      </c>
      <c r="AA1512" s="1166">
        <v>0</v>
      </c>
      <c r="AB1512" s="510">
        <v>0</v>
      </c>
      <c r="AC1512" s="510">
        <v>0</v>
      </c>
      <c r="AD1512" s="1166">
        <v>0</v>
      </c>
      <c r="AE1512" s="510">
        <v>0</v>
      </c>
      <c r="AF1512" s="510">
        <v>0</v>
      </c>
      <c r="AG1512" s="1166">
        <v>0</v>
      </c>
      <c r="AH1512" s="505">
        <f t="shared" si="473"/>
        <v>0</v>
      </c>
      <c r="AI1512" s="132"/>
      <c r="AJ1512" s="75">
        <f t="shared" si="474"/>
        <v>0</v>
      </c>
      <c r="AK1512" s="75"/>
      <c r="AL1512" s="75"/>
      <c r="AM1512" s="75"/>
      <c r="AN1512" s="64" t="s">
        <v>181</v>
      </c>
      <c r="AO1512" s="64"/>
      <c r="AP1512" s="64"/>
      <c r="AQ1512" s="189"/>
      <c r="AR1512" s="64"/>
      <c r="AS1512" s="476"/>
      <c r="AT1512" s="64"/>
      <c r="AU1512" s="646"/>
      <c r="AV1512" s="259"/>
      <c r="AW1512" s="185"/>
    </row>
    <row r="1513" spans="1:49" ht="39.6" hidden="1" customHeight="1" outlineLevel="2" x14ac:dyDescent="0.25">
      <c r="A1513" s="63" t="str">
        <f t="shared" si="415"/>
        <v>5.17.4.3.4.63</v>
      </c>
      <c r="B1513" s="64">
        <v>5</v>
      </c>
      <c r="C1513" s="64">
        <v>17</v>
      </c>
      <c r="D1513" s="64">
        <v>4</v>
      </c>
      <c r="E1513" s="64">
        <v>3</v>
      </c>
      <c r="F1513" s="64">
        <v>4</v>
      </c>
      <c r="G1513" s="64">
        <v>63</v>
      </c>
      <c r="H1513" s="65"/>
      <c r="I1513" s="65"/>
      <c r="J1513" s="66"/>
      <c r="K1513" s="65" t="s">
        <v>1621</v>
      </c>
      <c r="L1513" s="64" t="s">
        <v>236</v>
      </c>
      <c r="M1513" s="64" t="s">
        <v>73</v>
      </c>
      <c r="N1513" s="64" t="s">
        <v>257</v>
      </c>
      <c r="O1513" s="64" t="s">
        <v>1613</v>
      </c>
      <c r="P1513" s="64"/>
      <c r="Q1513" s="64"/>
      <c r="R1513" s="64"/>
      <c r="S1513" s="65"/>
      <c r="T1513" s="194"/>
      <c r="U1513" s="510">
        <v>0</v>
      </c>
      <c r="V1513" s="510"/>
      <c r="W1513" s="510">
        <v>0</v>
      </c>
      <c r="X1513" s="1166">
        <v>0</v>
      </c>
      <c r="Y1513" s="510">
        <v>0</v>
      </c>
      <c r="Z1513" s="510">
        <v>0</v>
      </c>
      <c r="AA1513" s="1166">
        <v>0</v>
      </c>
      <c r="AB1513" s="510">
        <v>0</v>
      </c>
      <c r="AC1513" s="510">
        <v>0</v>
      </c>
      <c r="AD1513" s="1166">
        <v>0</v>
      </c>
      <c r="AE1513" s="510">
        <v>0</v>
      </c>
      <c r="AF1513" s="510">
        <v>0</v>
      </c>
      <c r="AG1513" s="1166">
        <v>0</v>
      </c>
      <c r="AH1513" s="505">
        <f t="shared" si="473"/>
        <v>0</v>
      </c>
      <c r="AI1513" s="132"/>
      <c r="AJ1513" s="75">
        <f t="shared" si="474"/>
        <v>0</v>
      </c>
      <c r="AK1513" s="75"/>
      <c r="AL1513" s="75"/>
      <c r="AM1513" s="75"/>
      <c r="AN1513" s="64" t="s">
        <v>181</v>
      </c>
      <c r="AO1513" s="64"/>
      <c r="AP1513" s="64"/>
      <c r="AQ1513" s="189"/>
      <c r="AR1513" s="64"/>
      <c r="AS1513" s="476"/>
      <c r="AT1513" s="64"/>
      <c r="AU1513" s="646"/>
      <c r="AV1513" s="259"/>
      <c r="AW1513" s="185"/>
    </row>
    <row r="1514" spans="1:49" ht="39.6" hidden="1" customHeight="1" outlineLevel="2" x14ac:dyDescent="0.25">
      <c r="A1514" s="63" t="str">
        <f t="shared" si="415"/>
        <v>5.17.4.3.5.63</v>
      </c>
      <c r="B1514" s="64">
        <v>5</v>
      </c>
      <c r="C1514" s="64">
        <v>17</v>
      </c>
      <c r="D1514" s="64">
        <v>4</v>
      </c>
      <c r="E1514" s="64">
        <v>3</v>
      </c>
      <c r="F1514" s="64">
        <v>5</v>
      </c>
      <c r="G1514" s="64">
        <v>63</v>
      </c>
      <c r="H1514" s="65"/>
      <c r="I1514" s="65"/>
      <c r="J1514" s="66"/>
      <c r="K1514" s="65" t="s">
        <v>1622</v>
      </c>
      <c r="L1514" s="64" t="s">
        <v>236</v>
      </c>
      <c r="M1514" s="64" t="s">
        <v>73</v>
      </c>
      <c r="N1514" s="64" t="s">
        <v>257</v>
      </c>
      <c r="O1514" s="64" t="s">
        <v>1613</v>
      </c>
      <c r="P1514" s="64"/>
      <c r="Q1514" s="64"/>
      <c r="R1514" s="64"/>
      <c r="S1514" s="65"/>
      <c r="T1514" s="194"/>
      <c r="U1514" s="510">
        <v>0</v>
      </c>
      <c r="V1514" s="510"/>
      <c r="W1514" s="510">
        <v>0</v>
      </c>
      <c r="X1514" s="1166">
        <v>0</v>
      </c>
      <c r="Y1514" s="510">
        <v>0</v>
      </c>
      <c r="Z1514" s="510">
        <v>0</v>
      </c>
      <c r="AA1514" s="1166">
        <v>0</v>
      </c>
      <c r="AB1514" s="510">
        <v>0</v>
      </c>
      <c r="AC1514" s="510">
        <v>0</v>
      </c>
      <c r="AD1514" s="1166">
        <v>0</v>
      </c>
      <c r="AE1514" s="510">
        <v>0</v>
      </c>
      <c r="AF1514" s="510">
        <v>0</v>
      </c>
      <c r="AG1514" s="1166">
        <v>0</v>
      </c>
      <c r="AH1514" s="505">
        <f t="shared" si="473"/>
        <v>0</v>
      </c>
      <c r="AI1514" s="132"/>
      <c r="AJ1514" s="75">
        <f t="shared" si="474"/>
        <v>0</v>
      </c>
      <c r="AK1514" s="75"/>
      <c r="AL1514" s="75"/>
      <c r="AM1514" s="75"/>
      <c r="AN1514" s="64" t="s">
        <v>181</v>
      </c>
      <c r="AO1514" s="64"/>
      <c r="AP1514" s="64"/>
      <c r="AQ1514" s="189"/>
      <c r="AR1514" s="64"/>
      <c r="AS1514" s="476"/>
      <c r="AT1514" s="64"/>
      <c r="AU1514" s="646"/>
      <c r="AV1514" s="259"/>
      <c r="AW1514" s="185"/>
    </row>
    <row r="1515" spans="1:49" ht="39.6" hidden="1" customHeight="1" outlineLevel="2" x14ac:dyDescent="0.25">
      <c r="A1515" s="63" t="str">
        <f t="shared" si="415"/>
        <v>5.17.4.3.6.63</v>
      </c>
      <c r="B1515" s="64">
        <v>5</v>
      </c>
      <c r="C1515" s="64">
        <v>17</v>
      </c>
      <c r="D1515" s="64">
        <v>4</v>
      </c>
      <c r="E1515" s="64">
        <v>3</v>
      </c>
      <c r="F1515" s="64">
        <v>6</v>
      </c>
      <c r="G1515" s="64">
        <v>63</v>
      </c>
      <c r="H1515" s="65"/>
      <c r="I1515" s="65"/>
      <c r="J1515" s="66"/>
      <c r="K1515" s="67" t="s">
        <v>1623</v>
      </c>
      <c r="L1515" s="64" t="s">
        <v>236</v>
      </c>
      <c r="M1515" s="64" t="s">
        <v>73</v>
      </c>
      <c r="N1515" s="64" t="s">
        <v>257</v>
      </c>
      <c r="O1515" s="64" t="s">
        <v>1613</v>
      </c>
      <c r="P1515" s="64"/>
      <c r="Q1515" s="64"/>
      <c r="R1515" s="64"/>
      <c r="S1515" s="65"/>
      <c r="T1515" s="194"/>
      <c r="U1515" s="510">
        <v>0</v>
      </c>
      <c r="V1515" s="510"/>
      <c r="W1515" s="510">
        <v>0</v>
      </c>
      <c r="X1515" s="1166">
        <v>0</v>
      </c>
      <c r="Y1515" s="510">
        <v>0</v>
      </c>
      <c r="Z1515" s="510">
        <v>0</v>
      </c>
      <c r="AA1515" s="1166">
        <v>0</v>
      </c>
      <c r="AB1515" s="510">
        <v>0</v>
      </c>
      <c r="AC1515" s="510">
        <v>0</v>
      </c>
      <c r="AD1515" s="1166">
        <v>0</v>
      </c>
      <c r="AE1515" s="510">
        <v>0</v>
      </c>
      <c r="AF1515" s="510">
        <v>0</v>
      </c>
      <c r="AG1515" s="1166">
        <v>0</v>
      </c>
      <c r="AH1515" s="505">
        <f t="shared" si="473"/>
        <v>0</v>
      </c>
      <c r="AI1515" s="132"/>
      <c r="AJ1515" s="75">
        <f t="shared" si="474"/>
        <v>0</v>
      </c>
      <c r="AK1515" s="75"/>
      <c r="AL1515" s="75"/>
      <c r="AM1515" s="75"/>
      <c r="AN1515" s="64" t="s">
        <v>181</v>
      </c>
      <c r="AO1515" s="64"/>
      <c r="AP1515" s="64"/>
      <c r="AQ1515" s="189"/>
      <c r="AR1515" s="64"/>
      <c r="AS1515" s="476"/>
      <c r="AT1515" s="64"/>
      <c r="AU1515" s="646"/>
      <c r="AV1515" s="259"/>
      <c r="AW1515" s="185"/>
    </row>
    <row r="1516" spans="1:49" ht="39.6" hidden="1" customHeight="1" outlineLevel="2" x14ac:dyDescent="0.25">
      <c r="A1516" s="63" t="str">
        <f t="shared" si="415"/>
        <v>5.17.4.3.7.63</v>
      </c>
      <c r="B1516" s="64">
        <v>5</v>
      </c>
      <c r="C1516" s="64">
        <v>17</v>
      </c>
      <c r="D1516" s="64">
        <v>4</v>
      </c>
      <c r="E1516" s="64">
        <v>3</v>
      </c>
      <c r="F1516" s="64">
        <v>7</v>
      </c>
      <c r="G1516" s="64">
        <v>63</v>
      </c>
      <c r="H1516" s="65"/>
      <c r="I1516" s="65"/>
      <c r="J1516" s="65"/>
      <c r="K1516" s="67" t="s">
        <v>1624</v>
      </c>
      <c r="L1516" s="64" t="s">
        <v>236</v>
      </c>
      <c r="M1516" s="64" t="s">
        <v>73</v>
      </c>
      <c r="N1516" s="64" t="s">
        <v>226</v>
      </c>
      <c r="O1516" s="64" t="s">
        <v>1613</v>
      </c>
      <c r="P1516" s="170"/>
      <c r="Q1516" s="295"/>
      <c r="R1516" s="64"/>
      <c r="S1516" s="65"/>
      <c r="T1516" s="194"/>
      <c r="U1516" s="510">
        <v>0</v>
      </c>
      <c r="V1516" s="510"/>
      <c r="W1516" s="510">
        <v>0</v>
      </c>
      <c r="X1516" s="1166">
        <v>0</v>
      </c>
      <c r="Y1516" s="510">
        <v>0</v>
      </c>
      <c r="Z1516" s="510">
        <v>0</v>
      </c>
      <c r="AA1516" s="1166">
        <v>0</v>
      </c>
      <c r="AB1516" s="510">
        <v>0</v>
      </c>
      <c r="AC1516" s="510">
        <v>0</v>
      </c>
      <c r="AD1516" s="1166">
        <v>0</v>
      </c>
      <c r="AE1516" s="510">
        <v>0</v>
      </c>
      <c r="AF1516" s="510">
        <v>0</v>
      </c>
      <c r="AG1516" s="1166">
        <v>0</v>
      </c>
      <c r="AH1516" s="505">
        <f t="shared" si="473"/>
        <v>0</v>
      </c>
      <c r="AI1516" s="132"/>
      <c r="AJ1516" s="75">
        <f t="shared" si="474"/>
        <v>0</v>
      </c>
      <c r="AK1516" s="75"/>
      <c r="AL1516" s="75"/>
      <c r="AM1516" s="75"/>
      <c r="AN1516" s="64" t="s">
        <v>181</v>
      </c>
      <c r="AO1516" s="64"/>
      <c r="AP1516" s="64"/>
      <c r="AQ1516" s="189"/>
      <c r="AR1516" s="64"/>
      <c r="AS1516" s="476"/>
      <c r="AT1516" s="64"/>
      <c r="AU1516" s="646"/>
      <c r="AV1516" s="259"/>
      <c r="AW1516" s="185"/>
    </row>
    <row r="1517" spans="1:49" s="153" customFormat="1" ht="26.45" customHeight="1" outlineLevel="1" collapsed="1" x14ac:dyDescent="0.25">
      <c r="A1517" s="148" t="str">
        <f t="shared" si="415"/>
        <v>5.17.4.4.0.0</v>
      </c>
      <c r="B1517" s="82">
        <v>5</v>
      </c>
      <c r="C1517" s="82">
        <v>17</v>
      </c>
      <c r="D1517" s="82">
        <v>4</v>
      </c>
      <c r="E1517" s="82">
        <v>4</v>
      </c>
      <c r="F1517" s="82">
        <v>0</v>
      </c>
      <c r="G1517" s="82">
        <v>0</v>
      </c>
      <c r="H1517" s="149"/>
      <c r="I1517" s="149"/>
      <c r="J1517" s="1260" t="s">
        <v>1625</v>
      </c>
      <c r="K1517" s="1259"/>
      <c r="L1517" s="82" t="s">
        <v>236</v>
      </c>
      <c r="M1517" s="82" t="s">
        <v>73</v>
      </c>
      <c r="N1517" s="82" t="s">
        <v>257</v>
      </c>
      <c r="O1517" s="82" t="s">
        <v>1613</v>
      </c>
      <c r="P1517" s="294"/>
      <c r="Q1517" s="294"/>
      <c r="R1517" s="82"/>
      <c r="S1517" s="149"/>
      <c r="T1517" s="193"/>
      <c r="U1517" s="512">
        <f t="shared" ref="U1517:AJ1517" si="475">+SUM(U1518:U1526)</f>
        <v>0</v>
      </c>
      <c r="V1517" s="512"/>
      <c r="W1517" s="512">
        <f t="shared" si="475"/>
        <v>0</v>
      </c>
      <c r="X1517" s="1165">
        <f t="shared" si="475"/>
        <v>0</v>
      </c>
      <c r="Y1517" s="512">
        <f t="shared" si="475"/>
        <v>0</v>
      </c>
      <c r="Z1517" s="512">
        <f t="shared" si="475"/>
        <v>0</v>
      </c>
      <c r="AA1517" s="1165">
        <f t="shared" si="475"/>
        <v>0</v>
      </c>
      <c r="AB1517" s="512">
        <f t="shared" si="475"/>
        <v>0</v>
      </c>
      <c r="AC1517" s="512">
        <f t="shared" si="475"/>
        <v>0</v>
      </c>
      <c r="AD1517" s="1165">
        <f t="shared" si="475"/>
        <v>0</v>
      </c>
      <c r="AE1517" s="512">
        <f t="shared" si="475"/>
        <v>0</v>
      </c>
      <c r="AF1517" s="512">
        <f t="shared" si="475"/>
        <v>0</v>
      </c>
      <c r="AG1517" s="1165">
        <f t="shared" si="475"/>
        <v>0</v>
      </c>
      <c r="AH1517" s="512">
        <f t="shared" si="475"/>
        <v>0</v>
      </c>
      <c r="AI1517" s="512">
        <f t="shared" si="475"/>
        <v>0</v>
      </c>
      <c r="AJ1517" s="512">
        <f t="shared" si="475"/>
        <v>0</v>
      </c>
      <c r="AK1517" s="152"/>
      <c r="AL1517" s="152"/>
      <c r="AM1517" s="152"/>
      <c r="AN1517" s="82" t="s">
        <v>181</v>
      </c>
      <c r="AO1517" s="82"/>
      <c r="AP1517" s="82"/>
      <c r="AQ1517" s="365"/>
      <c r="AR1517" s="82"/>
      <c r="AS1517" s="483"/>
      <c r="AT1517" s="82"/>
      <c r="AU1517" s="666"/>
      <c r="AV1517" s="358"/>
      <c r="AW1517" s="444"/>
    </row>
    <row r="1518" spans="1:49" ht="47.45" hidden="1" customHeight="1" outlineLevel="3" x14ac:dyDescent="0.25">
      <c r="A1518" s="63" t="str">
        <f t="shared" si="415"/>
        <v>5.17.4.4.1.64</v>
      </c>
      <c r="B1518" s="64">
        <v>5</v>
      </c>
      <c r="C1518" s="64">
        <v>17</v>
      </c>
      <c r="D1518" s="64">
        <v>4</v>
      </c>
      <c r="E1518" s="64">
        <v>4</v>
      </c>
      <c r="F1518" s="64">
        <v>1</v>
      </c>
      <c r="G1518" s="64">
        <v>64</v>
      </c>
      <c r="H1518" s="65"/>
      <c r="I1518" s="65"/>
      <c r="J1518" s="66"/>
      <c r="K1518" s="67" t="s">
        <v>1616</v>
      </c>
      <c r="L1518" s="64" t="s">
        <v>236</v>
      </c>
      <c r="M1518" s="64" t="s">
        <v>73</v>
      </c>
      <c r="N1518" s="64" t="s">
        <v>257</v>
      </c>
      <c r="O1518" s="64" t="s">
        <v>1613</v>
      </c>
      <c r="P1518" s="64"/>
      <c r="Q1518" s="64"/>
      <c r="R1518" s="64"/>
      <c r="S1518" s="65"/>
      <c r="T1518" s="194"/>
      <c r="U1518" s="510">
        <v>0</v>
      </c>
      <c r="V1518" s="510"/>
      <c r="W1518" s="510">
        <v>0</v>
      </c>
      <c r="X1518" s="1166">
        <v>0</v>
      </c>
      <c r="Y1518" s="510">
        <v>0</v>
      </c>
      <c r="Z1518" s="510">
        <v>0</v>
      </c>
      <c r="AA1518" s="1166">
        <v>0</v>
      </c>
      <c r="AB1518" s="510">
        <v>0</v>
      </c>
      <c r="AC1518" s="510">
        <v>0</v>
      </c>
      <c r="AD1518" s="1166">
        <v>0</v>
      </c>
      <c r="AE1518" s="510">
        <v>0</v>
      </c>
      <c r="AF1518" s="510">
        <v>0</v>
      </c>
      <c r="AG1518" s="1166">
        <v>0</v>
      </c>
      <c r="AH1518" s="505">
        <f t="shared" ref="AH1518:AH1526" si="476">+U1518+Y1518+AB1518+AE1518</f>
        <v>0</v>
      </c>
      <c r="AI1518" s="132"/>
      <c r="AJ1518" s="75">
        <f t="shared" ref="AJ1518:AJ1526" si="477">+W1519+Z1519+AC1519+AF1519</f>
        <v>0</v>
      </c>
      <c r="AK1518" s="75"/>
      <c r="AL1518" s="75"/>
      <c r="AM1518" s="75"/>
      <c r="AN1518" s="64" t="s">
        <v>181</v>
      </c>
      <c r="AO1518" s="64"/>
      <c r="AP1518" s="64"/>
      <c r="AQ1518" s="189"/>
      <c r="AR1518" s="64"/>
      <c r="AS1518" s="476"/>
      <c r="AT1518" s="64"/>
      <c r="AU1518" s="646"/>
      <c r="AV1518" s="259"/>
      <c r="AW1518" s="185"/>
    </row>
    <row r="1519" spans="1:49" ht="47.45" hidden="1" customHeight="1" outlineLevel="3" x14ac:dyDescent="0.25">
      <c r="A1519" s="63" t="str">
        <f t="shared" si="415"/>
        <v>5.17.4.4.2.64</v>
      </c>
      <c r="B1519" s="64">
        <v>5</v>
      </c>
      <c r="C1519" s="64">
        <v>17</v>
      </c>
      <c r="D1519" s="64">
        <v>4</v>
      </c>
      <c r="E1519" s="64">
        <v>4</v>
      </c>
      <c r="F1519" s="64">
        <v>2</v>
      </c>
      <c r="G1519" s="64">
        <v>64</v>
      </c>
      <c r="H1519" s="65"/>
      <c r="I1519" s="65"/>
      <c r="J1519" s="66"/>
      <c r="K1519" s="67" t="s">
        <v>1617</v>
      </c>
      <c r="L1519" s="64" t="s">
        <v>236</v>
      </c>
      <c r="M1519" s="64" t="s">
        <v>73</v>
      </c>
      <c r="N1519" s="64" t="s">
        <v>257</v>
      </c>
      <c r="O1519" s="64" t="s">
        <v>1613</v>
      </c>
      <c r="P1519" s="64"/>
      <c r="Q1519" s="64"/>
      <c r="R1519" s="64"/>
      <c r="S1519" s="65"/>
      <c r="T1519" s="194"/>
      <c r="U1519" s="510">
        <v>0</v>
      </c>
      <c r="V1519" s="510"/>
      <c r="W1519" s="510">
        <v>0</v>
      </c>
      <c r="X1519" s="1166">
        <v>0</v>
      </c>
      <c r="Y1519" s="510">
        <v>0</v>
      </c>
      <c r="Z1519" s="510">
        <v>0</v>
      </c>
      <c r="AA1519" s="1166">
        <v>0</v>
      </c>
      <c r="AB1519" s="510">
        <v>0</v>
      </c>
      <c r="AC1519" s="510">
        <v>0</v>
      </c>
      <c r="AD1519" s="1166">
        <v>0</v>
      </c>
      <c r="AE1519" s="510">
        <v>0</v>
      </c>
      <c r="AF1519" s="510">
        <v>0</v>
      </c>
      <c r="AG1519" s="1166">
        <v>0</v>
      </c>
      <c r="AH1519" s="505">
        <f t="shared" si="476"/>
        <v>0</v>
      </c>
      <c r="AI1519" s="132"/>
      <c r="AJ1519" s="75">
        <f t="shared" si="477"/>
        <v>0</v>
      </c>
      <c r="AK1519" s="75"/>
      <c r="AL1519" s="75"/>
      <c r="AM1519" s="75"/>
      <c r="AN1519" s="64" t="s">
        <v>181</v>
      </c>
      <c r="AO1519" s="64"/>
      <c r="AP1519" s="64"/>
      <c r="AQ1519" s="189"/>
      <c r="AR1519" s="64"/>
      <c r="AS1519" s="476"/>
      <c r="AT1519" s="64"/>
      <c r="AU1519" s="646"/>
      <c r="AV1519" s="259"/>
      <c r="AW1519" s="185"/>
    </row>
    <row r="1520" spans="1:49" ht="47.45" hidden="1" customHeight="1" outlineLevel="3" x14ac:dyDescent="0.25">
      <c r="A1520" s="63" t="str">
        <f t="shared" si="415"/>
        <v>5.17.4.4.3.64</v>
      </c>
      <c r="B1520" s="64">
        <v>5</v>
      </c>
      <c r="C1520" s="64">
        <v>17</v>
      </c>
      <c r="D1520" s="64">
        <v>4</v>
      </c>
      <c r="E1520" s="64">
        <v>4</v>
      </c>
      <c r="F1520" s="64">
        <v>3</v>
      </c>
      <c r="G1520" s="64">
        <v>64</v>
      </c>
      <c r="H1520" s="65"/>
      <c r="I1520" s="65"/>
      <c r="J1520" s="65"/>
      <c r="K1520" s="67" t="s">
        <v>1623</v>
      </c>
      <c r="L1520" s="64" t="s">
        <v>236</v>
      </c>
      <c r="M1520" s="64" t="s">
        <v>73</v>
      </c>
      <c r="N1520" s="64" t="s">
        <v>257</v>
      </c>
      <c r="O1520" s="64" t="s">
        <v>1613</v>
      </c>
      <c r="P1520" s="64"/>
      <c r="Q1520" s="64"/>
      <c r="R1520" s="64"/>
      <c r="S1520" s="65"/>
      <c r="T1520" s="194"/>
      <c r="U1520" s="510">
        <v>0</v>
      </c>
      <c r="V1520" s="510"/>
      <c r="W1520" s="510">
        <v>0</v>
      </c>
      <c r="X1520" s="1166">
        <v>0</v>
      </c>
      <c r="Y1520" s="510">
        <v>0</v>
      </c>
      <c r="Z1520" s="510">
        <v>0</v>
      </c>
      <c r="AA1520" s="1166">
        <v>0</v>
      </c>
      <c r="AB1520" s="510">
        <v>0</v>
      </c>
      <c r="AC1520" s="510">
        <v>0</v>
      </c>
      <c r="AD1520" s="1166">
        <v>0</v>
      </c>
      <c r="AE1520" s="510">
        <v>0</v>
      </c>
      <c r="AF1520" s="510">
        <v>0</v>
      </c>
      <c r="AG1520" s="1166">
        <v>0</v>
      </c>
      <c r="AH1520" s="505">
        <f t="shared" si="476"/>
        <v>0</v>
      </c>
      <c r="AI1520" s="132"/>
      <c r="AJ1520" s="75">
        <f t="shared" si="477"/>
        <v>0</v>
      </c>
      <c r="AK1520" s="75"/>
      <c r="AL1520" s="75"/>
      <c r="AM1520" s="75"/>
      <c r="AN1520" s="64" t="s">
        <v>181</v>
      </c>
      <c r="AO1520" s="64"/>
      <c r="AP1520" s="64"/>
      <c r="AQ1520" s="189"/>
      <c r="AR1520" s="64"/>
      <c r="AS1520" s="476"/>
      <c r="AT1520" s="64"/>
      <c r="AU1520" s="646"/>
      <c r="AV1520" s="259"/>
      <c r="AW1520" s="185"/>
    </row>
    <row r="1521" spans="1:49" ht="47.45" hidden="1" customHeight="1" outlineLevel="3" x14ac:dyDescent="0.25">
      <c r="A1521" s="63" t="str">
        <f t="shared" si="415"/>
        <v>5.17.4.4.4.64</v>
      </c>
      <c r="B1521" s="64">
        <v>5</v>
      </c>
      <c r="C1521" s="64">
        <v>17</v>
      </c>
      <c r="D1521" s="64">
        <v>4</v>
      </c>
      <c r="E1521" s="64">
        <v>4</v>
      </c>
      <c r="F1521" s="64">
        <v>4</v>
      </c>
      <c r="G1521" s="64">
        <v>64</v>
      </c>
      <c r="H1521" s="65"/>
      <c r="I1521" s="65"/>
      <c r="J1521" s="65"/>
      <c r="K1521" s="65" t="s">
        <v>1626</v>
      </c>
      <c r="L1521" s="64" t="s">
        <v>236</v>
      </c>
      <c r="M1521" s="64" t="s">
        <v>73</v>
      </c>
      <c r="N1521" s="64" t="s">
        <v>257</v>
      </c>
      <c r="O1521" s="64" t="s">
        <v>1613</v>
      </c>
      <c r="P1521" s="64"/>
      <c r="Q1521" s="64"/>
      <c r="R1521" s="64"/>
      <c r="S1521" s="65"/>
      <c r="T1521" s="194"/>
      <c r="U1521" s="510">
        <v>0</v>
      </c>
      <c r="V1521" s="510"/>
      <c r="W1521" s="510">
        <v>0</v>
      </c>
      <c r="X1521" s="1166">
        <v>0</v>
      </c>
      <c r="Y1521" s="510">
        <v>0</v>
      </c>
      <c r="Z1521" s="510">
        <v>0</v>
      </c>
      <c r="AA1521" s="1166">
        <v>0</v>
      </c>
      <c r="AB1521" s="510">
        <v>0</v>
      </c>
      <c r="AC1521" s="510">
        <v>0</v>
      </c>
      <c r="AD1521" s="1166">
        <v>0</v>
      </c>
      <c r="AE1521" s="510">
        <v>0</v>
      </c>
      <c r="AF1521" s="510">
        <v>0</v>
      </c>
      <c r="AG1521" s="1166">
        <v>0</v>
      </c>
      <c r="AH1521" s="505">
        <f t="shared" si="476"/>
        <v>0</v>
      </c>
      <c r="AI1521" s="132"/>
      <c r="AJ1521" s="75">
        <f t="shared" si="477"/>
        <v>0</v>
      </c>
      <c r="AK1521" s="75"/>
      <c r="AL1521" s="75"/>
      <c r="AM1521" s="75"/>
      <c r="AN1521" s="64" t="s">
        <v>181</v>
      </c>
      <c r="AO1521" s="64"/>
      <c r="AP1521" s="64"/>
      <c r="AQ1521" s="189"/>
      <c r="AR1521" s="64"/>
      <c r="AS1521" s="476"/>
      <c r="AT1521" s="64"/>
      <c r="AU1521" s="646"/>
      <c r="AV1521" s="259"/>
      <c r="AW1521" s="185"/>
    </row>
    <row r="1522" spans="1:49" ht="47.45" hidden="1" customHeight="1" outlineLevel="3" x14ac:dyDescent="0.25">
      <c r="A1522" s="63" t="str">
        <f t="shared" si="415"/>
        <v>5.17.4.4.5.64</v>
      </c>
      <c r="B1522" s="64">
        <v>5</v>
      </c>
      <c r="C1522" s="64">
        <v>17</v>
      </c>
      <c r="D1522" s="64">
        <v>4</v>
      </c>
      <c r="E1522" s="64">
        <v>4</v>
      </c>
      <c r="F1522" s="64">
        <v>5</v>
      </c>
      <c r="G1522" s="64">
        <v>64</v>
      </c>
      <c r="H1522" s="65"/>
      <c r="I1522" s="65"/>
      <c r="J1522" s="66"/>
      <c r="K1522" s="67" t="s">
        <v>1627</v>
      </c>
      <c r="L1522" s="64" t="s">
        <v>236</v>
      </c>
      <c r="M1522" s="64" t="s">
        <v>73</v>
      </c>
      <c r="N1522" s="64" t="s">
        <v>257</v>
      </c>
      <c r="O1522" s="64" t="s">
        <v>1613</v>
      </c>
      <c r="P1522" s="64"/>
      <c r="Q1522" s="64"/>
      <c r="R1522" s="64"/>
      <c r="S1522" s="65"/>
      <c r="T1522" s="194"/>
      <c r="U1522" s="510">
        <v>0</v>
      </c>
      <c r="V1522" s="510"/>
      <c r="W1522" s="510">
        <v>0</v>
      </c>
      <c r="X1522" s="1166">
        <v>0</v>
      </c>
      <c r="Y1522" s="510">
        <v>0</v>
      </c>
      <c r="Z1522" s="510">
        <v>0</v>
      </c>
      <c r="AA1522" s="1166">
        <v>0</v>
      </c>
      <c r="AB1522" s="510">
        <v>0</v>
      </c>
      <c r="AC1522" s="510">
        <v>0</v>
      </c>
      <c r="AD1522" s="1166">
        <v>0</v>
      </c>
      <c r="AE1522" s="510">
        <v>0</v>
      </c>
      <c r="AF1522" s="510">
        <v>0</v>
      </c>
      <c r="AG1522" s="1166">
        <v>0</v>
      </c>
      <c r="AH1522" s="505">
        <f t="shared" si="476"/>
        <v>0</v>
      </c>
      <c r="AI1522" s="132"/>
      <c r="AJ1522" s="75">
        <f t="shared" si="477"/>
        <v>0</v>
      </c>
      <c r="AK1522" s="75"/>
      <c r="AL1522" s="75"/>
      <c r="AM1522" s="75"/>
      <c r="AN1522" s="64" t="s">
        <v>181</v>
      </c>
      <c r="AO1522" s="64"/>
      <c r="AP1522" s="64"/>
      <c r="AQ1522" s="189"/>
      <c r="AR1522" s="64"/>
      <c r="AS1522" s="476"/>
      <c r="AT1522" s="64"/>
      <c r="AU1522" s="646"/>
      <c r="AV1522" s="259"/>
      <c r="AW1522" s="185"/>
    </row>
    <row r="1523" spans="1:49" ht="47.45" hidden="1" customHeight="1" outlineLevel="3" x14ac:dyDescent="0.25">
      <c r="A1523" s="63" t="str">
        <f t="shared" si="415"/>
        <v>5.17.4.4.6.64</v>
      </c>
      <c r="B1523" s="64">
        <v>5</v>
      </c>
      <c r="C1523" s="64">
        <v>17</v>
      </c>
      <c r="D1523" s="64">
        <v>4</v>
      </c>
      <c r="E1523" s="64">
        <v>4</v>
      </c>
      <c r="F1523" s="64">
        <v>6</v>
      </c>
      <c r="G1523" s="64">
        <v>64</v>
      </c>
      <c r="H1523" s="65"/>
      <c r="I1523" s="65"/>
      <c r="J1523" s="66"/>
      <c r="K1523" s="65" t="s">
        <v>1628</v>
      </c>
      <c r="L1523" s="64" t="s">
        <v>236</v>
      </c>
      <c r="M1523" s="64" t="s">
        <v>73</v>
      </c>
      <c r="N1523" s="64" t="s">
        <v>257</v>
      </c>
      <c r="O1523" s="64" t="s">
        <v>1613</v>
      </c>
      <c r="P1523" s="64"/>
      <c r="Q1523" s="64"/>
      <c r="R1523" s="64"/>
      <c r="S1523" s="65"/>
      <c r="T1523" s="194"/>
      <c r="U1523" s="510">
        <v>0</v>
      </c>
      <c r="V1523" s="510"/>
      <c r="W1523" s="510">
        <v>0</v>
      </c>
      <c r="X1523" s="1166">
        <v>0</v>
      </c>
      <c r="Y1523" s="510">
        <v>0</v>
      </c>
      <c r="Z1523" s="510">
        <v>0</v>
      </c>
      <c r="AA1523" s="1166">
        <v>0</v>
      </c>
      <c r="AB1523" s="510">
        <v>0</v>
      </c>
      <c r="AC1523" s="510">
        <v>0</v>
      </c>
      <c r="AD1523" s="1166">
        <v>0</v>
      </c>
      <c r="AE1523" s="510">
        <v>0</v>
      </c>
      <c r="AF1523" s="510">
        <v>0</v>
      </c>
      <c r="AG1523" s="1166">
        <v>0</v>
      </c>
      <c r="AH1523" s="505">
        <f t="shared" si="476"/>
        <v>0</v>
      </c>
      <c r="AI1523" s="132"/>
      <c r="AJ1523" s="75">
        <f t="shared" si="477"/>
        <v>0</v>
      </c>
      <c r="AK1523" s="75"/>
      <c r="AL1523" s="75"/>
      <c r="AM1523" s="75"/>
      <c r="AN1523" s="64" t="s">
        <v>181</v>
      </c>
      <c r="AO1523" s="64"/>
      <c r="AP1523" s="64"/>
      <c r="AQ1523" s="189"/>
      <c r="AR1523" s="64"/>
      <c r="AS1523" s="476"/>
      <c r="AT1523" s="64"/>
      <c r="AU1523" s="646"/>
      <c r="AV1523" s="259"/>
      <c r="AW1523" s="335" t="s">
        <v>1629</v>
      </c>
    </row>
    <row r="1524" spans="1:49" ht="47.45" hidden="1" customHeight="1" outlineLevel="3" x14ac:dyDescent="0.25">
      <c r="A1524" s="63" t="str">
        <f t="shared" si="415"/>
        <v>5.17.4.4.7.64</v>
      </c>
      <c r="B1524" s="64">
        <v>5</v>
      </c>
      <c r="C1524" s="64">
        <v>17</v>
      </c>
      <c r="D1524" s="64">
        <v>4</v>
      </c>
      <c r="E1524" s="64">
        <v>4</v>
      </c>
      <c r="F1524" s="64">
        <v>7</v>
      </c>
      <c r="G1524" s="64">
        <v>64</v>
      </c>
      <c r="H1524" s="65"/>
      <c r="I1524" s="65"/>
      <c r="J1524" s="66"/>
      <c r="K1524" s="67" t="s">
        <v>1630</v>
      </c>
      <c r="L1524" s="64" t="s">
        <v>236</v>
      </c>
      <c r="M1524" s="64" t="s">
        <v>73</v>
      </c>
      <c r="N1524" s="64" t="s">
        <v>257</v>
      </c>
      <c r="O1524" s="64" t="s">
        <v>1613</v>
      </c>
      <c r="P1524" s="64"/>
      <c r="Q1524" s="64"/>
      <c r="R1524" s="64"/>
      <c r="S1524" s="65"/>
      <c r="T1524" s="194"/>
      <c r="U1524" s="510">
        <v>0</v>
      </c>
      <c r="V1524" s="510"/>
      <c r="W1524" s="510">
        <v>0</v>
      </c>
      <c r="X1524" s="1166">
        <v>0</v>
      </c>
      <c r="Y1524" s="510">
        <v>0</v>
      </c>
      <c r="Z1524" s="510">
        <v>0</v>
      </c>
      <c r="AA1524" s="1166">
        <v>0</v>
      </c>
      <c r="AB1524" s="510">
        <v>0</v>
      </c>
      <c r="AC1524" s="510">
        <v>0</v>
      </c>
      <c r="AD1524" s="1166">
        <v>0</v>
      </c>
      <c r="AE1524" s="510">
        <v>0</v>
      </c>
      <c r="AF1524" s="510">
        <v>0</v>
      </c>
      <c r="AG1524" s="1166">
        <v>0</v>
      </c>
      <c r="AH1524" s="505">
        <f t="shared" si="476"/>
        <v>0</v>
      </c>
      <c r="AI1524" s="132"/>
      <c r="AJ1524" s="75">
        <f t="shared" si="477"/>
        <v>0</v>
      </c>
      <c r="AK1524" s="75"/>
      <c r="AL1524" s="75"/>
      <c r="AM1524" s="75"/>
      <c r="AN1524" s="64" t="s">
        <v>181</v>
      </c>
      <c r="AO1524" s="64" t="s">
        <v>1819</v>
      </c>
      <c r="AP1524" s="64" t="s">
        <v>2041</v>
      </c>
      <c r="AQ1524" s="873" t="s">
        <v>2042</v>
      </c>
      <c r="AR1524" s="69">
        <v>44042</v>
      </c>
      <c r="AS1524" s="865">
        <v>45276</v>
      </c>
      <c r="AT1524" s="69">
        <v>45280</v>
      </c>
      <c r="AU1524" s="860"/>
      <c r="AV1524" s="259"/>
      <c r="AW1524" s="185" t="s">
        <v>2040</v>
      </c>
    </row>
    <row r="1525" spans="1:49" ht="47.45" hidden="1" customHeight="1" outlineLevel="3" x14ac:dyDescent="0.25">
      <c r="A1525" s="63" t="str">
        <f t="shared" si="415"/>
        <v>5.17.4.4.8.64</v>
      </c>
      <c r="B1525" s="64">
        <v>5</v>
      </c>
      <c r="C1525" s="64">
        <v>17</v>
      </c>
      <c r="D1525" s="64">
        <v>4</v>
      </c>
      <c r="E1525" s="64">
        <v>4</v>
      </c>
      <c r="F1525" s="64">
        <v>8</v>
      </c>
      <c r="G1525" s="64">
        <v>64</v>
      </c>
      <c r="H1525" s="65"/>
      <c r="I1525" s="65"/>
      <c r="J1525" s="66"/>
      <c r="K1525" s="67" t="s">
        <v>1631</v>
      </c>
      <c r="L1525" s="64" t="s">
        <v>236</v>
      </c>
      <c r="M1525" s="64" t="s">
        <v>73</v>
      </c>
      <c r="N1525" s="64" t="s">
        <v>257</v>
      </c>
      <c r="O1525" s="64" t="s">
        <v>1613</v>
      </c>
      <c r="P1525" s="64"/>
      <c r="Q1525" s="64"/>
      <c r="R1525" s="64"/>
      <c r="S1525" s="65"/>
      <c r="T1525" s="194"/>
      <c r="U1525" s="510">
        <v>0</v>
      </c>
      <c r="V1525" s="510"/>
      <c r="W1525" s="510">
        <v>0</v>
      </c>
      <c r="X1525" s="1166">
        <v>0</v>
      </c>
      <c r="Y1525" s="510">
        <v>0</v>
      </c>
      <c r="Z1525" s="510">
        <v>0</v>
      </c>
      <c r="AA1525" s="1166">
        <v>0</v>
      </c>
      <c r="AB1525" s="510">
        <v>0</v>
      </c>
      <c r="AC1525" s="510">
        <v>0</v>
      </c>
      <c r="AD1525" s="1166">
        <v>0</v>
      </c>
      <c r="AE1525" s="510">
        <v>0</v>
      </c>
      <c r="AF1525" s="510">
        <v>0</v>
      </c>
      <c r="AG1525" s="1166">
        <v>0</v>
      </c>
      <c r="AH1525" s="505">
        <f t="shared" si="476"/>
        <v>0</v>
      </c>
      <c r="AI1525" s="132"/>
      <c r="AJ1525" s="75">
        <f t="shared" si="477"/>
        <v>0</v>
      </c>
      <c r="AK1525" s="75"/>
      <c r="AL1525" s="75"/>
      <c r="AM1525" s="75"/>
      <c r="AN1525" s="64" t="s">
        <v>181</v>
      </c>
      <c r="AO1525" s="64"/>
      <c r="AP1525" s="64"/>
      <c r="AQ1525" s="189"/>
      <c r="AR1525" s="64"/>
      <c r="AS1525" s="476"/>
      <c r="AT1525" s="64"/>
      <c r="AU1525" s="646"/>
      <c r="AV1525" s="259"/>
      <c r="AW1525" s="185"/>
    </row>
    <row r="1526" spans="1:49" ht="47.45" hidden="1" customHeight="1" outlineLevel="3" x14ac:dyDescent="0.25">
      <c r="A1526" s="63" t="str">
        <f t="shared" si="415"/>
        <v>5.17.4.4.9.64</v>
      </c>
      <c r="B1526" s="293">
        <v>5</v>
      </c>
      <c r="C1526" s="64">
        <v>17</v>
      </c>
      <c r="D1526" s="293">
        <v>4</v>
      </c>
      <c r="E1526" s="293">
        <v>4</v>
      </c>
      <c r="F1526" s="293">
        <v>9</v>
      </c>
      <c r="G1526" s="293">
        <v>64</v>
      </c>
      <c r="H1526" s="121"/>
      <c r="I1526" s="65"/>
      <c r="J1526" s="65"/>
      <c r="K1526" s="67" t="s">
        <v>1632</v>
      </c>
      <c r="L1526" s="64" t="s">
        <v>236</v>
      </c>
      <c r="M1526" s="64" t="s">
        <v>73</v>
      </c>
      <c r="N1526" s="293" t="s">
        <v>74</v>
      </c>
      <c r="O1526" s="64" t="s">
        <v>1613</v>
      </c>
      <c r="P1526" s="293"/>
      <c r="Q1526" s="293"/>
      <c r="R1526" s="293"/>
      <c r="S1526" s="170"/>
      <c r="T1526" s="1212"/>
      <c r="U1526" s="510">
        <v>0</v>
      </c>
      <c r="V1526" s="510"/>
      <c r="W1526" s="510">
        <v>0</v>
      </c>
      <c r="X1526" s="1166">
        <v>0</v>
      </c>
      <c r="Y1526" s="510">
        <v>0</v>
      </c>
      <c r="Z1526" s="510">
        <v>0</v>
      </c>
      <c r="AA1526" s="1166">
        <v>0</v>
      </c>
      <c r="AB1526" s="510">
        <v>0</v>
      </c>
      <c r="AC1526" s="510">
        <v>0</v>
      </c>
      <c r="AD1526" s="1166">
        <v>0</v>
      </c>
      <c r="AE1526" s="510">
        <v>0</v>
      </c>
      <c r="AF1526" s="510">
        <v>0</v>
      </c>
      <c r="AG1526" s="1166">
        <v>0</v>
      </c>
      <c r="AH1526" s="505">
        <f t="shared" si="476"/>
        <v>0</v>
      </c>
      <c r="AI1526" s="132"/>
      <c r="AJ1526" s="75">
        <f t="shared" si="477"/>
        <v>0</v>
      </c>
      <c r="AK1526" s="75"/>
      <c r="AL1526" s="75"/>
      <c r="AM1526" s="75"/>
      <c r="AN1526" s="64" t="s">
        <v>181</v>
      </c>
      <c r="AO1526" s="64"/>
      <c r="AP1526" s="64"/>
      <c r="AQ1526" s="189"/>
      <c r="AR1526" s="64"/>
      <c r="AS1526" s="476"/>
      <c r="AT1526" s="64"/>
      <c r="AU1526" s="646"/>
      <c r="AV1526" s="353"/>
      <c r="AW1526" s="441"/>
    </row>
    <row r="1527" spans="1:49" s="153" customFormat="1" ht="36.6" customHeight="1" outlineLevel="1" collapsed="1" x14ac:dyDescent="0.25">
      <c r="A1527" s="148" t="str">
        <f t="shared" si="415"/>
        <v>5.17.4.6.0.0</v>
      </c>
      <c r="B1527" s="82">
        <v>5</v>
      </c>
      <c r="C1527" s="82">
        <v>17</v>
      </c>
      <c r="D1527" s="82">
        <v>4</v>
      </c>
      <c r="E1527" s="82">
        <v>6</v>
      </c>
      <c r="F1527" s="82">
        <v>0</v>
      </c>
      <c r="G1527" s="82">
        <v>0</v>
      </c>
      <c r="H1527" s="149"/>
      <c r="I1527" s="149"/>
      <c r="J1527" s="1272" t="s">
        <v>1633</v>
      </c>
      <c r="K1527" s="1273"/>
      <c r="L1527" s="82" t="s">
        <v>236</v>
      </c>
      <c r="M1527" s="82" t="s">
        <v>73</v>
      </c>
      <c r="N1527" s="82" t="s">
        <v>257</v>
      </c>
      <c r="O1527" s="82" t="s">
        <v>1613</v>
      </c>
      <c r="P1527" s="294"/>
      <c r="Q1527" s="294"/>
      <c r="R1527" s="82"/>
      <c r="S1527" s="149"/>
      <c r="T1527" s="193"/>
      <c r="U1527" s="512">
        <f t="shared" ref="U1527:AJ1527" si="478">+SUM(U1528:U1534)</f>
        <v>0</v>
      </c>
      <c r="V1527" s="512"/>
      <c r="W1527" s="512">
        <f t="shared" si="478"/>
        <v>0</v>
      </c>
      <c r="X1527" s="1165">
        <f t="shared" si="478"/>
        <v>0</v>
      </c>
      <c r="Y1527" s="512">
        <f t="shared" si="478"/>
        <v>0</v>
      </c>
      <c r="Z1527" s="512">
        <f t="shared" si="478"/>
        <v>0</v>
      </c>
      <c r="AA1527" s="1165">
        <f t="shared" si="478"/>
        <v>0</v>
      </c>
      <c r="AB1527" s="512">
        <f t="shared" si="478"/>
        <v>0</v>
      </c>
      <c r="AC1527" s="512">
        <f t="shared" si="478"/>
        <v>0</v>
      </c>
      <c r="AD1527" s="1165">
        <f t="shared" si="478"/>
        <v>0</v>
      </c>
      <c r="AE1527" s="512">
        <f t="shared" si="478"/>
        <v>0</v>
      </c>
      <c r="AF1527" s="512">
        <f t="shared" si="478"/>
        <v>0</v>
      </c>
      <c r="AG1527" s="1165">
        <f t="shared" si="478"/>
        <v>0</v>
      </c>
      <c r="AH1527" s="512">
        <f t="shared" si="478"/>
        <v>0</v>
      </c>
      <c r="AI1527" s="512">
        <f t="shared" si="478"/>
        <v>0</v>
      </c>
      <c r="AJ1527" s="512">
        <f t="shared" si="478"/>
        <v>0</v>
      </c>
      <c r="AK1527" s="152"/>
      <c r="AL1527" s="152"/>
      <c r="AM1527" s="152"/>
      <c r="AN1527" s="82" t="s">
        <v>181</v>
      </c>
      <c r="AO1527" s="82"/>
      <c r="AP1527" s="82"/>
      <c r="AQ1527" s="365"/>
      <c r="AR1527" s="82"/>
      <c r="AS1527" s="483"/>
      <c r="AT1527" s="82"/>
      <c r="AU1527" s="666"/>
      <c r="AV1527" s="358"/>
      <c r="AW1527" s="444"/>
    </row>
    <row r="1528" spans="1:49" ht="49.35" hidden="1" customHeight="1" outlineLevel="2" x14ac:dyDescent="0.25">
      <c r="A1528" s="63" t="str">
        <f t="shared" si="415"/>
        <v>5.17.4.6.1.61</v>
      </c>
      <c r="B1528" s="64">
        <v>5</v>
      </c>
      <c r="C1528" s="64">
        <v>17</v>
      </c>
      <c r="D1528" s="64">
        <v>4</v>
      </c>
      <c r="E1528" s="64">
        <v>6</v>
      </c>
      <c r="F1528" s="64">
        <v>1</v>
      </c>
      <c r="G1528" s="64">
        <v>61</v>
      </c>
      <c r="H1528" s="65"/>
      <c r="I1528" s="65"/>
      <c r="J1528" s="65"/>
      <c r="K1528" s="67" t="s">
        <v>1634</v>
      </c>
      <c r="L1528" s="64" t="s">
        <v>236</v>
      </c>
      <c r="M1528" s="64" t="s">
        <v>73</v>
      </c>
      <c r="N1528" s="64" t="s">
        <v>257</v>
      </c>
      <c r="O1528" s="64" t="s">
        <v>74</v>
      </c>
      <c r="P1528" s="64"/>
      <c r="Q1528" s="64"/>
      <c r="R1528" s="64"/>
      <c r="S1528" s="65"/>
      <c r="T1528" s="194"/>
      <c r="U1528" s="510">
        <v>0</v>
      </c>
      <c r="V1528" s="510"/>
      <c r="W1528" s="510">
        <v>0</v>
      </c>
      <c r="X1528" s="1166">
        <v>0</v>
      </c>
      <c r="Y1528" s="510">
        <v>0</v>
      </c>
      <c r="Z1528" s="510">
        <v>0</v>
      </c>
      <c r="AA1528" s="1166">
        <v>0</v>
      </c>
      <c r="AB1528" s="510">
        <v>0</v>
      </c>
      <c r="AC1528" s="510">
        <v>0</v>
      </c>
      <c r="AD1528" s="1166">
        <v>0</v>
      </c>
      <c r="AE1528" s="510">
        <v>0</v>
      </c>
      <c r="AF1528" s="510">
        <v>0</v>
      </c>
      <c r="AG1528" s="1166">
        <v>0</v>
      </c>
      <c r="AH1528" s="505">
        <f t="shared" ref="AH1528:AH1534" si="479">+U1528+Y1528+AB1528+AE1528</f>
        <v>0</v>
      </c>
      <c r="AI1528" s="132"/>
      <c r="AJ1528" s="75">
        <f t="shared" ref="AJ1528:AJ1534" si="480">+W1529+Z1529+AC1529+AF1529</f>
        <v>0</v>
      </c>
      <c r="AK1528" s="75"/>
      <c r="AL1528" s="75"/>
      <c r="AM1528" s="75"/>
      <c r="AN1528" s="64" t="s">
        <v>181</v>
      </c>
      <c r="AO1528" s="64"/>
      <c r="AP1528" s="64"/>
      <c r="AQ1528" s="189"/>
      <c r="AR1528" s="64"/>
      <c r="AS1528" s="476"/>
      <c r="AT1528" s="64"/>
      <c r="AU1528" s="646"/>
      <c r="AV1528" s="259"/>
      <c r="AW1528" s="185"/>
    </row>
    <row r="1529" spans="1:49" ht="49.35" hidden="1" customHeight="1" outlineLevel="2" x14ac:dyDescent="0.25">
      <c r="A1529" s="63" t="str">
        <f t="shared" si="415"/>
        <v>5.17.4.6.2.61</v>
      </c>
      <c r="B1529" s="64">
        <v>5</v>
      </c>
      <c r="C1529" s="64">
        <v>17</v>
      </c>
      <c r="D1529" s="64">
        <v>4</v>
      </c>
      <c r="E1529" s="64">
        <v>6</v>
      </c>
      <c r="F1529" s="64">
        <v>2</v>
      </c>
      <c r="G1529" s="64">
        <v>61</v>
      </c>
      <c r="H1529" s="65"/>
      <c r="I1529" s="65"/>
      <c r="J1529" s="65"/>
      <c r="K1529" s="65" t="s">
        <v>1623</v>
      </c>
      <c r="L1529" s="64" t="s">
        <v>236</v>
      </c>
      <c r="M1529" s="64" t="s">
        <v>73</v>
      </c>
      <c r="N1529" s="64" t="s">
        <v>257</v>
      </c>
      <c r="O1529" s="64" t="s">
        <v>74</v>
      </c>
      <c r="P1529" s="64"/>
      <c r="Q1529" s="64"/>
      <c r="R1529" s="64"/>
      <c r="S1529" s="65"/>
      <c r="T1529" s="194"/>
      <c r="U1529" s="510">
        <v>0</v>
      </c>
      <c r="V1529" s="510"/>
      <c r="W1529" s="510">
        <v>0</v>
      </c>
      <c r="X1529" s="1166">
        <v>0</v>
      </c>
      <c r="Y1529" s="510">
        <v>0</v>
      </c>
      <c r="Z1529" s="510">
        <v>0</v>
      </c>
      <c r="AA1529" s="1166">
        <v>0</v>
      </c>
      <c r="AB1529" s="510">
        <v>0</v>
      </c>
      <c r="AC1529" s="510">
        <v>0</v>
      </c>
      <c r="AD1529" s="1166">
        <v>0</v>
      </c>
      <c r="AE1529" s="510">
        <v>0</v>
      </c>
      <c r="AF1529" s="510">
        <v>0</v>
      </c>
      <c r="AG1529" s="1166">
        <v>0</v>
      </c>
      <c r="AH1529" s="505">
        <f t="shared" si="479"/>
        <v>0</v>
      </c>
      <c r="AI1529" s="132"/>
      <c r="AJ1529" s="75">
        <f t="shared" si="480"/>
        <v>0</v>
      </c>
      <c r="AK1529" s="75"/>
      <c r="AL1529" s="75"/>
      <c r="AM1529" s="75"/>
      <c r="AN1529" s="64" t="s">
        <v>181</v>
      </c>
      <c r="AO1529" s="64"/>
      <c r="AP1529" s="64"/>
      <c r="AQ1529" s="189"/>
      <c r="AR1529" s="64"/>
      <c r="AS1529" s="476"/>
      <c r="AT1529" s="64"/>
      <c r="AU1529" s="646"/>
      <c r="AV1529" s="259"/>
      <c r="AW1529" s="185"/>
    </row>
    <row r="1530" spans="1:49" ht="49.35" hidden="1" customHeight="1" outlineLevel="2" x14ac:dyDescent="0.25">
      <c r="A1530" s="63" t="str">
        <f t="shared" si="415"/>
        <v>5.17.4.6.3.61</v>
      </c>
      <c r="B1530" s="64">
        <v>5</v>
      </c>
      <c r="C1530" s="64">
        <v>17</v>
      </c>
      <c r="D1530" s="64">
        <v>4</v>
      </c>
      <c r="E1530" s="64">
        <v>6</v>
      </c>
      <c r="F1530" s="64">
        <v>3</v>
      </c>
      <c r="G1530" s="64">
        <v>61</v>
      </c>
      <c r="H1530" s="65"/>
      <c r="I1530" s="65"/>
      <c r="J1530" s="66"/>
      <c r="K1530" s="67" t="s">
        <v>1880</v>
      </c>
      <c r="L1530" s="64" t="s">
        <v>236</v>
      </c>
      <c r="M1530" s="64" t="s">
        <v>73</v>
      </c>
      <c r="N1530" s="64" t="s">
        <v>257</v>
      </c>
      <c r="O1530" s="64" t="s">
        <v>74</v>
      </c>
      <c r="P1530" s="64"/>
      <c r="Q1530" s="64"/>
      <c r="R1530" s="64"/>
      <c r="S1530" s="65"/>
      <c r="T1530" s="194"/>
      <c r="U1530" s="510">
        <v>0</v>
      </c>
      <c r="V1530" s="510"/>
      <c r="W1530" s="510">
        <v>0</v>
      </c>
      <c r="X1530" s="1166">
        <v>0</v>
      </c>
      <c r="Y1530" s="510">
        <v>0</v>
      </c>
      <c r="Z1530" s="510">
        <v>0</v>
      </c>
      <c r="AA1530" s="1166">
        <v>0</v>
      </c>
      <c r="AB1530" s="510">
        <v>0</v>
      </c>
      <c r="AC1530" s="510">
        <v>0</v>
      </c>
      <c r="AD1530" s="1166">
        <v>0</v>
      </c>
      <c r="AE1530" s="510">
        <v>0</v>
      </c>
      <c r="AF1530" s="510">
        <v>0</v>
      </c>
      <c r="AG1530" s="1166">
        <v>0</v>
      </c>
      <c r="AH1530" s="505">
        <f t="shared" si="479"/>
        <v>0</v>
      </c>
      <c r="AI1530" s="132"/>
      <c r="AJ1530" s="75">
        <f t="shared" si="480"/>
        <v>0</v>
      </c>
      <c r="AK1530" s="75"/>
      <c r="AL1530" s="75"/>
      <c r="AM1530" s="75"/>
      <c r="AN1530" s="64" t="s">
        <v>181</v>
      </c>
      <c r="AO1530" s="64"/>
      <c r="AP1530" s="64"/>
      <c r="AQ1530" s="189"/>
      <c r="AR1530" s="64"/>
      <c r="AS1530" s="476"/>
      <c r="AT1530" s="64"/>
      <c r="AU1530" s="646"/>
      <c r="AV1530" s="259"/>
      <c r="AW1530" s="185"/>
    </row>
    <row r="1531" spans="1:49" ht="49.35" hidden="1" customHeight="1" outlineLevel="2" x14ac:dyDescent="0.25">
      <c r="A1531" s="63" t="str">
        <f t="shared" si="415"/>
        <v>5.17.4.6.4.61</v>
      </c>
      <c r="B1531" s="64">
        <v>5</v>
      </c>
      <c r="C1531" s="64">
        <v>17</v>
      </c>
      <c r="D1531" s="64">
        <v>4</v>
      </c>
      <c r="E1531" s="64">
        <v>6</v>
      </c>
      <c r="F1531" s="64">
        <v>4</v>
      </c>
      <c r="G1531" s="64">
        <v>61</v>
      </c>
      <c r="H1531" s="65"/>
      <c r="I1531" s="65"/>
      <c r="J1531" s="66"/>
      <c r="K1531" s="65" t="s">
        <v>1635</v>
      </c>
      <c r="L1531" s="64" t="s">
        <v>236</v>
      </c>
      <c r="M1531" s="64" t="s">
        <v>73</v>
      </c>
      <c r="N1531" s="64" t="s">
        <v>257</v>
      </c>
      <c r="O1531" s="64" t="s">
        <v>74</v>
      </c>
      <c r="P1531" s="64"/>
      <c r="Q1531" s="64"/>
      <c r="R1531" s="64"/>
      <c r="S1531" s="65"/>
      <c r="T1531" s="194"/>
      <c r="U1531" s="510">
        <v>0</v>
      </c>
      <c r="V1531" s="510"/>
      <c r="W1531" s="510">
        <v>0</v>
      </c>
      <c r="X1531" s="1166">
        <v>0</v>
      </c>
      <c r="Y1531" s="510">
        <v>0</v>
      </c>
      <c r="Z1531" s="510">
        <v>0</v>
      </c>
      <c r="AA1531" s="1166">
        <v>0</v>
      </c>
      <c r="AB1531" s="510">
        <v>0</v>
      </c>
      <c r="AC1531" s="510">
        <v>0</v>
      </c>
      <c r="AD1531" s="1166">
        <v>0</v>
      </c>
      <c r="AE1531" s="510">
        <v>0</v>
      </c>
      <c r="AF1531" s="510">
        <v>0</v>
      </c>
      <c r="AG1531" s="1166">
        <v>0</v>
      </c>
      <c r="AH1531" s="505">
        <f t="shared" si="479"/>
        <v>0</v>
      </c>
      <c r="AI1531" s="132"/>
      <c r="AJ1531" s="75">
        <f t="shared" si="480"/>
        <v>0</v>
      </c>
      <c r="AK1531" s="75"/>
      <c r="AL1531" s="75"/>
      <c r="AM1531" s="75"/>
      <c r="AN1531" s="64" t="s">
        <v>181</v>
      </c>
      <c r="AO1531" s="64"/>
      <c r="AP1531" s="64"/>
      <c r="AQ1531" s="189"/>
      <c r="AR1531" s="64"/>
      <c r="AS1531" s="476"/>
      <c r="AT1531" s="64"/>
      <c r="AU1531" s="646"/>
      <c r="AV1531" s="259"/>
      <c r="AW1531" s="185"/>
    </row>
    <row r="1532" spans="1:49" ht="49.35" hidden="1" customHeight="1" outlineLevel="2" x14ac:dyDescent="0.25">
      <c r="A1532" s="63" t="str">
        <f t="shared" si="415"/>
        <v>5.17.4.6.5.61</v>
      </c>
      <c r="B1532" s="64">
        <v>5</v>
      </c>
      <c r="C1532" s="64">
        <v>17</v>
      </c>
      <c r="D1532" s="64">
        <v>4</v>
      </c>
      <c r="E1532" s="64">
        <v>6</v>
      </c>
      <c r="F1532" s="64">
        <v>5</v>
      </c>
      <c r="G1532" s="64">
        <v>61</v>
      </c>
      <c r="H1532" s="65"/>
      <c r="I1532" s="65"/>
      <c r="J1532" s="66"/>
      <c r="K1532" s="67" t="s">
        <v>1636</v>
      </c>
      <c r="L1532" s="64" t="s">
        <v>236</v>
      </c>
      <c r="M1532" s="64" t="s">
        <v>73</v>
      </c>
      <c r="N1532" s="64" t="s">
        <v>257</v>
      </c>
      <c r="O1532" s="64" t="s">
        <v>74</v>
      </c>
      <c r="P1532" s="64"/>
      <c r="Q1532" s="64"/>
      <c r="R1532" s="64"/>
      <c r="S1532" s="65"/>
      <c r="T1532" s="194"/>
      <c r="U1532" s="510">
        <v>0</v>
      </c>
      <c r="V1532" s="510"/>
      <c r="W1532" s="510">
        <v>0</v>
      </c>
      <c r="X1532" s="1166">
        <v>0</v>
      </c>
      <c r="Y1532" s="510">
        <v>0</v>
      </c>
      <c r="Z1532" s="510">
        <v>0</v>
      </c>
      <c r="AA1532" s="1166">
        <v>0</v>
      </c>
      <c r="AB1532" s="510">
        <v>0</v>
      </c>
      <c r="AC1532" s="510">
        <v>0</v>
      </c>
      <c r="AD1532" s="1166">
        <v>0</v>
      </c>
      <c r="AE1532" s="510">
        <v>0</v>
      </c>
      <c r="AF1532" s="510">
        <v>0</v>
      </c>
      <c r="AG1532" s="1166">
        <v>0</v>
      </c>
      <c r="AH1532" s="505">
        <f t="shared" si="479"/>
        <v>0</v>
      </c>
      <c r="AI1532" s="132"/>
      <c r="AJ1532" s="75">
        <f t="shared" si="480"/>
        <v>0</v>
      </c>
      <c r="AK1532" s="75"/>
      <c r="AL1532" s="75"/>
      <c r="AM1532" s="75"/>
      <c r="AN1532" s="64" t="s">
        <v>181</v>
      </c>
      <c r="AO1532" s="64"/>
      <c r="AP1532" s="64"/>
      <c r="AQ1532" s="189"/>
      <c r="AR1532" s="64"/>
      <c r="AS1532" s="476"/>
      <c r="AT1532" s="64"/>
      <c r="AU1532" s="646"/>
      <c r="AV1532" s="259"/>
      <c r="AW1532" s="185"/>
    </row>
    <row r="1533" spans="1:49" ht="49.35" hidden="1" customHeight="1" outlineLevel="2" x14ac:dyDescent="0.25">
      <c r="A1533" s="63" t="str">
        <f t="shared" si="415"/>
        <v>5.17.4.6.6.61</v>
      </c>
      <c r="B1533" s="64">
        <v>5</v>
      </c>
      <c r="C1533" s="64">
        <v>17</v>
      </c>
      <c r="D1533" s="64">
        <v>4</v>
      </c>
      <c r="E1533" s="64">
        <v>6</v>
      </c>
      <c r="F1533" s="64">
        <v>6</v>
      </c>
      <c r="G1533" s="64">
        <v>61</v>
      </c>
      <c r="H1533" s="65"/>
      <c r="I1533" s="65"/>
      <c r="J1533" s="66"/>
      <c r="K1533" s="65" t="s">
        <v>1637</v>
      </c>
      <c r="L1533" s="64" t="s">
        <v>236</v>
      </c>
      <c r="M1533" s="64" t="s">
        <v>73</v>
      </c>
      <c r="N1533" s="64" t="s">
        <v>257</v>
      </c>
      <c r="O1533" s="64" t="s">
        <v>74</v>
      </c>
      <c r="P1533" s="64"/>
      <c r="Q1533" s="64"/>
      <c r="R1533" s="64"/>
      <c r="S1533" s="65"/>
      <c r="T1533" s="194"/>
      <c r="U1533" s="510">
        <v>0</v>
      </c>
      <c r="V1533" s="510"/>
      <c r="W1533" s="510">
        <v>0</v>
      </c>
      <c r="X1533" s="1166">
        <v>0</v>
      </c>
      <c r="Y1533" s="510">
        <v>0</v>
      </c>
      <c r="Z1533" s="510">
        <v>0</v>
      </c>
      <c r="AA1533" s="1166">
        <v>0</v>
      </c>
      <c r="AB1533" s="510">
        <v>0</v>
      </c>
      <c r="AC1533" s="510">
        <v>0</v>
      </c>
      <c r="AD1533" s="1166">
        <v>0</v>
      </c>
      <c r="AE1533" s="510">
        <v>0</v>
      </c>
      <c r="AF1533" s="510">
        <v>0</v>
      </c>
      <c r="AG1533" s="1166">
        <v>0</v>
      </c>
      <c r="AH1533" s="505">
        <f t="shared" si="479"/>
        <v>0</v>
      </c>
      <c r="AI1533" s="132"/>
      <c r="AJ1533" s="75">
        <f t="shared" si="480"/>
        <v>0</v>
      </c>
      <c r="AK1533" s="75"/>
      <c r="AL1533" s="75"/>
      <c r="AM1533" s="75"/>
      <c r="AN1533" s="64" t="s">
        <v>181</v>
      </c>
      <c r="AO1533" s="64"/>
      <c r="AP1533" s="64"/>
      <c r="AQ1533" s="189"/>
      <c r="AR1533" s="64"/>
      <c r="AS1533" s="476"/>
      <c r="AT1533" s="64"/>
      <c r="AU1533" s="646"/>
      <c r="AV1533" s="259"/>
      <c r="AW1533" s="185"/>
    </row>
    <row r="1534" spans="1:49" ht="49.35" hidden="1" customHeight="1" outlineLevel="2" x14ac:dyDescent="0.25">
      <c r="A1534" s="63" t="str">
        <f t="shared" si="415"/>
        <v>5.17.4.6.7.61</v>
      </c>
      <c r="B1534" s="64">
        <v>5</v>
      </c>
      <c r="C1534" s="64">
        <v>17</v>
      </c>
      <c r="D1534" s="64">
        <v>4</v>
      </c>
      <c r="E1534" s="64">
        <v>6</v>
      </c>
      <c r="F1534" s="64">
        <v>7</v>
      </c>
      <c r="G1534" s="64">
        <v>61</v>
      </c>
      <c r="H1534" s="65"/>
      <c r="I1534" s="65"/>
      <c r="J1534" s="66"/>
      <c r="K1534" s="65" t="s">
        <v>1638</v>
      </c>
      <c r="L1534" s="64" t="s">
        <v>236</v>
      </c>
      <c r="M1534" s="64" t="s">
        <v>73</v>
      </c>
      <c r="N1534" s="64" t="s">
        <v>257</v>
      </c>
      <c r="O1534" s="64" t="s">
        <v>74</v>
      </c>
      <c r="P1534" s="64"/>
      <c r="Q1534" s="64"/>
      <c r="R1534" s="64"/>
      <c r="S1534" s="65"/>
      <c r="T1534" s="194"/>
      <c r="U1534" s="510">
        <v>0</v>
      </c>
      <c r="V1534" s="510"/>
      <c r="W1534" s="510">
        <v>0</v>
      </c>
      <c r="X1534" s="1166">
        <v>0</v>
      </c>
      <c r="Y1534" s="510">
        <v>0</v>
      </c>
      <c r="Z1534" s="510">
        <v>0</v>
      </c>
      <c r="AA1534" s="1166">
        <v>0</v>
      </c>
      <c r="AB1534" s="510">
        <v>0</v>
      </c>
      <c r="AC1534" s="510">
        <v>0</v>
      </c>
      <c r="AD1534" s="1166">
        <v>0</v>
      </c>
      <c r="AE1534" s="510">
        <v>0</v>
      </c>
      <c r="AF1534" s="510">
        <v>0</v>
      </c>
      <c r="AG1534" s="1166">
        <v>0</v>
      </c>
      <c r="AH1534" s="505">
        <f t="shared" si="479"/>
        <v>0</v>
      </c>
      <c r="AI1534" s="132"/>
      <c r="AJ1534" s="75">
        <f t="shared" si="480"/>
        <v>0</v>
      </c>
      <c r="AK1534" s="75"/>
      <c r="AL1534" s="75"/>
      <c r="AM1534" s="75"/>
      <c r="AN1534" s="64" t="s">
        <v>181</v>
      </c>
      <c r="AO1534" s="64"/>
      <c r="AP1534" s="64"/>
      <c r="AQ1534" s="189"/>
      <c r="AR1534" s="64"/>
      <c r="AS1534" s="476"/>
      <c r="AT1534" s="64"/>
      <c r="AU1534" s="646"/>
      <c r="AV1534" s="259"/>
      <c r="AW1534" s="185"/>
    </row>
    <row r="1535" spans="1:49" s="153" customFormat="1" ht="27.6" customHeight="1" outlineLevel="1" collapsed="1" x14ac:dyDescent="0.25">
      <c r="A1535" s="148" t="str">
        <f t="shared" si="415"/>
        <v>5.17.4.5.0.0</v>
      </c>
      <c r="B1535" s="82">
        <v>5</v>
      </c>
      <c r="C1535" s="82">
        <v>17</v>
      </c>
      <c r="D1535" s="82">
        <v>4</v>
      </c>
      <c r="E1535" s="82">
        <v>5</v>
      </c>
      <c r="F1535" s="82">
        <v>0</v>
      </c>
      <c r="G1535" s="82">
        <v>0</v>
      </c>
      <c r="H1535" s="149"/>
      <c r="I1535" s="149"/>
      <c r="J1535" s="1260" t="s">
        <v>1639</v>
      </c>
      <c r="K1535" s="1259"/>
      <c r="L1535" s="82" t="s">
        <v>236</v>
      </c>
      <c r="M1535" s="82" t="s">
        <v>73</v>
      </c>
      <c r="N1535" s="82" t="s">
        <v>257</v>
      </c>
      <c r="O1535" s="82" t="s">
        <v>1613</v>
      </c>
      <c r="P1535" s="294"/>
      <c r="Q1535" s="294"/>
      <c r="R1535" s="82"/>
      <c r="S1535" s="149"/>
      <c r="T1535" s="193"/>
      <c r="U1535" s="512">
        <f t="shared" ref="U1535:AJ1535" si="481">+SUM(U1536:U1542)</f>
        <v>0</v>
      </c>
      <c r="V1535" s="512"/>
      <c r="W1535" s="512">
        <f t="shared" si="481"/>
        <v>0</v>
      </c>
      <c r="X1535" s="1165">
        <f t="shared" si="481"/>
        <v>0</v>
      </c>
      <c r="Y1535" s="512">
        <f t="shared" si="481"/>
        <v>0</v>
      </c>
      <c r="Z1535" s="512">
        <f t="shared" si="481"/>
        <v>0</v>
      </c>
      <c r="AA1535" s="1165">
        <f t="shared" si="481"/>
        <v>0</v>
      </c>
      <c r="AB1535" s="512">
        <f t="shared" si="481"/>
        <v>0</v>
      </c>
      <c r="AC1535" s="512">
        <f t="shared" si="481"/>
        <v>0</v>
      </c>
      <c r="AD1535" s="1165">
        <f t="shared" si="481"/>
        <v>0</v>
      </c>
      <c r="AE1535" s="512">
        <f t="shared" si="481"/>
        <v>0</v>
      </c>
      <c r="AF1535" s="512">
        <f t="shared" si="481"/>
        <v>0</v>
      </c>
      <c r="AG1535" s="1165">
        <f t="shared" si="481"/>
        <v>0</v>
      </c>
      <c r="AH1535" s="512">
        <f t="shared" si="481"/>
        <v>0</v>
      </c>
      <c r="AI1535" s="512">
        <f t="shared" si="481"/>
        <v>0</v>
      </c>
      <c r="AJ1535" s="512">
        <f t="shared" si="481"/>
        <v>0</v>
      </c>
      <c r="AK1535" s="152"/>
      <c r="AL1535" s="152"/>
      <c r="AM1535" s="152"/>
      <c r="AN1535" s="82" t="s">
        <v>181</v>
      </c>
      <c r="AO1535" s="82"/>
      <c r="AP1535" s="82"/>
      <c r="AQ1535" s="365"/>
      <c r="AR1535" s="82"/>
      <c r="AS1535" s="483"/>
      <c r="AT1535" s="82"/>
      <c r="AU1535" s="666"/>
      <c r="AV1535" s="358"/>
      <c r="AW1535" s="444"/>
    </row>
    <row r="1536" spans="1:49" ht="35.450000000000003" hidden="1" customHeight="1" outlineLevel="2" x14ac:dyDescent="0.25">
      <c r="A1536" s="63" t="str">
        <f>CONCATENATE(B1536,".",C1536,".",D1536,".",E1536,".",F1536,".",G1536)</f>
        <v>5.17.4.5.1.62</v>
      </c>
      <c r="B1536" s="64">
        <v>5</v>
      </c>
      <c r="C1536" s="64">
        <v>17</v>
      </c>
      <c r="D1536" s="64">
        <v>4</v>
      </c>
      <c r="E1536" s="64">
        <v>5</v>
      </c>
      <c r="F1536" s="64">
        <v>1</v>
      </c>
      <c r="G1536" s="64">
        <v>62</v>
      </c>
      <c r="H1536" s="65"/>
      <c r="I1536" s="65"/>
      <c r="J1536" s="65"/>
      <c r="K1536" s="67" t="s">
        <v>1616</v>
      </c>
      <c r="L1536" s="64" t="s">
        <v>236</v>
      </c>
      <c r="M1536" s="64" t="s">
        <v>73</v>
      </c>
      <c r="N1536" s="64" t="s">
        <v>257</v>
      </c>
      <c r="O1536" s="64" t="s">
        <v>74</v>
      </c>
      <c r="P1536" s="64"/>
      <c r="Q1536" s="64"/>
      <c r="R1536" s="64"/>
      <c r="S1536" s="65"/>
      <c r="T1536" s="194"/>
      <c r="U1536" s="510">
        <v>0</v>
      </c>
      <c r="V1536" s="510"/>
      <c r="W1536" s="510">
        <v>0</v>
      </c>
      <c r="X1536" s="1166">
        <v>0</v>
      </c>
      <c r="Y1536" s="510">
        <v>0</v>
      </c>
      <c r="Z1536" s="510">
        <v>0</v>
      </c>
      <c r="AA1536" s="1166">
        <v>0</v>
      </c>
      <c r="AB1536" s="510">
        <v>0</v>
      </c>
      <c r="AC1536" s="510">
        <v>0</v>
      </c>
      <c r="AD1536" s="1166">
        <v>0</v>
      </c>
      <c r="AE1536" s="510">
        <v>0</v>
      </c>
      <c r="AF1536" s="510">
        <v>0</v>
      </c>
      <c r="AG1536" s="1166">
        <v>0</v>
      </c>
      <c r="AH1536" s="505">
        <f t="shared" ref="AH1536:AH1542" si="482">+U1536+Y1536+AB1536+AE1536</f>
        <v>0</v>
      </c>
      <c r="AI1536" s="132"/>
      <c r="AJ1536" s="75">
        <f t="shared" ref="AJ1536:AJ1542" si="483">+W1537+Z1537+AC1537+AF1537</f>
        <v>0</v>
      </c>
      <c r="AK1536" s="75"/>
      <c r="AL1536" s="75"/>
      <c r="AM1536" s="75"/>
      <c r="AN1536" s="64" t="s">
        <v>181</v>
      </c>
      <c r="AO1536" s="64"/>
      <c r="AP1536" s="64"/>
      <c r="AQ1536" s="189"/>
      <c r="AR1536" s="64"/>
      <c r="AS1536" s="476"/>
      <c r="AT1536" s="64"/>
      <c r="AU1536" s="646"/>
      <c r="AV1536" s="259"/>
      <c r="AW1536" s="185"/>
    </row>
    <row r="1537" spans="1:49" ht="35.450000000000003" hidden="1" customHeight="1" outlineLevel="2" x14ac:dyDescent="0.25">
      <c r="A1537" s="63" t="str">
        <f t="shared" si="415"/>
        <v>5.17.4.5.2.62</v>
      </c>
      <c r="B1537" s="64">
        <v>5</v>
      </c>
      <c r="C1537" s="64">
        <v>17</v>
      </c>
      <c r="D1537" s="64">
        <v>4</v>
      </c>
      <c r="E1537" s="64">
        <v>5</v>
      </c>
      <c r="F1537" s="64">
        <v>2</v>
      </c>
      <c r="G1537" s="64">
        <v>62</v>
      </c>
      <c r="H1537" s="65"/>
      <c r="I1537" s="65"/>
      <c r="J1537" s="65"/>
      <c r="K1537" s="67" t="s">
        <v>1617</v>
      </c>
      <c r="L1537" s="64" t="s">
        <v>236</v>
      </c>
      <c r="M1537" s="64" t="s">
        <v>73</v>
      </c>
      <c r="N1537" s="64" t="s">
        <v>257</v>
      </c>
      <c r="O1537" s="64" t="s">
        <v>74</v>
      </c>
      <c r="P1537" s="64"/>
      <c r="Q1537" s="64"/>
      <c r="R1537" s="64"/>
      <c r="S1537" s="65"/>
      <c r="T1537" s="194"/>
      <c r="U1537" s="510">
        <v>0</v>
      </c>
      <c r="V1537" s="510"/>
      <c r="W1537" s="510">
        <v>0</v>
      </c>
      <c r="X1537" s="1166">
        <v>0</v>
      </c>
      <c r="Y1537" s="510">
        <v>0</v>
      </c>
      <c r="Z1537" s="510">
        <v>0</v>
      </c>
      <c r="AA1537" s="1166">
        <v>0</v>
      </c>
      <c r="AB1537" s="510">
        <v>0</v>
      </c>
      <c r="AC1537" s="510">
        <v>0</v>
      </c>
      <c r="AD1537" s="1166">
        <v>0</v>
      </c>
      <c r="AE1537" s="510">
        <v>0</v>
      </c>
      <c r="AF1537" s="510">
        <v>0</v>
      </c>
      <c r="AG1537" s="1166">
        <v>0</v>
      </c>
      <c r="AH1537" s="505">
        <f t="shared" si="482"/>
        <v>0</v>
      </c>
      <c r="AI1537" s="132"/>
      <c r="AJ1537" s="75">
        <f t="shared" si="483"/>
        <v>0</v>
      </c>
      <c r="AK1537" s="75"/>
      <c r="AL1537" s="75"/>
      <c r="AM1537" s="75"/>
      <c r="AN1537" s="64" t="s">
        <v>181</v>
      </c>
      <c r="AO1537" s="64"/>
      <c r="AP1537" s="64"/>
      <c r="AQ1537" s="189"/>
      <c r="AR1537" s="64"/>
      <c r="AS1537" s="476"/>
      <c r="AT1537" s="64"/>
      <c r="AU1537" s="646"/>
      <c r="AV1537" s="259"/>
      <c r="AW1537" s="185"/>
    </row>
    <row r="1538" spans="1:49" ht="35.450000000000003" hidden="1" customHeight="1" outlineLevel="2" x14ac:dyDescent="0.25">
      <c r="A1538" s="63" t="str">
        <f t="shared" si="415"/>
        <v>5.17.4.5.3.62</v>
      </c>
      <c r="B1538" s="64">
        <v>5</v>
      </c>
      <c r="C1538" s="64">
        <v>17</v>
      </c>
      <c r="D1538" s="64">
        <v>4</v>
      </c>
      <c r="E1538" s="64">
        <v>5</v>
      </c>
      <c r="F1538" s="64">
        <v>3</v>
      </c>
      <c r="G1538" s="64">
        <v>62</v>
      </c>
      <c r="H1538" s="65"/>
      <c r="I1538" s="65"/>
      <c r="J1538" s="65"/>
      <c r="K1538" s="65" t="s">
        <v>1881</v>
      </c>
      <c r="L1538" s="64" t="s">
        <v>236</v>
      </c>
      <c r="M1538" s="64" t="s">
        <v>73</v>
      </c>
      <c r="N1538" s="64" t="s">
        <v>257</v>
      </c>
      <c r="O1538" s="64" t="s">
        <v>74</v>
      </c>
      <c r="P1538" s="64"/>
      <c r="Q1538" s="64"/>
      <c r="R1538" s="64"/>
      <c r="S1538" s="65"/>
      <c r="T1538" s="194"/>
      <c r="U1538" s="510">
        <v>0</v>
      </c>
      <c r="V1538" s="510"/>
      <c r="W1538" s="510">
        <v>0</v>
      </c>
      <c r="X1538" s="1166">
        <v>0</v>
      </c>
      <c r="Y1538" s="510">
        <v>0</v>
      </c>
      <c r="Z1538" s="510">
        <v>0</v>
      </c>
      <c r="AA1538" s="1166">
        <v>0</v>
      </c>
      <c r="AB1538" s="510">
        <v>0</v>
      </c>
      <c r="AC1538" s="510">
        <v>0</v>
      </c>
      <c r="AD1538" s="1166">
        <v>0</v>
      </c>
      <c r="AE1538" s="510">
        <v>0</v>
      </c>
      <c r="AF1538" s="510">
        <v>0</v>
      </c>
      <c r="AG1538" s="1166">
        <v>0</v>
      </c>
      <c r="AH1538" s="505">
        <f t="shared" si="482"/>
        <v>0</v>
      </c>
      <c r="AI1538" s="132"/>
      <c r="AJ1538" s="75">
        <f t="shared" si="483"/>
        <v>0</v>
      </c>
      <c r="AK1538" s="75"/>
      <c r="AL1538" s="75"/>
      <c r="AM1538" s="75"/>
      <c r="AN1538" s="64" t="s">
        <v>181</v>
      </c>
      <c r="AO1538" s="64"/>
      <c r="AP1538" s="64"/>
      <c r="AQ1538" s="189"/>
      <c r="AR1538" s="64"/>
      <c r="AS1538" s="476"/>
      <c r="AT1538" s="64"/>
      <c r="AU1538" s="646"/>
      <c r="AV1538" s="259"/>
      <c r="AW1538" s="185"/>
    </row>
    <row r="1539" spans="1:49" ht="35.450000000000003" hidden="1" customHeight="1" outlineLevel="2" x14ac:dyDescent="0.25">
      <c r="A1539" s="63" t="str">
        <f t="shared" si="415"/>
        <v>5.17.4.5.4.62</v>
      </c>
      <c r="B1539" s="64">
        <v>5</v>
      </c>
      <c r="C1539" s="64">
        <v>17</v>
      </c>
      <c r="D1539" s="64">
        <v>4</v>
      </c>
      <c r="E1539" s="64">
        <v>5</v>
      </c>
      <c r="F1539" s="64">
        <v>4</v>
      </c>
      <c r="G1539" s="64">
        <v>62</v>
      </c>
      <c r="H1539" s="65"/>
      <c r="I1539" s="65"/>
      <c r="J1539" s="65"/>
      <c r="K1539" s="65" t="s">
        <v>1640</v>
      </c>
      <c r="L1539" s="64" t="s">
        <v>236</v>
      </c>
      <c r="M1539" s="64" t="s">
        <v>73</v>
      </c>
      <c r="N1539" s="64" t="s">
        <v>257</v>
      </c>
      <c r="O1539" s="64" t="s">
        <v>74</v>
      </c>
      <c r="P1539" s="64"/>
      <c r="Q1539" s="64"/>
      <c r="R1539" s="64"/>
      <c r="S1539" s="65"/>
      <c r="T1539" s="194"/>
      <c r="U1539" s="510">
        <v>0</v>
      </c>
      <c r="V1539" s="510"/>
      <c r="W1539" s="510">
        <v>0</v>
      </c>
      <c r="X1539" s="1166">
        <v>0</v>
      </c>
      <c r="Y1539" s="510">
        <v>0</v>
      </c>
      <c r="Z1539" s="510">
        <v>0</v>
      </c>
      <c r="AA1539" s="1166">
        <v>0</v>
      </c>
      <c r="AB1539" s="510">
        <v>0</v>
      </c>
      <c r="AC1539" s="510">
        <v>0</v>
      </c>
      <c r="AD1539" s="1166">
        <v>0</v>
      </c>
      <c r="AE1539" s="510">
        <v>0</v>
      </c>
      <c r="AF1539" s="510">
        <v>0</v>
      </c>
      <c r="AG1539" s="1166">
        <v>0</v>
      </c>
      <c r="AH1539" s="505">
        <f t="shared" si="482"/>
        <v>0</v>
      </c>
      <c r="AI1539" s="132"/>
      <c r="AJ1539" s="75">
        <f t="shared" si="483"/>
        <v>0</v>
      </c>
      <c r="AK1539" s="75"/>
      <c r="AL1539" s="75"/>
      <c r="AM1539" s="75"/>
      <c r="AN1539" s="64" t="s">
        <v>181</v>
      </c>
      <c r="AO1539" s="64"/>
      <c r="AP1539" s="64"/>
      <c r="AQ1539" s="189"/>
      <c r="AR1539" s="64"/>
      <c r="AS1539" s="476"/>
      <c r="AT1539" s="64"/>
      <c r="AU1539" s="646"/>
      <c r="AV1539" s="259"/>
      <c r="AW1539" s="185"/>
    </row>
    <row r="1540" spans="1:49" ht="35.450000000000003" hidden="1" customHeight="1" outlineLevel="2" x14ac:dyDescent="0.25">
      <c r="A1540" s="63" t="str">
        <f t="shared" si="415"/>
        <v>5.17.4.5.5.62</v>
      </c>
      <c r="B1540" s="64">
        <v>5</v>
      </c>
      <c r="C1540" s="64">
        <v>17</v>
      </c>
      <c r="D1540" s="64">
        <v>4</v>
      </c>
      <c r="E1540" s="64">
        <v>5</v>
      </c>
      <c r="F1540" s="64">
        <v>5</v>
      </c>
      <c r="G1540" s="64">
        <v>62</v>
      </c>
      <c r="H1540" s="65"/>
      <c r="I1540" s="65"/>
      <c r="J1540" s="65"/>
      <c r="K1540" s="65" t="s">
        <v>1622</v>
      </c>
      <c r="L1540" s="64" t="s">
        <v>236</v>
      </c>
      <c r="M1540" s="64" t="s">
        <v>73</v>
      </c>
      <c r="N1540" s="64" t="s">
        <v>257</v>
      </c>
      <c r="O1540" s="64" t="s">
        <v>74</v>
      </c>
      <c r="P1540" s="64"/>
      <c r="Q1540" s="64"/>
      <c r="R1540" s="64"/>
      <c r="S1540" s="65"/>
      <c r="T1540" s="194"/>
      <c r="U1540" s="510">
        <v>0</v>
      </c>
      <c r="V1540" s="510"/>
      <c r="W1540" s="510">
        <v>0</v>
      </c>
      <c r="X1540" s="1166">
        <v>0</v>
      </c>
      <c r="Y1540" s="510">
        <v>0</v>
      </c>
      <c r="Z1540" s="510">
        <v>0</v>
      </c>
      <c r="AA1540" s="1166">
        <v>0</v>
      </c>
      <c r="AB1540" s="510">
        <v>0</v>
      </c>
      <c r="AC1540" s="510">
        <v>0</v>
      </c>
      <c r="AD1540" s="1166">
        <v>0</v>
      </c>
      <c r="AE1540" s="510">
        <v>0</v>
      </c>
      <c r="AF1540" s="510">
        <v>0</v>
      </c>
      <c r="AG1540" s="1166">
        <v>0</v>
      </c>
      <c r="AH1540" s="505">
        <f t="shared" si="482"/>
        <v>0</v>
      </c>
      <c r="AI1540" s="132"/>
      <c r="AJ1540" s="75">
        <f t="shared" si="483"/>
        <v>0</v>
      </c>
      <c r="AK1540" s="75"/>
      <c r="AL1540" s="75"/>
      <c r="AM1540" s="75"/>
      <c r="AN1540" s="64" t="s">
        <v>181</v>
      </c>
      <c r="AO1540" s="64"/>
      <c r="AP1540" s="64"/>
      <c r="AQ1540" s="189"/>
      <c r="AR1540" s="64"/>
      <c r="AS1540" s="476"/>
      <c r="AT1540" s="64"/>
      <c r="AU1540" s="646"/>
      <c r="AV1540" s="259"/>
      <c r="AW1540" s="185"/>
    </row>
    <row r="1541" spans="1:49" ht="35.450000000000003" hidden="1" customHeight="1" outlineLevel="2" x14ac:dyDescent="0.25">
      <c r="A1541" s="63" t="str">
        <f t="shared" si="415"/>
        <v>5.17.4.5.6.62</v>
      </c>
      <c r="B1541" s="64">
        <v>5</v>
      </c>
      <c r="C1541" s="64">
        <v>17</v>
      </c>
      <c r="D1541" s="64">
        <v>4</v>
      </c>
      <c r="E1541" s="64">
        <v>5</v>
      </c>
      <c r="F1541" s="64">
        <v>6</v>
      </c>
      <c r="G1541" s="64">
        <v>62</v>
      </c>
      <c r="H1541" s="65"/>
      <c r="I1541" s="65"/>
      <c r="J1541" s="65"/>
      <c r="K1541" s="65" t="s">
        <v>1641</v>
      </c>
      <c r="L1541" s="64" t="s">
        <v>236</v>
      </c>
      <c r="M1541" s="64" t="s">
        <v>73</v>
      </c>
      <c r="N1541" s="64" t="s">
        <v>257</v>
      </c>
      <c r="O1541" s="64" t="s">
        <v>74</v>
      </c>
      <c r="P1541" s="64"/>
      <c r="Q1541" s="64"/>
      <c r="R1541" s="64"/>
      <c r="S1541" s="65"/>
      <c r="T1541" s="194"/>
      <c r="U1541" s="510">
        <v>0</v>
      </c>
      <c r="V1541" s="510"/>
      <c r="W1541" s="510">
        <v>0</v>
      </c>
      <c r="X1541" s="1166">
        <v>0</v>
      </c>
      <c r="Y1541" s="510">
        <v>0</v>
      </c>
      <c r="Z1541" s="510">
        <v>0</v>
      </c>
      <c r="AA1541" s="1166">
        <v>0</v>
      </c>
      <c r="AB1541" s="510">
        <v>0</v>
      </c>
      <c r="AC1541" s="510">
        <v>0</v>
      </c>
      <c r="AD1541" s="1166">
        <v>0</v>
      </c>
      <c r="AE1541" s="510">
        <v>0</v>
      </c>
      <c r="AF1541" s="510">
        <v>0</v>
      </c>
      <c r="AG1541" s="1166">
        <v>0</v>
      </c>
      <c r="AH1541" s="505">
        <f t="shared" si="482"/>
        <v>0</v>
      </c>
      <c r="AI1541" s="132"/>
      <c r="AJ1541" s="75">
        <f t="shared" si="483"/>
        <v>0</v>
      </c>
      <c r="AK1541" s="75"/>
      <c r="AL1541" s="75"/>
      <c r="AM1541" s="75"/>
      <c r="AN1541" s="64" t="s">
        <v>181</v>
      </c>
      <c r="AO1541" s="64"/>
      <c r="AP1541" s="64"/>
      <c r="AQ1541" s="189"/>
      <c r="AR1541" s="64"/>
      <c r="AS1541" s="476"/>
      <c r="AT1541" s="64"/>
      <c r="AU1541" s="646"/>
      <c r="AV1541" s="259"/>
      <c r="AW1541" s="185"/>
    </row>
    <row r="1542" spans="1:49" ht="35.450000000000003" hidden="1" customHeight="1" outlineLevel="2" x14ac:dyDescent="0.25">
      <c r="A1542" s="63" t="str">
        <f t="shared" si="415"/>
        <v>5.17.4.5.7.62</v>
      </c>
      <c r="B1542" s="293">
        <v>5</v>
      </c>
      <c r="C1542" s="64">
        <v>17</v>
      </c>
      <c r="D1542" s="293">
        <v>4</v>
      </c>
      <c r="E1542" s="293">
        <v>5</v>
      </c>
      <c r="F1542" s="293">
        <v>7</v>
      </c>
      <c r="G1542" s="293">
        <v>62</v>
      </c>
      <c r="H1542" s="121"/>
      <c r="I1542" s="65"/>
      <c r="J1542" s="65"/>
      <c r="K1542" s="65" t="s">
        <v>1879</v>
      </c>
      <c r="L1542" s="64" t="s">
        <v>236</v>
      </c>
      <c r="M1542" s="64" t="s">
        <v>73</v>
      </c>
      <c r="N1542" s="64" t="s">
        <v>257</v>
      </c>
      <c r="O1542" s="64" t="s">
        <v>74</v>
      </c>
      <c r="P1542" s="293"/>
      <c r="Q1542" s="293"/>
      <c r="R1542" s="293"/>
      <c r="S1542" s="170"/>
      <c r="T1542" s="1212"/>
      <c r="U1542" s="510">
        <v>0</v>
      </c>
      <c r="V1542" s="510"/>
      <c r="W1542" s="510">
        <v>0</v>
      </c>
      <c r="X1542" s="1166">
        <v>0</v>
      </c>
      <c r="Y1542" s="510">
        <v>0</v>
      </c>
      <c r="Z1542" s="510">
        <v>0</v>
      </c>
      <c r="AA1542" s="1166">
        <v>0</v>
      </c>
      <c r="AB1542" s="510">
        <v>0</v>
      </c>
      <c r="AC1542" s="510">
        <v>0</v>
      </c>
      <c r="AD1542" s="1166">
        <v>0</v>
      </c>
      <c r="AE1542" s="510">
        <v>0</v>
      </c>
      <c r="AF1542" s="510">
        <v>0</v>
      </c>
      <c r="AG1542" s="1166">
        <v>0</v>
      </c>
      <c r="AH1542" s="505">
        <f t="shared" si="482"/>
        <v>0</v>
      </c>
      <c r="AI1542" s="132"/>
      <c r="AJ1542" s="75">
        <f t="shared" si="483"/>
        <v>0</v>
      </c>
      <c r="AK1542" s="75"/>
      <c r="AL1542" s="75"/>
      <c r="AM1542" s="75"/>
      <c r="AN1542" s="64" t="s">
        <v>181</v>
      </c>
      <c r="AO1542" s="64"/>
      <c r="AP1542" s="64"/>
      <c r="AQ1542" s="189"/>
      <c r="AR1542" s="64"/>
      <c r="AS1542" s="476"/>
      <c r="AT1542" s="64"/>
      <c r="AU1542" s="646"/>
      <c r="AV1542" s="353"/>
      <c r="AW1542" s="441"/>
    </row>
    <row r="1543" spans="1:49" s="153" customFormat="1" ht="29.45" customHeight="1" outlineLevel="1" collapsed="1" x14ac:dyDescent="0.25">
      <c r="A1543" s="148" t="str">
        <f t="shared" si="415"/>
        <v>5.17.4.7.0.0</v>
      </c>
      <c r="B1543" s="82">
        <v>5</v>
      </c>
      <c r="C1543" s="82">
        <v>17</v>
      </c>
      <c r="D1543" s="82">
        <v>4</v>
      </c>
      <c r="E1543" s="82">
        <v>7</v>
      </c>
      <c r="F1543" s="82">
        <v>0</v>
      </c>
      <c r="G1543" s="82">
        <v>0</v>
      </c>
      <c r="H1543" s="149"/>
      <c r="I1543" s="149"/>
      <c r="J1543" s="1260" t="s">
        <v>1642</v>
      </c>
      <c r="K1543" s="1259"/>
      <c r="L1543" s="82" t="s">
        <v>236</v>
      </c>
      <c r="M1543" s="82" t="s">
        <v>73</v>
      </c>
      <c r="N1543" s="82" t="s">
        <v>257</v>
      </c>
      <c r="O1543" s="82" t="s">
        <v>1613</v>
      </c>
      <c r="P1543" s="294"/>
      <c r="Q1543" s="294"/>
      <c r="R1543" s="82"/>
      <c r="S1543" s="149"/>
      <c r="T1543" s="193"/>
      <c r="U1543" s="512">
        <f>+SUM(U1544:U1546)</f>
        <v>0</v>
      </c>
      <c r="V1543" s="512"/>
      <c r="W1543" s="693">
        <f>+SUM(W1544:W1546)</f>
        <v>0</v>
      </c>
      <c r="X1543" s="1131"/>
      <c r="Y1543" s="152"/>
      <c r="Z1543" s="844">
        <f>+SUM(Z1544:Z1546)</f>
        <v>0</v>
      </c>
      <c r="AA1543" s="1135">
        <f t="shared" ref="AA1543:AC1543" si="484">+SUM(AA1544:AA1546)</f>
        <v>0</v>
      </c>
      <c r="AB1543" s="216">
        <f t="shared" si="484"/>
        <v>0</v>
      </c>
      <c r="AC1543" s="970">
        <f t="shared" si="484"/>
        <v>0</v>
      </c>
      <c r="AD1543" s="1219"/>
      <c r="AE1543" s="257"/>
      <c r="AF1543" s="611"/>
      <c r="AG1543" s="1135">
        <f t="shared" ref="AG1543" si="485">+SUM(AG1544:AG1546)</f>
        <v>0</v>
      </c>
      <c r="AH1543" s="512">
        <f>+SUM(AH1544:AH1546)</f>
        <v>0</v>
      </c>
      <c r="AI1543" s="512">
        <f>+SUM(AI1544:AI1546)</f>
        <v>0</v>
      </c>
      <c r="AJ1543" s="512">
        <f>+SUM(AJ1544:AJ1546)</f>
        <v>0</v>
      </c>
      <c r="AK1543" s="152"/>
      <c r="AL1543" s="152"/>
      <c r="AM1543" s="152"/>
      <c r="AN1543" s="82" t="s">
        <v>181</v>
      </c>
      <c r="AO1543" s="82"/>
      <c r="AP1543" s="82"/>
      <c r="AQ1543" s="365"/>
      <c r="AR1543" s="82"/>
      <c r="AS1543" s="483"/>
      <c r="AT1543" s="82"/>
      <c r="AU1543" s="666"/>
      <c r="AV1543" s="358"/>
      <c r="AW1543" s="444"/>
    </row>
    <row r="1544" spans="1:49" ht="30.6" hidden="1" customHeight="1" outlineLevel="2" x14ac:dyDescent="0.25">
      <c r="A1544" s="63" t="str">
        <f t="shared" si="415"/>
        <v>5.17.4.7.1.60</v>
      </c>
      <c r="B1544" s="64">
        <v>5</v>
      </c>
      <c r="C1544" s="64">
        <v>17</v>
      </c>
      <c r="D1544" s="64">
        <v>4</v>
      </c>
      <c r="E1544" s="64">
        <v>7</v>
      </c>
      <c r="F1544" s="64">
        <v>1</v>
      </c>
      <c r="G1544" s="64">
        <v>60</v>
      </c>
      <c r="H1544" s="65"/>
      <c r="I1544" s="65"/>
      <c r="J1544" s="65"/>
      <c r="K1544" s="65" t="s">
        <v>1643</v>
      </c>
      <c r="L1544" s="64" t="s">
        <v>236</v>
      </c>
      <c r="M1544" s="64" t="s">
        <v>73</v>
      </c>
      <c r="N1544" s="64" t="s">
        <v>257</v>
      </c>
      <c r="O1544" s="64" t="s">
        <v>74</v>
      </c>
      <c r="P1544" s="64"/>
      <c r="Q1544" s="64"/>
      <c r="R1544" s="64"/>
      <c r="S1544" s="65"/>
      <c r="T1544" s="194"/>
      <c r="U1544" s="510">
        <v>0</v>
      </c>
      <c r="V1544" s="510"/>
      <c r="W1544" s="510">
        <v>0</v>
      </c>
      <c r="X1544" s="1166">
        <v>0</v>
      </c>
      <c r="Y1544" s="510">
        <v>0</v>
      </c>
      <c r="Z1544" s="510">
        <v>0</v>
      </c>
      <c r="AA1544" s="1166">
        <v>0</v>
      </c>
      <c r="AB1544" s="510">
        <v>0</v>
      </c>
      <c r="AC1544" s="510">
        <v>0</v>
      </c>
      <c r="AD1544" s="1166">
        <v>0</v>
      </c>
      <c r="AE1544" s="510">
        <v>0</v>
      </c>
      <c r="AF1544" s="510">
        <v>0</v>
      </c>
      <c r="AG1544" s="1166">
        <v>0</v>
      </c>
      <c r="AH1544" s="505">
        <f>+U1544+Y1544+AB1544+AF1544</f>
        <v>0</v>
      </c>
      <c r="AI1544" s="132"/>
      <c r="AJ1544" s="75">
        <f t="shared" ref="AJ1544:AJ1546" si="486">+W1545+Z1545+AC1545+AF1545</f>
        <v>0</v>
      </c>
      <c r="AK1544" s="75"/>
      <c r="AL1544" s="75"/>
      <c r="AM1544" s="75"/>
      <c r="AN1544" s="64" t="s">
        <v>181</v>
      </c>
      <c r="AO1544" s="64"/>
      <c r="AP1544" s="64"/>
      <c r="AQ1544" s="189"/>
      <c r="AR1544" s="64"/>
      <c r="AS1544" s="476"/>
      <c r="AT1544" s="64"/>
      <c r="AU1544" s="646"/>
      <c r="AV1544" s="259"/>
      <c r="AW1544" s="185"/>
    </row>
    <row r="1545" spans="1:49" ht="30.6" hidden="1" customHeight="1" outlineLevel="2" x14ac:dyDescent="0.25">
      <c r="A1545" s="63" t="str">
        <f t="shared" si="415"/>
        <v>5.17.4.7.2.60</v>
      </c>
      <c r="B1545" s="64">
        <v>5</v>
      </c>
      <c r="C1545" s="64">
        <v>17</v>
      </c>
      <c r="D1545" s="64">
        <v>4</v>
      </c>
      <c r="E1545" s="64">
        <v>7</v>
      </c>
      <c r="F1545" s="64">
        <v>2</v>
      </c>
      <c r="G1545" s="64">
        <v>60</v>
      </c>
      <c r="H1545" s="65"/>
      <c r="I1545" s="65"/>
      <c r="J1545" s="65"/>
      <c r="K1545" s="65" t="s">
        <v>1622</v>
      </c>
      <c r="L1545" s="64" t="s">
        <v>236</v>
      </c>
      <c r="M1545" s="64" t="s">
        <v>73</v>
      </c>
      <c r="N1545" s="64" t="s">
        <v>257</v>
      </c>
      <c r="O1545" s="64" t="s">
        <v>74</v>
      </c>
      <c r="P1545" s="64"/>
      <c r="Q1545" s="64"/>
      <c r="R1545" s="64"/>
      <c r="S1545" s="65"/>
      <c r="T1545" s="194"/>
      <c r="U1545" s="510">
        <v>0</v>
      </c>
      <c r="V1545" s="510"/>
      <c r="W1545" s="510">
        <v>0</v>
      </c>
      <c r="X1545" s="1166">
        <v>0</v>
      </c>
      <c r="Y1545" s="510">
        <v>0</v>
      </c>
      <c r="Z1545" s="510">
        <v>0</v>
      </c>
      <c r="AA1545" s="1166">
        <v>0</v>
      </c>
      <c r="AB1545" s="510">
        <v>0</v>
      </c>
      <c r="AC1545" s="510">
        <v>0</v>
      </c>
      <c r="AD1545" s="1166">
        <v>0</v>
      </c>
      <c r="AE1545" s="510">
        <v>0</v>
      </c>
      <c r="AF1545" s="510">
        <v>0</v>
      </c>
      <c r="AG1545" s="1166">
        <v>0</v>
      </c>
      <c r="AH1545" s="505">
        <f>+U1545+Y1545+AB1545+AF1545</f>
        <v>0</v>
      </c>
      <c r="AI1545" s="132"/>
      <c r="AJ1545" s="75">
        <f t="shared" si="486"/>
        <v>0</v>
      </c>
      <c r="AK1545" s="75"/>
      <c r="AL1545" s="75"/>
      <c r="AM1545" s="75"/>
      <c r="AN1545" s="64" t="s">
        <v>181</v>
      </c>
      <c r="AO1545" s="64"/>
      <c r="AP1545" s="64"/>
      <c r="AQ1545" s="189"/>
      <c r="AR1545" s="64"/>
      <c r="AS1545" s="476"/>
      <c r="AT1545" s="64"/>
      <c r="AU1545" s="646"/>
      <c r="AV1545" s="259"/>
      <c r="AW1545" s="185"/>
    </row>
    <row r="1546" spans="1:49" ht="39.6" hidden="1" customHeight="1" outlineLevel="2" x14ac:dyDescent="0.25">
      <c r="A1546" s="63" t="str">
        <f t="shared" si="415"/>
        <v>5.17.4.7.3.60</v>
      </c>
      <c r="B1546" s="64">
        <v>5</v>
      </c>
      <c r="C1546" s="64">
        <v>17</v>
      </c>
      <c r="D1546" s="64">
        <v>4</v>
      </c>
      <c r="E1546" s="64">
        <v>7</v>
      </c>
      <c r="F1546" s="64">
        <v>3</v>
      </c>
      <c r="G1546" s="64">
        <v>60</v>
      </c>
      <c r="H1546" s="65"/>
      <c r="I1546" s="65"/>
      <c r="J1546" s="65"/>
      <c r="K1546" s="67" t="s">
        <v>1636</v>
      </c>
      <c r="L1546" s="64" t="s">
        <v>236</v>
      </c>
      <c r="M1546" s="64" t="s">
        <v>73</v>
      </c>
      <c r="N1546" s="64" t="s">
        <v>257</v>
      </c>
      <c r="O1546" s="64" t="s">
        <v>74</v>
      </c>
      <c r="P1546" s="64"/>
      <c r="Q1546" s="64"/>
      <c r="R1546" s="64"/>
      <c r="S1546" s="65"/>
      <c r="T1546" s="194"/>
      <c r="U1546" s="510">
        <v>0</v>
      </c>
      <c r="V1546" s="510"/>
      <c r="W1546" s="510">
        <v>0</v>
      </c>
      <c r="X1546" s="1166">
        <v>0</v>
      </c>
      <c r="Y1546" s="510">
        <v>0</v>
      </c>
      <c r="Z1546" s="510">
        <v>0</v>
      </c>
      <c r="AA1546" s="1166">
        <v>0</v>
      </c>
      <c r="AB1546" s="510">
        <v>0</v>
      </c>
      <c r="AC1546" s="510">
        <v>0</v>
      </c>
      <c r="AD1546" s="1166">
        <v>0</v>
      </c>
      <c r="AE1546" s="510">
        <v>0</v>
      </c>
      <c r="AF1546" s="510">
        <v>0</v>
      </c>
      <c r="AG1546" s="1166">
        <v>0</v>
      </c>
      <c r="AH1546" s="505">
        <f>+U1546+Y1546+AB1546+AF1546</f>
        <v>0</v>
      </c>
      <c r="AI1546" s="132"/>
      <c r="AJ1546" s="75">
        <f t="shared" si="486"/>
        <v>0</v>
      </c>
      <c r="AK1546" s="75"/>
      <c r="AL1546" s="75"/>
      <c r="AM1546" s="75"/>
      <c r="AN1546" s="64" t="s">
        <v>181</v>
      </c>
      <c r="AO1546" s="64"/>
      <c r="AP1546" s="64"/>
      <c r="AQ1546" s="189"/>
      <c r="AR1546" s="64"/>
      <c r="AS1546" s="476"/>
      <c r="AT1546" s="64"/>
      <c r="AU1546" s="646"/>
      <c r="AV1546" s="259"/>
      <c r="AW1546" s="185"/>
    </row>
    <row r="1547" spans="1:49" s="153" customFormat="1" ht="33.6" customHeight="1" outlineLevel="1" collapsed="1" x14ac:dyDescent="0.25">
      <c r="A1547" s="148" t="str">
        <f t="shared" si="415"/>
        <v>5.17.4.8.0.0</v>
      </c>
      <c r="B1547" s="82">
        <v>5</v>
      </c>
      <c r="C1547" s="82">
        <v>17</v>
      </c>
      <c r="D1547" s="82">
        <v>4</v>
      </c>
      <c r="E1547" s="82">
        <v>8</v>
      </c>
      <c r="F1547" s="82">
        <v>0</v>
      </c>
      <c r="G1547" s="82">
        <v>0</v>
      </c>
      <c r="H1547" s="149"/>
      <c r="I1547" s="149"/>
      <c r="J1547" s="1263" t="s">
        <v>1644</v>
      </c>
      <c r="K1547" s="1264"/>
      <c r="L1547" s="82" t="s">
        <v>236</v>
      </c>
      <c r="M1547" s="82" t="s">
        <v>73</v>
      </c>
      <c r="N1547" s="82" t="s">
        <v>257</v>
      </c>
      <c r="O1547" s="82" t="s">
        <v>1613</v>
      </c>
      <c r="P1547" s="294"/>
      <c r="Q1547" s="294"/>
      <c r="R1547" s="82"/>
      <c r="S1547" s="149"/>
      <c r="T1547" s="193"/>
      <c r="U1547" s="512">
        <f t="shared" ref="U1547:AM1547" si="487">+U1548</f>
        <v>0</v>
      </c>
      <c r="V1547" s="512"/>
      <c r="W1547" s="512">
        <f t="shared" si="487"/>
        <v>0</v>
      </c>
      <c r="X1547" s="1165">
        <f t="shared" si="487"/>
        <v>0</v>
      </c>
      <c r="Y1547" s="512">
        <f t="shared" si="487"/>
        <v>0</v>
      </c>
      <c r="Z1547" s="512">
        <f t="shared" si="487"/>
        <v>0</v>
      </c>
      <c r="AA1547" s="1165">
        <f t="shared" si="487"/>
        <v>0</v>
      </c>
      <c r="AB1547" s="512">
        <f t="shared" si="487"/>
        <v>0</v>
      </c>
      <c r="AC1547" s="512">
        <f t="shared" si="487"/>
        <v>0</v>
      </c>
      <c r="AD1547" s="1165">
        <f t="shared" si="487"/>
        <v>0</v>
      </c>
      <c r="AE1547" s="512">
        <f t="shared" si="487"/>
        <v>0</v>
      </c>
      <c r="AF1547" s="512">
        <f t="shared" si="487"/>
        <v>0</v>
      </c>
      <c r="AG1547" s="1165">
        <f t="shared" si="487"/>
        <v>0</v>
      </c>
      <c r="AH1547" s="512">
        <f t="shared" si="487"/>
        <v>0</v>
      </c>
      <c r="AI1547" s="512">
        <f t="shared" si="487"/>
        <v>0</v>
      </c>
      <c r="AJ1547" s="512">
        <f t="shared" si="487"/>
        <v>0</v>
      </c>
      <c r="AK1547" s="512">
        <f t="shared" si="487"/>
        <v>0</v>
      </c>
      <c r="AL1547" s="512">
        <f t="shared" si="487"/>
        <v>0</v>
      </c>
      <c r="AM1547" s="512">
        <f t="shared" si="487"/>
        <v>0</v>
      </c>
      <c r="AN1547" s="82" t="s">
        <v>181</v>
      </c>
      <c r="AO1547" s="82"/>
      <c r="AP1547" s="82"/>
      <c r="AQ1547" s="365"/>
      <c r="AR1547" s="82"/>
      <c r="AS1547" s="483"/>
      <c r="AT1547" s="82"/>
      <c r="AU1547" s="666"/>
      <c r="AV1547" s="358"/>
      <c r="AW1547" s="444"/>
    </row>
    <row r="1548" spans="1:49" ht="32.450000000000003" hidden="1" customHeight="1" outlineLevel="2" x14ac:dyDescent="0.25">
      <c r="A1548" s="63" t="str">
        <f t="shared" si="415"/>
        <v>5.17.4.8.1.58-64</v>
      </c>
      <c r="B1548" s="64">
        <v>5</v>
      </c>
      <c r="C1548" s="64">
        <v>17</v>
      </c>
      <c r="D1548" s="64">
        <v>4</v>
      </c>
      <c r="E1548" s="64">
        <v>8</v>
      </c>
      <c r="F1548" s="64">
        <v>1</v>
      </c>
      <c r="G1548" s="64" t="s">
        <v>64</v>
      </c>
      <c r="H1548" s="65"/>
      <c r="I1548" s="65"/>
      <c r="J1548" s="65"/>
      <c r="K1548" s="65" t="s">
        <v>1645</v>
      </c>
      <c r="L1548" s="64" t="s">
        <v>236</v>
      </c>
      <c r="M1548" s="64" t="s">
        <v>73</v>
      </c>
      <c r="N1548" s="64" t="s">
        <v>257</v>
      </c>
      <c r="O1548" s="64" t="s">
        <v>1613</v>
      </c>
      <c r="P1548" s="64"/>
      <c r="Q1548" s="64"/>
      <c r="R1548" s="64"/>
      <c r="S1548" s="65"/>
      <c r="T1548" s="194"/>
      <c r="U1548" s="510">
        <v>0</v>
      </c>
      <c r="V1548" s="510"/>
      <c r="W1548" s="510">
        <v>0</v>
      </c>
      <c r="X1548" s="1166">
        <v>0</v>
      </c>
      <c r="Y1548" s="510">
        <v>0</v>
      </c>
      <c r="Z1548" s="510">
        <v>0</v>
      </c>
      <c r="AA1548" s="1166">
        <v>0</v>
      </c>
      <c r="AB1548" s="510">
        <v>0</v>
      </c>
      <c r="AC1548" s="510">
        <v>0</v>
      </c>
      <c r="AD1548" s="1166">
        <v>0</v>
      </c>
      <c r="AE1548" s="510">
        <v>0</v>
      </c>
      <c r="AF1548" s="510">
        <v>0</v>
      </c>
      <c r="AG1548" s="1166">
        <v>0</v>
      </c>
      <c r="AH1548" s="505">
        <f>+U1548+Y1548+AB1548+AE1548</f>
        <v>0</v>
      </c>
      <c r="AI1548" s="132"/>
      <c r="AJ1548" s="75">
        <f t="shared" ref="AJ1548" si="488">+W1549+Z1549+AC1549+AF1549</f>
        <v>0</v>
      </c>
      <c r="AK1548" s="75"/>
      <c r="AL1548" s="75"/>
      <c r="AM1548" s="75"/>
      <c r="AN1548" s="64" t="s">
        <v>181</v>
      </c>
      <c r="AO1548" s="64"/>
      <c r="AP1548" s="64"/>
      <c r="AQ1548" s="189"/>
      <c r="AR1548" s="64"/>
      <c r="AS1548" s="476"/>
      <c r="AT1548" s="64"/>
      <c r="AU1548" s="646"/>
      <c r="AV1548" s="259"/>
      <c r="AW1548" s="185"/>
    </row>
    <row r="1549" spans="1:49" s="153" customFormat="1" ht="33.6" customHeight="1" outlineLevel="1" x14ac:dyDescent="0.25">
      <c r="A1549" s="108" t="str">
        <f t="shared" si="415"/>
        <v>5.18.4.0.0.0</v>
      </c>
      <c r="B1549" s="109">
        <v>5</v>
      </c>
      <c r="C1549" s="109">
        <v>18</v>
      </c>
      <c r="D1549" s="109">
        <v>4</v>
      </c>
      <c r="E1549" s="109">
        <v>0</v>
      </c>
      <c r="F1549" s="109">
        <v>0</v>
      </c>
      <c r="G1549" s="109">
        <v>0</v>
      </c>
      <c r="H1549" s="110"/>
      <c r="I1549" s="1265" t="s">
        <v>1646</v>
      </c>
      <c r="J1549" s="1266"/>
      <c r="K1549" s="1267"/>
      <c r="L1549" s="109" t="s">
        <v>612</v>
      </c>
      <c r="M1549" s="109" t="s">
        <v>73</v>
      </c>
      <c r="N1549" s="109" t="s">
        <v>257</v>
      </c>
      <c r="O1549" s="109" t="s">
        <v>1647</v>
      </c>
      <c r="P1549" s="109"/>
      <c r="Q1549" s="109"/>
      <c r="R1549" s="109"/>
      <c r="S1549" s="110"/>
      <c r="T1549" s="1183"/>
      <c r="U1549" s="514">
        <f t="shared" ref="U1549:AH1549" si="489">SUM(U1550)</f>
        <v>0</v>
      </c>
      <c r="V1549" s="514"/>
      <c r="W1549" s="514">
        <f t="shared" si="489"/>
        <v>0</v>
      </c>
      <c r="X1549" s="1164">
        <f t="shared" si="489"/>
        <v>0</v>
      </c>
      <c r="Y1549" s="514">
        <f t="shared" si="489"/>
        <v>0</v>
      </c>
      <c r="Z1549" s="514">
        <f t="shared" si="489"/>
        <v>0</v>
      </c>
      <c r="AA1549" s="1164">
        <f t="shared" si="489"/>
        <v>0</v>
      </c>
      <c r="AB1549" s="514">
        <f t="shared" si="489"/>
        <v>0</v>
      </c>
      <c r="AC1549" s="514">
        <f t="shared" si="489"/>
        <v>0</v>
      </c>
      <c r="AD1549" s="1164">
        <f t="shared" si="489"/>
        <v>0</v>
      </c>
      <c r="AE1549" s="514">
        <f t="shared" si="489"/>
        <v>0</v>
      </c>
      <c r="AF1549" s="514">
        <f t="shared" si="489"/>
        <v>0</v>
      </c>
      <c r="AG1549" s="1164">
        <f t="shared" si="489"/>
        <v>0</v>
      </c>
      <c r="AH1549" s="514">
        <f>SUM(AH1550)</f>
        <v>0</v>
      </c>
      <c r="AI1549" s="514">
        <v>0</v>
      </c>
      <c r="AJ1549" s="514">
        <v>0</v>
      </c>
      <c r="AK1549" s="112"/>
      <c r="AL1549" s="112"/>
      <c r="AM1549" s="112"/>
      <c r="AN1549" s="109" t="s">
        <v>181</v>
      </c>
      <c r="AO1549" s="109"/>
      <c r="AP1549" s="109"/>
      <c r="AQ1549" s="411"/>
      <c r="AR1549" s="109"/>
      <c r="AS1549" s="473"/>
      <c r="AT1549" s="109"/>
      <c r="AU1549" s="659"/>
      <c r="AV1549" s="333"/>
      <c r="AW1549" s="445"/>
    </row>
    <row r="1550" spans="1:49" ht="36" customHeight="1" outlineLevel="1" x14ac:dyDescent="0.25">
      <c r="A1550" s="90" t="str">
        <f t="shared" si="415"/>
        <v>5.18.4.1.1.0</v>
      </c>
      <c r="B1550" s="64">
        <v>5</v>
      </c>
      <c r="C1550" s="64">
        <v>18</v>
      </c>
      <c r="D1550" s="64">
        <v>4</v>
      </c>
      <c r="E1550" s="64">
        <v>1</v>
      </c>
      <c r="F1550" s="64">
        <v>1</v>
      </c>
      <c r="G1550" s="64">
        <v>0</v>
      </c>
      <c r="H1550" s="65"/>
      <c r="I1550" s="65"/>
      <c r="J1550" s="1268" t="s">
        <v>1648</v>
      </c>
      <c r="K1550" s="1268"/>
      <c r="L1550" s="64" t="s">
        <v>612</v>
      </c>
      <c r="M1550" s="64" t="s">
        <v>1649</v>
      </c>
      <c r="N1550" s="64" t="s">
        <v>257</v>
      </c>
      <c r="O1550" s="64" t="s">
        <v>1613</v>
      </c>
      <c r="P1550" s="64"/>
      <c r="Q1550" s="64"/>
      <c r="R1550" s="64"/>
      <c r="S1550" s="170"/>
      <c r="T1550" s="194"/>
      <c r="U1550" s="510">
        <v>0</v>
      </c>
      <c r="V1550" s="510"/>
      <c r="W1550" s="510">
        <v>0</v>
      </c>
      <c r="X1550" s="1166">
        <v>0</v>
      </c>
      <c r="Y1550" s="510">
        <v>0</v>
      </c>
      <c r="Z1550" s="510">
        <v>0</v>
      </c>
      <c r="AA1550" s="1166">
        <v>0</v>
      </c>
      <c r="AB1550" s="510">
        <v>0</v>
      </c>
      <c r="AC1550" s="510">
        <v>0</v>
      </c>
      <c r="AD1550" s="1166">
        <v>0</v>
      </c>
      <c r="AE1550" s="510">
        <v>0</v>
      </c>
      <c r="AF1550" s="510">
        <v>0</v>
      </c>
      <c r="AG1550" s="1166">
        <v>0</v>
      </c>
      <c r="AH1550" s="505">
        <f>+U1550+Y1550+AB1550+AE1550</f>
        <v>0</v>
      </c>
      <c r="AI1550" s="132"/>
      <c r="AJ1550" s="75">
        <f t="shared" ref="AJ1550" si="490">+W1551+Z1551+AC1551+AF1551</f>
        <v>0</v>
      </c>
      <c r="AK1550" s="75"/>
      <c r="AL1550" s="75"/>
      <c r="AM1550" s="75"/>
      <c r="AN1550" s="64" t="s">
        <v>181</v>
      </c>
      <c r="AO1550" s="64"/>
      <c r="AP1550" s="64"/>
      <c r="AQ1550" s="189"/>
      <c r="AR1550" s="64"/>
      <c r="AS1550" s="476"/>
      <c r="AT1550" s="64"/>
      <c r="AU1550" s="646"/>
      <c r="AV1550" s="353"/>
      <c r="AW1550" s="441"/>
    </row>
    <row r="1551" spans="1:49" s="153" customFormat="1" ht="19.350000000000001" customHeight="1" x14ac:dyDescent="0.25">
      <c r="A1551" s="246" t="str">
        <f t="shared" si="415"/>
        <v>6.0.0.0.0.0</v>
      </c>
      <c r="B1551" s="44">
        <v>6</v>
      </c>
      <c r="C1551" s="44">
        <v>0</v>
      </c>
      <c r="D1551" s="44">
        <v>0</v>
      </c>
      <c r="E1551" s="44">
        <v>0</v>
      </c>
      <c r="F1551" s="44">
        <v>0</v>
      </c>
      <c r="G1551" s="44">
        <v>0</v>
      </c>
      <c r="H1551" s="1269" t="s">
        <v>1650</v>
      </c>
      <c r="I1551" s="1270"/>
      <c r="J1551" s="1270"/>
      <c r="K1551" s="1271"/>
      <c r="L1551" s="44" t="s">
        <v>236</v>
      </c>
      <c r="M1551" s="44" t="s">
        <v>1651</v>
      </c>
      <c r="N1551" s="44" t="s">
        <v>226</v>
      </c>
      <c r="O1551" s="44" t="s">
        <v>224</v>
      </c>
      <c r="P1551" s="297">
        <v>44927</v>
      </c>
      <c r="Q1551" s="297">
        <v>45291</v>
      </c>
      <c r="R1551" s="44">
        <f>+R1552</f>
        <v>84</v>
      </c>
      <c r="S1551" s="247" t="s">
        <v>299</v>
      </c>
      <c r="T1551" s="1200">
        <f t="shared" ref="T1551" si="491">+T1552</f>
        <v>21</v>
      </c>
      <c r="U1551" s="393">
        <f t="shared" ref="U1551:AJ1551" si="492">+SUM(U1552)</f>
        <v>0</v>
      </c>
      <c r="V1551" s="393"/>
      <c r="W1551" s="530">
        <f t="shared" si="492"/>
        <v>0</v>
      </c>
      <c r="X1551" s="1167">
        <f t="shared" si="492"/>
        <v>0</v>
      </c>
      <c r="Y1551" s="530">
        <f t="shared" si="492"/>
        <v>0</v>
      </c>
      <c r="Z1551" s="530">
        <f t="shared" si="492"/>
        <v>0</v>
      </c>
      <c r="AA1551" s="1167">
        <f t="shared" si="492"/>
        <v>0</v>
      </c>
      <c r="AB1551" s="530">
        <f t="shared" si="492"/>
        <v>0</v>
      </c>
      <c r="AC1551" s="530">
        <f t="shared" si="492"/>
        <v>0</v>
      </c>
      <c r="AD1551" s="1167">
        <f t="shared" si="492"/>
        <v>0</v>
      </c>
      <c r="AE1551" s="530">
        <f t="shared" si="492"/>
        <v>0</v>
      </c>
      <c r="AF1551" s="530">
        <f t="shared" si="492"/>
        <v>0</v>
      </c>
      <c r="AG1551" s="1167">
        <f t="shared" si="492"/>
        <v>0</v>
      </c>
      <c r="AH1551" s="530">
        <f>+SUM(AH1552)</f>
        <v>0</v>
      </c>
      <c r="AI1551" s="530">
        <f t="shared" si="492"/>
        <v>0</v>
      </c>
      <c r="AJ1551" s="530">
        <f t="shared" si="492"/>
        <v>0</v>
      </c>
      <c r="AK1551" s="248"/>
      <c r="AL1551" s="248"/>
      <c r="AM1551" s="248"/>
      <c r="AN1551" s="44" t="s">
        <v>181</v>
      </c>
      <c r="AO1551" s="44"/>
      <c r="AP1551" s="44"/>
      <c r="AQ1551" s="420"/>
      <c r="AR1551" s="44"/>
      <c r="AS1551" s="486"/>
      <c r="AT1551" s="44"/>
      <c r="AU1551" s="658"/>
      <c r="AV1551" s="332"/>
      <c r="AW1551" s="426" t="s">
        <v>1652</v>
      </c>
    </row>
    <row r="1552" spans="1:49" s="153" customFormat="1" ht="27" customHeight="1" outlineLevel="1" x14ac:dyDescent="0.25">
      <c r="A1552" s="108" t="str">
        <f t="shared" si="415"/>
        <v>6.19.4.0.0.0</v>
      </c>
      <c r="B1552" s="109">
        <v>6</v>
      </c>
      <c r="C1552" s="109">
        <v>19</v>
      </c>
      <c r="D1552" s="109">
        <v>4</v>
      </c>
      <c r="E1552" s="109">
        <v>0</v>
      </c>
      <c r="F1552" s="109">
        <v>0</v>
      </c>
      <c r="G1552" s="109">
        <v>0</v>
      </c>
      <c r="H1552" s="110"/>
      <c r="I1552" s="1258" t="s">
        <v>1653</v>
      </c>
      <c r="J1552" s="1259"/>
      <c r="K1552" s="1259"/>
      <c r="L1552" s="109" t="s">
        <v>224</v>
      </c>
      <c r="M1552" s="109" t="s">
        <v>1654</v>
      </c>
      <c r="N1552" s="109" t="s">
        <v>226</v>
      </c>
      <c r="O1552" s="109" t="s">
        <v>224</v>
      </c>
      <c r="P1552" s="111">
        <v>44927</v>
      </c>
      <c r="Q1552" s="109" t="s">
        <v>2619</v>
      </c>
      <c r="R1552" s="109">
        <f>+R1553+R1561</f>
        <v>84</v>
      </c>
      <c r="S1552" s="110" t="s">
        <v>299</v>
      </c>
      <c r="T1552" s="1183">
        <f t="shared" ref="T1552" si="493">+T1553+T1561</f>
        <v>21</v>
      </c>
      <c r="U1552" s="514">
        <f t="shared" ref="U1552:AM1552" si="494">+U1561+U1553</f>
        <v>0</v>
      </c>
      <c r="V1552" s="514"/>
      <c r="W1552" s="514">
        <f t="shared" si="494"/>
        <v>0</v>
      </c>
      <c r="X1552" s="1164">
        <f t="shared" si="494"/>
        <v>0</v>
      </c>
      <c r="Y1552" s="514">
        <f t="shared" si="494"/>
        <v>0</v>
      </c>
      <c r="Z1552" s="514">
        <f t="shared" si="494"/>
        <v>0</v>
      </c>
      <c r="AA1552" s="1164">
        <f t="shared" si="494"/>
        <v>0</v>
      </c>
      <c r="AB1552" s="514">
        <f t="shared" si="494"/>
        <v>0</v>
      </c>
      <c r="AC1552" s="514">
        <f t="shared" si="494"/>
        <v>0</v>
      </c>
      <c r="AD1552" s="1164">
        <f t="shared" si="494"/>
        <v>0</v>
      </c>
      <c r="AE1552" s="514">
        <f t="shared" si="494"/>
        <v>0</v>
      </c>
      <c r="AF1552" s="514">
        <f t="shared" si="494"/>
        <v>0</v>
      </c>
      <c r="AG1552" s="1164">
        <f t="shared" si="494"/>
        <v>0</v>
      </c>
      <c r="AH1552" s="514">
        <f t="shared" si="494"/>
        <v>0</v>
      </c>
      <c r="AI1552" s="514">
        <f t="shared" si="494"/>
        <v>0</v>
      </c>
      <c r="AJ1552" s="514">
        <f>+AJ1561+AJ1553</f>
        <v>0</v>
      </c>
      <c r="AK1552" s="514">
        <f t="shared" si="494"/>
        <v>0</v>
      </c>
      <c r="AL1552" s="514">
        <f t="shared" si="494"/>
        <v>0</v>
      </c>
      <c r="AM1552" s="514">
        <f t="shared" si="494"/>
        <v>0</v>
      </c>
      <c r="AN1552" s="109" t="s">
        <v>181</v>
      </c>
      <c r="AO1552" s="109"/>
      <c r="AP1552" s="109"/>
      <c r="AQ1552" s="411"/>
      <c r="AR1552" s="109"/>
      <c r="AS1552" s="473"/>
      <c r="AT1552" s="109"/>
      <c r="AU1552" s="659"/>
      <c r="AV1552" s="333"/>
      <c r="AW1552" s="445"/>
    </row>
    <row r="1553" spans="1:49" s="153" customFormat="1" ht="30.6" customHeight="1" outlineLevel="1" collapsed="1" x14ac:dyDescent="0.25">
      <c r="A1553" s="148" t="str">
        <f t="shared" si="415"/>
        <v>6.19.4.1.0.0</v>
      </c>
      <c r="B1553" s="82">
        <v>6</v>
      </c>
      <c r="C1553" s="82">
        <v>19</v>
      </c>
      <c r="D1553" s="82">
        <v>4</v>
      </c>
      <c r="E1553" s="82">
        <v>1</v>
      </c>
      <c r="F1553" s="82">
        <v>0</v>
      </c>
      <c r="G1553" s="82">
        <v>0</v>
      </c>
      <c r="H1553" s="149"/>
      <c r="I1553" s="149"/>
      <c r="J1553" s="1260" t="s">
        <v>1656</v>
      </c>
      <c r="K1553" s="1259"/>
      <c r="L1553" s="82" t="s">
        <v>224</v>
      </c>
      <c r="M1553" s="82" t="s">
        <v>1654</v>
      </c>
      <c r="N1553" s="82" t="s">
        <v>1657</v>
      </c>
      <c r="O1553" s="82" t="s">
        <v>224</v>
      </c>
      <c r="P1553" s="84">
        <v>44927</v>
      </c>
      <c r="Q1553" s="84">
        <v>45291</v>
      </c>
      <c r="R1553" s="82">
        <f>+SUM(R1554:R1560)</f>
        <v>84</v>
      </c>
      <c r="S1553" s="149" t="s">
        <v>299</v>
      </c>
      <c r="T1553" s="193">
        <f t="shared" ref="T1553:AJ1553" si="495">+SUM(T1554:T1560)</f>
        <v>21</v>
      </c>
      <c r="U1553" s="512">
        <f t="shared" si="495"/>
        <v>0</v>
      </c>
      <c r="V1553" s="512"/>
      <c r="W1553" s="512">
        <f t="shared" si="495"/>
        <v>0</v>
      </c>
      <c r="X1553" s="1165">
        <f t="shared" si="495"/>
        <v>0</v>
      </c>
      <c r="Y1553" s="512">
        <f t="shared" si="495"/>
        <v>0</v>
      </c>
      <c r="Z1553" s="512">
        <f t="shared" si="495"/>
        <v>0</v>
      </c>
      <c r="AA1553" s="1165">
        <f t="shared" si="495"/>
        <v>0</v>
      </c>
      <c r="AB1553" s="512">
        <f t="shared" si="495"/>
        <v>0</v>
      </c>
      <c r="AC1553" s="512">
        <f t="shared" si="495"/>
        <v>0</v>
      </c>
      <c r="AD1553" s="1165">
        <f t="shared" si="495"/>
        <v>0</v>
      </c>
      <c r="AE1553" s="512">
        <f t="shared" si="495"/>
        <v>0</v>
      </c>
      <c r="AF1553" s="512">
        <f t="shared" si="495"/>
        <v>0</v>
      </c>
      <c r="AG1553" s="1165">
        <f t="shared" si="495"/>
        <v>0</v>
      </c>
      <c r="AH1553" s="512">
        <f t="shared" si="495"/>
        <v>0</v>
      </c>
      <c r="AI1553" s="512">
        <f t="shared" si="495"/>
        <v>0</v>
      </c>
      <c r="AJ1553" s="512">
        <f t="shared" si="495"/>
        <v>0</v>
      </c>
      <c r="AK1553" s="152"/>
      <c r="AL1553" s="152"/>
      <c r="AM1553" s="152"/>
      <c r="AN1553" s="82" t="s">
        <v>181</v>
      </c>
      <c r="AO1553" s="82"/>
      <c r="AP1553" s="82"/>
      <c r="AQ1553" s="365"/>
      <c r="AR1553" s="82"/>
      <c r="AS1553" s="483"/>
      <c r="AT1553" s="82"/>
      <c r="AU1553" s="666"/>
      <c r="AV1553" s="358"/>
      <c r="AW1553" s="444"/>
    </row>
    <row r="1554" spans="1:49" ht="26.1" hidden="1" customHeight="1" outlineLevel="2" x14ac:dyDescent="0.25">
      <c r="A1554" s="63" t="str">
        <f t="shared" si="415"/>
        <v>6.19.4.1.1.59</v>
      </c>
      <c r="B1554" s="64">
        <v>6</v>
      </c>
      <c r="C1554" s="64">
        <v>19</v>
      </c>
      <c r="D1554" s="64">
        <v>4</v>
      </c>
      <c r="E1554" s="64">
        <v>1</v>
      </c>
      <c r="F1554" s="64">
        <v>1</v>
      </c>
      <c r="G1554" s="64">
        <v>59</v>
      </c>
      <c r="H1554" s="65"/>
      <c r="I1554" s="65"/>
      <c r="J1554" s="65"/>
      <c r="K1554" s="65" t="s">
        <v>1658</v>
      </c>
      <c r="L1554" s="64" t="s">
        <v>224</v>
      </c>
      <c r="M1554" s="64" t="s">
        <v>1654</v>
      </c>
      <c r="N1554" s="64" t="s">
        <v>1657</v>
      </c>
      <c r="O1554" s="64" t="s">
        <v>224</v>
      </c>
      <c r="P1554" s="69">
        <v>44927</v>
      </c>
      <c r="Q1554" s="69">
        <v>45291</v>
      </c>
      <c r="R1554" s="64">
        <v>12</v>
      </c>
      <c r="S1554" s="65" t="s">
        <v>299</v>
      </c>
      <c r="T1554" s="194">
        <v>3</v>
      </c>
      <c r="U1554" s="370">
        <v>0</v>
      </c>
      <c r="V1554" s="370"/>
      <c r="W1554" s="370">
        <v>0</v>
      </c>
      <c r="X1554" s="1129">
        <v>0</v>
      </c>
      <c r="Y1554" s="370">
        <v>0</v>
      </c>
      <c r="Z1554" s="370">
        <v>0</v>
      </c>
      <c r="AA1554" s="1129">
        <v>0</v>
      </c>
      <c r="AB1554" s="370">
        <v>0</v>
      </c>
      <c r="AC1554" s="370">
        <v>0</v>
      </c>
      <c r="AD1554" s="1129">
        <v>0</v>
      </c>
      <c r="AE1554" s="370">
        <v>0</v>
      </c>
      <c r="AF1554" s="370">
        <v>0</v>
      </c>
      <c r="AG1554" s="1129">
        <v>0</v>
      </c>
      <c r="AH1554" s="505">
        <f t="shared" ref="AH1554:AH1560" si="496">+U1554+Y1554+AB1554+AE1554</f>
        <v>0</v>
      </c>
      <c r="AI1554" s="132"/>
      <c r="AJ1554" s="75">
        <f t="shared" ref="AJ1554:AJ1560" si="497">+W1555+Z1555+AC1555+AF1555</f>
        <v>0</v>
      </c>
      <c r="AK1554" s="75"/>
      <c r="AL1554" s="75"/>
      <c r="AM1554" s="75"/>
      <c r="AN1554" s="64" t="s">
        <v>181</v>
      </c>
      <c r="AO1554" s="64"/>
      <c r="AP1554" s="64"/>
      <c r="AQ1554" s="189"/>
      <c r="AR1554" s="64"/>
      <c r="AS1554" s="476"/>
      <c r="AT1554" s="64"/>
      <c r="AU1554" s="646"/>
      <c r="AV1554" s="343" t="s">
        <v>1659</v>
      </c>
      <c r="AW1554" s="185"/>
    </row>
    <row r="1555" spans="1:49" ht="26.1" hidden="1" customHeight="1" outlineLevel="2" x14ac:dyDescent="0.25">
      <c r="A1555" s="63" t="str">
        <f t="shared" si="415"/>
        <v>6.19.4.1.2.63</v>
      </c>
      <c r="B1555" s="64">
        <v>6</v>
      </c>
      <c r="C1555" s="64">
        <v>19</v>
      </c>
      <c r="D1555" s="64">
        <v>4</v>
      </c>
      <c r="E1555" s="64">
        <v>1</v>
      </c>
      <c r="F1555" s="64">
        <v>2</v>
      </c>
      <c r="G1555" s="64">
        <v>63</v>
      </c>
      <c r="H1555" s="65"/>
      <c r="I1555" s="65"/>
      <c r="J1555" s="65"/>
      <c r="K1555" s="65" t="s">
        <v>1660</v>
      </c>
      <c r="L1555" s="64" t="s">
        <v>224</v>
      </c>
      <c r="M1555" s="64" t="s">
        <v>1654</v>
      </c>
      <c r="N1555" s="64" t="s">
        <v>1657</v>
      </c>
      <c r="O1555" s="64" t="s">
        <v>224</v>
      </c>
      <c r="P1555" s="69">
        <v>44927</v>
      </c>
      <c r="Q1555" s="69">
        <v>45291</v>
      </c>
      <c r="R1555" s="64">
        <v>12</v>
      </c>
      <c r="S1555" s="65" t="s">
        <v>299</v>
      </c>
      <c r="T1555" s="194">
        <v>3</v>
      </c>
      <c r="U1555" s="370">
        <v>0</v>
      </c>
      <c r="V1555" s="370"/>
      <c r="W1555" s="370">
        <v>0</v>
      </c>
      <c r="X1555" s="1129">
        <v>0</v>
      </c>
      <c r="Y1555" s="370">
        <v>0</v>
      </c>
      <c r="Z1555" s="370">
        <v>0</v>
      </c>
      <c r="AA1555" s="1129">
        <v>0</v>
      </c>
      <c r="AB1555" s="370">
        <v>0</v>
      </c>
      <c r="AC1555" s="370">
        <v>0</v>
      </c>
      <c r="AD1555" s="1129">
        <v>0</v>
      </c>
      <c r="AE1555" s="370">
        <v>0</v>
      </c>
      <c r="AF1555" s="370">
        <v>0</v>
      </c>
      <c r="AG1555" s="1129">
        <v>0</v>
      </c>
      <c r="AH1555" s="505">
        <f t="shared" si="496"/>
        <v>0</v>
      </c>
      <c r="AI1555" s="132"/>
      <c r="AJ1555" s="75">
        <f t="shared" si="497"/>
        <v>0</v>
      </c>
      <c r="AK1555" s="75"/>
      <c r="AL1555" s="75"/>
      <c r="AM1555" s="75"/>
      <c r="AN1555" s="64" t="s">
        <v>181</v>
      </c>
      <c r="AO1555" s="64"/>
      <c r="AP1555" s="64"/>
      <c r="AQ1555" s="189"/>
      <c r="AR1555" s="64"/>
      <c r="AS1555" s="476"/>
      <c r="AT1555" s="64"/>
      <c r="AU1555" s="646"/>
      <c r="AV1555" s="343" t="s">
        <v>1659</v>
      </c>
      <c r="AW1555" s="185"/>
    </row>
    <row r="1556" spans="1:49" ht="26.1" hidden="1" customHeight="1" outlineLevel="2" x14ac:dyDescent="0.25">
      <c r="A1556" s="63" t="str">
        <f t="shared" si="415"/>
        <v>6.19.4.1.3.64</v>
      </c>
      <c r="B1556" s="64">
        <v>6</v>
      </c>
      <c r="C1556" s="64">
        <v>19</v>
      </c>
      <c r="D1556" s="64">
        <v>4</v>
      </c>
      <c r="E1556" s="64">
        <v>1</v>
      </c>
      <c r="F1556" s="64">
        <v>3</v>
      </c>
      <c r="G1556" s="64">
        <v>64</v>
      </c>
      <c r="H1556" s="65"/>
      <c r="I1556" s="65"/>
      <c r="J1556" s="65"/>
      <c r="K1556" s="65" t="s">
        <v>1661</v>
      </c>
      <c r="L1556" s="64" t="s">
        <v>224</v>
      </c>
      <c r="M1556" s="64" t="s">
        <v>1654</v>
      </c>
      <c r="N1556" s="64" t="s">
        <v>1657</v>
      </c>
      <c r="O1556" s="64" t="s">
        <v>224</v>
      </c>
      <c r="P1556" s="69">
        <v>44927</v>
      </c>
      <c r="Q1556" s="69">
        <v>45291</v>
      </c>
      <c r="R1556" s="64">
        <v>12</v>
      </c>
      <c r="S1556" s="65" t="s">
        <v>299</v>
      </c>
      <c r="T1556" s="194">
        <v>3</v>
      </c>
      <c r="U1556" s="370">
        <v>0</v>
      </c>
      <c r="V1556" s="370"/>
      <c r="W1556" s="370">
        <v>0</v>
      </c>
      <c r="X1556" s="1129">
        <v>0</v>
      </c>
      <c r="Y1556" s="370">
        <v>0</v>
      </c>
      <c r="Z1556" s="370">
        <v>0</v>
      </c>
      <c r="AA1556" s="1129">
        <v>0</v>
      </c>
      <c r="AB1556" s="370">
        <v>0</v>
      </c>
      <c r="AC1556" s="370">
        <v>0</v>
      </c>
      <c r="AD1556" s="1129">
        <v>0</v>
      </c>
      <c r="AE1556" s="370">
        <v>0</v>
      </c>
      <c r="AF1556" s="370">
        <v>0</v>
      </c>
      <c r="AG1556" s="1129">
        <v>0</v>
      </c>
      <c r="AH1556" s="505">
        <f t="shared" si="496"/>
        <v>0</v>
      </c>
      <c r="AI1556" s="132"/>
      <c r="AJ1556" s="75">
        <f t="shared" si="497"/>
        <v>0</v>
      </c>
      <c r="AK1556" s="75"/>
      <c r="AL1556" s="75"/>
      <c r="AM1556" s="75"/>
      <c r="AN1556" s="64" t="s">
        <v>181</v>
      </c>
      <c r="AO1556" s="64"/>
      <c r="AP1556" s="64"/>
      <c r="AQ1556" s="189"/>
      <c r="AR1556" s="64"/>
      <c r="AS1556" s="476"/>
      <c r="AT1556" s="64"/>
      <c r="AU1556" s="646"/>
      <c r="AV1556" s="343" t="s">
        <v>1659</v>
      </c>
      <c r="AW1556" s="185"/>
    </row>
    <row r="1557" spans="1:49" ht="26.1" hidden="1" customHeight="1" outlineLevel="2" x14ac:dyDescent="0.25">
      <c r="A1557" s="63" t="str">
        <f t="shared" si="415"/>
        <v>6.19.4.1.4.61</v>
      </c>
      <c r="B1557" s="64">
        <v>6</v>
      </c>
      <c r="C1557" s="64">
        <v>19</v>
      </c>
      <c r="D1557" s="64">
        <v>4</v>
      </c>
      <c r="E1557" s="64">
        <v>1</v>
      </c>
      <c r="F1557" s="64">
        <v>4</v>
      </c>
      <c r="G1557" s="64">
        <v>61</v>
      </c>
      <c r="H1557" s="65"/>
      <c r="I1557" s="65"/>
      <c r="J1557" s="65"/>
      <c r="K1557" s="65" t="s">
        <v>1662</v>
      </c>
      <c r="L1557" s="64" t="s">
        <v>224</v>
      </c>
      <c r="M1557" s="64" t="s">
        <v>1654</v>
      </c>
      <c r="N1557" s="64" t="s">
        <v>1657</v>
      </c>
      <c r="O1557" s="64" t="s">
        <v>224</v>
      </c>
      <c r="P1557" s="69">
        <v>44927</v>
      </c>
      <c r="Q1557" s="69">
        <v>45291</v>
      </c>
      <c r="R1557" s="64">
        <v>12</v>
      </c>
      <c r="S1557" s="65" t="s">
        <v>299</v>
      </c>
      <c r="T1557" s="194">
        <v>3</v>
      </c>
      <c r="U1557" s="370">
        <v>0</v>
      </c>
      <c r="V1557" s="370"/>
      <c r="W1557" s="370">
        <v>0</v>
      </c>
      <c r="X1557" s="1129">
        <v>0</v>
      </c>
      <c r="Y1557" s="370">
        <v>0</v>
      </c>
      <c r="Z1557" s="370">
        <v>0</v>
      </c>
      <c r="AA1557" s="1129">
        <v>0</v>
      </c>
      <c r="AB1557" s="370">
        <v>0</v>
      </c>
      <c r="AC1557" s="370">
        <v>0</v>
      </c>
      <c r="AD1557" s="1129">
        <v>0</v>
      </c>
      <c r="AE1557" s="370">
        <v>0</v>
      </c>
      <c r="AF1557" s="370">
        <v>0</v>
      </c>
      <c r="AG1557" s="1129">
        <v>0</v>
      </c>
      <c r="AH1557" s="505">
        <f t="shared" si="496"/>
        <v>0</v>
      </c>
      <c r="AI1557" s="132"/>
      <c r="AJ1557" s="75">
        <f t="shared" si="497"/>
        <v>0</v>
      </c>
      <c r="AK1557" s="75"/>
      <c r="AL1557" s="75"/>
      <c r="AM1557" s="75"/>
      <c r="AN1557" s="64" t="s">
        <v>181</v>
      </c>
      <c r="AO1557" s="64"/>
      <c r="AP1557" s="64"/>
      <c r="AQ1557" s="189"/>
      <c r="AR1557" s="64"/>
      <c r="AS1557" s="476"/>
      <c r="AT1557" s="64"/>
      <c r="AU1557" s="646"/>
      <c r="AV1557" s="343" t="s">
        <v>1659</v>
      </c>
      <c r="AW1557" s="185"/>
    </row>
    <row r="1558" spans="1:49" ht="26.1" hidden="1" customHeight="1" outlineLevel="2" x14ac:dyDescent="0.25">
      <c r="A1558" s="63" t="str">
        <f t="shared" si="415"/>
        <v>6.19.4.1.5.62</v>
      </c>
      <c r="B1558" s="64">
        <v>6</v>
      </c>
      <c r="C1558" s="64">
        <v>19</v>
      </c>
      <c r="D1558" s="64">
        <v>4</v>
      </c>
      <c r="E1558" s="64">
        <v>1</v>
      </c>
      <c r="F1558" s="64">
        <v>5</v>
      </c>
      <c r="G1558" s="64">
        <v>62</v>
      </c>
      <c r="H1558" s="65"/>
      <c r="I1558" s="65"/>
      <c r="J1558" s="65"/>
      <c r="K1558" s="65" t="s">
        <v>1663</v>
      </c>
      <c r="L1558" s="64" t="s">
        <v>224</v>
      </c>
      <c r="M1558" s="64" t="s">
        <v>1654</v>
      </c>
      <c r="N1558" s="64" t="s">
        <v>1657</v>
      </c>
      <c r="O1558" s="64" t="s">
        <v>224</v>
      </c>
      <c r="P1558" s="69">
        <v>44927</v>
      </c>
      <c r="Q1558" s="69">
        <v>45291</v>
      </c>
      <c r="R1558" s="64">
        <v>12</v>
      </c>
      <c r="S1558" s="65" t="s">
        <v>299</v>
      </c>
      <c r="T1558" s="194">
        <v>3</v>
      </c>
      <c r="U1558" s="370">
        <v>0</v>
      </c>
      <c r="V1558" s="370"/>
      <c r="W1558" s="370">
        <v>0</v>
      </c>
      <c r="X1558" s="1129">
        <v>0</v>
      </c>
      <c r="Y1558" s="370">
        <v>0</v>
      </c>
      <c r="Z1558" s="370">
        <v>0</v>
      </c>
      <c r="AA1558" s="1129">
        <v>0</v>
      </c>
      <c r="AB1558" s="370">
        <v>0</v>
      </c>
      <c r="AC1558" s="370">
        <v>0</v>
      </c>
      <c r="AD1558" s="1129">
        <v>0</v>
      </c>
      <c r="AE1558" s="370">
        <v>0</v>
      </c>
      <c r="AF1558" s="370">
        <v>0</v>
      </c>
      <c r="AG1558" s="1129">
        <v>0</v>
      </c>
      <c r="AH1558" s="505">
        <f t="shared" si="496"/>
        <v>0</v>
      </c>
      <c r="AI1558" s="132"/>
      <c r="AJ1558" s="75">
        <f t="shared" si="497"/>
        <v>0</v>
      </c>
      <c r="AK1558" s="75"/>
      <c r="AL1558" s="75"/>
      <c r="AM1558" s="75"/>
      <c r="AN1558" s="64" t="s">
        <v>181</v>
      </c>
      <c r="AO1558" s="64"/>
      <c r="AP1558" s="64"/>
      <c r="AQ1558" s="189"/>
      <c r="AR1558" s="64"/>
      <c r="AS1558" s="476"/>
      <c r="AT1558" s="64"/>
      <c r="AU1558" s="646"/>
      <c r="AV1558" s="343" t="s">
        <v>1659</v>
      </c>
      <c r="AW1558" s="185"/>
    </row>
    <row r="1559" spans="1:49" ht="26.1" hidden="1" customHeight="1" outlineLevel="2" x14ac:dyDescent="0.25">
      <c r="A1559" s="63" t="str">
        <f t="shared" si="415"/>
        <v>6.19.4.1.6.60</v>
      </c>
      <c r="B1559" s="64">
        <v>6</v>
      </c>
      <c r="C1559" s="64">
        <v>19</v>
      </c>
      <c r="D1559" s="64">
        <v>4</v>
      </c>
      <c r="E1559" s="64">
        <v>1</v>
      </c>
      <c r="F1559" s="64">
        <v>6</v>
      </c>
      <c r="G1559" s="64">
        <v>60</v>
      </c>
      <c r="H1559" s="65"/>
      <c r="I1559" s="65"/>
      <c r="J1559" s="65"/>
      <c r="K1559" s="65" t="s">
        <v>1664</v>
      </c>
      <c r="L1559" s="64" t="s">
        <v>224</v>
      </c>
      <c r="M1559" s="64" t="s">
        <v>1654</v>
      </c>
      <c r="N1559" s="64" t="s">
        <v>1657</v>
      </c>
      <c r="O1559" s="64" t="s">
        <v>224</v>
      </c>
      <c r="P1559" s="69">
        <v>44927</v>
      </c>
      <c r="Q1559" s="69">
        <v>45291</v>
      </c>
      <c r="R1559" s="64">
        <v>12</v>
      </c>
      <c r="S1559" s="65" t="s">
        <v>299</v>
      </c>
      <c r="T1559" s="194">
        <v>3</v>
      </c>
      <c r="U1559" s="370">
        <v>0</v>
      </c>
      <c r="V1559" s="370"/>
      <c r="W1559" s="370">
        <v>0</v>
      </c>
      <c r="X1559" s="1129">
        <v>0</v>
      </c>
      <c r="Y1559" s="370">
        <v>0</v>
      </c>
      <c r="Z1559" s="370">
        <v>0</v>
      </c>
      <c r="AA1559" s="1129">
        <v>0</v>
      </c>
      <c r="AB1559" s="370">
        <v>0</v>
      </c>
      <c r="AC1559" s="370">
        <v>0</v>
      </c>
      <c r="AD1559" s="1129">
        <v>0</v>
      </c>
      <c r="AE1559" s="370">
        <v>0</v>
      </c>
      <c r="AF1559" s="370">
        <v>0</v>
      </c>
      <c r="AG1559" s="1129">
        <v>0</v>
      </c>
      <c r="AH1559" s="505">
        <f t="shared" si="496"/>
        <v>0</v>
      </c>
      <c r="AI1559" s="132"/>
      <c r="AJ1559" s="75">
        <f t="shared" si="497"/>
        <v>0</v>
      </c>
      <c r="AK1559" s="75"/>
      <c r="AL1559" s="75"/>
      <c r="AM1559" s="75"/>
      <c r="AN1559" s="64" t="s">
        <v>181</v>
      </c>
      <c r="AO1559" s="64"/>
      <c r="AP1559" s="64"/>
      <c r="AQ1559" s="189"/>
      <c r="AR1559" s="64"/>
      <c r="AS1559" s="476"/>
      <c r="AT1559" s="64"/>
      <c r="AU1559" s="646"/>
      <c r="AV1559" s="343" t="s">
        <v>1659</v>
      </c>
      <c r="AW1559" s="185"/>
    </row>
    <row r="1560" spans="1:49" ht="41.1" hidden="1" customHeight="1" outlineLevel="2" x14ac:dyDescent="0.25">
      <c r="A1560" s="63" t="str">
        <f t="shared" si="415"/>
        <v>6.19.4.1.7.58</v>
      </c>
      <c r="B1560" s="64">
        <v>6</v>
      </c>
      <c r="C1560" s="64">
        <v>19</v>
      </c>
      <c r="D1560" s="64">
        <v>4</v>
      </c>
      <c r="E1560" s="64">
        <v>1</v>
      </c>
      <c r="F1560" s="64">
        <v>7</v>
      </c>
      <c r="G1560" s="64">
        <v>58</v>
      </c>
      <c r="H1560" s="65"/>
      <c r="I1560" s="65"/>
      <c r="J1560" s="65"/>
      <c r="K1560" s="67" t="s">
        <v>1665</v>
      </c>
      <c r="L1560" s="64" t="s">
        <v>224</v>
      </c>
      <c r="M1560" s="64" t="s">
        <v>1654</v>
      </c>
      <c r="N1560" s="64" t="s">
        <v>1657</v>
      </c>
      <c r="O1560" s="64" t="s">
        <v>224</v>
      </c>
      <c r="P1560" s="69">
        <v>44927</v>
      </c>
      <c r="Q1560" s="69">
        <v>45291</v>
      </c>
      <c r="R1560" s="64">
        <v>12</v>
      </c>
      <c r="S1560" s="65" t="s">
        <v>299</v>
      </c>
      <c r="T1560" s="194">
        <v>3</v>
      </c>
      <c r="U1560" s="370">
        <v>0</v>
      </c>
      <c r="V1560" s="370"/>
      <c r="W1560" s="370">
        <v>0</v>
      </c>
      <c r="X1560" s="1129">
        <v>0</v>
      </c>
      <c r="Y1560" s="370">
        <v>0</v>
      </c>
      <c r="Z1560" s="370">
        <v>0</v>
      </c>
      <c r="AA1560" s="1129">
        <v>0</v>
      </c>
      <c r="AB1560" s="370">
        <v>0</v>
      </c>
      <c r="AC1560" s="370">
        <v>0</v>
      </c>
      <c r="AD1560" s="1129">
        <v>0</v>
      </c>
      <c r="AE1560" s="370">
        <v>0</v>
      </c>
      <c r="AF1560" s="370">
        <v>0</v>
      </c>
      <c r="AG1560" s="1129">
        <v>0</v>
      </c>
      <c r="AH1560" s="505">
        <f t="shared" si="496"/>
        <v>0</v>
      </c>
      <c r="AI1560" s="132"/>
      <c r="AJ1560" s="75">
        <f t="shared" si="497"/>
        <v>0</v>
      </c>
      <c r="AK1560" s="75"/>
      <c r="AL1560" s="75"/>
      <c r="AM1560" s="75"/>
      <c r="AN1560" s="64" t="s">
        <v>181</v>
      </c>
      <c r="AO1560" s="64"/>
      <c r="AP1560" s="64"/>
      <c r="AQ1560" s="189"/>
      <c r="AR1560" s="64"/>
      <c r="AS1560" s="476"/>
      <c r="AT1560" s="64"/>
      <c r="AU1560" s="646"/>
      <c r="AV1560" s="343" t="s">
        <v>1659</v>
      </c>
      <c r="AW1560" s="185"/>
    </row>
    <row r="1561" spans="1:49" s="153" customFormat="1" ht="28.35" customHeight="1" outlineLevel="1" collapsed="1" x14ac:dyDescent="0.25">
      <c r="A1561" s="298" t="str">
        <f t="shared" si="415"/>
        <v>6.19.4.2.0.0</v>
      </c>
      <c r="B1561" s="299">
        <v>6</v>
      </c>
      <c r="C1561" s="299">
        <v>19</v>
      </c>
      <c r="D1561" s="299">
        <v>4</v>
      </c>
      <c r="E1561" s="299">
        <v>2</v>
      </c>
      <c r="F1561" s="299">
        <v>0</v>
      </c>
      <c r="G1561" s="299">
        <v>0</v>
      </c>
      <c r="H1561" s="300"/>
      <c r="I1561" s="300"/>
      <c r="J1561" s="1261" t="s">
        <v>1666</v>
      </c>
      <c r="K1561" s="1262"/>
      <c r="L1561" s="299" t="s">
        <v>224</v>
      </c>
      <c r="M1561" s="299" t="s">
        <v>76</v>
      </c>
      <c r="N1561" s="299" t="s">
        <v>74</v>
      </c>
      <c r="O1561" s="299" t="s">
        <v>224</v>
      </c>
      <c r="P1561" s="299" t="s">
        <v>649</v>
      </c>
      <c r="Q1561" s="299" t="s">
        <v>649</v>
      </c>
      <c r="R1561" s="299">
        <f>+SUM(R1562)</f>
        <v>0</v>
      </c>
      <c r="S1561" s="300" t="s">
        <v>76</v>
      </c>
      <c r="T1561" s="1202">
        <v>0</v>
      </c>
      <c r="U1561" s="394">
        <f t="shared" ref="U1561:AH1561" si="498">SUM(U1562:U1575)</f>
        <v>0</v>
      </c>
      <c r="V1561" s="394"/>
      <c r="W1561" s="531">
        <f t="shared" si="498"/>
        <v>0</v>
      </c>
      <c r="X1561" s="1168">
        <f t="shared" si="498"/>
        <v>0</v>
      </c>
      <c r="Y1561" s="531">
        <f t="shared" si="498"/>
        <v>0</v>
      </c>
      <c r="Z1561" s="531">
        <f t="shared" si="498"/>
        <v>0</v>
      </c>
      <c r="AA1561" s="1168">
        <f t="shared" si="498"/>
        <v>0</v>
      </c>
      <c r="AB1561" s="531">
        <f t="shared" si="498"/>
        <v>0</v>
      </c>
      <c r="AC1561" s="531">
        <f t="shared" si="498"/>
        <v>0</v>
      </c>
      <c r="AD1561" s="1168">
        <f t="shared" si="498"/>
        <v>0</v>
      </c>
      <c r="AE1561" s="531">
        <f t="shared" si="498"/>
        <v>0</v>
      </c>
      <c r="AF1561" s="531">
        <f t="shared" si="498"/>
        <v>0</v>
      </c>
      <c r="AG1561" s="1168">
        <f t="shared" si="498"/>
        <v>0</v>
      </c>
      <c r="AH1561" s="531">
        <f t="shared" si="498"/>
        <v>0</v>
      </c>
      <c r="AI1561" s="531">
        <f>+SUM(AI1562)</f>
        <v>0</v>
      </c>
      <c r="AJ1561" s="531">
        <f>+SUM(AJ1562:AM1575)</f>
        <v>0</v>
      </c>
      <c r="AK1561" s="301"/>
      <c r="AL1561" s="301"/>
      <c r="AM1561" s="301"/>
      <c r="AN1561" s="299" t="s">
        <v>181</v>
      </c>
      <c r="AO1561" s="299"/>
      <c r="AP1561" s="299"/>
      <c r="AQ1561" s="424"/>
      <c r="AR1561" s="82"/>
      <c r="AS1561" s="490"/>
      <c r="AT1561" s="82"/>
      <c r="AU1561" s="666"/>
      <c r="AV1561" s="368" t="s">
        <v>649</v>
      </c>
      <c r="AW1561" s="462"/>
    </row>
    <row r="1562" spans="1:49" s="170" customFormat="1" ht="36" hidden="1" customHeight="1" outlineLevel="5" x14ac:dyDescent="0.25">
      <c r="A1562" s="63" t="str">
        <f t="shared" si="415"/>
        <v>6.19.4.2.1.58</v>
      </c>
      <c r="B1562" s="64">
        <v>6</v>
      </c>
      <c r="C1562" s="64">
        <v>19</v>
      </c>
      <c r="D1562" s="64">
        <v>4</v>
      </c>
      <c r="E1562" s="64">
        <v>2</v>
      </c>
      <c r="F1562" s="64">
        <v>1</v>
      </c>
      <c r="G1562" s="64">
        <v>58</v>
      </c>
      <c r="H1562" s="65"/>
      <c r="I1562" s="65"/>
      <c r="J1562" s="65"/>
      <c r="K1562" s="65" t="s">
        <v>1667</v>
      </c>
      <c r="L1562" s="64" t="s">
        <v>72</v>
      </c>
      <c r="M1562" s="64" t="s">
        <v>76</v>
      </c>
      <c r="N1562" s="64" t="s">
        <v>74</v>
      </c>
      <c r="O1562" s="64" t="s">
        <v>224</v>
      </c>
      <c r="P1562" s="64" t="s">
        <v>649</v>
      </c>
      <c r="Q1562" s="64" t="s">
        <v>649</v>
      </c>
      <c r="R1562" s="64" t="s">
        <v>649</v>
      </c>
      <c r="S1562" s="65" t="s">
        <v>76</v>
      </c>
      <c r="T1562" s="194">
        <v>0</v>
      </c>
      <c r="U1562" s="510">
        <v>0</v>
      </c>
      <c r="V1562" s="510"/>
      <c r="W1562" s="370">
        <v>0</v>
      </c>
      <c r="X1562" s="1129">
        <v>0</v>
      </c>
      <c r="Y1562" s="370">
        <v>0</v>
      </c>
      <c r="Z1562" s="370">
        <v>0</v>
      </c>
      <c r="AA1562" s="1129">
        <v>0</v>
      </c>
      <c r="AB1562" s="370">
        <v>0</v>
      </c>
      <c r="AC1562" s="370">
        <v>0</v>
      </c>
      <c r="AD1562" s="1129">
        <v>0</v>
      </c>
      <c r="AE1562" s="370">
        <v>0</v>
      </c>
      <c r="AF1562" s="370">
        <v>0</v>
      </c>
      <c r="AG1562" s="1129">
        <v>0</v>
      </c>
      <c r="AH1562" s="505">
        <f t="shared" ref="AH1562:AH1575" si="499">+U1562+Y1562+AB1562+AE1562</f>
        <v>0</v>
      </c>
      <c r="AI1562" s="132"/>
      <c r="AJ1562" s="75">
        <f t="shared" ref="AJ1562:AJ1575" si="500">+W1563+Z1563+AC1563+AF1563</f>
        <v>0</v>
      </c>
      <c r="AK1562" s="75"/>
      <c r="AL1562" s="75"/>
      <c r="AM1562" s="75"/>
      <c r="AN1562" s="64" t="s">
        <v>181</v>
      </c>
      <c r="AO1562" s="64"/>
      <c r="AP1562" s="64"/>
      <c r="AQ1562" s="189"/>
      <c r="AR1562" s="64"/>
      <c r="AS1562" s="476"/>
      <c r="AT1562" s="64"/>
      <c r="AU1562" s="646"/>
      <c r="AV1562" s="259" t="s">
        <v>649</v>
      </c>
      <c r="AW1562" s="185"/>
    </row>
    <row r="1563" spans="1:49" s="170" customFormat="1" ht="36" hidden="1" customHeight="1" outlineLevel="2" x14ac:dyDescent="0.25">
      <c r="A1563" s="63" t="str">
        <f t="shared" si="415"/>
        <v>6.19.4.2.2.59</v>
      </c>
      <c r="B1563" s="64">
        <v>6</v>
      </c>
      <c r="C1563" s="64">
        <v>19</v>
      </c>
      <c r="D1563" s="64">
        <v>4</v>
      </c>
      <c r="E1563" s="64">
        <v>2</v>
      </c>
      <c r="F1563" s="64">
        <v>2</v>
      </c>
      <c r="G1563" s="64">
        <v>59</v>
      </c>
      <c r="H1563" s="65"/>
      <c r="I1563" s="65"/>
      <c r="J1563" s="65"/>
      <c r="K1563" s="65" t="s">
        <v>1667</v>
      </c>
      <c r="L1563" s="64" t="s">
        <v>72</v>
      </c>
      <c r="M1563" s="64" t="s">
        <v>76</v>
      </c>
      <c r="N1563" s="64" t="s">
        <v>74</v>
      </c>
      <c r="O1563" s="64" t="s">
        <v>224</v>
      </c>
      <c r="P1563" s="64" t="s">
        <v>649</v>
      </c>
      <c r="R1563" s="303"/>
      <c r="S1563" s="304"/>
      <c r="T1563" s="1213"/>
      <c r="U1563" s="510">
        <v>0</v>
      </c>
      <c r="V1563" s="510"/>
      <c r="W1563" s="370">
        <v>0</v>
      </c>
      <c r="X1563" s="1129">
        <v>0</v>
      </c>
      <c r="Y1563" s="370">
        <v>0</v>
      </c>
      <c r="Z1563" s="370">
        <v>0</v>
      </c>
      <c r="AA1563" s="1129">
        <v>0</v>
      </c>
      <c r="AB1563" s="370">
        <v>0</v>
      </c>
      <c r="AC1563" s="370">
        <v>0</v>
      </c>
      <c r="AD1563" s="1129">
        <v>0</v>
      </c>
      <c r="AE1563" s="370">
        <v>0</v>
      </c>
      <c r="AF1563" s="370">
        <v>0</v>
      </c>
      <c r="AG1563" s="1129">
        <v>0</v>
      </c>
      <c r="AH1563" s="505">
        <f t="shared" si="499"/>
        <v>0</v>
      </c>
      <c r="AI1563" s="132"/>
      <c r="AJ1563" s="75">
        <f t="shared" si="500"/>
        <v>0</v>
      </c>
      <c r="AK1563" s="75"/>
      <c r="AL1563" s="75"/>
      <c r="AM1563" s="75"/>
      <c r="AN1563" s="64" t="s">
        <v>181</v>
      </c>
      <c r="AO1563" s="64"/>
      <c r="AP1563" s="64"/>
      <c r="AQ1563" s="189"/>
      <c r="AR1563" s="64"/>
      <c r="AS1563" s="476"/>
      <c r="AT1563" s="64"/>
      <c r="AU1563" s="646"/>
      <c r="AV1563" s="353"/>
      <c r="AW1563" s="185"/>
    </row>
    <row r="1564" spans="1:49" s="170" customFormat="1" ht="36" customHeight="1" outlineLevel="1" x14ac:dyDescent="0.25">
      <c r="A1564" s="63" t="str">
        <f t="shared" si="415"/>
        <v>6.19.4.2.3.60</v>
      </c>
      <c r="B1564" s="64">
        <v>6</v>
      </c>
      <c r="C1564" s="64">
        <v>19</v>
      </c>
      <c r="D1564" s="64">
        <v>4</v>
      </c>
      <c r="E1564" s="64">
        <v>2</v>
      </c>
      <c r="F1564" s="64">
        <v>3</v>
      </c>
      <c r="G1564" s="64">
        <v>60</v>
      </c>
      <c r="H1564" s="65"/>
      <c r="I1564" s="65"/>
      <c r="J1564" s="65"/>
      <c r="K1564" s="65" t="s">
        <v>1667</v>
      </c>
      <c r="L1564" s="64" t="s">
        <v>668</v>
      </c>
      <c r="M1564" s="64" t="s">
        <v>76</v>
      </c>
      <c r="N1564" s="64" t="s">
        <v>74</v>
      </c>
      <c r="O1564" s="64" t="s">
        <v>224</v>
      </c>
      <c r="P1564" s="64" t="s">
        <v>649</v>
      </c>
      <c r="T1564" s="1188"/>
      <c r="U1564" s="510">
        <v>0</v>
      </c>
      <c r="V1564" s="510"/>
      <c r="W1564" s="370">
        <v>0</v>
      </c>
      <c r="X1564" s="1129">
        <v>0</v>
      </c>
      <c r="Y1564" s="370">
        <v>0</v>
      </c>
      <c r="Z1564" s="370">
        <v>0</v>
      </c>
      <c r="AA1564" s="1129">
        <v>0</v>
      </c>
      <c r="AB1564" s="370">
        <v>0</v>
      </c>
      <c r="AC1564" s="370">
        <v>0</v>
      </c>
      <c r="AD1564" s="1129">
        <v>0</v>
      </c>
      <c r="AE1564" s="370">
        <v>0</v>
      </c>
      <c r="AF1564" s="370">
        <v>0</v>
      </c>
      <c r="AG1564" s="1129">
        <v>0</v>
      </c>
      <c r="AH1564" s="505">
        <f t="shared" si="499"/>
        <v>0</v>
      </c>
      <c r="AI1564" s="132"/>
      <c r="AJ1564" s="75">
        <f t="shared" si="500"/>
        <v>0</v>
      </c>
      <c r="AK1564" s="75"/>
      <c r="AL1564" s="75"/>
      <c r="AM1564" s="75"/>
      <c r="AN1564" s="64" t="s">
        <v>181</v>
      </c>
      <c r="AO1564" s="64" t="s">
        <v>1819</v>
      </c>
      <c r="AP1564" s="64" t="s">
        <v>2620</v>
      </c>
      <c r="AQ1564" s="189"/>
      <c r="AR1564" s="69">
        <v>45191</v>
      </c>
      <c r="AS1564" s="865">
        <v>45273</v>
      </c>
      <c r="AT1564" s="69">
        <v>45273</v>
      </c>
      <c r="AU1564" s="879">
        <v>859</v>
      </c>
      <c r="AV1564" s="353"/>
      <c r="AW1564" s="185" t="s">
        <v>2621</v>
      </c>
    </row>
    <row r="1565" spans="1:49" s="170" customFormat="1" ht="36" customHeight="1" outlineLevel="1" x14ac:dyDescent="0.25">
      <c r="A1565" s="63" t="str">
        <f t="shared" si="415"/>
        <v>6.19.4.2.4.61</v>
      </c>
      <c r="B1565" s="64">
        <v>6</v>
      </c>
      <c r="C1565" s="64">
        <v>19</v>
      </c>
      <c r="D1565" s="64">
        <v>4</v>
      </c>
      <c r="E1565" s="64">
        <v>2</v>
      </c>
      <c r="F1565" s="64">
        <v>4</v>
      </c>
      <c r="G1565" s="64">
        <v>61</v>
      </c>
      <c r="H1565" s="65"/>
      <c r="I1565" s="65"/>
      <c r="J1565" s="65"/>
      <c r="K1565" s="65" t="s">
        <v>1667</v>
      </c>
      <c r="L1565" s="64" t="s">
        <v>668</v>
      </c>
      <c r="M1565" s="64" t="s">
        <v>76</v>
      </c>
      <c r="N1565" s="64" t="s">
        <v>74</v>
      </c>
      <c r="O1565" s="64" t="s">
        <v>224</v>
      </c>
      <c r="P1565" s="64" t="s">
        <v>649</v>
      </c>
      <c r="R1565" s="171"/>
      <c r="T1565" s="1188"/>
      <c r="U1565" s="510">
        <v>0</v>
      </c>
      <c r="V1565" s="510"/>
      <c r="W1565" s="370">
        <v>0</v>
      </c>
      <c r="X1565" s="1129">
        <v>0</v>
      </c>
      <c r="Y1565" s="370">
        <v>0</v>
      </c>
      <c r="Z1565" s="370">
        <v>0</v>
      </c>
      <c r="AA1565" s="1129">
        <v>0</v>
      </c>
      <c r="AB1565" s="370">
        <v>0</v>
      </c>
      <c r="AC1565" s="370">
        <v>0</v>
      </c>
      <c r="AD1565" s="1129">
        <v>0</v>
      </c>
      <c r="AE1565" s="370">
        <v>0</v>
      </c>
      <c r="AF1565" s="370">
        <v>0</v>
      </c>
      <c r="AG1565" s="1129">
        <v>0</v>
      </c>
      <c r="AH1565" s="505">
        <f t="shared" si="499"/>
        <v>0</v>
      </c>
      <c r="AI1565" s="132"/>
      <c r="AJ1565" s="75">
        <f t="shared" si="500"/>
        <v>0</v>
      </c>
      <c r="AK1565" s="75"/>
      <c r="AL1565" s="75"/>
      <c r="AM1565" s="75"/>
      <c r="AN1565" s="64" t="s">
        <v>181</v>
      </c>
      <c r="AO1565" s="64"/>
      <c r="AP1565" s="64"/>
      <c r="AQ1565" s="189"/>
      <c r="AR1565" s="64"/>
      <c r="AS1565" s="476"/>
      <c r="AT1565" s="64"/>
      <c r="AU1565" s="646"/>
      <c r="AV1565" s="353"/>
      <c r="AW1565" s="185"/>
    </row>
    <row r="1566" spans="1:49" s="170" customFormat="1" ht="36" customHeight="1" outlineLevel="1" x14ac:dyDescent="0.25">
      <c r="A1566" s="63" t="str">
        <f t="shared" si="415"/>
        <v>6.19.4.2.5.62</v>
      </c>
      <c r="B1566" s="64">
        <v>6</v>
      </c>
      <c r="C1566" s="64">
        <v>19</v>
      </c>
      <c r="D1566" s="64">
        <v>4</v>
      </c>
      <c r="E1566" s="64">
        <v>2</v>
      </c>
      <c r="F1566" s="64">
        <v>5</v>
      </c>
      <c r="G1566" s="64">
        <v>62</v>
      </c>
      <c r="H1566" s="65"/>
      <c r="I1566" s="65"/>
      <c r="J1566" s="65"/>
      <c r="K1566" s="65" t="s">
        <v>1667</v>
      </c>
      <c r="L1566" s="64" t="s">
        <v>668</v>
      </c>
      <c r="M1566" s="64" t="s">
        <v>76</v>
      </c>
      <c r="N1566" s="64" t="s">
        <v>74</v>
      </c>
      <c r="O1566" s="64" t="s">
        <v>224</v>
      </c>
      <c r="P1566" s="64" t="s">
        <v>649</v>
      </c>
      <c r="R1566" s="171"/>
      <c r="T1566" s="1188"/>
      <c r="U1566" s="1104">
        <v>0</v>
      </c>
      <c r="V1566" s="1104"/>
      <c r="W1566" s="395">
        <v>0</v>
      </c>
      <c r="X1566" s="1169">
        <v>0</v>
      </c>
      <c r="Y1566" s="395">
        <v>0</v>
      </c>
      <c r="Z1566" s="395">
        <v>0</v>
      </c>
      <c r="AA1566" s="1169">
        <v>0</v>
      </c>
      <c r="AB1566" s="395">
        <v>0</v>
      </c>
      <c r="AC1566" s="395">
        <v>0</v>
      </c>
      <c r="AD1566" s="1169">
        <v>0</v>
      </c>
      <c r="AE1566" s="395">
        <v>0</v>
      </c>
      <c r="AF1566" s="395">
        <v>0</v>
      </c>
      <c r="AG1566" s="1169">
        <v>0</v>
      </c>
      <c r="AH1566" s="505">
        <f t="shared" si="499"/>
        <v>0</v>
      </c>
      <c r="AI1566" s="132"/>
      <c r="AJ1566" s="75">
        <f t="shared" si="500"/>
        <v>0</v>
      </c>
      <c r="AK1566" s="97"/>
      <c r="AL1566" s="97"/>
      <c r="AM1566" s="97"/>
      <c r="AN1566" s="64" t="s">
        <v>181</v>
      </c>
      <c r="AO1566" s="64"/>
      <c r="AP1566" s="64"/>
      <c r="AQ1566" s="189"/>
      <c r="AR1566" s="64"/>
      <c r="AS1566" s="476"/>
      <c r="AT1566" s="64"/>
      <c r="AU1566" s="646"/>
      <c r="AV1566" s="353"/>
      <c r="AW1566" s="185"/>
    </row>
    <row r="1567" spans="1:49" s="170" customFormat="1" ht="36" customHeight="1" outlineLevel="1" x14ac:dyDescent="0.25">
      <c r="A1567" s="63" t="str">
        <f t="shared" si="415"/>
        <v>6.19.4.2.6.63</v>
      </c>
      <c r="B1567" s="64">
        <v>6</v>
      </c>
      <c r="C1567" s="64">
        <v>19</v>
      </c>
      <c r="D1567" s="64">
        <v>4</v>
      </c>
      <c r="E1567" s="64">
        <v>2</v>
      </c>
      <c r="F1567" s="64">
        <v>6</v>
      </c>
      <c r="G1567" s="64">
        <v>63</v>
      </c>
      <c r="H1567" s="65"/>
      <c r="I1567" s="65"/>
      <c r="J1567" s="65"/>
      <c r="K1567" s="65" t="s">
        <v>1667</v>
      </c>
      <c r="L1567" s="64" t="s">
        <v>668</v>
      </c>
      <c r="M1567" s="64" t="s">
        <v>76</v>
      </c>
      <c r="N1567" s="64" t="s">
        <v>74</v>
      </c>
      <c r="O1567" s="64" t="s">
        <v>224</v>
      </c>
      <c r="P1567" s="64" t="s">
        <v>649</v>
      </c>
      <c r="R1567" s="171"/>
      <c r="T1567" s="1188"/>
      <c r="U1567" s="1104">
        <v>0</v>
      </c>
      <c r="V1567" s="1104"/>
      <c r="W1567" s="395">
        <v>0</v>
      </c>
      <c r="X1567" s="1169">
        <v>0</v>
      </c>
      <c r="Y1567" s="395">
        <v>0</v>
      </c>
      <c r="Z1567" s="395">
        <v>0</v>
      </c>
      <c r="AA1567" s="1169">
        <v>0</v>
      </c>
      <c r="AB1567" s="395">
        <v>0</v>
      </c>
      <c r="AC1567" s="395">
        <v>0</v>
      </c>
      <c r="AD1567" s="1169">
        <v>0</v>
      </c>
      <c r="AE1567" s="395">
        <v>0</v>
      </c>
      <c r="AF1567" s="395">
        <v>0</v>
      </c>
      <c r="AG1567" s="1169">
        <v>0</v>
      </c>
      <c r="AH1567" s="505">
        <f t="shared" si="499"/>
        <v>0</v>
      </c>
      <c r="AI1567" s="132"/>
      <c r="AJ1567" s="75">
        <f t="shared" si="500"/>
        <v>0</v>
      </c>
      <c r="AK1567" s="97"/>
      <c r="AL1567" s="97"/>
      <c r="AM1567" s="97"/>
      <c r="AN1567" s="64" t="s">
        <v>181</v>
      </c>
      <c r="AO1567" s="64"/>
      <c r="AP1567" s="64"/>
      <c r="AQ1567" s="189"/>
      <c r="AR1567" s="64"/>
      <c r="AS1567" s="476"/>
      <c r="AT1567" s="64"/>
      <c r="AU1567" s="646"/>
      <c r="AV1567" s="353"/>
      <c r="AW1567" s="185"/>
    </row>
    <row r="1568" spans="1:49" s="170" customFormat="1" ht="36" customHeight="1" outlineLevel="1" x14ac:dyDescent="0.25">
      <c r="A1568" s="63" t="str">
        <f t="shared" si="415"/>
        <v>6.19.4.2.7.64</v>
      </c>
      <c r="B1568" s="64">
        <v>6</v>
      </c>
      <c r="C1568" s="64">
        <v>19</v>
      </c>
      <c r="D1568" s="64">
        <v>4</v>
      </c>
      <c r="E1568" s="64">
        <v>2</v>
      </c>
      <c r="F1568" s="64">
        <v>7</v>
      </c>
      <c r="G1568" s="64">
        <v>64</v>
      </c>
      <c r="H1568" s="65"/>
      <c r="I1568" s="65"/>
      <c r="J1568" s="65"/>
      <c r="K1568" s="65" t="s">
        <v>1667</v>
      </c>
      <c r="L1568" s="64" t="s">
        <v>668</v>
      </c>
      <c r="M1568" s="64" t="s">
        <v>76</v>
      </c>
      <c r="N1568" s="64" t="s">
        <v>74</v>
      </c>
      <c r="O1568" s="64" t="s">
        <v>224</v>
      </c>
      <c r="P1568" s="64" t="s">
        <v>649</v>
      </c>
      <c r="R1568" s="171"/>
      <c r="T1568" s="1188"/>
      <c r="U1568" s="395">
        <v>0</v>
      </c>
      <c r="V1568" s="395"/>
      <c r="W1568" s="395">
        <v>0</v>
      </c>
      <c r="X1568" s="1169">
        <v>0</v>
      </c>
      <c r="Y1568" s="395">
        <v>0</v>
      </c>
      <c r="Z1568" s="395">
        <v>0</v>
      </c>
      <c r="AA1568" s="1169">
        <v>0</v>
      </c>
      <c r="AB1568" s="395">
        <v>0</v>
      </c>
      <c r="AC1568" s="395">
        <v>0</v>
      </c>
      <c r="AD1568" s="1169">
        <v>0</v>
      </c>
      <c r="AE1568" s="395">
        <v>0</v>
      </c>
      <c r="AF1568" s="395">
        <v>0</v>
      </c>
      <c r="AG1568" s="1169">
        <v>0</v>
      </c>
      <c r="AH1568" s="505">
        <f t="shared" si="499"/>
        <v>0</v>
      </c>
      <c r="AI1568" s="132"/>
      <c r="AJ1568" s="75">
        <f t="shared" si="500"/>
        <v>0</v>
      </c>
      <c r="AK1568" s="97"/>
      <c r="AL1568" s="97"/>
      <c r="AM1568" s="97"/>
      <c r="AN1568" s="64" t="s">
        <v>181</v>
      </c>
      <c r="AO1568" s="64"/>
      <c r="AP1568" s="64"/>
      <c r="AQ1568" s="189"/>
      <c r="AR1568" s="64"/>
      <c r="AS1568" s="476"/>
      <c r="AT1568" s="64"/>
      <c r="AU1568" s="646"/>
      <c r="AV1568" s="353"/>
      <c r="AW1568" s="185"/>
    </row>
    <row r="1569" spans="1:115" s="170" customFormat="1" ht="36" customHeight="1" outlineLevel="1" x14ac:dyDescent="0.25">
      <c r="A1569" s="63" t="s">
        <v>1668</v>
      </c>
      <c r="B1569" s="64">
        <v>6</v>
      </c>
      <c r="C1569" s="64">
        <v>19</v>
      </c>
      <c r="D1569" s="64">
        <v>4</v>
      </c>
      <c r="E1569" s="64">
        <v>3</v>
      </c>
      <c r="F1569" s="64">
        <v>1</v>
      </c>
      <c r="G1569" s="64">
        <v>58</v>
      </c>
      <c r="H1569" s="65"/>
      <c r="I1569" s="65"/>
      <c r="J1569" s="65"/>
      <c r="K1569" s="67" t="s">
        <v>1669</v>
      </c>
      <c r="L1569" s="64" t="s">
        <v>668</v>
      </c>
      <c r="M1569" s="64"/>
      <c r="N1569" s="64"/>
      <c r="O1569" s="64"/>
      <c r="R1569" s="171"/>
      <c r="T1569" s="1188"/>
      <c r="U1569" s="395">
        <v>0</v>
      </c>
      <c r="V1569" s="395"/>
      <c r="W1569" s="395">
        <v>0</v>
      </c>
      <c r="X1569" s="1169">
        <v>0</v>
      </c>
      <c r="Y1569" s="395">
        <v>0</v>
      </c>
      <c r="Z1569" s="395">
        <v>0</v>
      </c>
      <c r="AA1569" s="1169">
        <v>0</v>
      </c>
      <c r="AB1569" s="395">
        <v>0</v>
      </c>
      <c r="AC1569" s="395">
        <v>0</v>
      </c>
      <c r="AD1569" s="1169">
        <v>0</v>
      </c>
      <c r="AE1569" s="395">
        <v>0</v>
      </c>
      <c r="AF1569" s="395">
        <v>0</v>
      </c>
      <c r="AG1569" s="1169">
        <v>0</v>
      </c>
      <c r="AH1569" s="505">
        <f t="shared" si="499"/>
        <v>0</v>
      </c>
      <c r="AI1569" s="132"/>
      <c r="AJ1569" s="75">
        <f t="shared" si="500"/>
        <v>0</v>
      </c>
      <c r="AK1569" s="97"/>
      <c r="AL1569" s="97"/>
      <c r="AM1569" s="97"/>
      <c r="AN1569" s="64" t="s">
        <v>181</v>
      </c>
      <c r="AO1569" s="64"/>
      <c r="AP1569" s="64"/>
      <c r="AQ1569" s="189"/>
      <c r="AR1569" s="64"/>
      <c r="AS1569" s="476"/>
      <c r="AT1569" s="64"/>
      <c r="AU1569" s="646"/>
      <c r="AV1569" s="353"/>
      <c r="AW1569" s="185"/>
      <c r="AX1569" s="573"/>
      <c r="AY1569" s="573"/>
      <c r="AZ1569" s="573"/>
      <c r="BA1569" s="573"/>
      <c r="BB1569" s="573"/>
      <c r="BC1569" s="573"/>
      <c r="BD1569" s="573"/>
      <c r="BE1569" s="573"/>
      <c r="BF1569" s="573"/>
      <c r="BG1569" s="573"/>
      <c r="BH1569" s="573"/>
      <c r="BI1569" s="573"/>
      <c r="BJ1569" s="573"/>
      <c r="BK1569" s="573"/>
      <c r="BL1569" s="573"/>
      <c r="BM1569" s="573"/>
      <c r="BN1569" s="573"/>
      <c r="BO1569" s="573"/>
      <c r="BP1569" s="573"/>
      <c r="BQ1569" s="573"/>
      <c r="BR1569" s="573"/>
      <c r="BS1569" s="573"/>
      <c r="BT1569" s="573"/>
      <c r="BU1569" s="573"/>
      <c r="BV1569" s="573"/>
      <c r="BW1569" s="573"/>
      <c r="BX1569" s="573"/>
      <c r="BY1569" s="573"/>
      <c r="BZ1569" s="573"/>
      <c r="CA1569" s="573"/>
      <c r="CB1569" s="573"/>
      <c r="CC1569" s="573"/>
      <c r="CD1569" s="573"/>
      <c r="CE1569" s="573"/>
      <c r="CF1569" s="573"/>
      <c r="CG1569" s="573"/>
      <c r="CH1569" s="573"/>
      <c r="CI1569" s="573"/>
      <c r="CJ1569" s="573"/>
      <c r="CK1569" s="573"/>
      <c r="CL1569" s="573"/>
      <c r="CM1569" s="573"/>
      <c r="CN1569" s="573"/>
      <c r="CO1569" s="573"/>
      <c r="CP1569" s="573"/>
      <c r="CQ1569" s="573"/>
      <c r="CR1569" s="573"/>
      <c r="CS1569" s="573"/>
      <c r="CT1569" s="573"/>
      <c r="CU1569" s="573"/>
      <c r="CV1569" s="573"/>
      <c r="CW1569" s="573"/>
      <c r="CX1569" s="573"/>
      <c r="CY1569" s="573"/>
      <c r="CZ1569" s="573"/>
      <c r="DA1569" s="573"/>
      <c r="DB1569" s="573"/>
      <c r="DC1569" s="573"/>
      <c r="DD1569" s="573"/>
      <c r="DE1569" s="573"/>
      <c r="DF1569" s="573"/>
      <c r="DG1569" s="573"/>
      <c r="DH1569" s="573"/>
      <c r="DI1569" s="573"/>
      <c r="DJ1569" s="573"/>
      <c r="DK1569" s="573"/>
    </row>
    <row r="1570" spans="1:115" s="170" customFormat="1" ht="36" customHeight="1" outlineLevel="1" x14ac:dyDescent="0.25">
      <c r="A1570" s="63" t="s">
        <v>1670</v>
      </c>
      <c r="B1570" s="64">
        <v>6</v>
      </c>
      <c r="C1570" s="64">
        <v>19</v>
      </c>
      <c r="D1570" s="64">
        <v>4</v>
      </c>
      <c r="E1570" s="64">
        <v>3</v>
      </c>
      <c r="F1570" s="64">
        <v>2</v>
      </c>
      <c r="G1570" s="64">
        <v>59</v>
      </c>
      <c r="H1570" s="65"/>
      <c r="I1570" s="65"/>
      <c r="J1570" s="65"/>
      <c r="K1570" s="67" t="s">
        <v>1671</v>
      </c>
      <c r="L1570" s="64" t="s">
        <v>668</v>
      </c>
      <c r="M1570" s="64"/>
      <c r="N1570" s="64"/>
      <c r="O1570" s="64"/>
      <c r="R1570" s="171"/>
      <c r="T1570" s="1188"/>
      <c r="U1570" s="395">
        <v>0</v>
      </c>
      <c r="V1570" s="395"/>
      <c r="W1570" s="395">
        <v>0</v>
      </c>
      <c r="X1570" s="1169">
        <v>0</v>
      </c>
      <c r="Y1570" s="395">
        <v>0</v>
      </c>
      <c r="Z1570" s="395">
        <v>0</v>
      </c>
      <c r="AA1570" s="1169">
        <v>0</v>
      </c>
      <c r="AB1570" s="395">
        <v>0</v>
      </c>
      <c r="AC1570" s="395">
        <v>0</v>
      </c>
      <c r="AD1570" s="1169">
        <v>0</v>
      </c>
      <c r="AE1570" s="395">
        <v>0</v>
      </c>
      <c r="AF1570" s="395">
        <v>0</v>
      </c>
      <c r="AG1570" s="1169">
        <v>0</v>
      </c>
      <c r="AH1570" s="505">
        <f t="shared" si="499"/>
        <v>0</v>
      </c>
      <c r="AI1570" s="132"/>
      <c r="AJ1570" s="75">
        <f t="shared" si="500"/>
        <v>0</v>
      </c>
      <c r="AK1570" s="97"/>
      <c r="AL1570" s="97"/>
      <c r="AM1570" s="97"/>
      <c r="AN1570" s="64" t="s">
        <v>181</v>
      </c>
      <c r="AO1570" s="64"/>
      <c r="AP1570" s="64"/>
      <c r="AQ1570" s="189"/>
      <c r="AR1570" s="64"/>
      <c r="AS1570" s="476"/>
      <c r="AT1570" s="64"/>
      <c r="AU1570" s="646"/>
      <c r="AV1570" s="353"/>
      <c r="AW1570" s="65"/>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row>
    <row r="1571" spans="1:115" s="170" customFormat="1" ht="36" customHeight="1" outlineLevel="1" x14ac:dyDescent="0.25">
      <c r="A1571" s="63" t="s">
        <v>1672</v>
      </c>
      <c r="B1571" s="64">
        <v>6</v>
      </c>
      <c r="C1571" s="64">
        <v>19</v>
      </c>
      <c r="D1571" s="64">
        <v>4</v>
      </c>
      <c r="E1571" s="64">
        <v>3</v>
      </c>
      <c r="F1571" s="64">
        <v>3</v>
      </c>
      <c r="G1571" s="64">
        <v>60</v>
      </c>
      <c r="H1571" s="65"/>
      <c r="I1571" s="65"/>
      <c r="J1571" s="65"/>
      <c r="K1571" s="67" t="s">
        <v>1673</v>
      </c>
      <c r="L1571" s="64" t="s">
        <v>668</v>
      </c>
      <c r="M1571" s="64"/>
      <c r="N1571" s="64"/>
      <c r="O1571" s="64"/>
      <c r="R1571" s="171"/>
      <c r="T1571" s="1188"/>
      <c r="U1571" s="395">
        <v>0</v>
      </c>
      <c r="V1571" s="395"/>
      <c r="W1571" s="395">
        <v>0</v>
      </c>
      <c r="X1571" s="1169">
        <v>0</v>
      </c>
      <c r="Y1571" s="395">
        <v>0</v>
      </c>
      <c r="Z1571" s="395">
        <v>0</v>
      </c>
      <c r="AA1571" s="1169">
        <v>0</v>
      </c>
      <c r="AB1571" s="395">
        <v>0</v>
      </c>
      <c r="AC1571" s="395">
        <v>0</v>
      </c>
      <c r="AD1571" s="1169">
        <v>0</v>
      </c>
      <c r="AE1571" s="395">
        <v>0</v>
      </c>
      <c r="AF1571" s="395">
        <v>0</v>
      </c>
      <c r="AG1571" s="1169">
        <v>0</v>
      </c>
      <c r="AH1571" s="505">
        <f t="shared" si="499"/>
        <v>0</v>
      </c>
      <c r="AI1571" s="132"/>
      <c r="AJ1571" s="75">
        <f t="shared" si="500"/>
        <v>0</v>
      </c>
      <c r="AK1571" s="97"/>
      <c r="AL1571" s="97"/>
      <c r="AM1571" s="97"/>
      <c r="AN1571" s="64" t="s">
        <v>181</v>
      </c>
      <c r="AO1571" s="64"/>
      <c r="AP1571" s="64"/>
      <c r="AQ1571" s="189"/>
      <c r="AR1571" s="64"/>
      <c r="AS1571" s="476"/>
      <c r="AT1571" s="64"/>
      <c r="AU1571" s="646"/>
      <c r="AV1571" s="353"/>
      <c r="AW1571" s="65"/>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row>
    <row r="1572" spans="1:115" s="170" customFormat="1" ht="36" customHeight="1" outlineLevel="1" x14ac:dyDescent="0.25">
      <c r="A1572" s="63" t="s">
        <v>1674</v>
      </c>
      <c r="B1572" s="64">
        <v>6</v>
      </c>
      <c r="C1572" s="64">
        <v>19</v>
      </c>
      <c r="D1572" s="64">
        <v>4</v>
      </c>
      <c r="E1572" s="64">
        <v>3</v>
      </c>
      <c r="F1572" s="64">
        <v>4</v>
      </c>
      <c r="G1572" s="64">
        <v>61</v>
      </c>
      <c r="H1572" s="65"/>
      <c r="I1572" s="65"/>
      <c r="J1572" s="65"/>
      <c r="K1572" s="67" t="s">
        <v>1675</v>
      </c>
      <c r="L1572" s="64" t="s">
        <v>668</v>
      </c>
      <c r="M1572" s="64"/>
      <c r="N1572" s="64"/>
      <c r="O1572" s="64"/>
      <c r="R1572" s="171"/>
      <c r="T1572" s="1188"/>
      <c r="U1572" s="395">
        <v>0</v>
      </c>
      <c r="V1572" s="395"/>
      <c r="W1572" s="395">
        <v>0</v>
      </c>
      <c r="X1572" s="1169">
        <v>0</v>
      </c>
      <c r="Y1572" s="395">
        <v>0</v>
      </c>
      <c r="Z1572" s="395">
        <v>0</v>
      </c>
      <c r="AA1572" s="1169">
        <v>0</v>
      </c>
      <c r="AB1572" s="395">
        <v>0</v>
      </c>
      <c r="AC1572" s="395">
        <v>0</v>
      </c>
      <c r="AD1572" s="1169">
        <v>0</v>
      </c>
      <c r="AE1572" s="395">
        <v>0</v>
      </c>
      <c r="AF1572" s="395">
        <v>0</v>
      </c>
      <c r="AG1572" s="1169">
        <v>0</v>
      </c>
      <c r="AH1572" s="505">
        <f t="shared" si="499"/>
        <v>0</v>
      </c>
      <c r="AI1572" s="132"/>
      <c r="AJ1572" s="75">
        <f t="shared" si="500"/>
        <v>0</v>
      </c>
      <c r="AK1572" s="97"/>
      <c r="AL1572" s="97"/>
      <c r="AM1572" s="97"/>
      <c r="AN1572" s="64" t="s">
        <v>181</v>
      </c>
      <c r="AO1572" s="64"/>
      <c r="AP1572" s="64"/>
      <c r="AQ1572" s="189"/>
      <c r="AR1572" s="64"/>
      <c r="AS1572" s="476"/>
      <c r="AT1572" s="64"/>
      <c r="AU1572" s="646"/>
      <c r="AV1572" s="353"/>
      <c r="AW1572" s="65"/>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row>
    <row r="1573" spans="1:115" s="170" customFormat="1" ht="36" customHeight="1" outlineLevel="1" x14ac:dyDescent="0.25">
      <c r="A1573" s="63" t="s">
        <v>1676</v>
      </c>
      <c r="B1573" s="64">
        <v>6</v>
      </c>
      <c r="C1573" s="64">
        <v>19</v>
      </c>
      <c r="D1573" s="64">
        <v>4</v>
      </c>
      <c r="E1573" s="64">
        <v>3</v>
      </c>
      <c r="F1573" s="64">
        <v>5</v>
      </c>
      <c r="G1573" s="64">
        <v>62</v>
      </c>
      <c r="H1573" s="65"/>
      <c r="I1573" s="65"/>
      <c r="J1573" s="65"/>
      <c r="K1573" s="67" t="s">
        <v>1788</v>
      </c>
      <c r="L1573" s="64" t="s">
        <v>668</v>
      </c>
      <c r="M1573" s="64"/>
      <c r="N1573" s="64"/>
      <c r="O1573" s="64"/>
      <c r="R1573" s="171"/>
      <c r="T1573" s="1188"/>
      <c r="U1573" s="395">
        <v>0</v>
      </c>
      <c r="V1573" s="395"/>
      <c r="W1573" s="395">
        <v>0</v>
      </c>
      <c r="X1573" s="1169">
        <v>0</v>
      </c>
      <c r="Y1573" s="395">
        <v>0</v>
      </c>
      <c r="Z1573" s="395">
        <v>0</v>
      </c>
      <c r="AA1573" s="1169">
        <v>0</v>
      </c>
      <c r="AB1573" s="395">
        <v>0</v>
      </c>
      <c r="AC1573" s="395">
        <v>0</v>
      </c>
      <c r="AD1573" s="1169">
        <v>0</v>
      </c>
      <c r="AE1573" s="395">
        <v>0</v>
      </c>
      <c r="AF1573" s="395">
        <v>0</v>
      </c>
      <c r="AG1573" s="1169">
        <v>0</v>
      </c>
      <c r="AH1573" s="505">
        <f t="shared" si="499"/>
        <v>0</v>
      </c>
      <c r="AI1573" s="132"/>
      <c r="AJ1573" s="75">
        <f t="shared" si="500"/>
        <v>0</v>
      </c>
      <c r="AK1573" s="97"/>
      <c r="AL1573" s="97"/>
      <c r="AM1573" s="97"/>
      <c r="AN1573" s="64" t="s">
        <v>181</v>
      </c>
      <c r="AO1573" s="64"/>
      <c r="AP1573" s="64"/>
      <c r="AQ1573" s="189"/>
      <c r="AR1573" s="64"/>
      <c r="AS1573" s="476"/>
      <c r="AT1573" s="64"/>
      <c r="AU1573" s="646"/>
      <c r="AV1573" s="353"/>
      <c r="AW1573" s="65"/>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row>
    <row r="1574" spans="1:115" s="170" customFormat="1" ht="36" customHeight="1" outlineLevel="1" x14ac:dyDescent="0.25">
      <c r="A1574" s="63" t="s">
        <v>1677</v>
      </c>
      <c r="B1574" s="64">
        <v>6</v>
      </c>
      <c r="C1574" s="64">
        <v>19</v>
      </c>
      <c r="D1574" s="64">
        <v>4</v>
      </c>
      <c r="E1574" s="64">
        <v>3</v>
      </c>
      <c r="F1574" s="64">
        <v>6</v>
      </c>
      <c r="G1574" s="64">
        <v>63</v>
      </c>
      <c r="H1574" s="65"/>
      <c r="I1574" s="65"/>
      <c r="J1574" s="65"/>
      <c r="K1574" s="67" t="s">
        <v>1678</v>
      </c>
      <c r="L1574" s="64" t="s">
        <v>668</v>
      </c>
      <c r="M1574" s="64"/>
      <c r="N1574" s="64"/>
      <c r="O1574" s="64"/>
      <c r="R1574" s="171"/>
      <c r="T1574" s="1188"/>
      <c r="U1574" s="395">
        <v>0</v>
      </c>
      <c r="V1574" s="395"/>
      <c r="W1574" s="395">
        <v>0</v>
      </c>
      <c r="X1574" s="1169">
        <v>0</v>
      </c>
      <c r="Y1574" s="395">
        <v>0</v>
      </c>
      <c r="Z1574" s="395">
        <v>0</v>
      </c>
      <c r="AA1574" s="1169">
        <v>0</v>
      </c>
      <c r="AB1574" s="395">
        <v>0</v>
      </c>
      <c r="AC1574" s="395">
        <v>0</v>
      </c>
      <c r="AD1574" s="1169">
        <v>0</v>
      </c>
      <c r="AE1574" s="395">
        <v>0</v>
      </c>
      <c r="AF1574" s="395">
        <v>0</v>
      </c>
      <c r="AG1574" s="1169">
        <v>0</v>
      </c>
      <c r="AH1574" s="505">
        <f t="shared" si="499"/>
        <v>0</v>
      </c>
      <c r="AI1574" s="132"/>
      <c r="AJ1574" s="75">
        <f t="shared" si="500"/>
        <v>0</v>
      </c>
      <c r="AK1574" s="97"/>
      <c r="AL1574" s="97"/>
      <c r="AM1574" s="97"/>
      <c r="AN1574" s="64" t="s">
        <v>181</v>
      </c>
      <c r="AO1574" s="64"/>
      <c r="AP1574" s="64"/>
      <c r="AQ1574" s="189"/>
      <c r="AR1574" s="64"/>
      <c r="AS1574" s="476"/>
      <c r="AT1574" s="64"/>
      <c r="AU1574" s="646"/>
      <c r="AV1574" s="353"/>
      <c r="AW1574" s="65"/>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row>
    <row r="1575" spans="1:115" s="170" customFormat="1" ht="36" customHeight="1" outlineLevel="1" x14ac:dyDescent="0.25">
      <c r="A1575" s="63" t="s">
        <v>1679</v>
      </c>
      <c r="B1575" s="64">
        <v>6</v>
      </c>
      <c r="C1575" s="64">
        <v>19</v>
      </c>
      <c r="D1575" s="64">
        <v>4</v>
      </c>
      <c r="E1575" s="64">
        <v>3</v>
      </c>
      <c r="F1575" s="64">
        <v>7</v>
      </c>
      <c r="G1575" s="64">
        <v>64</v>
      </c>
      <c r="H1575" s="65"/>
      <c r="I1575" s="65"/>
      <c r="J1575" s="65"/>
      <c r="K1575" s="67" t="s">
        <v>1680</v>
      </c>
      <c r="L1575" s="64" t="s">
        <v>668</v>
      </c>
      <c r="M1575" s="64"/>
      <c r="N1575" s="64"/>
      <c r="O1575" s="64"/>
      <c r="R1575" s="171"/>
      <c r="T1575" s="1188"/>
      <c r="U1575" s="395">
        <v>0</v>
      </c>
      <c r="V1575" s="395"/>
      <c r="W1575" s="395">
        <v>0</v>
      </c>
      <c r="X1575" s="1169">
        <v>0</v>
      </c>
      <c r="Y1575" s="395">
        <v>0</v>
      </c>
      <c r="Z1575" s="395">
        <v>0</v>
      </c>
      <c r="AA1575" s="1169">
        <v>0</v>
      </c>
      <c r="AB1575" s="395">
        <v>0</v>
      </c>
      <c r="AC1575" s="395">
        <v>0</v>
      </c>
      <c r="AD1575" s="1169">
        <v>0</v>
      </c>
      <c r="AE1575" s="395">
        <v>0</v>
      </c>
      <c r="AF1575" s="395">
        <v>0</v>
      </c>
      <c r="AG1575" s="1169">
        <v>0</v>
      </c>
      <c r="AH1575" s="505">
        <f t="shared" si="499"/>
        <v>0</v>
      </c>
      <c r="AI1575" s="132"/>
      <c r="AJ1575" s="75">
        <f t="shared" si="500"/>
        <v>0</v>
      </c>
      <c r="AK1575" s="97"/>
      <c r="AL1575" s="97"/>
      <c r="AM1575" s="97"/>
      <c r="AN1575" s="64" t="s">
        <v>181</v>
      </c>
      <c r="AO1575" s="64"/>
      <c r="AP1575" s="64"/>
      <c r="AQ1575" s="189"/>
      <c r="AR1575" s="64"/>
      <c r="AS1575" s="64"/>
      <c r="AT1575" s="64"/>
      <c r="AU1575" s="646"/>
      <c r="AV1575" s="353"/>
      <c r="AW1575" s="65"/>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row>
    <row r="1576" spans="1:115" s="107" customFormat="1" ht="34.5" customHeight="1" x14ac:dyDescent="0.25">
      <c r="B1576" s="3"/>
      <c r="C1576" s="2"/>
      <c r="D1576" s="3"/>
      <c r="E1576" s="2"/>
      <c r="F1576" s="2"/>
      <c r="G1576" s="2"/>
      <c r="L1576" s="3"/>
      <c r="M1576" s="2"/>
      <c r="N1576" s="3"/>
      <c r="O1576" s="3"/>
      <c r="R1576" s="307"/>
      <c r="S1576" s="2"/>
      <c r="T1576" s="1174"/>
      <c r="U1576" s="288">
        <f>+U1551+U1499+U1241+U1042+U1014+U13</f>
        <v>473489354.87010032</v>
      </c>
      <c r="V1576" s="2"/>
      <c r="W1576" s="822"/>
      <c r="X1576" s="3"/>
      <c r="Y1576" s="3"/>
      <c r="Z1576" s="835"/>
      <c r="AA1576" s="3"/>
      <c r="AB1576" s="3"/>
      <c r="AC1576" s="3"/>
      <c r="AD1576" s="3"/>
      <c r="AE1576" s="310">
        <f>+AE13+AE1042+AE1241</f>
        <v>257236247.08438602</v>
      </c>
      <c r="AF1576" s="3"/>
      <c r="AG1576" s="3"/>
      <c r="AH1576" s="626">
        <v>1552988643</v>
      </c>
      <c r="AI1576" s="308"/>
      <c r="AJ1576" s="308"/>
      <c r="AK1576" s="308"/>
      <c r="AL1576" s="308"/>
      <c r="AM1576" s="308"/>
      <c r="AN1576" s="307"/>
      <c r="AO1576" s="307"/>
      <c r="AP1576" s="307"/>
      <c r="AQ1576" s="307"/>
      <c r="AR1576" s="307"/>
      <c r="AS1576" s="307"/>
      <c r="AT1576" s="307"/>
      <c r="AU1576" s="670"/>
      <c r="AV1576" s="670"/>
      <c r="AW1576" s="572"/>
    </row>
    <row r="1577" spans="1:115" s="107" customFormat="1" ht="22.7" customHeight="1" x14ac:dyDescent="0.25">
      <c r="B1577" s="3"/>
      <c r="C1577" s="2"/>
      <c r="D1577" s="3"/>
      <c r="E1577" s="2"/>
      <c r="F1577" s="2"/>
      <c r="G1577" s="2"/>
      <c r="L1577" s="3"/>
      <c r="M1577" s="2"/>
      <c r="N1577" s="3"/>
      <c r="O1577" s="3"/>
      <c r="R1577" s="307"/>
      <c r="S1577" s="2"/>
      <c r="T1577" s="1174"/>
      <c r="U1577" s="2"/>
      <c r="V1577" s="2"/>
      <c r="W1577" s="822"/>
      <c r="X1577" s="3"/>
      <c r="Y1577" s="3"/>
      <c r="Z1577" s="835"/>
      <c r="AA1577" s="3"/>
      <c r="AB1577" s="3"/>
      <c r="AC1577" s="3"/>
      <c r="AD1577" s="3"/>
      <c r="AE1577" s="3"/>
      <c r="AF1577" s="3"/>
      <c r="AG1577" s="3"/>
      <c r="AH1577" s="1251">
        <f>+AH13+AH1014+AH1042+AH1241+AH1499+AH1551</f>
        <v>1552988643.0475438</v>
      </c>
      <c r="AI1577" s="309"/>
      <c r="AJ1577" s="309"/>
      <c r="AK1577" s="309"/>
      <c r="AL1577" s="309"/>
      <c r="AM1577" s="309"/>
      <c r="AN1577" s="307"/>
      <c r="AO1577" s="307"/>
      <c r="AP1577" s="307"/>
      <c r="AQ1577" s="307"/>
      <c r="AR1577" s="307"/>
      <c r="AS1577" s="307"/>
      <c r="AT1577" s="307"/>
      <c r="AU1577" s="670"/>
      <c r="AV1577" s="670"/>
      <c r="AW1577" s="572"/>
    </row>
    <row r="1578" spans="1:115" s="107" customFormat="1" ht="30.6" customHeight="1" x14ac:dyDescent="0.3">
      <c r="B1578" s="1105"/>
      <c r="C1578" s="1106"/>
      <c r="D1578" s="1105"/>
      <c r="E1578" s="1106"/>
      <c r="F1578" s="1106"/>
      <c r="G1578" s="1106"/>
      <c r="H1578" s="1107"/>
      <c r="I1578" s="1107"/>
      <c r="J1578" s="1107"/>
      <c r="K1578" s="1107"/>
      <c r="L1578" s="3"/>
      <c r="M1578" s="2"/>
      <c r="N1578" s="3"/>
      <c r="O1578" s="3"/>
      <c r="R1578" s="307"/>
      <c r="S1578" s="2"/>
      <c r="T1578" s="1174"/>
      <c r="U1578" s="1111">
        <f>+U156/3</f>
        <v>2285326.3766666665</v>
      </c>
      <c r="V1578" s="1111"/>
      <c r="W1578" s="1112"/>
      <c r="X1578" s="1105"/>
      <c r="Y1578" s="1109"/>
      <c r="Z1578" s="1110"/>
      <c r="AA1578" s="1105"/>
      <c r="AB1578" s="1105"/>
      <c r="AC1578" s="1105"/>
      <c r="AD1578" s="1105"/>
      <c r="AE1578" s="1105"/>
      <c r="AF1578" s="1105"/>
      <c r="AG1578" s="1105"/>
      <c r="AH1578" s="1111">
        <f>+AH156/4</f>
        <v>7264157.0824999996</v>
      </c>
      <c r="AI1578" s="309"/>
      <c r="AJ1578" s="1432"/>
      <c r="AK1578" s="309"/>
      <c r="AL1578" s="309"/>
      <c r="AM1578" s="309"/>
      <c r="AN1578" s="307"/>
      <c r="AO1578" s="307"/>
      <c r="AP1578" s="307"/>
      <c r="AQ1578" s="307"/>
      <c r="AR1578" s="307"/>
      <c r="AS1578" s="307"/>
      <c r="AT1578" s="307"/>
      <c r="AU1578" s="670"/>
      <c r="AV1578" s="670"/>
      <c r="AW1578" s="572"/>
    </row>
    <row r="1579" spans="1:115" s="107" customFormat="1" ht="30.6" customHeight="1" x14ac:dyDescent="0.3">
      <c r="A1579" s="2"/>
      <c r="B1579" s="1105"/>
      <c r="C1579" s="1106"/>
      <c r="D1579" s="1105"/>
      <c r="E1579" s="1106"/>
      <c r="F1579" s="1106"/>
      <c r="G1579" s="1106"/>
      <c r="H1579" s="1106"/>
      <c r="I1579" s="1106"/>
      <c r="J1579" s="1106"/>
      <c r="K1579" s="1106"/>
      <c r="L1579" s="3"/>
      <c r="M1579" s="2"/>
      <c r="N1579" s="3"/>
      <c r="O1579" s="3"/>
      <c r="R1579" s="307"/>
      <c r="S1579" s="2"/>
      <c r="T1579" s="1174"/>
      <c r="U1579" s="1111">
        <f>+U178/3</f>
        <v>2041461.5766666669</v>
      </c>
      <c r="V1579" s="1111"/>
      <c r="W1579" s="1112"/>
      <c r="X1579" s="1109"/>
      <c r="Y1579" s="1111"/>
      <c r="Z1579" s="1113"/>
      <c r="AA1579" s="1105"/>
      <c r="AB1579" s="1111"/>
      <c r="AC1579" s="1111"/>
      <c r="AD1579" s="1105"/>
      <c r="AE1579" s="1109"/>
      <c r="AF1579" s="1109"/>
      <c r="AG1579" s="1109">
        <f>SUBTOTAL(9,AH156:AH305)</f>
        <v>575523337.33150399</v>
      </c>
      <c r="AH1579" s="1111">
        <f>+AH178/4</f>
        <v>6532562.6825000001</v>
      </c>
      <c r="AN1579" s="307"/>
      <c r="AO1579" s="307"/>
      <c r="AP1579" s="307"/>
      <c r="AQ1579" s="307"/>
      <c r="AR1579" s="307"/>
      <c r="AS1579" s="307"/>
      <c r="AT1579" s="307"/>
      <c r="AU1579" s="670"/>
      <c r="AV1579" s="670"/>
      <c r="AW1579" s="572"/>
      <c r="AX1579" s="107">
        <f>SUBTOTAL(9,AX356:AX362)</f>
        <v>20948934</v>
      </c>
    </row>
    <row r="1580" spans="1:115" s="107" customFormat="1" ht="30.6" customHeight="1" x14ac:dyDescent="0.3">
      <c r="A1580" s="2"/>
      <c r="B1580" s="1105"/>
      <c r="C1580" s="1106"/>
      <c r="D1580" s="1105"/>
      <c r="E1580" s="1106"/>
      <c r="F1580" s="1106"/>
      <c r="G1580" s="1106"/>
      <c r="H1580" s="1106"/>
      <c r="I1580" s="1106"/>
      <c r="J1580" s="1106"/>
      <c r="K1580" s="1106"/>
      <c r="L1580" s="3"/>
      <c r="M1580" s="2"/>
      <c r="N1580" s="3"/>
      <c r="O1580" s="3"/>
      <c r="R1580" s="307"/>
      <c r="S1580" s="2"/>
      <c r="T1580" s="1174"/>
      <c r="U1580" s="1111">
        <f>+U200/3</f>
        <v>2353389.7966666664</v>
      </c>
      <c r="V1580" s="1111"/>
      <c r="W1580" s="1108"/>
      <c r="X1580" s="1105"/>
      <c r="Y1580" s="1105"/>
      <c r="Z1580" s="1110"/>
      <c r="AA1580" s="1105"/>
      <c r="AB1580" s="1105"/>
      <c r="AC1580" s="1105"/>
      <c r="AD1580" s="1105"/>
      <c r="AE1580" s="1105"/>
      <c r="AF1580" s="1105"/>
      <c r="AG1580" s="1109">
        <f>+AG1579/12</f>
        <v>47960278.110958666</v>
      </c>
      <c r="AH1580" s="1111">
        <f>+AH200/4</f>
        <v>7468347.3425000003</v>
      </c>
      <c r="AN1580" s="307"/>
      <c r="AO1580" s="307"/>
      <c r="AP1580" s="307"/>
      <c r="AQ1580" s="307"/>
      <c r="AR1580" s="307"/>
      <c r="AS1580" s="307"/>
      <c r="AT1580" s="307"/>
      <c r="AU1580" s="670"/>
      <c r="AV1580" s="670"/>
      <c r="AW1580" s="572"/>
    </row>
    <row r="1581" spans="1:115" s="107" customFormat="1" ht="30.6" customHeight="1" x14ac:dyDescent="0.3">
      <c r="A1581" s="2"/>
      <c r="B1581" s="1105"/>
      <c r="C1581" s="1106"/>
      <c r="D1581" s="1105"/>
      <c r="E1581" s="1106"/>
      <c r="F1581" s="1106"/>
      <c r="G1581" s="1106"/>
      <c r="H1581" s="1106"/>
      <c r="I1581" s="1106"/>
      <c r="J1581" s="1106"/>
      <c r="K1581" s="1106"/>
      <c r="L1581" s="3"/>
      <c r="M1581" s="2"/>
      <c r="N1581" s="3"/>
      <c r="O1581" s="3"/>
      <c r="R1581" s="307"/>
      <c r="S1581" s="2"/>
      <c r="T1581" s="1174"/>
      <c r="U1581" s="1111">
        <f>+U224/3</f>
        <v>2526379.3466666667</v>
      </c>
      <c r="V1581" s="1111"/>
      <c r="W1581" s="1112"/>
      <c r="X1581" s="1105"/>
      <c r="Y1581" s="1105"/>
      <c r="Z1581" s="1110"/>
      <c r="AA1581" s="1105"/>
      <c r="AB1581" s="1105"/>
      <c r="AC1581" s="1105"/>
      <c r="AD1581" s="1105"/>
      <c r="AE1581" s="1105"/>
      <c r="AF1581" s="1105"/>
      <c r="AG1581" s="1109">
        <f>+AG1579/4</f>
        <v>143880834.332876</v>
      </c>
      <c r="AH1581" s="1111">
        <f>+AH224/4</f>
        <v>7987315.9925000016</v>
      </c>
      <c r="AN1581" s="307"/>
      <c r="AO1581" s="307"/>
      <c r="AP1581" s="307"/>
      <c r="AQ1581" s="307"/>
      <c r="AR1581" s="307"/>
      <c r="AS1581" s="307"/>
      <c r="AT1581" s="307"/>
      <c r="AU1581" s="670"/>
      <c r="AV1581" s="670"/>
      <c r="AW1581" s="572"/>
    </row>
    <row r="1582" spans="1:115" s="107" customFormat="1" ht="30.6" customHeight="1" x14ac:dyDescent="0.3">
      <c r="A1582" s="2"/>
      <c r="B1582" s="1105"/>
      <c r="C1582" s="1106"/>
      <c r="D1582" s="1105"/>
      <c r="E1582" s="1106"/>
      <c r="F1582" s="1106"/>
      <c r="G1582" s="1106"/>
      <c r="H1582" s="1106"/>
      <c r="I1582" s="1106"/>
      <c r="J1582" s="1106"/>
      <c r="K1582" s="1106"/>
      <c r="L1582" s="3"/>
      <c r="M1582" s="2"/>
      <c r="N1582" s="3"/>
      <c r="O1582" s="3"/>
      <c r="R1582" s="307"/>
      <c r="S1582" s="2"/>
      <c r="T1582" s="1174"/>
      <c r="U1582" s="1111">
        <f>+U250/3</f>
        <v>2214162.7966666664</v>
      </c>
      <c r="V1582" s="1111"/>
      <c r="W1582" s="1112"/>
      <c r="X1582" s="1105"/>
      <c r="Y1582" s="1109"/>
      <c r="Z1582" s="1110"/>
      <c r="AA1582" s="1105"/>
      <c r="AB1582" s="1109"/>
      <c r="AC1582" s="1105"/>
      <c r="AD1582" s="1105"/>
      <c r="AE1582" s="1114"/>
      <c r="AF1582" s="1105"/>
      <c r="AG1582" s="1109"/>
      <c r="AH1582" s="1111">
        <f>+AH250/4</f>
        <v>7050666.3425000003</v>
      </c>
      <c r="AN1582" s="307"/>
      <c r="AO1582" s="307"/>
      <c r="AP1582" s="307"/>
      <c r="AQ1582" s="307"/>
      <c r="AR1582" s="307"/>
      <c r="AS1582" s="307"/>
      <c r="AT1582" s="307"/>
      <c r="AU1582" s="670" t="s">
        <v>330</v>
      </c>
      <c r="AV1582" s="670"/>
      <c r="AW1582" s="572"/>
    </row>
    <row r="1583" spans="1:115" s="107" customFormat="1" ht="30.6" customHeight="1" x14ac:dyDescent="0.3">
      <c r="A1583" s="2"/>
      <c r="B1583" s="3"/>
      <c r="C1583" s="2"/>
      <c r="D1583" s="3"/>
      <c r="E1583" s="2"/>
      <c r="F1583" s="2"/>
      <c r="G1583" s="2"/>
      <c r="H1583" s="2"/>
      <c r="I1583" s="2"/>
      <c r="J1583" s="2"/>
      <c r="K1583" s="2"/>
      <c r="L1583" s="3"/>
      <c r="M1583" s="2"/>
      <c r="N1583" s="3"/>
      <c r="O1583" s="3"/>
      <c r="R1583" s="307"/>
      <c r="S1583" s="2"/>
      <c r="T1583" s="1174"/>
      <c r="U1583" s="1111">
        <f>+U275/3</f>
        <v>2064038.3466666667</v>
      </c>
      <c r="V1583" s="1111"/>
      <c r="W1583" s="823"/>
      <c r="X1583" s="3"/>
      <c r="Y1583" s="310"/>
      <c r="Z1583" s="835"/>
      <c r="AA1583" s="3"/>
      <c r="AB1583" s="3"/>
      <c r="AC1583" s="3"/>
      <c r="AD1583" s="3"/>
      <c r="AE1583" s="627"/>
      <c r="AF1583" s="3"/>
      <c r="AG1583" s="3"/>
      <c r="AH1583" s="162">
        <f>+AH275/4</f>
        <v>6600292.9925000016</v>
      </c>
      <c r="AI1583" s="629"/>
      <c r="AN1583" s="307"/>
      <c r="AO1583" s="307"/>
      <c r="AP1583" s="307"/>
      <c r="AQ1583" s="307"/>
      <c r="AR1583" s="307"/>
      <c r="AS1583" s="307"/>
      <c r="AT1583" s="307"/>
      <c r="AU1583" s="670"/>
      <c r="AV1583" s="670"/>
      <c r="AW1583" s="572"/>
    </row>
    <row r="1584" spans="1:115" s="107" customFormat="1" ht="38.1" customHeight="1" x14ac:dyDescent="0.3">
      <c r="A1584" s="2"/>
      <c r="B1584" s="3"/>
      <c r="C1584" s="2"/>
      <c r="D1584" s="3"/>
      <c r="E1584" s="2"/>
      <c r="F1584" s="2"/>
      <c r="G1584" s="2"/>
      <c r="H1584" s="2"/>
      <c r="I1584" s="2"/>
      <c r="J1584" s="2"/>
      <c r="K1584" s="2"/>
      <c r="L1584" s="3"/>
      <c r="M1584" s="2"/>
      <c r="N1584" s="3"/>
      <c r="O1584" s="3"/>
      <c r="R1584" s="307"/>
      <c r="S1584" s="2"/>
      <c r="T1584" s="1174"/>
      <c r="U1584" s="1111">
        <f>+U305/3</f>
        <v>2329452.7966666664</v>
      </c>
      <c r="V1584" s="1111"/>
      <c r="W1584" s="822"/>
      <c r="X1584" s="3"/>
      <c r="Y1584" s="3"/>
      <c r="Z1584" s="835"/>
      <c r="AA1584" s="3"/>
      <c r="AB1584" s="3"/>
      <c r="AC1584" s="3"/>
      <c r="AD1584" s="3"/>
      <c r="AE1584" s="628"/>
      <c r="AF1584" s="3"/>
      <c r="AG1584" s="3"/>
      <c r="AH1584" s="162">
        <f>+AH305/4</f>
        <v>7396536.3425000003</v>
      </c>
      <c r="AN1584" s="307"/>
      <c r="AO1584" s="307"/>
      <c r="AP1584" s="307"/>
      <c r="AQ1584" s="307"/>
      <c r="AR1584" s="307"/>
      <c r="AS1584" s="307"/>
      <c r="AT1584" s="307"/>
      <c r="AU1584" s="670"/>
      <c r="AV1584" s="670"/>
      <c r="AW1584" s="572"/>
    </row>
    <row r="1585" spans="1:49" s="107" customFormat="1" ht="12.75" customHeight="1" x14ac:dyDescent="0.25">
      <c r="A1585" s="2"/>
      <c r="B1585" s="3"/>
      <c r="C1585" s="2"/>
      <c r="D1585" s="3"/>
      <c r="E1585" s="2"/>
      <c r="F1585" s="2"/>
      <c r="G1585" s="2"/>
      <c r="H1585" s="2"/>
      <c r="I1585" s="2"/>
      <c r="J1585" s="2"/>
      <c r="K1585" s="2"/>
      <c r="L1585" s="3"/>
      <c r="M1585" s="2"/>
      <c r="N1585" s="3"/>
      <c r="O1585" s="3"/>
      <c r="R1585" s="307"/>
      <c r="S1585" s="2"/>
      <c r="T1585" s="1174"/>
      <c r="U1585" s="2"/>
      <c r="V1585" s="2"/>
      <c r="W1585" s="822"/>
      <c r="X1585" s="3"/>
      <c r="Y1585" s="3" t="s">
        <v>1</v>
      </c>
      <c r="Z1585" s="835"/>
      <c r="AA1585" s="3"/>
      <c r="AB1585" s="310"/>
      <c r="AC1585" s="3"/>
      <c r="AD1585" s="3"/>
      <c r="AE1585" s="3"/>
      <c r="AF1585" s="3"/>
      <c r="AG1585" s="3"/>
      <c r="AH1585" s="162"/>
      <c r="AN1585" s="307"/>
      <c r="AO1585" s="307"/>
      <c r="AP1585" s="307"/>
      <c r="AQ1585" s="307"/>
      <c r="AR1585" s="307"/>
      <c r="AS1585" s="307"/>
      <c r="AT1585" s="307"/>
      <c r="AU1585" s="670"/>
      <c r="AV1585" s="670"/>
      <c r="AW1585" s="572"/>
    </row>
    <row r="1586" spans="1:49" s="107" customFormat="1" ht="12.75" customHeight="1" x14ac:dyDescent="0.25">
      <c r="A1586" s="2"/>
      <c r="B1586" s="3"/>
      <c r="C1586" s="2"/>
      <c r="D1586" s="3"/>
      <c r="E1586" s="2"/>
      <c r="F1586" s="2"/>
      <c r="G1586" s="2"/>
      <c r="H1586" s="2"/>
      <c r="I1586" s="2"/>
      <c r="J1586" s="2"/>
      <c r="K1586" s="2"/>
      <c r="L1586" s="3"/>
      <c r="M1586" s="2"/>
      <c r="N1586" s="3"/>
      <c r="O1586" s="3"/>
      <c r="R1586" s="307"/>
      <c r="S1586" s="2"/>
      <c r="T1586" s="1174"/>
      <c r="U1586" s="2"/>
      <c r="V1586" s="2"/>
      <c r="W1586" s="822"/>
      <c r="X1586" s="3"/>
      <c r="Y1586" s="3"/>
      <c r="Z1586" s="835"/>
      <c r="AA1586" s="3"/>
      <c r="AB1586" s="3"/>
      <c r="AC1586" s="3"/>
      <c r="AD1586" s="3"/>
      <c r="AE1586" s="3"/>
      <c r="AF1586" s="3"/>
      <c r="AG1586" s="3"/>
      <c r="AH1586" s="162"/>
      <c r="AN1586" s="307"/>
      <c r="AO1586" s="307"/>
      <c r="AP1586" s="307"/>
      <c r="AQ1586" s="307"/>
      <c r="AR1586" s="307"/>
      <c r="AS1586" s="307"/>
      <c r="AT1586" s="307"/>
      <c r="AU1586" s="670"/>
      <c r="AV1586" s="670"/>
      <c r="AW1586" s="572"/>
    </row>
    <row r="1587" spans="1:49" s="107" customFormat="1" ht="12.75" customHeight="1" x14ac:dyDescent="0.25">
      <c r="A1587" s="2"/>
      <c r="B1587" s="3"/>
      <c r="C1587" s="2"/>
      <c r="D1587" s="3"/>
      <c r="E1587" s="2"/>
      <c r="F1587" s="2"/>
      <c r="G1587" s="2"/>
      <c r="H1587" s="2"/>
      <c r="I1587" s="2"/>
      <c r="J1587" s="2"/>
      <c r="K1587" s="2"/>
      <c r="L1587" s="3"/>
      <c r="M1587" s="2"/>
      <c r="N1587" s="3"/>
      <c r="O1587" s="3"/>
      <c r="R1587" s="307"/>
      <c r="S1587" s="2"/>
      <c r="T1587" s="1174"/>
      <c r="U1587" s="2"/>
      <c r="V1587" s="2"/>
      <c r="W1587" s="822"/>
      <c r="X1587" s="3"/>
      <c r="Y1587" s="3"/>
      <c r="Z1587" s="835"/>
      <c r="AA1587" s="3"/>
      <c r="AB1587" s="3"/>
      <c r="AC1587" s="3"/>
      <c r="AD1587" s="3"/>
      <c r="AE1587" s="3"/>
      <c r="AF1587" s="3"/>
      <c r="AG1587" s="3"/>
      <c r="AH1587" s="162"/>
      <c r="AN1587" s="307"/>
      <c r="AO1587" s="307"/>
      <c r="AP1587" s="307"/>
      <c r="AQ1587" s="307"/>
      <c r="AR1587" s="307"/>
      <c r="AS1587" s="307"/>
      <c r="AT1587" s="307"/>
      <c r="AU1587" s="670"/>
      <c r="AV1587" s="670"/>
      <c r="AW1587" s="572"/>
    </row>
    <row r="1588" spans="1:49" s="107" customFormat="1" ht="12.75" customHeight="1" x14ac:dyDescent="0.25">
      <c r="A1588" s="2"/>
      <c r="B1588" s="3"/>
      <c r="C1588" s="2"/>
      <c r="D1588" s="3"/>
      <c r="E1588" s="2"/>
      <c r="F1588" s="2"/>
      <c r="G1588" s="2"/>
      <c r="H1588" s="2"/>
      <c r="I1588" s="2"/>
      <c r="J1588" s="2"/>
      <c r="K1588" s="2"/>
      <c r="L1588" s="3"/>
      <c r="M1588" s="2"/>
      <c r="N1588" s="3"/>
      <c r="O1588" s="3"/>
      <c r="R1588" s="307"/>
      <c r="S1588" s="2"/>
      <c r="T1588" s="1174"/>
      <c r="U1588" s="2"/>
      <c r="V1588" s="2"/>
      <c r="W1588" s="822"/>
      <c r="X1588" s="3"/>
      <c r="Y1588" s="3"/>
      <c r="Z1588" s="835"/>
      <c r="AA1588" s="3"/>
      <c r="AB1588" s="3"/>
      <c r="AC1588" s="3"/>
      <c r="AD1588" s="3"/>
      <c r="AE1588" s="3"/>
      <c r="AF1588" s="3"/>
      <c r="AG1588" s="3"/>
      <c r="AH1588" s="162"/>
      <c r="AN1588" s="307"/>
      <c r="AO1588" s="307"/>
      <c r="AP1588" s="307"/>
      <c r="AQ1588" s="307"/>
      <c r="AR1588" s="307"/>
      <c r="AS1588" s="307"/>
      <c r="AT1588" s="307"/>
      <c r="AU1588" s="670"/>
      <c r="AV1588" s="670"/>
      <c r="AW1588" s="572"/>
    </row>
    <row r="1589" spans="1:49" ht="12.75" customHeight="1" x14ac:dyDescent="0.25">
      <c r="D1589" s="3"/>
      <c r="L1589" s="3"/>
      <c r="N1589" s="3"/>
      <c r="O1589" s="3"/>
      <c r="R1589" s="3"/>
      <c r="U1589" s="626"/>
      <c r="V1589" s="626"/>
      <c r="X1589" s="3"/>
      <c r="Y1589" s="310"/>
      <c r="Z1589" s="835"/>
      <c r="AA1589" s="3"/>
      <c r="AB1589" s="3"/>
      <c r="AC1589" s="3"/>
      <c r="AD1589" s="3"/>
      <c r="AE1589" s="3"/>
      <c r="AF1589" s="3"/>
      <c r="AG1589" s="3"/>
      <c r="AH1589" s="162"/>
      <c r="AR1589" s="307"/>
      <c r="AS1589" s="307"/>
      <c r="AT1589" s="307"/>
      <c r="AU1589" s="670"/>
      <c r="AV1589" s="670"/>
      <c r="AW1589" s="572"/>
    </row>
    <row r="1590" spans="1:49" ht="12.75" customHeight="1" x14ac:dyDescent="0.25">
      <c r="D1590" s="3"/>
      <c r="L1590" s="3"/>
      <c r="N1590" s="3"/>
      <c r="O1590" s="3"/>
      <c r="R1590" s="3"/>
      <c r="U1590" s="162"/>
      <c r="V1590" s="162"/>
      <c r="X1590" s="3"/>
      <c r="Y1590" s="310"/>
      <c r="Z1590" s="835"/>
      <c r="AA1590" s="3"/>
      <c r="AB1590" s="3"/>
      <c r="AC1590" s="3"/>
      <c r="AD1590" s="3"/>
      <c r="AE1590" s="3"/>
      <c r="AF1590" s="3"/>
      <c r="AG1590" s="3"/>
      <c r="AH1590" s="2"/>
      <c r="AR1590" s="307"/>
      <c r="AS1590" s="307"/>
      <c r="AT1590" s="307"/>
      <c r="AU1590" s="670"/>
      <c r="AV1590" s="670"/>
      <c r="AW1590" s="572"/>
    </row>
    <row r="1591" spans="1:49" ht="12.75" customHeight="1" x14ac:dyDescent="0.25">
      <c r="D1591" s="3"/>
      <c r="L1591" s="3"/>
      <c r="N1591" s="3"/>
      <c r="O1591" s="3"/>
      <c r="R1591" s="3"/>
      <c r="X1591" s="3"/>
      <c r="Y1591" s="3"/>
      <c r="Z1591" s="835"/>
      <c r="AA1591" s="3"/>
      <c r="AB1591" s="3"/>
      <c r="AC1591" s="3"/>
      <c r="AD1591" s="3"/>
      <c r="AE1591" s="3"/>
      <c r="AF1591" s="3"/>
      <c r="AG1591" s="3"/>
      <c r="AH1591" s="2"/>
      <c r="AR1591" s="307"/>
      <c r="AS1591" s="307"/>
      <c r="AT1591" s="307"/>
      <c r="AU1591" s="670"/>
      <c r="AV1591" s="670"/>
      <c r="AW1591" s="572"/>
    </row>
    <row r="1592" spans="1:49" ht="12.75" customHeight="1" x14ac:dyDescent="0.25">
      <c r="D1592" s="3"/>
      <c r="L1592" s="3"/>
      <c r="N1592" s="3"/>
      <c r="O1592" s="3"/>
      <c r="R1592" s="3"/>
      <c r="X1592" s="3"/>
      <c r="Y1592" s="3"/>
      <c r="Z1592" s="835"/>
      <c r="AA1592" s="3"/>
      <c r="AB1592" s="3"/>
      <c r="AC1592" s="3"/>
      <c r="AD1592" s="3"/>
      <c r="AE1592" s="3"/>
      <c r="AF1592" s="3"/>
      <c r="AG1592" s="3"/>
      <c r="AH1592" s="2"/>
      <c r="AR1592" s="307"/>
      <c r="AS1592" s="307"/>
      <c r="AT1592" s="307"/>
      <c r="AU1592" s="670"/>
      <c r="AV1592" s="670"/>
      <c r="AW1592" s="572"/>
    </row>
    <row r="1593" spans="1:49" ht="12.75" customHeight="1" x14ac:dyDescent="0.25">
      <c r="D1593" s="3"/>
      <c r="L1593" s="3"/>
      <c r="N1593" s="3"/>
      <c r="O1593" s="3"/>
      <c r="R1593" s="3"/>
      <c r="X1593" s="3"/>
      <c r="Y1593" s="3"/>
      <c r="Z1593" s="835"/>
      <c r="AA1593" s="3"/>
      <c r="AB1593" s="3"/>
      <c r="AC1593" s="3"/>
      <c r="AD1593" s="3"/>
      <c r="AE1593" s="3"/>
      <c r="AF1593" s="3"/>
      <c r="AG1593" s="3"/>
      <c r="AH1593" s="2"/>
      <c r="AR1593" s="307"/>
      <c r="AS1593" s="307"/>
      <c r="AT1593" s="307"/>
      <c r="AU1593" s="670"/>
      <c r="AV1593" s="670"/>
      <c r="AW1593" s="572"/>
    </row>
    <row r="1594" spans="1:49" ht="12.75" customHeight="1" x14ac:dyDescent="0.25">
      <c r="D1594" s="3"/>
      <c r="L1594" s="3"/>
      <c r="N1594" s="3"/>
      <c r="O1594" s="3"/>
      <c r="R1594" s="3"/>
      <c r="X1594" s="3"/>
      <c r="Y1594" s="3"/>
      <c r="Z1594" s="835"/>
      <c r="AA1594" s="3"/>
      <c r="AB1594" s="3"/>
      <c r="AC1594" s="3"/>
      <c r="AD1594" s="3"/>
      <c r="AE1594" s="3"/>
      <c r="AF1594" s="3"/>
      <c r="AG1594" s="3"/>
      <c r="AH1594" s="2"/>
      <c r="AR1594" s="307"/>
      <c r="AS1594" s="307"/>
      <c r="AT1594" s="307"/>
      <c r="AU1594" s="670"/>
      <c r="AV1594" s="670"/>
      <c r="AW1594" s="572"/>
    </row>
    <row r="1595" spans="1:49" ht="12.75" customHeight="1" x14ac:dyDescent="0.25">
      <c r="D1595" s="3"/>
      <c r="L1595" s="3"/>
      <c r="N1595" s="3"/>
      <c r="O1595" s="3"/>
      <c r="R1595" s="3"/>
      <c r="X1595" s="3"/>
      <c r="Y1595" s="3"/>
      <c r="Z1595" s="835"/>
      <c r="AA1595" s="3"/>
      <c r="AB1595" s="3"/>
      <c r="AC1595" s="3"/>
      <c r="AD1595" s="3"/>
      <c r="AE1595" s="3"/>
      <c r="AF1595" s="3"/>
      <c r="AG1595" s="3"/>
      <c r="AH1595" s="2"/>
      <c r="AR1595" s="307"/>
      <c r="AS1595" s="307"/>
      <c r="AT1595" s="307"/>
      <c r="AU1595" s="670"/>
      <c r="AV1595" s="670"/>
      <c r="AW1595" s="572"/>
    </row>
    <row r="1596" spans="1:49" ht="12.75" customHeight="1" x14ac:dyDescent="0.25">
      <c r="D1596" s="3"/>
      <c r="L1596" s="3"/>
      <c r="N1596" s="3"/>
      <c r="O1596" s="3"/>
      <c r="R1596" s="3"/>
      <c r="X1596" s="3"/>
      <c r="Y1596" s="3"/>
      <c r="Z1596" s="835"/>
      <c r="AA1596" s="3"/>
      <c r="AB1596" s="3"/>
      <c r="AC1596" s="3"/>
      <c r="AD1596" s="3"/>
      <c r="AE1596" s="3"/>
      <c r="AF1596" s="3"/>
      <c r="AG1596" s="3"/>
      <c r="AH1596" s="2"/>
      <c r="AR1596" s="307"/>
      <c r="AS1596" s="307"/>
      <c r="AT1596" s="307"/>
      <c r="AU1596" s="670"/>
      <c r="AV1596" s="670"/>
      <c r="AW1596" s="572"/>
    </row>
    <row r="1597" spans="1:49" ht="12.75" customHeight="1" x14ac:dyDescent="0.25">
      <c r="D1597" s="3"/>
      <c r="L1597" s="3"/>
      <c r="N1597" s="3"/>
      <c r="O1597" s="3"/>
      <c r="R1597" s="3"/>
      <c r="X1597" s="3"/>
      <c r="Y1597" s="3"/>
      <c r="Z1597" s="835"/>
      <c r="AA1597" s="3"/>
      <c r="AB1597" s="3"/>
      <c r="AC1597" s="3"/>
      <c r="AD1597" s="3"/>
      <c r="AE1597" s="3"/>
      <c r="AF1597" s="3"/>
      <c r="AG1597" s="3"/>
      <c r="AH1597" s="2"/>
      <c r="AR1597" s="307"/>
      <c r="AS1597" s="307"/>
      <c r="AT1597" s="307"/>
      <c r="AU1597" s="670"/>
      <c r="AV1597" s="670"/>
      <c r="AW1597" s="572"/>
    </row>
    <row r="1598" spans="1:49" ht="12.75" customHeight="1" x14ac:dyDescent="0.25">
      <c r="D1598" s="3"/>
      <c r="L1598" s="3"/>
      <c r="N1598" s="3"/>
      <c r="O1598" s="3"/>
      <c r="R1598" s="3"/>
      <c r="X1598" s="3"/>
      <c r="Y1598" s="3"/>
      <c r="Z1598" s="835"/>
      <c r="AA1598" s="3"/>
      <c r="AB1598" s="3"/>
      <c r="AC1598" s="3"/>
      <c r="AD1598" s="3"/>
      <c r="AE1598" s="3"/>
      <c r="AF1598" s="3"/>
      <c r="AG1598" s="3"/>
      <c r="AH1598" s="2"/>
      <c r="AR1598" s="307"/>
      <c r="AS1598" s="307"/>
      <c r="AT1598" s="307"/>
      <c r="AU1598" s="670"/>
      <c r="AV1598" s="670"/>
      <c r="AW1598" s="572"/>
    </row>
    <row r="1599" spans="1:49" ht="12.75" customHeight="1" x14ac:dyDescent="0.25">
      <c r="D1599" s="3"/>
      <c r="L1599" s="3"/>
      <c r="N1599" s="3"/>
      <c r="O1599" s="3"/>
      <c r="R1599" s="3"/>
      <c r="X1599" s="3"/>
      <c r="Y1599" s="3"/>
      <c r="Z1599" s="835"/>
      <c r="AA1599" s="3"/>
      <c r="AB1599" s="3"/>
      <c r="AC1599" s="3"/>
      <c r="AD1599" s="3"/>
      <c r="AE1599" s="3"/>
      <c r="AF1599" s="3"/>
      <c r="AG1599" s="3"/>
      <c r="AH1599" s="2"/>
      <c r="AR1599" s="307"/>
      <c r="AS1599" s="307"/>
      <c r="AT1599" s="307"/>
      <c r="AU1599" s="670"/>
      <c r="AV1599" s="670"/>
      <c r="AW1599" s="572"/>
    </row>
    <row r="1600" spans="1:49" ht="12.75" customHeight="1" x14ac:dyDescent="0.25">
      <c r="D1600" s="3"/>
      <c r="L1600" s="3"/>
      <c r="N1600" s="3"/>
      <c r="O1600" s="3"/>
      <c r="R1600" s="3"/>
      <c r="X1600" s="3"/>
      <c r="Y1600" s="3"/>
      <c r="Z1600" s="835"/>
      <c r="AA1600" s="3"/>
      <c r="AB1600" s="3"/>
      <c r="AC1600" s="3"/>
      <c r="AD1600" s="3"/>
      <c r="AE1600" s="3"/>
      <c r="AF1600" s="3"/>
      <c r="AG1600" s="3"/>
      <c r="AH1600" s="2"/>
      <c r="AR1600" s="307"/>
      <c r="AS1600" s="307"/>
      <c r="AT1600" s="307"/>
      <c r="AU1600" s="670"/>
      <c r="AV1600" s="670"/>
      <c r="AW1600" s="572"/>
    </row>
    <row r="1601" spans="4:49" ht="12.75" customHeight="1" x14ac:dyDescent="0.25">
      <c r="D1601" s="3"/>
      <c r="L1601" s="3"/>
      <c r="N1601" s="3"/>
      <c r="O1601" s="3"/>
      <c r="R1601" s="3"/>
      <c r="X1601" s="3"/>
      <c r="Y1601" s="3"/>
      <c r="Z1601" s="835"/>
      <c r="AA1601" s="3"/>
      <c r="AB1601" s="3"/>
      <c r="AC1601" s="3"/>
      <c r="AD1601" s="3"/>
      <c r="AE1601" s="3"/>
      <c r="AF1601" s="3"/>
      <c r="AG1601" s="3"/>
      <c r="AH1601" s="2"/>
      <c r="AR1601" s="307"/>
      <c r="AS1601" s="307"/>
      <c r="AT1601" s="307"/>
      <c r="AU1601" s="670"/>
      <c r="AV1601" s="670"/>
      <c r="AW1601" s="572"/>
    </row>
    <row r="1602" spans="4:49" ht="12.75" customHeight="1" x14ac:dyDescent="0.25">
      <c r="D1602" s="3"/>
      <c r="L1602" s="3"/>
      <c r="N1602" s="3"/>
      <c r="O1602" s="3"/>
      <c r="R1602" s="3"/>
      <c r="X1602" s="3"/>
      <c r="Y1602" s="3"/>
      <c r="Z1602" s="835"/>
      <c r="AA1602" s="3"/>
      <c r="AB1602" s="3"/>
      <c r="AC1602" s="3"/>
      <c r="AD1602" s="3"/>
      <c r="AE1602" s="3"/>
      <c r="AF1602" s="3"/>
      <c r="AG1602" s="3"/>
      <c r="AH1602" s="2"/>
      <c r="AR1602" s="307"/>
      <c r="AS1602" s="307"/>
      <c r="AT1602" s="307"/>
      <c r="AU1602" s="670"/>
      <c r="AV1602" s="670"/>
      <c r="AW1602" s="572"/>
    </row>
    <row r="1603" spans="4:49" ht="12.75" customHeight="1" x14ac:dyDescent="0.25">
      <c r="D1603" s="3"/>
      <c r="L1603" s="3"/>
      <c r="N1603" s="3"/>
      <c r="O1603" s="3"/>
      <c r="R1603" s="3"/>
      <c r="X1603" s="3"/>
      <c r="Y1603" s="3"/>
      <c r="Z1603" s="835"/>
      <c r="AA1603" s="3"/>
      <c r="AB1603" s="3"/>
      <c r="AC1603" s="3"/>
      <c r="AD1603" s="3"/>
      <c r="AE1603" s="3"/>
      <c r="AF1603" s="3"/>
      <c r="AG1603" s="3"/>
      <c r="AH1603" s="2"/>
      <c r="AR1603" s="307"/>
      <c r="AS1603" s="307"/>
      <c r="AT1603" s="307"/>
      <c r="AU1603" s="670"/>
      <c r="AV1603" s="670"/>
      <c r="AW1603" s="572"/>
    </row>
    <row r="1604" spans="4:49" ht="12.75" customHeight="1" x14ac:dyDescent="0.25">
      <c r="D1604" s="3"/>
      <c r="L1604" s="3"/>
      <c r="N1604" s="3"/>
      <c r="O1604" s="3"/>
      <c r="R1604" s="3"/>
      <c r="X1604" s="3"/>
      <c r="Y1604" s="3"/>
      <c r="Z1604" s="835"/>
      <c r="AA1604" s="3"/>
      <c r="AB1604" s="3"/>
      <c r="AC1604" s="3"/>
      <c r="AD1604" s="3"/>
      <c r="AE1604" s="3"/>
      <c r="AF1604" s="3"/>
      <c r="AG1604" s="3"/>
      <c r="AH1604" s="2"/>
      <c r="AR1604" s="307"/>
      <c r="AS1604" s="307"/>
      <c r="AT1604" s="307"/>
      <c r="AU1604" s="670"/>
      <c r="AV1604" s="670"/>
      <c r="AW1604" s="572"/>
    </row>
    <row r="1605" spans="4:49" ht="12.75" customHeight="1" x14ac:dyDescent="0.25">
      <c r="D1605" s="3"/>
      <c r="L1605" s="3"/>
      <c r="N1605" s="3"/>
      <c r="O1605" s="3"/>
      <c r="R1605" s="3"/>
      <c r="X1605" s="3"/>
      <c r="Y1605" s="3"/>
      <c r="Z1605" s="835"/>
      <c r="AA1605" s="3"/>
      <c r="AB1605" s="3"/>
      <c r="AC1605" s="3"/>
      <c r="AD1605" s="3"/>
      <c r="AE1605" s="3"/>
      <c r="AF1605" s="3"/>
      <c r="AG1605" s="3"/>
      <c r="AH1605" s="2"/>
      <c r="AR1605" s="307"/>
      <c r="AS1605" s="307"/>
      <c r="AT1605" s="307"/>
      <c r="AU1605" s="670"/>
      <c r="AV1605" s="670"/>
      <c r="AW1605" s="572"/>
    </row>
    <row r="1606" spans="4:49" ht="12.75" customHeight="1" x14ac:dyDescent="0.25">
      <c r="D1606" s="3"/>
      <c r="L1606" s="3"/>
      <c r="N1606" s="3"/>
      <c r="O1606" s="3"/>
      <c r="R1606" s="3"/>
      <c r="X1606" s="3"/>
      <c r="Y1606" s="3"/>
      <c r="Z1606" s="835"/>
      <c r="AA1606" s="3"/>
      <c r="AB1606" s="3"/>
      <c r="AC1606" s="3"/>
      <c r="AD1606" s="3"/>
      <c r="AE1606" s="3"/>
      <c r="AF1606" s="3"/>
      <c r="AG1606" s="3"/>
      <c r="AH1606" s="2"/>
      <c r="AR1606" s="307"/>
      <c r="AS1606" s="307"/>
      <c r="AT1606" s="307"/>
      <c r="AU1606" s="670"/>
      <c r="AV1606" s="670"/>
      <c r="AW1606" s="572"/>
    </row>
    <row r="1607" spans="4:49" ht="12.75" customHeight="1" x14ac:dyDescent="0.25">
      <c r="D1607" s="3"/>
      <c r="L1607" s="3"/>
      <c r="N1607" s="3"/>
      <c r="O1607" s="3"/>
      <c r="R1607" s="3"/>
      <c r="X1607" s="3"/>
      <c r="Y1607" s="3"/>
      <c r="Z1607" s="835"/>
      <c r="AA1607" s="3"/>
      <c r="AB1607" s="3"/>
      <c r="AC1607" s="3"/>
      <c r="AD1607" s="3"/>
      <c r="AE1607" s="3"/>
      <c r="AF1607" s="3"/>
      <c r="AG1607" s="3"/>
      <c r="AH1607" s="2"/>
      <c r="AR1607" s="307"/>
      <c r="AS1607" s="307"/>
      <c r="AT1607" s="307"/>
      <c r="AU1607" s="670"/>
      <c r="AV1607" s="670"/>
      <c r="AW1607" s="572"/>
    </row>
    <row r="1608" spans="4:49" ht="12.75" customHeight="1" x14ac:dyDescent="0.25">
      <c r="D1608" s="3"/>
      <c r="L1608" s="3"/>
      <c r="N1608" s="3"/>
      <c r="O1608" s="3"/>
      <c r="R1608" s="3"/>
      <c r="X1608" s="3"/>
      <c r="Y1608" s="3"/>
      <c r="Z1608" s="835"/>
      <c r="AA1608" s="3"/>
      <c r="AB1608" s="3"/>
      <c r="AC1608" s="3"/>
      <c r="AD1608" s="3"/>
      <c r="AE1608" s="3"/>
      <c r="AF1608" s="3"/>
      <c r="AG1608" s="3"/>
      <c r="AH1608" s="2"/>
      <c r="AR1608" s="307"/>
      <c r="AS1608" s="307"/>
      <c r="AT1608" s="307"/>
      <c r="AU1608" s="670"/>
      <c r="AV1608" s="670"/>
      <c r="AW1608" s="572"/>
    </row>
    <row r="1609" spans="4:49" ht="12.75" customHeight="1" x14ac:dyDescent="0.25">
      <c r="D1609" s="3"/>
      <c r="L1609" s="3"/>
      <c r="N1609" s="3"/>
      <c r="O1609" s="3"/>
      <c r="R1609" s="3"/>
      <c r="X1609" s="3"/>
      <c r="Y1609" s="3"/>
      <c r="Z1609" s="835"/>
      <c r="AA1609" s="3"/>
      <c r="AB1609" s="3"/>
      <c r="AC1609" s="3"/>
      <c r="AD1609" s="3"/>
      <c r="AE1609" s="3"/>
      <c r="AF1609" s="3"/>
      <c r="AG1609" s="3"/>
      <c r="AH1609" s="2"/>
      <c r="AR1609" s="307"/>
      <c r="AS1609" s="307"/>
      <c r="AT1609" s="307"/>
      <c r="AU1609" s="670"/>
      <c r="AV1609" s="670"/>
      <c r="AW1609" s="572"/>
    </row>
    <row r="1610" spans="4:49" ht="12.75" customHeight="1" x14ac:dyDescent="0.25">
      <c r="D1610" s="3"/>
      <c r="L1610" s="3"/>
      <c r="N1610" s="3"/>
      <c r="O1610" s="3"/>
      <c r="R1610" s="3"/>
      <c r="X1610" s="3"/>
      <c r="Y1610" s="3"/>
      <c r="Z1610" s="835"/>
      <c r="AA1610" s="3"/>
      <c r="AB1610" s="3"/>
      <c r="AC1610" s="3"/>
      <c r="AD1610" s="3"/>
      <c r="AE1610" s="3"/>
      <c r="AF1610" s="3"/>
      <c r="AG1610" s="3"/>
      <c r="AH1610" s="2"/>
      <c r="AR1610" s="307"/>
      <c r="AS1610" s="307"/>
      <c r="AT1610" s="307"/>
      <c r="AU1610" s="670"/>
      <c r="AV1610" s="670"/>
      <c r="AW1610" s="572"/>
    </row>
    <row r="1611" spans="4:49" ht="12.75" customHeight="1" x14ac:dyDescent="0.25">
      <c r="D1611" s="3"/>
      <c r="L1611" s="3"/>
      <c r="N1611" s="3"/>
      <c r="O1611" s="3"/>
      <c r="R1611" s="3"/>
      <c r="X1611" s="3"/>
      <c r="Y1611" s="3"/>
      <c r="Z1611" s="835"/>
      <c r="AA1611" s="3"/>
      <c r="AB1611" s="3"/>
      <c r="AC1611" s="3"/>
      <c r="AD1611" s="3"/>
      <c r="AE1611" s="3"/>
      <c r="AF1611" s="3"/>
      <c r="AG1611" s="3"/>
      <c r="AH1611" s="2"/>
      <c r="AR1611" s="307"/>
      <c r="AS1611" s="307"/>
      <c r="AT1611" s="307"/>
      <c r="AU1611" s="670"/>
      <c r="AV1611" s="670"/>
      <c r="AW1611" s="572"/>
    </row>
    <row r="1612" spans="4:49" ht="12.75" customHeight="1" x14ac:dyDescent="0.25">
      <c r="D1612" s="3"/>
      <c r="L1612" s="3"/>
      <c r="N1612" s="3"/>
      <c r="O1612" s="3"/>
      <c r="R1612" s="3"/>
      <c r="X1612" s="3"/>
      <c r="Y1612" s="3"/>
      <c r="Z1612" s="835"/>
      <c r="AA1612" s="3"/>
      <c r="AB1612" s="3"/>
      <c r="AC1612" s="3"/>
      <c r="AD1612" s="3"/>
      <c r="AE1612" s="3"/>
      <c r="AF1612" s="3"/>
      <c r="AG1612" s="3"/>
      <c r="AH1612" s="2"/>
      <c r="AR1612" s="307"/>
      <c r="AS1612" s="307"/>
      <c r="AT1612" s="307"/>
      <c r="AU1612" s="670"/>
      <c r="AV1612" s="670"/>
      <c r="AW1612" s="572"/>
    </row>
    <row r="1613" spans="4:49" ht="12.75" customHeight="1" x14ac:dyDescent="0.25">
      <c r="D1613" s="3"/>
      <c r="L1613" s="3"/>
      <c r="N1613" s="3"/>
      <c r="O1613" s="3"/>
      <c r="R1613" s="3"/>
      <c r="X1613" s="3"/>
      <c r="Y1613" s="3"/>
      <c r="Z1613" s="835"/>
      <c r="AA1613" s="3"/>
      <c r="AB1613" s="3"/>
      <c r="AC1613" s="3"/>
      <c r="AD1613" s="3"/>
      <c r="AE1613" s="3"/>
      <c r="AF1613" s="3"/>
      <c r="AG1613" s="3"/>
      <c r="AH1613" s="2"/>
      <c r="AR1613" s="307"/>
      <c r="AS1613" s="307"/>
      <c r="AT1613" s="307"/>
      <c r="AU1613" s="670"/>
      <c r="AV1613" s="670"/>
      <c r="AW1613" s="572"/>
    </row>
    <row r="1614" spans="4:49" ht="12.75" customHeight="1" x14ac:dyDescent="0.25">
      <c r="D1614" s="3"/>
      <c r="L1614" s="3"/>
      <c r="N1614" s="3"/>
      <c r="O1614" s="3"/>
      <c r="R1614" s="3"/>
      <c r="X1614" s="3"/>
      <c r="Y1614" s="3"/>
      <c r="Z1614" s="835"/>
      <c r="AA1614" s="3"/>
      <c r="AB1614" s="3"/>
      <c r="AC1614" s="3"/>
      <c r="AD1614" s="3"/>
      <c r="AE1614" s="3"/>
      <c r="AF1614" s="3"/>
      <c r="AG1614" s="3"/>
      <c r="AH1614" s="2"/>
      <c r="AR1614" s="307"/>
      <c r="AS1614" s="307"/>
      <c r="AT1614" s="307"/>
      <c r="AU1614" s="670"/>
      <c r="AV1614" s="670"/>
      <c r="AW1614" s="572"/>
    </row>
    <row r="1615" spans="4:49" ht="12.75" customHeight="1" x14ac:dyDescent="0.25">
      <c r="D1615" s="3"/>
      <c r="L1615" s="3"/>
      <c r="N1615" s="3"/>
      <c r="O1615" s="3"/>
      <c r="R1615" s="3"/>
      <c r="X1615" s="3"/>
      <c r="Y1615" s="3"/>
      <c r="Z1615" s="835"/>
      <c r="AA1615" s="3"/>
      <c r="AB1615" s="3"/>
      <c r="AC1615" s="3"/>
      <c r="AD1615" s="3"/>
      <c r="AE1615" s="3"/>
      <c r="AF1615" s="3"/>
      <c r="AG1615" s="3"/>
      <c r="AH1615" s="2"/>
      <c r="AR1615" s="307"/>
      <c r="AS1615" s="307"/>
      <c r="AT1615" s="307"/>
      <c r="AU1615" s="670"/>
      <c r="AV1615" s="670"/>
      <c r="AW1615" s="572"/>
    </row>
    <row r="1616" spans="4:49" ht="12.75" customHeight="1" x14ac:dyDescent="0.25">
      <c r="D1616" s="3"/>
      <c r="L1616" s="3"/>
      <c r="N1616" s="3"/>
      <c r="O1616" s="3"/>
      <c r="R1616" s="3"/>
      <c r="X1616" s="3"/>
      <c r="Y1616" s="3"/>
      <c r="Z1616" s="835"/>
      <c r="AA1616" s="3"/>
      <c r="AB1616" s="3"/>
      <c r="AC1616" s="3"/>
      <c r="AD1616" s="3"/>
      <c r="AE1616" s="3"/>
      <c r="AF1616" s="3"/>
      <c r="AG1616" s="3"/>
      <c r="AH1616" s="2"/>
      <c r="AR1616" s="307"/>
      <c r="AS1616" s="307"/>
      <c r="AT1616" s="307"/>
      <c r="AU1616" s="670"/>
      <c r="AV1616" s="670"/>
      <c r="AW1616" s="572"/>
    </row>
    <row r="1617" spans="4:49" ht="12.75" customHeight="1" x14ac:dyDescent="0.25">
      <c r="D1617" s="3"/>
      <c r="L1617" s="3"/>
      <c r="N1617" s="3"/>
      <c r="O1617" s="3"/>
      <c r="R1617" s="3"/>
      <c r="X1617" s="3"/>
      <c r="Y1617" s="3"/>
      <c r="Z1617" s="835"/>
      <c r="AA1617" s="3"/>
      <c r="AB1617" s="3"/>
      <c r="AC1617" s="3"/>
      <c r="AD1617" s="3"/>
      <c r="AE1617" s="3"/>
      <c r="AF1617" s="3"/>
      <c r="AG1617" s="3"/>
      <c r="AH1617" s="2"/>
      <c r="AR1617" s="307"/>
      <c r="AS1617" s="307"/>
      <c r="AT1617" s="307"/>
      <c r="AU1617" s="670"/>
      <c r="AV1617" s="670"/>
      <c r="AW1617" s="572"/>
    </row>
    <row r="1618" spans="4:49" ht="12.75" customHeight="1" x14ac:dyDescent="0.25">
      <c r="D1618" s="3"/>
      <c r="L1618" s="3"/>
      <c r="N1618" s="3"/>
      <c r="O1618" s="3"/>
      <c r="R1618" s="3"/>
      <c r="X1618" s="3"/>
      <c r="Y1618" s="3"/>
      <c r="Z1618" s="835"/>
      <c r="AA1618" s="3"/>
      <c r="AB1618" s="3"/>
      <c r="AC1618" s="3"/>
      <c r="AD1618" s="3"/>
      <c r="AE1618" s="3"/>
      <c r="AF1618" s="3"/>
      <c r="AG1618" s="3"/>
      <c r="AH1618" s="2"/>
      <c r="AR1618" s="307"/>
      <c r="AS1618" s="307"/>
      <c r="AT1618" s="307"/>
      <c r="AU1618" s="670"/>
      <c r="AV1618" s="670"/>
      <c r="AW1618" s="572"/>
    </row>
    <row r="1619" spans="4:49" ht="12.75" customHeight="1" x14ac:dyDescent="0.25">
      <c r="D1619" s="3"/>
      <c r="L1619" s="3"/>
      <c r="N1619" s="3"/>
      <c r="O1619" s="3"/>
      <c r="R1619" s="3"/>
      <c r="X1619" s="3"/>
      <c r="Y1619" s="3"/>
      <c r="Z1619" s="835"/>
      <c r="AA1619" s="3"/>
      <c r="AB1619" s="3"/>
      <c r="AC1619" s="3"/>
      <c r="AD1619" s="3"/>
      <c r="AE1619" s="3"/>
      <c r="AF1619" s="3"/>
      <c r="AG1619" s="3"/>
      <c r="AH1619" s="2"/>
      <c r="AR1619" s="307"/>
      <c r="AS1619" s="307"/>
      <c r="AT1619" s="307"/>
      <c r="AU1619" s="670"/>
      <c r="AV1619" s="670"/>
      <c r="AW1619" s="572"/>
    </row>
    <row r="1620" spans="4:49" ht="12.75" customHeight="1" x14ac:dyDescent="0.25">
      <c r="D1620" s="3"/>
      <c r="L1620" s="3"/>
      <c r="N1620" s="3"/>
      <c r="O1620" s="3"/>
      <c r="R1620" s="3"/>
      <c r="X1620" s="3"/>
      <c r="Y1620" s="3"/>
      <c r="Z1620" s="835"/>
      <c r="AA1620" s="3"/>
      <c r="AB1620" s="3"/>
      <c r="AC1620" s="3"/>
      <c r="AD1620" s="3"/>
      <c r="AE1620" s="3"/>
      <c r="AF1620" s="3"/>
      <c r="AG1620" s="3"/>
      <c r="AH1620" s="2"/>
      <c r="AR1620" s="307"/>
      <c r="AS1620" s="307"/>
      <c r="AT1620" s="307"/>
      <c r="AU1620" s="670"/>
      <c r="AV1620" s="670"/>
      <c r="AW1620" s="572"/>
    </row>
    <row r="1621" spans="4:49" ht="12.75" customHeight="1" x14ac:dyDescent="0.25">
      <c r="D1621" s="3"/>
      <c r="L1621" s="3"/>
      <c r="N1621" s="3"/>
      <c r="O1621" s="3"/>
      <c r="R1621" s="3"/>
      <c r="X1621" s="3"/>
      <c r="Y1621" s="3"/>
      <c r="Z1621" s="835"/>
      <c r="AA1621" s="3"/>
      <c r="AB1621" s="3"/>
      <c r="AC1621" s="3"/>
      <c r="AD1621" s="3"/>
      <c r="AE1621" s="3"/>
      <c r="AF1621" s="3"/>
      <c r="AG1621" s="3"/>
      <c r="AH1621" s="2"/>
      <c r="AR1621" s="307"/>
      <c r="AS1621" s="307"/>
      <c r="AT1621" s="307"/>
      <c r="AU1621" s="670"/>
      <c r="AV1621" s="670"/>
      <c r="AW1621" s="572"/>
    </row>
    <row r="1622" spans="4:49" ht="12.75" customHeight="1" x14ac:dyDescent="0.25">
      <c r="D1622" s="3"/>
      <c r="L1622" s="3"/>
      <c r="N1622" s="3"/>
      <c r="O1622" s="3"/>
      <c r="R1622" s="3"/>
      <c r="X1622" s="3"/>
      <c r="Y1622" s="3"/>
      <c r="Z1622" s="835"/>
      <c r="AA1622" s="3"/>
      <c r="AB1622" s="3"/>
      <c r="AC1622" s="3"/>
      <c r="AD1622" s="3"/>
      <c r="AE1622" s="3"/>
      <c r="AF1622" s="3"/>
      <c r="AG1622" s="3"/>
      <c r="AH1622" s="2"/>
      <c r="AR1622" s="307"/>
      <c r="AS1622" s="307"/>
      <c r="AT1622" s="307"/>
      <c r="AU1622" s="670"/>
      <c r="AV1622" s="670"/>
      <c r="AW1622" s="572"/>
    </row>
    <row r="1623" spans="4:49" ht="12.75" customHeight="1" x14ac:dyDescent="0.25">
      <c r="D1623" s="3"/>
      <c r="L1623" s="3"/>
      <c r="N1623" s="3"/>
      <c r="O1623" s="3"/>
      <c r="R1623" s="3"/>
      <c r="X1623" s="3"/>
      <c r="Y1623" s="3"/>
      <c r="Z1623" s="835"/>
      <c r="AA1623" s="3"/>
      <c r="AB1623" s="3"/>
      <c r="AC1623" s="3"/>
      <c r="AD1623" s="3"/>
      <c r="AE1623" s="3"/>
      <c r="AF1623" s="3"/>
      <c r="AG1623" s="3"/>
      <c r="AH1623" s="2"/>
      <c r="AR1623" s="307"/>
      <c r="AS1623" s="307"/>
      <c r="AT1623" s="307"/>
      <c r="AU1623" s="670"/>
      <c r="AV1623" s="670"/>
      <c r="AW1623" s="572"/>
    </row>
    <row r="1624" spans="4:49" ht="12.75" customHeight="1" x14ac:dyDescent="0.25">
      <c r="D1624" s="3"/>
      <c r="L1624" s="3"/>
      <c r="N1624" s="3"/>
      <c r="O1624" s="3"/>
      <c r="R1624" s="3"/>
      <c r="X1624" s="3"/>
      <c r="Y1624" s="3"/>
      <c r="Z1624" s="835"/>
      <c r="AA1624" s="3"/>
      <c r="AB1624" s="3"/>
      <c r="AC1624" s="3"/>
      <c r="AD1624" s="3"/>
      <c r="AE1624" s="3"/>
      <c r="AF1624" s="3"/>
      <c r="AG1624" s="3"/>
      <c r="AH1624" s="2"/>
      <c r="AR1624" s="307"/>
      <c r="AS1624" s="307"/>
      <c r="AT1624" s="307"/>
      <c r="AU1624" s="670"/>
      <c r="AV1624" s="670"/>
      <c r="AW1624" s="572"/>
    </row>
    <row r="1625" spans="4:49" ht="12.75" customHeight="1" x14ac:dyDescent="0.25">
      <c r="D1625" s="3"/>
      <c r="L1625" s="3"/>
      <c r="N1625" s="3"/>
      <c r="O1625" s="3"/>
      <c r="R1625" s="3"/>
      <c r="X1625" s="3"/>
      <c r="Y1625" s="3"/>
      <c r="Z1625" s="835"/>
      <c r="AA1625" s="3"/>
      <c r="AB1625" s="3"/>
      <c r="AC1625" s="3"/>
      <c r="AD1625" s="3"/>
      <c r="AE1625" s="3"/>
      <c r="AF1625" s="3"/>
      <c r="AG1625" s="3"/>
      <c r="AH1625" s="2"/>
      <c r="AR1625" s="307"/>
      <c r="AS1625" s="307"/>
      <c r="AT1625" s="307"/>
      <c r="AU1625" s="670"/>
      <c r="AV1625" s="670"/>
      <c r="AW1625" s="572"/>
    </row>
    <row r="1626" spans="4:49" ht="12.75" customHeight="1" x14ac:dyDescent="0.25">
      <c r="D1626" s="3"/>
      <c r="L1626" s="3"/>
      <c r="N1626" s="3"/>
      <c r="O1626" s="3"/>
      <c r="R1626" s="3"/>
      <c r="X1626" s="3"/>
      <c r="Y1626" s="3"/>
      <c r="Z1626" s="835"/>
      <c r="AA1626" s="3"/>
      <c r="AB1626" s="3"/>
      <c r="AC1626" s="3"/>
      <c r="AD1626" s="3"/>
      <c r="AE1626" s="3"/>
      <c r="AF1626" s="3"/>
      <c r="AG1626" s="3"/>
      <c r="AH1626" s="2"/>
      <c r="AR1626" s="307"/>
      <c r="AS1626" s="307"/>
      <c r="AT1626" s="307"/>
      <c r="AU1626" s="670"/>
      <c r="AV1626" s="670"/>
      <c r="AW1626" s="572"/>
    </row>
    <row r="1627" spans="4:49" ht="12.75" customHeight="1" x14ac:dyDescent="0.25">
      <c r="D1627" s="3"/>
      <c r="L1627" s="3"/>
      <c r="N1627" s="3"/>
      <c r="O1627" s="3"/>
      <c r="R1627" s="3"/>
      <c r="X1627" s="3"/>
      <c r="Y1627" s="3"/>
      <c r="Z1627" s="835"/>
      <c r="AA1627" s="3"/>
      <c r="AB1627" s="3"/>
      <c r="AC1627" s="3"/>
      <c r="AD1627" s="3"/>
      <c r="AE1627" s="3"/>
      <c r="AF1627" s="3"/>
      <c r="AG1627" s="3"/>
      <c r="AH1627" s="2"/>
      <c r="AR1627" s="307"/>
      <c r="AS1627" s="307"/>
      <c r="AT1627" s="307"/>
      <c r="AU1627" s="670"/>
      <c r="AV1627" s="670"/>
      <c r="AW1627" s="572"/>
    </row>
    <row r="1628" spans="4:49" ht="12.75" customHeight="1" x14ac:dyDescent="0.25">
      <c r="D1628" s="3"/>
      <c r="L1628" s="3"/>
      <c r="N1628" s="3"/>
      <c r="O1628" s="3"/>
      <c r="R1628" s="3"/>
      <c r="X1628" s="3"/>
      <c r="Y1628" s="3"/>
      <c r="Z1628" s="835"/>
      <c r="AA1628" s="3"/>
      <c r="AB1628" s="3"/>
      <c r="AC1628" s="3"/>
      <c r="AD1628" s="3"/>
      <c r="AE1628" s="3"/>
      <c r="AF1628" s="3"/>
      <c r="AG1628" s="3"/>
      <c r="AH1628" s="2"/>
      <c r="AR1628" s="307"/>
      <c r="AS1628" s="307"/>
      <c r="AT1628" s="307"/>
      <c r="AU1628" s="670"/>
      <c r="AV1628" s="670"/>
      <c r="AW1628" s="572"/>
    </row>
    <row r="1629" spans="4:49" ht="12.75" customHeight="1" x14ac:dyDescent="0.25">
      <c r="D1629" s="3"/>
      <c r="L1629" s="3"/>
      <c r="N1629" s="3"/>
      <c r="O1629" s="3"/>
      <c r="R1629" s="3"/>
      <c r="X1629" s="3"/>
      <c r="Y1629" s="3"/>
      <c r="Z1629" s="835"/>
      <c r="AA1629" s="3"/>
      <c r="AB1629" s="3"/>
      <c r="AC1629" s="3"/>
      <c r="AD1629" s="3"/>
      <c r="AE1629" s="3"/>
      <c r="AF1629" s="3"/>
      <c r="AG1629" s="3"/>
      <c r="AH1629" s="2"/>
      <c r="AR1629" s="307"/>
      <c r="AS1629" s="307"/>
      <c r="AT1629" s="307"/>
      <c r="AU1629" s="670"/>
      <c r="AV1629" s="670"/>
      <c r="AW1629" s="572"/>
    </row>
    <row r="1630" spans="4:49" ht="12.75" customHeight="1" x14ac:dyDescent="0.25">
      <c r="D1630" s="3"/>
      <c r="L1630" s="3"/>
      <c r="N1630" s="3"/>
      <c r="O1630" s="3"/>
      <c r="R1630" s="3"/>
      <c r="X1630" s="3"/>
      <c r="Y1630" s="3"/>
      <c r="Z1630" s="835"/>
      <c r="AA1630" s="3"/>
      <c r="AB1630" s="3"/>
      <c r="AC1630" s="3"/>
      <c r="AD1630" s="3"/>
      <c r="AE1630" s="3"/>
      <c r="AF1630" s="3"/>
      <c r="AG1630" s="3"/>
      <c r="AH1630" s="2"/>
      <c r="AR1630" s="307"/>
      <c r="AS1630" s="307"/>
      <c r="AT1630" s="307"/>
      <c r="AU1630" s="670"/>
      <c r="AV1630" s="670"/>
      <c r="AW1630" s="572"/>
    </row>
    <row r="1631" spans="4:49" ht="12.75" customHeight="1" x14ac:dyDescent="0.25">
      <c r="D1631" s="3"/>
      <c r="L1631" s="3"/>
      <c r="N1631" s="3"/>
      <c r="O1631" s="3"/>
      <c r="R1631" s="3"/>
      <c r="X1631" s="3"/>
      <c r="Y1631" s="3"/>
      <c r="Z1631" s="835"/>
      <c r="AA1631" s="3"/>
      <c r="AB1631" s="3"/>
      <c r="AC1631" s="3"/>
      <c r="AD1631" s="3"/>
      <c r="AE1631" s="3"/>
      <c r="AF1631" s="3"/>
      <c r="AG1631" s="3"/>
      <c r="AH1631" s="2"/>
      <c r="AR1631" s="307"/>
      <c r="AS1631" s="307"/>
      <c r="AT1631" s="307"/>
      <c r="AU1631" s="670"/>
      <c r="AV1631" s="670"/>
      <c r="AW1631" s="572"/>
    </row>
    <row r="1632" spans="4:49" ht="12.75" customHeight="1" x14ac:dyDescent="0.25">
      <c r="D1632" s="3"/>
      <c r="L1632" s="3"/>
      <c r="N1632" s="3"/>
      <c r="O1632" s="3"/>
      <c r="R1632" s="3"/>
      <c r="X1632" s="3"/>
      <c r="Y1632" s="3"/>
      <c r="Z1632" s="835"/>
      <c r="AA1632" s="3"/>
      <c r="AB1632" s="3"/>
      <c r="AC1632" s="3"/>
      <c r="AD1632" s="3"/>
      <c r="AE1632" s="3"/>
      <c r="AF1632" s="3"/>
      <c r="AG1632" s="3"/>
      <c r="AH1632" s="2"/>
      <c r="AR1632" s="307"/>
      <c r="AS1632" s="307"/>
      <c r="AT1632" s="307"/>
      <c r="AU1632" s="670"/>
      <c r="AV1632" s="670"/>
      <c r="AW1632" s="572"/>
    </row>
    <row r="1633" spans="4:49" ht="12.75" customHeight="1" x14ac:dyDescent="0.25">
      <c r="D1633" s="3"/>
      <c r="L1633" s="3"/>
      <c r="N1633" s="3"/>
      <c r="O1633" s="3"/>
      <c r="R1633" s="3"/>
      <c r="X1633" s="3"/>
      <c r="Y1633" s="3"/>
      <c r="Z1633" s="835"/>
      <c r="AA1633" s="3"/>
      <c r="AB1633" s="3"/>
      <c r="AC1633" s="3"/>
      <c r="AD1633" s="3"/>
      <c r="AE1633" s="3"/>
      <c r="AF1633" s="3"/>
      <c r="AG1633" s="3"/>
      <c r="AH1633" s="2"/>
      <c r="AR1633" s="307"/>
      <c r="AS1633" s="307"/>
      <c r="AT1633" s="307"/>
      <c r="AU1633" s="670"/>
      <c r="AV1633" s="670"/>
      <c r="AW1633" s="572"/>
    </row>
    <row r="1634" spans="4:49" ht="12.75" customHeight="1" x14ac:dyDescent="0.25">
      <c r="D1634" s="3"/>
      <c r="L1634" s="3"/>
      <c r="N1634" s="3"/>
      <c r="O1634" s="3"/>
      <c r="R1634" s="3"/>
      <c r="X1634" s="3"/>
      <c r="Y1634" s="3"/>
      <c r="Z1634" s="835"/>
      <c r="AA1634" s="3"/>
      <c r="AB1634" s="3"/>
      <c r="AC1634" s="3"/>
      <c r="AD1634" s="3"/>
      <c r="AE1634" s="3"/>
      <c r="AF1634" s="3"/>
      <c r="AG1634" s="3"/>
      <c r="AH1634" s="2"/>
      <c r="AR1634" s="307"/>
      <c r="AS1634" s="307"/>
      <c r="AT1634" s="307"/>
      <c r="AU1634" s="670"/>
      <c r="AV1634" s="670"/>
      <c r="AW1634" s="572"/>
    </row>
    <row r="1635" spans="4:49" ht="12.75" customHeight="1" x14ac:dyDescent="0.25">
      <c r="D1635" s="3"/>
      <c r="L1635" s="3"/>
      <c r="N1635" s="3"/>
      <c r="O1635" s="3"/>
      <c r="R1635" s="3"/>
      <c r="X1635" s="3"/>
      <c r="Y1635" s="3"/>
      <c r="Z1635" s="835"/>
      <c r="AA1635" s="3"/>
      <c r="AB1635" s="3"/>
      <c r="AC1635" s="3"/>
      <c r="AD1635" s="3"/>
      <c r="AE1635" s="3"/>
      <c r="AF1635" s="3"/>
      <c r="AG1635" s="3"/>
      <c r="AH1635" s="2"/>
      <c r="AR1635" s="307"/>
      <c r="AS1635" s="307"/>
      <c r="AT1635" s="307"/>
      <c r="AU1635" s="670"/>
      <c r="AV1635" s="670"/>
      <c r="AW1635" s="572"/>
    </row>
    <row r="1636" spans="4:49" ht="12.75" customHeight="1" x14ac:dyDescent="0.25">
      <c r="D1636" s="3"/>
      <c r="L1636" s="3"/>
      <c r="N1636" s="3"/>
      <c r="O1636" s="3"/>
      <c r="R1636" s="3"/>
      <c r="X1636" s="3"/>
      <c r="Y1636" s="3"/>
      <c r="Z1636" s="835"/>
      <c r="AA1636" s="3"/>
      <c r="AB1636" s="3"/>
      <c r="AC1636" s="3"/>
      <c r="AD1636" s="3"/>
      <c r="AE1636" s="3"/>
      <c r="AF1636" s="3"/>
      <c r="AG1636" s="3"/>
      <c r="AH1636" s="2"/>
      <c r="AR1636" s="307"/>
      <c r="AS1636" s="307"/>
      <c r="AT1636" s="307"/>
      <c r="AU1636" s="670"/>
      <c r="AV1636" s="670"/>
      <c r="AW1636" s="572"/>
    </row>
    <row r="1637" spans="4:49" ht="12.75" customHeight="1" x14ac:dyDescent="0.25">
      <c r="D1637" s="3"/>
      <c r="L1637" s="3"/>
      <c r="N1637" s="3"/>
      <c r="O1637" s="3"/>
      <c r="R1637" s="3"/>
      <c r="X1637" s="3"/>
      <c r="Y1637" s="3"/>
      <c r="Z1637" s="835"/>
      <c r="AA1637" s="3"/>
      <c r="AB1637" s="3"/>
      <c r="AC1637" s="3"/>
      <c r="AD1637" s="3"/>
      <c r="AE1637" s="3"/>
      <c r="AF1637" s="3"/>
      <c r="AG1637" s="3"/>
      <c r="AH1637" s="2"/>
      <c r="AR1637" s="307"/>
      <c r="AS1637" s="307"/>
      <c r="AT1637" s="307"/>
      <c r="AU1637" s="670"/>
      <c r="AV1637" s="670"/>
      <c r="AW1637" s="572"/>
    </row>
    <row r="1638" spans="4:49" ht="12.75" customHeight="1" x14ac:dyDescent="0.25">
      <c r="D1638" s="3"/>
      <c r="L1638" s="3"/>
      <c r="N1638" s="3"/>
      <c r="O1638" s="3"/>
      <c r="R1638" s="3"/>
      <c r="X1638" s="3"/>
      <c r="Y1638" s="3"/>
      <c r="Z1638" s="835"/>
      <c r="AA1638" s="3"/>
      <c r="AB1638" s="3"/>
      <c r="AC1638" s="3"/>
      <c r="AD1638" s="3"/>
      <c r="AE1638" s="3"/>
      <c r="AF1638" s="3"/>
      <c r="AG1638" s="3"/>
      <c r="AH1638" s="2"/>
      <c r="AR1638" s="307"/>
      <c r="AS1638" s="307"/>
      <c r="AT1638" s="307"/>
      <c r="AU1638" s="670"/>
      <c r="AV1638" s="670"/>
      <c r="AW1638" s="572"/>
    </row>
    <row r="1639" spans="4:49" ht="12.75" customHeight="1" x14ac:dyDescent="0.25">
      <c r="D1639" s="3"/>
      <c r="L1639" s="3"/>
      <c r="N1639" s="3"/>
      <c r="O1639" s="3"/>
      <c r="R1639" s="3"/>
      <c r="X1639" s="3"/>
      <c r="Y1639" s="3"/>
      <c r="Z1639" s="835"/>
      <c r="AA1639" s="3"/>
      <c r="AB1639" s="3"/>
      <c r="AC1639" s="3"/>
      <c r="AD1639" s="3"/>
      <c r="AE1639" s="3"/>
      <c r="AF1639" s="3"/>
      <c r="AG1639" s="3"/>
      <c r="AH1639" s="2"/>
      <c r="AR1639" s="307"/>
      <c r="AS1639" s="307"/>
      <c r="AT1639" s="307"/>
      <c r="AU1639" s="670"/>
      <c r="AV1639" s="670"/>
      <c r="AW1639" s="572"/>
    </row>
    <row r="1640" spans="4:49" ht="12.75" customHeight="1" x14ac:dyDescent="0.25">
      <c r="D1640" s="3"/>
      <c r="L1640" s="3"/>
      <c r="N1640" s="3"/>
      <c r="O1640" s="3"/>
      <c r="R1640" s="3"/>
      <c r="X1640" s="3"/>
      <c r="Y1640" s="3"/>
      <c r="Z1640" s="835"/>
      <c r="AA1640" s="3"/>
      <c r="AB1640" s="3"/>
      <c r="AC1640" s="3"/>
      <c r="AD1640" s="3"/>
      <c r="AE1640" s="3"/>
      <c r="AF1640" s="3"/>
      <c r="AG1640" s="3"/>
      <c r="AH1640" s="2"/>
      <c r="AR1640" s="307"/>
      <c r="AS1640" s="307"/>
      <c r="AT1640" s="307"/>
      <c r="AU1640" s="670"/>
      <c r="AV1640" s="670"/>
      <c r="AW1640" s="572"/>
    </row>
    <row r="1641" spans="4:49" ht="12.75" customHeight="1" x14ac:dyDescent="0.25">
      <c r="D1641" s="3"/>
      <c r="L1641" s="3"/>
      <c r="N1641" s="3"/>
      <c r="O1641" s="3"/>
      <c r="R1641" s="3"/>
      <c r="X1641" s="3"/>
      <c r="Y1641" s="3"/>
      <c r="Z1641" s="835"/>
      <c r="AA1641" s="3"/>
      <c r="AB1641" s="3"/>
      <c r="AC1641" s="3"/>
      <c r="AD1641" s="3"/>
      <c r="AE1641" s="3"/>
      <c r="AF1641" s="3"/>
      <c r="AG1641" s="3"/>
      <c r="AH1641" s="2"/>
      <c r="AR1641" s="307"/>
      <c r="AS1641" s="307"/>
      <c r="AT1641" s="307"/>
      <c r="AU1641" s="670"/>
      <c r="AV1641" s="670"/>
      <c r="AW1641" s="572"/>
    </row>
    <row r="1642" spans="4:49" ht="12.75" customHeight="1" x14ac:dyDescent="0.25">
      <c r="D1642" s="3"/>
      <c r="L1642" s="3"/>
      <c r="N1642" s="3"/>
      <c r="O1642" s="3"/>
      <c r="R1642" s="3"/>
      <c r="X1642" s="3"/>
      <c r="Y1642" s="3"/>
      <c r="Z1642" s="835"/>
      <c r="AA1642" s="3"/>
      <c r="AB1642" s="3"/>
      <c r="AC1642" s="3"/>
      <c r="AD1642" s="3"/>
      <c r="AE1642" s="3"/>
      <c r="AF1642" s="3"/>
      <c r="AG1642" s="3"/>
      <c r="AH1642" s="2"/>
      <c r="AR1642" s="307"/>
      <c r="AS1642" s="307"/>
      <c r="AT1642" s="307"/>
      <c r="AU1642" s="670"/>
      <c r="AV1642" s="670"/>
      <c r="AW1642" s="572"/>
    </row>
    <row r="1643" spans="4:49" ht="12.75" customHeight="1" x14ac:dyDescent="0.25">
      <c r="D1643" s="3"/>
      <c r="L1643" s="3"/>
      <c r="N1643" s="3"/>
      <c r="O1643" s="3"/>
      <c r="R1643" s="3"/>
      <c r="X1643" s="3"/>
      <c r="Y1643" s="3"/>
      <c r="Z1643" s="835"/>
      <c r="AA1643" s="3"/>
      <c r="AB1643" s="3"/>
      <c r="AC1643" s="3"/>
      <c r="AD1643" s="3"/>
      <c r="AE1643" s="3"/>
      <c r="AF1643" s="3"/>
      <c r="AG1643" s="3"/>
      <c r="AH1643" s="2"/>
      <c r="AR1643" s="307"/>
      <c r="AS1643" s="307"/>
      <c r="AT1643" s="307"/>
      <c r="AU1643" s="670"/>
      <c r="AV1643" s="670"/>
      <c r="AW1643" s="572"/>
    </row>
    <row r="1644" spans="4:49" ht="12.75" customHeight="1" x14ac:dyDescent="0.25">
      <c r="D1644" s="3"/>
      <c r="L1644" s="3"/>
      <c r="N1644" s="3"/>
      <c r="O1644" s="3"/>
      <c r="R1644" s="3"/>
      <c r="X1644" s="3"/>
      <c r="Y1644" s="3"/>
      <c r="Z1644" s="835"/>
      <c r="AA1644" s="3"/>
      <c r="AB1644" s="3"/>
      <c r="AC1644" s="3"/>
      <c r="AD1644" s="3"/>
      <c r="AE1644" s="3"/>
      <c r="AF1644" s="3"/>
      <c r="AG1644" s="3"/>
      <c r="AH1644" s="2"/>
      <c r="AR1644" s="307"/>
      <c r="AS1644" s="307"/>
      <c r="AT1644" s="307"/>
      <c r="AU1644" s="670"/>
      <c r="AV1644" s="670"/>
      <c r="AW1644" s="572"/>
    </row>
    <row r="1645" spans="4:49" ht="12.75" customHeight="1" x14ac:dyDescent="0.25">
      <c r="D1645" s="3"/>
      <c r="L1645" s="3"/>
      <c r="N1645" s="3"/>
      <c r="O1645" s="3"/>
      <c r="R1645" s="3"/>
      <c r="X1645" s="3"/>
      <c r="Y1645" s="3"/>
      <c r="Z1645" s="835"/>
      <c r="AA1645" s="3"/>
      <c r="AB1645" s="3"/>
      <c r="AC1645" s="3"/>
      <c r="AD1645" s="3"/>
      <c r="AE1645" s="3"/>
      <c r="AF1645" s="3"/>
      <c r="AG1645" s="3"/>
      <c r="AH1645" s="2"/>
      <c r="AR1645" s="307"/>
      <c r="AS1645" s="307"/>
      <c r="AT1645" s="307"/>
      <c r="AU1645" s="670"/>
      <c r="AV1645" s="670"/>
      <c r="AW1645" s="572"/>
    </row>
    <row r="1646" spans="4:49" ht="12.75" customHeight="1" x14ac:dyDescent="0.25">
      <c r="D1646" s="3"/>
      <c r="L1646" s="3"/>
      <c r="N1646" s="3"/>
      <c r="O1646" s="3"/>
      <c r="R1646" s="3"/>
      <c r="X1646" s="3"/>
      <c r="Y1646" s="3"/>
      <c r="Z1646" s="835"/>
      <c r="AA1646" s="3"/>
      <c r="AB1646" s="3"/>
      <c r="AC1646" s="3"/>
      <c r="AD1646" s="3"/>
      <c r="AE1646" s="3"/>
      <c r="AF1646" s="3"/>
      <c r="AG1646" s="3"/>
      <c r="AH1646" s="2"/>
      <c r="AR1646" s="307"/>
      <c r="AS1646" s="307"/>
      <c r="AT1646" s="307"/>
      <c r="AU1646" s="670"/>
      <c r="AV1646" s="670"/>
      <c r="AW1646" s="572"/>
    </row>
    <row r="1647" spans="4:49" ht="12.75" customHeight="1" x14ac:dyDescent="0.25">
      <c r="D1647" s="3"/>
      <c r="L1647" s="3"/>
      <c r="N1647" s="3"/>
      <c r="O1647" s="3"/>
      <c r="R1647" s="3"/>
      <c r="X1647" s="3"/>
      <c r="Y1647" s="3"/>
      <c r="Z1647" s="835"/>
      <c r="AA1647" s="3"/>
      <c r="AB1647" s="3"/>
      <c r="AC1647" s="3"/>
      <c r="AD1647" s="3"/>
      <c r="AE1647" s="3"/>
      <c r="AF1647" s="3"/>
      <c r="AG1647" s="3"/>
      <c r="AH1647" s="2"/>
      <c r="AR1647" s="307"/>
      <c r="AS1647" s="307"/>
      <c r="AT1647" s="307"/>
      <c r="AU1647" s="670"/>
      <c r="AV1647" s="670"/>
      <c r="AW1647" s="572"/>
    </row>
    <row r="1648" spans="4:49" ht="12.75" customHeight="1" x14ac:dyDescent="0.25">
      <c r="D1648" s="3"/>
      <c r="L1648" s="3"/>
      <c r="N1648" s="3"/>
      <c r="O1648" s="3"/>
      <c r="R1648" s="3"/>
      <c r="X1648" s="3"/>
      <c r="Y1648" s="3"/>
      <c r="Z1648" s="835"/>
      <c r="AA1648" s="3"/>
      <c r="AB1648" s="3"/>
      <c r="AC1648" s="3"/>
      <c r="AD1648" s="3"/>
      <c r="AE1648" s="3"/>
      <c r="AF1648" s="3"/>
      <c r="AG1648" s="3"/>
      <c r="AH1648" s="2"/>
      <c r="AR1648" s="307"/>
      <c r="AS1648" s="307"/>
      <c r="AT1648" s="307"/>
      <c r="AU1648" s="670"/>
      <c r="AV1648" s="670"/>
      <c r="AW1648" s="572"/>
    </row>
    <row r="1649" spans="4:49" ht="12.75" customHeight="1" x14ac:dyDescent="0.25">
      <c r="D1649" s="3"/>
      <c r="L1649" s="3"/>
      <c r="N1649" s="3"/>
      <c r="O1649" s="3"/>
      <c r="R1649" s="3"/>
      <c r="X1649" s="3"/>
      <c r="Y1649" s="3"/>
      <c r="Z1649" s="835"/>
      <c r="AA1649" s="3"/>
      <c r="AB1649" s="3"/>
      <c r="AC1649" s="3"/>
      <c r="AD1649" s="3"/>
      <c r="AE1649" s="3"/>
      <c r="AF1649" s="3"/>
      <c r="AG1649" s="3"/>
      <c r="AH1649" s="2"/>
      <c r="AR1649" s="307"/>
      <c r="AS1649" s="307"/>
      <c r="AT1649" s="307"/>
      <c r="AU1649" s="670"/>
      <c r="AV1649" s="670"/>
      <c r="AW1649" s="572"/>
    </row>
    <row r="1650" spans="4:49" ht="12.75" customHeight="1" x14ac:dyDescent="0.25">
      <c r="D1650" s="3"/>
      <c r="L1650" s="3"/>
      <c r="N1650" s="3"/>
      <c r="O1650" s="3"/>
      <c r="R1650" s="3"/>
      <c r="X1650" s="3"/>
      <c r="Y1650" s="3"/>
      <c r="Z1650" s="835"/>
      <c r="AA1650" s="3"/>
      <c r="AB1650" s="3"/>
      <c r="AC1650" s="3"/>
      <c r="AD1650" s="3"/>
      <c r="AE1650" s="3"/>
      <c r="AF1650" s="3"/>
      <c r="AG1650" s="3"/>
      <c r="AH1650" s="2"/>
      <c r="AR1650" s="307"/>
      <c r="AS1650" s="307"/>
      <c r="AT1650" s="307"/>
      <c r="AU1650" s="670"/>
      <c r="AV1650" s="670"/>
      <c r="AW1650" s="572"/>
    </row>
    <row r="1651" spans="4:49" ht="12.75" customHeight="1" x14ac:dyDescent="0.25">
      <c r="D1651" s="3"/>
      <c r="L1651" s="3"/>
      <c r="N1651" s="3"/>
      <c r="O1651" s="3"/>
      <c r="R1651" s="3"/>
      <c r="X1651" s="3"/>
      <c r="Y1651" s="3"/>
      <c r="Z1651" s="835"/>
      <c r="AA1651" s="3"/>
      <c r="AB1651" s="3"/>
      <c r="AC1651" s="3"/>
      <c r="AD1651" s="3"/>
      <c r="AE1651" s="3"/>
      <c r="AF1651" s="3"/>
      <c r="AG1651" s="3"/>
      <c r="AH1651" s="2"/>
      <c r="AR1651" s="307"/>
      <c r="AS1651" s="307"/>
      <c r="AT1651" s="307"/>
      <c r="AU1651" s="670"/>
      <c r="AV1651" s="670"/>
      <c r="AW1651" s="572"/>
    </row>
    <row r="1652" spans="4:49" ht="12.75" customHeight="1" x14ac:dyDescent="0.25">
      <c r="D1652" s="3"/>
      <c r="L1652" s="3"/>
      <c r="N1652" s="3"/>
      <c r="O1652" s="3"/>
      <c r="R1652" s="3"/>
      <c r="X1652" s="3"/>
      <c r="Y1652" s="3"/>
      <c r="Z1652" s="835"/>
      <c r="AA1652" s="3"/>
      <c r="AB1652" s="3"/>
      <c r="AC1652" s="3"/>
      <c r="AD1652" s="3"/>
      <c r="AE1652" s="3"/>
      <c r="AF1652" s="3"/>
      <c r="AG1652" s="3"/>
      <c r="AH1652" s="2"/>
      <c r="AR1652" s="307"/>
      <c r="AS1652" s="307"/>
      <c r="AT1652" s="307"/>
      <c r="AU1652" s="670"/>
      <c r="AV1652" s="670"/>
      <c r="AW1652" s="572"/>
    </row>
    <row r="1653" spans="4:49" ht="12.75" customHeight="1" x14ac:dyDescent="0.25">
      <c r="D1653" s="3"/>
      <c r="L1653" s="3"/>
      <c r="N1653" s="3"/>
      <c r="O1653" s="3"/>
      <c r="R1653" s="3"/>
      <c r="X1653" s="3"/>
      <c r="Y1653" s="3"/>
      <c r="Z1653" s="835"/>
      <c r="AA1653" s="3"/>
      <c r="AB1653" s="3"/>
      <c r="AC1653" s="3"/>
      <c r="AD1653" s="3"/>
      <c r="AE1653" s="3"/>
      <c r="AF1653" s="3"/>
      <c r="AG1653" s="3"/>
      <c r="AH1653" s="2"/>
      <c r="AR1653" s="307"/>
      <c r="AS1653" s="307"/>
      <c r="AT1653" s="307"/>
      <c r="AU1653" s="670"/>
      <c r="AV1653" s="670"/>
      <c r="AW1653" s="572"/>
    </row>
    <row r="1654" spans="4:49" ht="12.75" customHeight="1" x14ac:dyDescent="0.25">
      <c r="D1654" s="3"/>
      <c r="L1654" s="3"/>
      <c r="N1654" s="3"/>
      <c r="O1654" s="3"/>
      <c r="R1654" s="3"/>
      <c r="X1654" s="3"/>
      <c r="Y1654" s="3"/>
      <c r="Z1654" s="835"/>
      <c r="AA1654" s="3"/>
      <c r="AB1654" s="3"/>
      <c r="AC1654" s="3"/>
      <c r="AD1654" s="3"/>
      <c r="AE1654" s="3"/>
      <c r="AF1654" s="3"/>
      <c r="AG1654" s="3"/>
      <c r="AH1654" s="2"/>
      <c r="AR1654" s="307"/>
      <c r="AS1654" s="307"/>
      <c r="AT1654" s="307"/>
      <c r="AU1654" s="670"/>
      <c r="AV1654" s="670"/>
      <c r="AW1654" s="572"/>
    </row>
    <row r="1655" spans="4:49" ht="12.75" customHeight="1" x14ac:dyDescent="0.25">
      <c r="D1655" s="3"/>
      <c r="L1655" s="3"/>
      <c r="N1655" s="3"/>
      <c r="O1655" s="3"/>
      <c r="R1655" s="3"/>
      <c r="X1655" s="3"/>
      <c r="Y1655" s="3"/>
      <c r="Z1655" s="835"/>
      <c r="AA1655" s="3"/>
      <c r="AB1655" s="3"/>
      <c r="AC1655" s="3"/>
      <c r="AD1655" s="3"/>
      <c r="AE1655" s="3"/>
      <c r="AF1655" s="3"/>
      <c r="AG1655" s="3"/>
      <c r="AH1655" s="2"/>
      <c r="AR1655" s="307"/>
      <c r="AS1655" s="307"/>
      <c r="AT1655" s="307"/>
      <c r="AU1655" s="670"/>
      <c r="AV1655" s="670"/>
      <c r="AW1655" s="572"/>
    </row>
    <row r="1656" spans="4:49" ht="12.75" customHeight="1" x14ac:dyDescent="0.25">
      <c r="D1656" s="3"/>
      <c r="L1656" s="3"/>
      <c r="N1656" s="3"/>
      <c r="O1656" s="3"/>
      <c r="R1656" s="3"/>
      <c r="X1656" s="3"/>
      <c r="Y1656" s="3"/>
      <c r="Z1656" s="835"/>
      <c r="AA1656" s="3"/>
      <c r="AB1656" s="3"/>
      <c r="AC1656" s="3"/>
      <c r="AD1656" s="3"/>
      <c r="AE1656" s="3"/>
      <c r="AF1656" s="3"/>
      <c r="AG1656" s="3"/>
      <c r="AH1656" s="2"/>
      <c r="AR1656" s="307"/>
      <c r="AS1656" s="307"/>
      <c r="AT1656" s="307"/>
      <c r="AU1656" s="670"/>
      <c r="AV1656" s="670"/>
      <c r="AW1656" s="572"/>
    </row>
    <row r="1657" spans="4:49" ht="12.75" customHeight="1" x14ac:dyDescent="0.25">
      <c r="D1657" s="3"/>
      <c r="L1657" s="3"/>
      <c r="N1657" s="3"/>
      <c r="O1657" s="3"/>
      <c r="R1657" s="3"/>
      <c r="X1657" s="3"/>
      <c r="Y1657" s="3"/>
      <c r="Z1657" s="835"/>
      <c r="AA1657" s="3"/>
      <c r="AB1657" s="3"/>
      <c r="AC1657" s="3"/>
      <c r="AD1657" s="3"/>
      <c r="AE1657" s="3"/>
      <c r="AF1657" s="3"/>
      <c r="AG1657" s="3"/>
      <c r="AH1657" s="2"/>
      <c r="AR1657" s="307"/>
      <c r="AS1657" s="307"/>
      <c r="AT1657" s="307"/>
      <c r="AU1657" s="670"/>
      <c r="AV1657" s="670"/>
      <c r="AW1657" s="572"/>
    </row>
    <row r="1658" spans="4:49" ht="12.75" customHeight="1" x14ac:dyDescent="0.25">
      <c r="D1658" s="3"/>
      <c r="L1658" s="3"/>
      <c r="N1658" s="3"/>
      <c r="O1658" s="3"/>
      <c r="R1658" s="3"/>
      <c r="X1658" s="3"/>
      <c r="Y1658" s="3"/>
      <c r="Z1658" s="835"/>
      <c r="AA1658" s="3"/>
      <c r="AB1658" s="3"/>
      <c r="AC1658" s="3"/>
      <c r="AD1658" s="3"/>
      <c r="AE1658" s="3"/>
      <c r="AF1658" s="3"/>
      <c r="AG1658" s="3"/>
      <c r="AH1658" s="2"/>
      <c r="AR1658" s="307"/>
      <c r="AS1658" s="307"/>
      <c r="AT1658" s="307"/>
      <c r="AU1658" s="670"/>
      <c r="AV1658" s="670"/>
      <c r="AW1658" s="572"/>
    </row>
    <row r="1659" spans="4:49" ht="12.75" customHeight="1" x14ac:dyDescent="0.25">
      <c r="D1659" s="3"/>
      <c r="L1659" s="3"/>
      <c r="N1659" s="3"/>
      <c r="O1659" s="3"/>
      <c r="R1659" s="3"/>
      <c r="X1659" s="3"/>
      <c r="Y1659" s="3"/>
      <c r="Z1659" s="835"/>
      <c r="AA1659" s="3"/>
      <c r="AB1659" s="3"/>
      <c r="AC1659" s="3"/>
      <c r="AD1659" s="3"/>
      <c r="AE1659" s="3"/>
      <c r="AF1659" s="3"/>
      <c r="AG1659" s="3"/>
      <c r="AH1659" s="2"/>
      <c r="AR1659" s="307"/>
      <c r="AS1659" s="307"/>
      <c r="AT1659" s="307"/>
      <c r="AU1659" s="670"/>
      <c r="AV1659" s="670"/>
      <c r="AW1659" s="572"/>
    </row>
    <row r="1660" spans="4:49" ht="12.75" customHeight="1" x14ac:dyDescent="0.25">
      <c r="D1660" s="3"/>
      <c r="L1660" s="3"/>
      <c r="N1660" s="3"/>
      <c r="O1660" s="3"/>
      <c r="R1660" s="3"/>
      <c r="X1660" s="3"/>
      <c r="Y1660" s="3"/>
      <c r="Z1660" s="835"/>
      <c r="AA1660" s="3"/>
      <c r="AB1660" s="3"/>
      <c r="AC1660" s="3"/>
      <c r="AD1660" s="3"/>
      <c r="AE1660" s="3"/>
      <c r="AF1660" s="3"/>
      <c r="AG1660" s="3"/>
      <c r="AH1660" s="2"/>
      <c r="AR1660" s="307"/>
      <c r="AS1660" s="307"/>
      <c r="AT1660" s="307"/>
      <c r="AU1660" s="670"/>
      <c r="AV1660" s="670"/>
      <c r="AW1660" s="572"/>
    </row>
    <row r="1661" spans="4:49" ht="12.75" customHeight="1" x14ac:dyDescent="0.25">
      <c r="D1661" s="3"/>
      <c r="L1661" s="3"/>
      <c r="N1661" s="3"/>
      <c r="O1661" s="3"/>
      <c r="R1661" s="3"/>
      <c r="X1661" s="3"/>
      <c r="Y1661" s="3"/>
      <c r="Z1661" s="835"/>
      <c r="AA1661" s="3"/>
      <c r="AB1661" s="3"/>
      <c r="AC1661" s="3"/>
      <c r="AD1661" s="3"/>
      <c r="AE1661" s="3"/>
      <c r="AF1661" s="3"/>
      <c r="AG1661" s="3"/>
      <c r="AH1661" s="2"/>
      <c r="AR1661" s="307"/>
      <c r="AS1661" s="307"/>
      <c r="AT1661" s="307"/>
      <c r="AU1661" s="670"/>
      <c r="AV1661" s="670"/>
      <c r="AW1661" s="572"/>
    </row>
    <row r="1662" spans="4:49" ht="12.75" customHeight="1" x14ac:dyDescent="0.25">
      <c r="D1662" s="3"/>
      <c r="L1662" s="3"/>
      <c r="N1662" s="3"/>
      <c r="O1662" s="3"/>
      <c r="R1662" s="3"/>
      <c r="X1662" s="3"/>
      <c r="Y1662" s="3"/>
      <c r="Z1662" s="835"/>
      <c r="AA1662" s="3"/>
      <c r="AB1662" s="3"/>
      <c r="AC1662" s="3"/>
      <c r="AD1662" s="3"/>
      <c r="AE1662" s="3"/>
      <c r="AF1662" s="3"/>
      <c r="AG1662" s="3"/>
      <c r="AH1662" s="2"/>
      <c r="AR1662" s="307"/>
      <c r="AS1662" s="307"/>
      <c r="AT1662" s="307"/>
      <c r="AU1662" s="670"/>
      <c r="AV1662" s="670"/>
      <c r="AW1662" s="572"/>
    </row>
    <row r="1663" spans="4:49" ht="12.75" customHeight="1" x14ac:dyDescent="0.25">
      <c r="D1663" s="3"/>
      <c r="L1663" s="3"/>
      <c r="N1663" s="3"/>
      <c r="O1663" s="3"/>
      <c r="R1663" s="3"/>
      <c r="X1663" s="3"/>
      <c r="Y1663" s="3"/>
      <c r="Z1663" s="835"/>
      <c r="AA1663" s="3"/>
      <c r="AB1663" s="3"/>
      <c r="AC1663" s="3"/>
      <c r="AD1663" s="3"/>
      <c r="AE1663" s="3"/>
      <c r="AF1663" s="3"/>
      <c r="AG1663" s="3"/>
      <c r="AH1663" s="2"/>
      <c r="AR1663" s="307"/>
      <c r="AS1663" s="307"/>
      <c r="AT1663" s="307"/>
      <c r="AU1663" s="670"/>
      <c r="AV1663" s="670"/>
      <c r="AW1663" s="572"/>
    </row>
    <row r="1664" spans="4:49" ht="12.75" customHeight="1" x14ac:dyDescent="0.25">
      <c r="D1664" s="3"/>
      <c r="L1664" s="3"/>
      <c r="N1664" s="3"/>
      <c r="O1664" s="3"/>
      <c r="R1664" s="3"/>
      <c r="X1664" s="3"/>
      <c r="Y1664" s="3"/>
      <c r="Z1664" s="835"/>
      <c r="AA1664" s="3"/>
      <c r="AB1664" s="3"/>
      <c r="AC1664" s="3"/>
      <c r="AD1664" s="3"/>
      <c r="AE1664" s="3"/>
      <c r="AF1664" s="3"/>
      <c r="AG1664" s="3"/>
      <c r="AH1664" s="2"/>
      <c r="AR1664" s="307"/>
      <c r="AS1664" s="307"/>
      <c r="AT1664" s="307"/>
      <c r="AU1664" s="670"/>
      <c r="AV1664" s="670"/>
      <c r="AW1664" s="572"/>
    </row>
    <row r="1665" spans="4:49" ht="12.75" customHeight="1" x14ac:dyDescent="0.25">
      <c r="D1665" s="3"/>
      <c r="L1665" s="3"/>
      <c r="N1665" s="3"/>
      <c r="O1665" s="3"/>
      <c r="R1665" s="3"/>
      <c r="X1665" s="3"/>
      <c r="Y1665" s="3"/>
      <c r="Z1665" s="835"/>
      <c r="AA1665" s="3"/>
      <c r="AB1665" s="3"/>
      <c r="AC1665" s="3"/>
      <c r="AD1665" s="3"/>
      <c r="AE1665" s="3"/>
      <c r="AF1665" s="3"/>
      <c r="AG1665" s="3"/>
      <c r="AH1665" s="2"/>
      <c r="AR1665" s="307"/>
      <c r="AS1665" s="307"/>
      <c r="AT1665" s="307"/>
      <c r="AU1665" s="670"/>
      <c r="AV1665" s="670"/>
      <c r="AW1665" s="572"/>
    </row>
    <row r="1666" spans="4:49" ht="12.75" customHeight="1" x14ac:dyDescent="0.25">
      <c r="D1666" s="3"/>
      <c r="L1666" s="3"/>
      <c r="N1666" s="3"/>
      <c r="O1666" s="3"/>
      <c r="R1666" s="3"/>
      <c r="X1666" s="3"/>
      <c r="Y1666" s="3"/>
      <c r="Z1666" s="835"/>
      <c r="AA1666" s="3"/>
      <c r="AB1666" s="3"/>
      <c r="AC1666" s="3"/>
      <c r="AD1666" s="3"/>
      <c r="AE1666" s="3"/>
      <c r="AF1666" s="3"/>
      <c r="AG1666" s="3"/>
      <c r="AH1666" s="2"/>
      <c r="AR1666" s="307"/>
      <c r="AS1666" s="307"/>
      <c r="AT1666" s="307"/>
      <c r="AU1666" s="670"/>
      <c r="AV1666" s="670"/>
      <c r="AW1666" s="572"/>
    </row>
    <row r="1667" spans="4:49" ht="12.75" customHeight="1" x14ac:dyDescent="0.25">
      <c r="D1667" s="3"/>
      <c r="L1667" s="3"/>
      <c r="N1667" s="3"/>
      <c r="O1667" s="3"/>
      <c r="R1667" s="3"/>
      <c r="X1667" s="3"/>
      <c r="Y1667" s="3"/>
      <c r="Z1667" s="835"/>
      <c r="AA1667" s="3"/>
      <c r="AB1667" s="3"/>
      <c r="AC1667" s="3"/>
      <c r="AD1667" s="3"/>
      <c r="AE1667" s="3"/>
      <c r="AF1667" s="3"/>
      <c r="AG1667" s="3"/>
      <c r="AH1667" s="2"/>
      <c r="AR1667" s="307"/>
      <c r="AS1667" s="307"/>
      <c r="AT1667" s="307"/>
      <c r="AU1667" s="670"/>
      <c r="AV1667" s="670"/>
      <c r="AW1667" s="572"/>
    </row>
    <row r="1668" spans="4:49" ht="12.75" customHeight="1" x14ac:dyDescent="0.25">
      <c r="D1668" s="3"/>
      <c r="L1668" s="3"/>
      <c r="N1668" s="3"/>
      <c r="O1668" s="3"/>
      <c r="R1668" s="3"/>
      <c r="X1668" s="3"/>
      <c r="Y1668" s="3"/>
      <c r="Z1668" s="835"/>
      <c r="AA1668" s="3"/>
      <c r="AB1668" s="3"/>
      <c r="AC1668" s="3"/>
      <c r="AD1668" s="3"/>
      <c r="AE1668" s="3"/>
      <c r="AF1668" s="3"/>
      <c r="AG1668" s="3"/>
      <c r="AH1668" s="2"/>
      <c r="AR1668" s="307"/>
      <c r="AS1668" s="307"/>
      <c r="AT1668" s="307"/>
      <c r="AU1668" s="670"/>
      <c r="AV1668" s="670"/>
      <c r="AW1668" s="572"/>
    </row>
    <row r="1669" spans="4:49" ht="12.75" customHeight="1" x14ac:dyDescent="0.25">
      <c r="D1669" s="3"/>
      <c r="L1669" s="3"/>
      <c r="N1669" s="3"/>
      <c r="O1669" s="3"/>
      <c r="R1669" s="3"/>
      <c r="X1669" s="3"/>
      <c r="Y1669" s="3"/>
      <c r="Z1669" s="835"/>
      <c r="AA1669" s="3"/>
      <c r="AB1669" s="3"/>
      <c r="AC1669" s="3"/>
      <c r="AD1669" s="3"/>
      <c r="AE1669" s="3"/>
      <c r="AF1669" s="3"/>
      <c r="AG1669" s="3"/>
      <c r="AH1669" s="2"/>
      <c r="AR1669" s="307"/>
      <c r="AS1669" s="307"/>
      <c r="AT1669" s="307"/>
      <c r="AU1669" s="670"/>
      <c r="AV1669" s="670"/>
      <c r="AW1669" s="572"/>
    </row>
    <row r="1670" spans="4:49" ht="12.75" customHeight="1" x14ac:dyDescent="0.25">
      <c r="D1670" s="3"/>
      <c r="L1670" s="3"/>
      <c r="N1670" s="3"/>
      <c r="O1670" s="3"/>
      <c r="R1670" s="3"/>
      <c r="X1670" s="3"/>
      <c r="Y1670" s="3"/>
      <c r="Z1670" s="835"/>
      <c r="AA1670" s="3"/>
      <c r="AB1670" s="3"/>
      <c r="AC1670" s="3"/>
      <c r="AD1670" s="3"/>
      <c r="AE1670" s="3"/>
      <c r="AF1670" s="3"/>
      <c r="AG1670" s="3"/>
      <c r="AH1670" s="2"/>
      <c r="AR1670" s="307"/>
      <c r="AS1670" s="307"/>
      <c r="AT1670" s="307"/>
      <c r="AU1670" s="670"/>
      <c r="AV1670" s="670"/>
      <c r="AW1670" s="572"/>
    </row>
    <row r="1671" spans="4:49" ht="12.75" customHeight="1" x14ac:dyDescent="0.25">
      <c r="D1671" s="3"/>
      <c r="L1671" s="3"/>
      <c r="N1671" s="3"/>
      <c r="O1671" s="3"/>
      <c r="R1671" s="3"/>
      <c r="X1671" s="3"/>
      <c r="Y1671" s="3"/>
      <c r="Z1671" s="835"/>
      <c r="AA1671" s="3"/>
      <c r="AB1671" s="3"/>
      <c r="AC1671" s="3"/>
      <c r="AD1671" s="3"/>
      <c r="AE1671" s="3"/>
      <c r="AF1671" s="3"/>
      <c r="AG1671" s="3"/>
      <c r="AH1671" s="2"/>
      <c r="AR1671" s="307"/>
      <c r="AS1671" s="307"/>
      <c r="AT1671" s="307"/>
      <c r="AU1671" s="670"/>
      <c r="AV1671" s="670"/>
      <c r="AW1671" s="572"/>
    </row>
    <row r="1672" spans="4:49" ht="12.75" customHeight="1" x14ac:dyDescent="0.25">
      <c r="D1672" s="3"/>
      <c r="L1672" s="3"/>
      <c r="N1672" s="3"/>
      <c r="O1672" s="3"/>
      <c r="R1672" s="3"/>
      <c r="X1672" s="3"/>
      <c r="Y1672" s="3"/>
      <c r="Z1672" s="835"/>
      <c r="AA1672" s="3"/>
      <c r="AB1672" s="3"/>
      <c r="AC1672" s="3"/>
      <c r="AD1672" s="3"/>
      <c r="AE1672" s="3"/>
      <c r="AF1672" s="3"/>
      <c r="AG1672" s="3"/>
      <c r="AH1672" s="2"/>
      <c r="AR1672" s="307"/>
      <c r="AS1672" s="307"/>
      <c r="AT1672" s="307"/>
      <c r="AU1672" s="670"/>
      <c r="AV1672" s="670"/>
      <c r="AW1672" s="572"/>
    </row>
    <row r="1673" spans="4:49" ht="12.75" customHeight="1" x14ac:dyDescent="0.25">
      <c r="D1673" s="3"/>
      <c r="L1673" s="3"/>
      <c r="N1673" s="3"/>
      <c r="O1673" s="3"/>
      <c r="R1673" s="3"/>
      <c r="X1673" s="3"/>
      <c r="Y1673" s="3"/>
      <c r="Z1673" s="835"/>
      <c r="AA1673" s="3"/>
      <c r="AB1673" s="3"/>
      <c r="AC1673" s="3"/>
      <c r="AD1673" s="3"/>
      <c r="AE1673" s="3"/>
      <c r="AF1673" s="3"/>
      <c r="AG1673" s="3"/>
      <c r="AH1673" s="2"/>
      <c r="AR1673" s="307"/>
      <c r="AS1673" s="307"/>
      <c r="AT1673" s="307"/>
      <c r="AU1673" s="670"/>
      <c r="AV1673" s="670"/>
      <c r="AW1673" s="572"/>
    </row>
    <row r="1674" spans="4:49" ht="12.75" customHeight="1" x14ac:dyDescent="0.25">
      <c r="D1674" s="3"/>
      <c r="L1674" s="3"/>
      <c r="N1674" s="3"/>
      <c r="O1674" s="3"/>
      <c r="R1674" s="3"/>
      <c r="X1674" s="3"/>
      <c r="Y1674" s="3"/>
      <c r="Z1674" s="835"/>
      <c r="AA1674" s="3"/>
      <c r="AB1674" s="3"/>
      <c r="AC1674" s="3"/>
      <c r="AD1674" s="3"/>
      <c r="AE1674" s="3"/>
      <c r="AF1674" s="3"/>
      <c r="AG1674" s="3"/>
      <c r="AH1674" s="2"/>
      <c r="AR1674" s="307"/>
      <c r="AS1674" s="307"/>
      <c r="AT1674" s="307"/>
      <c r="AU1674" s="670"/>
      <c r="AV1674" s="670"/>
      <c r="AW1674" s="572"/>
    </row>
    <row r="1675" spans="4:49" ht="12.75" customHeight="1" x14ac:dyDescent="0.25">
      <c r="D1675" s="3"/>
      <c r="L1675" s="3"/>
      <c r="N1675" s="3"/>
      <c r="O1675" s="3"/>
      <c r="R1675" s="3"/>
      <c r="X1675" s="3"/>
      <c r="Y1675" s="3"/>
      <c r="Z1675" s="835"/>
      <c r="AA1675" s="3"/>
      <c r="AB1675" s="3"/>
      <c r="AC1675" s="3"/>
      <c r="AD1675" s="3"/>
      <c r="AE1675" s="3"/>
      <c r="AF1675" s="3"/>
      <c r="AG1675" s="3"/>
      <c r="AH1675" s="2"/>
      <c r="AR1675" s="307"/>
      <c r="AS1675" s="307"/>
      <c r="AT1675" s="307"/>
      <c r="AU1675" s="670"/>
      <c r="AV1675" s="670"/>
      <c r="AW1675" s="572"/>
    </row>
    <row r="1676" spans="4:49" ht="12.75" customHeight="1" x14ac:dyDescent="0.25">
      <c r="D1676" s="3"/>
      <c r="L1676" s="3"/>
      <c r="N1676" s="3"/>
      <c r="O1676" s="3"/>
      <c r="R1676" s="3"/>
      <c r="X1676" s="3"/>
      <c r="Y1676" s="3"/>
      <c r="Z1676" s="835"/>
      <c r="AA1676" s="3"/>
      <c r="AB1676" s="3"/>
      <c r="AC1676" s="3"/>
      <c r="AD1676" s="3"/>
      <c r="AE1676" s="3"/>
      <c r="AF1676" s="3"/>
      <c r="AG1676" s="3"/>
      <c r="AH1676" s="2"/>
      <c r="AR1676" s="307"/>
      <c r="AS1676" s="307"/>
      <c r="AT1676" s="307"/>
      <c r="AU1676" s="670"/>
      <c r="AV1676" s="670"/>
      <c r="AW1676" s="572"/>
    </row>
    <row r="1677" spans="4:49" ht="12.75" customHeight="1" x14ac:dyDescent="0.25">
      <c r="D1677" s="3"/>
      <c r="L1677" s="3"/>
      <c r="N1677" s="3"/>
      <c r="O1677" s="3"/>
      <c r="R1677" s="3"/>
      <c r="X1677" s="3"/>
      <c r="Y1677" s="3"/>
      <c r="Z1677" s="835"/>
      <c r="AA1677" s="3"/>
      <c r="AB1677" s="3"/>
      <c r="AC1677" s="3"/>
      <c r="AD1677" s="3"/>
      <c r="AE1677" s="3"/>
      <c r="AF1677" s="3"/>
      <c r="AG1677" s="3"/>
      <c r="AH1677" s="2"/>
      <c r="AR1677" s="307"/>
      <c r="AS1677" s="307"/>
      <c r="AT1677" s="307"/>
      <c r="AU1677" s="670"/>
      <c r="AV1677" s="670"/>
      <c r="AW1677" s="572"/>
    </row>
    <row r="1678" spans="4:49" ht="12.75" customHeight="1" x14ac:dyDescent="0.25">
      <c r="D1678" s="3"/>
      <c r="L1678" s="3"/>
      <c r="N1678" s="3"/>
      <c r="O1678" s="3"/>
      <c r="R1678" s="3"/>
      <c r="X1678" s="3"/>
      <c r="Y1678" s="3"/>
      <c r="Z1678" s="835"/>
      <c r="AA1678" s="3"/>
      <c r="AB1678" s="3"/>
      <c r="AC1678" s="3"/>
      <c r="AD1678" s="3"/>
      <c r="AE1678" s="3"/>
      <c r="AF1678" s="3"/>
      <c r="AG1678" s="3"/>
      <c r="AH1678" s="2"/>
      <c r="AR1678" s="307"/>
      <c r="AS1678" s="307"/>
      <c r="AT1678" s="307"/>
      <c r="AU1678" s="670"/>
      <c r="AV1678" s="670"/>
      <c r="AW1678" s="572"/>
    </row>
    <row r="1679" spans="4:49" ht="12.75" customHeight="1" x14ac:dyDescent="0.25">
      <c r="D1679" s="3"/>
      <c r="L1679" s="3"/>
      <c r="N1679" s="3"/>
      <c r="O1679" s="3"/>
      <c r="R1679" s="3"/>
      <c r="X1679" s="3"/>
      <c r="Y1679" s="3"/>
      <c r="Z1679" s="835"/>
      <c r="AA1679" s="3"/>
      <c r="AB1679" s="3"/>
      <c r="AC1679" s="3"/>
      <c r="AD1679" s="3"/>
      <c r="AE1679" s="3"/>
      <c r="AF1679" s="3"/>
      <c r="AG1679" s="3"/>
      <c r="AH1679" s="2"/>
      <c r="AR1679" s="307"/>
      <c r="AS1679" s="307"/>
      <c r="AT1679" s="307"/>
      <c r="AU1679" s="670"/>
      <c r="AV1679" s="670"/>
      <c r="AW1679" s="572"/>
    </row>
    <row r="1680" spans="4:49" ht="12.75" customHeight="1" x14ac:dyDescent="0.25">
      <c r="D1680" s="3"/>
      <c r="L1680" s="3"/>
      <c r="N1680" s="3"/>
      <c r="O1680" s="3"/>
      <c r="R1680" s="3"/>
      <c r="X1680" s="3"/>
      <c r="Y1680" s="3"/>
      <c r="Z1680" s="835"/>
      <c r="AA1680" s="3"/>
      <c r="AB1680" s="3"/>
      <c r="AC1680" s="3"/>
      <c r="AD1680" s="3"/>
      <c r="AE1680" s="3"/>
      <c r="AF1680" s="3"/>
      <c r="AG1680" s="3"/>
      <c r="AH1680" s="2"/>
      <c r="AR1680" s="307"/>
      <c r="AS1680" s="307"/>
      <c r="AT1680" s="307"/>
      <c r="AU1680" s="670"/>
      <c r="AV1680" s="670"/>
      <c r="AW1680" s="572"/>
    </row>
    <row r="1681" spans="4:49" ht="12.75" customHeight="1" x14ac:dyDescent="0.25">
      <c r="D1681" s="3"/>
      <c r="L1681" s="3"/>
      <c r="N1681" s="3"/>
      <c r="O1681" s="3"/>
      <c r="R1681" s="3"/>
      <c r="X1681" s="3"/>
      <c r="Y1681" s="3"/>
      <c r="Z1681" s="835"/>
      <c r="AA1681" s="3"/>
      <c r="AB1681" s="3"/>
      <c r="AC1681" s="3"/>
      <c r="AD1681" s="3"/>
      <c r="AE1681" s="3"/>
      <c r="AF1681" s="3"/>
      <c r="AG1681" s="3"/>
      <c r="AH1681" s="2"/>
      <c r="AR1681" s="307"/>
      <c r="AS1681" s="307"/>
      <c r="AT1681" s="307"/>
      <c r="AU1681" s="670"/>
      <c r="AV1681" s="670"/>
      <c r="AW1681" s="572"/>
    </row>
    <row r="1682" spans="4:49" ht="12.75" customHeight="1" x14ac:dyDescent="0.25">
      <c r="D1682" s="3"/>
      <c r="L1682" s="3"/>
      <c r="N1682" s="3"/>
      <c r="O1682" s="3"/>
      <c r="R1682" s="3"/>
      <c r="X1682" s="3"/>
      <c r="Y1682" s="3"/>
      <c r="Z1682" s="835"/>
      <c r="AA1682" s="3"/>
      <c r="AB1682" s="3"/>
      <c r="AC1682" s="3"/>
      <c r="AD1682" s="3"/>
      <c r="AE1682" s="3"/>
      <c r="AF1682" s="3"/>
      <c r="AG1682" s="3"/>
      <c r="AH1682" s="2"/>
      <c r="AR1682" s="307"/>
      <c r="AS1682" s="307"/>
      <c r="AT1682" s="307"/>
      <c r="AU1682" s="670"/>
      <c r="AV1682" s="670"/>
      <c r="AW1682" s="572"/>
    </row>
    <row r="1683" spans="4:49" ht="12.75" customHeight="1" x14ac:dyDescent="0.25">
      <c r="D1683" s="3"/>
      <c r="L1683" s="3"/>
      <c r="N1683" s="3"/>
      <c r="O1683" s="3"/>
      <c r="R1683" s="3"/>
      <c r="X1683" s="3"/>
      <c r="Y1683" s="3"/>
      <c r="Z1683" s="835"/>
      <c r="AA1683" s="3"/>
      <c r="AB1683" s="3"/>
      <c r="AC1683" s="3"/>
      <c r="AD1683" s="3"/>
      <c r="AE1683" s="3"/>
      <c r="AF1683" s="3"/>
      <c r="AG1683" s="3"/>
      <c r="AH1683" s="2"/>
      <c r="AR1683" s="307"/>
      <c r="AS1683" s="307"/>
      <c r="AT1683" s="307"/>
      <c r="AU1683" s="670"/>
      <c r="AV1683" s="670"/>
      <c r="AW1683" s="572"/>
    </row>
    <row r="1684" spans="4:49" ht="12.75" customHeight="1" x14ac:dyDescent="0.25">
      <c r="D1684" s="3"/>
      <c r="L1684" s="3"/>
      <c r="N1684" s="3"/>
      <c r="O1684" s="3"/>
      <c r="R1684" s="3"/>
      <c r="X1684" s="3"/>
      <c r="Y1684" s="3"/>
      <c r="Z1684" s="835"/>
      <c r="AA1684" s="3"/>
      <c r="AB1684" s="3"/>
      <c r="AC1684" s="3"/>
      <c r="AD1684" s="3"/>
      <c r="AE1684" s="3"/>
      <c r="AF1684" s="3"/>
      <c r="AG1684" s="3"/>
      <c r="AH1684" s="2"/>
      <c r="AR1684" s="307"/>
      <c r="AS1684" s="307"/>
      <c r="AT1684" s="307"/>
      <c r="AU1684" s="670"/>
      <c r="AV1684" s="670"/>
      <c r="AW1684" s="572"/>
    </row>
    <row r="1685" spans="4:49" ht="12.75" customHeight="1" x14ac:dyDescent="0.25">
      <c r="D1685" s="3"/>
      <c r="L1685" s="3"/>
      <c r="N1685" s="3"/>
      <c r="O1685" s="3"/>
      <c r="R1685" s="3"/>
      <c r="X1685" s="3"/>
      <c r="Y1685" s="3"/>
      <c r="Z1685" s="835"/>
      <c r="AA1685" s="3"/>
      <c r="AB1685" s="3"/>
      <c r="AC1685" s="3"/>
      <c r="AD1685" s="3"/>
      <c r="AE1685" s="3"/>
      <c r="AF1685" s="3"/>
      <c r="AG1685" s="3"/>
      <c r="AH1685" s="2"/>
      <c r="AR1685" s="307"/>
      <c r="AS1685" s="307"/>
      <c r="AT1685" s="307"/>
      <c r="AU1685" s="670"/>
      <c r="AV1685" s="670"/>
      <c r="AW1685" s="572"/>
    </row>
    <row r="1686" spans="4:49" ht="12.75" customHeight="1" x14ac:dyDescent="0.25">
      <c r="D1686" s="3"/>
      <c r="L1686" s="3"/>
      <c r="N1686" s="3"/>
      <c r="O1686" s="3"/>
      <c r="R1686" s="3"/>
      <c r="X1686" s="3"/>
      <c r="Y1686" s="3"/>
      <c r="Z1686" s="835"/>
      <c r="AA1686" s="3"/>
      <c r="AB1686" s="3"/>
      <c r="AC1686" s="3"/>
      <c r="AD1686" s="3"/>
      <c r="AE1686" s="3"/>
      <c r="AF1686" s="3"/>
      <c r="AG1686" s="3"/>
      <c r="AH1686" s="2"/>
      <c r="AR1686" s="307"/>
      <c r="AS1686" s="307"/>
      <c r="AT1686" s="307"/>
      <c r="AU1686" s="670"/>
      <c r="AV1686" s="670"/>
      <c r="AW1686" s="572"/>
    </row>
    <row r="1687" spans="4:49" ht="12.75" customHeight="1" x14ac:dyDescent="0.25">
      <c r="D1687" s="3"/>
      <c r="L1687" s="3"/>
      <c r="N1687" s="3"/>
      <c r="O1687" s="3"/>
      <c r="R1687" s="3"/>
      <c r="X1687" s="3"/>
      <c r="Y1687" s="3"/>
      <c r="Z1687" s="835"/>
      <c r="AA1687" s="3"/>
      <c r="AB1687" s="3"/>
      <c r="AC1687" s="3"/>
      <c r="AD1687" s="3"/>
      <c r="AE1687" s="3"/>
      <c r="AF1687" s="3"/>
      <c r="AG1687" s="3"/>
      <c r="AH1687" s="2"/>
      <c r="AR1687" s="307"/>
      <c r="AS1687" s="307"/>
      <c r="AT1687" s="307"/>
      <c r="AU1687" s="670"/>
      <c r="AV1687" s="670"/>
      <c r="AW1687" s="572"/>
    </row>
    <row r="1688" spans="4:49" ht="12.75" customHeight="1" x14ac:dyDescent="0.25">
      <c r="D1688" s="3"/>
      <c r="L1688" s="3"/>
      <c r="N1688" s="3"/>
      <c r="O1688" s="3"/>
      <c r="R1688" s="3"/>
      <c r="X1688" s="3"/>
      <c r="Y1688" s="3"/>
      <c r="Z1688" s="835"/>
      <c r="AA1688" s="3"/>
      <c r="AB1688" s="3"/>
      <c r="AC1688" s="3"/>
      <c r="AD1688" s="3"/>
      <c r="AE1688" s="3"/>
      <c r="AF1688" s="3"/>
      <c r="AG1688" s="3"/>
      <c r="AH1688" s="2"/>
      <c r="AR1688" s="307"/>
      <c r="AS1688" s="307"/>
      <c r="AT1688" s="307"/>
      <c r="AU1688" s="670"/>
      <c r="AV1688" s="670"/>
      <c r="AW1688" s="572"/>
    </row>
    <row r="1689" spans="4:49" ht="12.75" customHeight="1" x14ac:dyDescent="0.25">
      <c r="D1689" s="3"/>
      <c r="L1689" s="3"/>
      <c r="N1689" s="3"/>
      <c r="O1689" s="3"/>
      <c r="R1689" s="3"/>
      <c r="X1689" s="3"/>
      <c r="Y1689" s="3"/>
      <c r="Z1689" s="835"/>
      <c r="AA1689" s="3"/>
      <c r="AB1689" s="3"/>
      <c r="AC1689" s="3"/>
      <c r="AD1689" s="3"/>
      <c r="AE1689" s="3"/>
      <c r="AF1689" s="3"/>
      <c r="AG1689" s="3"/>
      <c r="AH1689" s="2"/>
      <c r="AR1689" s="307"/>
      <c r="AS1689" s="307"/>
      <c r="AT1689" s="307"/>
      <c r="AU1689" s="670"/>
      <c r="AV1689" s="670"/>
      <c r="AW1689" s="572"/>
    </row>
    <row r="1690" spans="4:49" ht="12.75" customHeight="1" x14ac:dyDescent="0.25">
      <c r="D1690" s="3"/>
      <c r="L1690" s="3"/>
      <c r="N1690" s="3"/>
      <c r="O1690" s="3"/>
      <c r="R1690" s="3"/>
      <c r="X1690" s="3"/>
      <c r="Y1690" s="3"/>
      <c r="Z1690" s="835"/>
      <c r="AA1690" s="3"/>
      <c r="AB1690" s="3"/>
      <c r="AC1690" s="3"/>
      <c r="AD1690" s="3"/>
      <c r="AE1690" s="3"/>
      <c r="AF1690" s="3"/>
      <c r="AG1690" s="3"/>
      <c r="AH1690" s="2"/>
      <c r="AR1690" s="307"/>
      <c r="AS1690" s="307"/>
      <c r="AT1690" s="307"/>
      <c r="AU1690" s="670"/>
      <c r="AV1690" s="670"/>
      <c r="AW1690" s="572"/>
    </row>
    <row r="1691" spans="4:49" ht="12.75" customHeight="1" x14ac:dyDescent="0.25">
      <c r="D1691" s="3"/>
      <c r="L1691" s="3"/>
      <c r="N1691" s="3"/>
      <c r="O1691" s="3"/>
      <c r="R1691" s="3"/>
      <c r="X1691" s="3"/>
      <c r="Y1691" s="3"/>
      <c r="Z1691" s="835"/>
      <c r="AA1691" s="3"/>
      <c r="AB1691" s="3"/>
      <c r="AC1691" s="3"/>
      <c r="AD1691" s="3"/>
      <c r="AE1691" s="3"/>
      <c r="AF1691" s="3"/>
      <c r="AG1691" s="3"/>
      <c r="AH1691" s="2"/>
      <c r="AR1691" s="307"/>
      <c r="AS1691" s="307"/>
      <c r="AT1691" s="307"/>
      <c r="AU1691" s="670"/>
      <c r="AV1691" s="670"/>
      <c r="AW1691" s="572"/>
    </row>
    <row r="1692" spans="4:49" ht="12.75" customHeight="1" x14ac:dyDescent="0.25">
      <c r="D1692" s="3"/>
      <c r="L1692" s="3"/>
      <c r="N1692" s="3"/>
      <c r="O1692" s="3"/>
      <c r="R1692" s="3"/>
      <c r="X1692" s="3"/>
      <c r="Y1692" s="3"/>
      <c r="Z1692" s="835"/>
      <c r="AA1692" s="3"/>
      <c r="AB1692" s="3"/>
      <c r="AC1692" s="3"/>
      <c r="AD1692" s="3"/>
      <c r="AE1692" s="3"/>
      <c r="AF1692" s="3"/>
      <c r="AG1692" s="3"/>
      <c r="AH1692" s="2"/>
      <c r="AR1692" s="307"/>
      <c r="AS1692" s="307"/>
      <c r="AT1692" s="307"/>
      <c r="AU1692" s="670"/>
      <c r="AV1692" s="670"/>
      <c r="AW1692" s="572"/>
    </row>
    <row r="1693" spans="4:49" ht="12.75" customHeight="1" x14ac:dyDescent="0.25">
      <c r="D1693" s="3"/>
      <c r="L1693" s="3"/>
      <c r="N1693" s="3"/>
      <c r="O1693" s="3"/>
      <c r="R1693" s="3"/>
      <c r="X1693" s="3"/>
      <c r="Y1693" s="3"/>
      <c r="Z1693" s="835"/>
      <c r="AA1693" s="3"/>
      <c r="AB1693" s="3"/>
      <c r="AC1693" s="3"/>
      <c r="AD1693" s="3"/>
      <c r="AE1693" s="3"/>
      <c r="AF1693" s="3"/>
      <c r="AG1693" s="3"/>
      <c r="AH1693" s="2"/>
      <c r="AR1693" s="307"/>
      <c r="AS1693" s="307"/>
      <c r="AT1693" s="307"/>
      <c r="AU1693" s="670"/>
      <c r="AV1693" s="670"/>
      <c r="AW1693" s="572"/>
    </row>
    <row r="1694" spans="4:49" ht="12.75" customHeight="1" x14ac:dyDescent="0.25">
      <c r="D1694" s="3"/>
      <c r="L1694" s="3"/>
      <c r="N1694" s="3"/>
      <c r="O1694" s="3"/>
      <c r="R1694" s="3"/>
      <c r="X1694" s="3"/>
      <c r="Y1694" s="3"/>
      <c r="Z1694" s="835"/>
      <c r="AA1694" s="3"/>
      <c r="AB1694" s="3"/>
      <c r="AC1694" s="3"/>
      <c r="AD1694" s="3"/>
      <c r="AE1694" s="3"/>
      <c r="AF1694" s="3"/>
      <c r="AG1694" s="3"/>
      <c r="AH1694" s="2"/>
      <c r="AR1694" s="307"/>
      <c r="AS1694" s="307"/>
      <c r="AT1694" s="307"/>
      <c r="AU1694" s="670"/>
      <c r="AV1694" s="670"/>
      <c r="AW1694" s="572"/>
    </row>
    <row r="1695" spans="4:49" ht="12.75" customHeight="1" x14ac:dyDescent="0.25">
      <c r="D1695" s="3"/>
      <c r="L1695" s="3"/>
      <c r="N1695" s="3"/>
      <c r="O1695" s="3"/>
      <c r="R1695" s="3"/>
      <c r="X1695" s="3"/>
      <c r="Y1695" s="3"/>
      <c r="Z1695" s="835"/>
      <c r="AA1695" s="3"/>
      <c r="AB1695" s="3"/>
      <c r="AC1695" s="3"/>
      <c r="AD1695" s="3"/>
      <c r="AE1695" s="3"/>
      <c r="AF1695" s="3"/>
      <c r="AG1695" s="3"/>
      <c r="AH1695" s="2"/>
      <c r="AR1695" s="307"/>
      <c r="AS1695" s="307"/>
      <c r="AT1695" s="307"/>
      <c r="AU1695" s="670"/>
      <c r="AV1695" s="670"/>
      <c r="AW1695" s="572"/>
    </row>
    <row r="1696" spans="4:49" ht="12.75" customHeight="1" x14ac:dyDescent="0.25">
      <c r="D1696" s="3"/>
      <c r="L1696" s="3"/>
      <c r="N1696" s="3"/>
      <c r="O1696" s="3"/>
      <c r="R1696" s="3"/>
      <c r="X1696" s="3"/>
      <c r="Y1696" s="3"/>
      <c r="Z1696" s="835"/>
      <c r="AA1696" s="3"/>
      <c r="AB1696" s="3"/>
      <c r="AC1696" s="3"/>
      <c r="AD1696" s="3"/>
      <c r="AE1696" s="3"/>
      <c r="AF1696" s="3"/>
      <c r="AG1696" s="3"/>
      <c r="AH1696" s="2"/>
      <c r="AR1696" s="307"/>
      <c r="AS1696" s="307"/>
      <c r="AT1696" s="307"/>
      <c r="AU1696" s="670"/>
      <c r="AV1696" s="670"/>
      <c r="AW1696" s="572"/>
    </row>
    <row r="1697" spans="4:49" ht="12.75" customHeight="1" x14ac:dyDescent="0.25">
      <c r="D1697" s="3"/>
      <c r="L1697" s="3"/>
      <c r="N1697" s="3"/>
      <c r="O1697" s="3"/>
      <c r="R1697" s="3"/>
      <c r="X1697" s="3"/>
      <c r="Y1697" s="3"/>
      <c r="Z1697" s="835"/>
      <c r="AA1697" s="3"/>
      <c r="AB1697" s="3"/>
      <c r="AC1697" s="3"/>
      <c r="AD1697" s="3"/>
      <c r="AE1697" s="3"/>
      <c r="AF1697" s="3"/>
      <c r="AG1697" s="3"/>
      <c r="AH1697" s="2"/>
      <c r="AR1697" s="307"/>
      <c r="AS1697" s="307"/>
      <c r="AT1697" s="307"/>
      <c r="AU1697" s="670"/>
      <c r="AV1697" s="670"/>
      <c r="AW1697" s="572"/>
    </row>
    <row r="1698" spans="4:49" ht="12.75" customHeight="1" x14ac:dyDescent="0.25">
      <c r="D1698" s="3"/>
      <c r="L1698" s="3"/>
      <c r="N1698" s="3"/>
      <c r="O1698" s="3"/>
      <c r="R1698" s="3"/>
      <c r="X1698" s="3"/>
      <c r="Y1698" s="3"/>
      <c r="Z1698" s="835"/>
      <c r="AA1698" s="3"/>
      <c r="AB1698" s="3"/>
      <c r="AC1698" s="3"/>
      <c r="AD1698" s="3"/>
      <c r="AE1698" s="3"/>
      <c r="AF1698" s="3"/>
      <c r="AG1698" s="3"/>
      <c r="AH1698" s="2"/>
      <c r="AR1698" s="307"/>
      <c r="AS1698" s="307"/>
      <c r="AT1698" s="307"/>
      <c r="AU1698" s="670"/>
      <c r="AV1698" s="670"/>
      <c r="AW1698" s="572"/>
    </row>
    <row r="1699" spans="4:49" ht="12.75" customHeight="1" x14ac:dyDescent="0.25">
      <c r="D1699" s="3"/>
      <c r="L1699" s="3"/>
      <c r="N1699" s="3"/>
      <c r="O1699" s="3"/>
      <c r="R1699" s="3"/>
      <c r="X1699" s="3"/>
      <c r="Y1699" s="3"/>
      <c r="Z1699" s="835"/>
      <c r="AA1699" s="3"/>
      <c r="AB1699" s="3"/>
      <c r="AC1699" s="3"/>
      <c r="AD1699" s="3"/>
      <c r="AE1699" s="3"/>
      <c r="AF1699" s="3"/>
      <c r="AG1699" s="3"/>
      <c r="AH1699" s="2"/>
      <c r="AR1699" s="307"/>
      <c r="AS1699" s="307"/>
      <c r="AT1699" s="307"/>
      <c r="AU1699" s="670"/>
      <c r="AV1699" s="670"/>
      <c r="AW1699" s="572"/>
    </row>
    <row r="1700" spans="4:49" ht="12.75" customHeight="1" x14ac:dyDescent="0.25">
      <c r="D1700" s="3"/>
      <c r="L1700" s="3"/>
      <c r="N1700" s="3"/>
      <c r="O1700" s="3"/>
      <c r="R1700" s="3"/>
      <c r="X1700" s="3"/>
      <c r="Y1700" s="3"/>
      <c r="Z1700" s="835"/>
      <c r="AA1700" s="3"/>
      <c r="AB1700" s="3"/>
      <c r="AC1700" s="3"/>
      <c r="AD1700" s="3"/>
      <c r="AE1700" s="3"/>
      <c r="AF1700" s="3"/>
      <c r="AG1700" s="3"/>
      <c r="AH1700" s="2"/>
      <c r="AR1700" s="307"/>
      <c r="AS1700" s="307"/>
      <c r="AT1700" s="307"/>
      <c r="AU1700" s="670"/>
      <c r="AV1700" s="670"/>
      <c r="AW1700" s="572"/>
    </row>
    <row r="1701" spans="4:49" ht="12.75" customHeight="1" x14ac:dyDescent="0.25">
      <c r="D1701" s="3"/>
      <c r="L1701" s="3"/>
      <c r="N1701" s="3"/>
      <c r="O1701" s="3"/>
      <c r="R1701" s="3"/>
      <c r="X1701" s="3"/>
      <c r="Y1701" s="3"/>
      <c r="Z1701" s="835"/>
      <c r="AA1701" s="3"/>
      <c r="AB1701" s="3"/>
      <c r="AC1701" s="3"/>
      <c r="AD1701" s="3"/>
      <c r="AE1701" s="3"/>
      <c r="AF1701" s="3"/>
      <c r="AG1701" s="3"/>
      <c r="AH1701" s="2"/>
      <c r="AR1701" s="307"/>
      <c r="AS1701" s="307"/>
      <c r="AT1701" s="307"/>
      <c r="AU1701" s="670"/>
      <c r="AV1701" s="670"/>
      <c r="AW1701" s="572"/>
    </row>
    <row r="1702" spans="4:49" ht="12.75" customHeight="1" x14ac:dyDescent="0.25">
      <c r="D1702" s="3"/>
      <c r="L1702" s="3"/>
      <c r="N1702" s="3"/>
      <c r="O1702" s="3"/>
      <c r="R1702" s="3"/>
      <c r="X1702" s="3"/>
      <c r="Y1702" s="3"/>
      <c r="Z1702" s="835"/>
      <c r="AA1702" s="3"/>
      <c r="AB1702" s="3"/>
      <c r="AC1702" s="3"/>
      <c r="AD1702" s="3"/>
      <c r="AE1702" s="3"/>
      <c r="AF1702" s="3"/>
      <c r="AG1702" s="3"/>
      <c r="AH1702" s="2"/>
      <c r="AR1702" s="307"/>
      <c r="AS1702" s="307"/>
      <c r="AT1702" s="307"/>
      <c r="AU1702" s="670"/>
      <c r="AV1702" s="670"/>
      <c r="AW1702" s="572"/>
    </row>
    <row r="1703" spans="4:49" ht="12.75" customHeight="1" x14ac:dyDescent="0.25">
      <c r="D1703" s="3"/>
      <c r="L1703" s="3"/>
      <c r="N1703" s="3"/>
      <c r="O1703" s="3"/>
      <c r="R1703" s="3"/>
      <c r="X1703" s="3"/>
      <c r="Y1703" s="3"/>
      <c r="Z1703" s="835"/>
      <c r="AA1703" s="3"/>
      <c r="AB1703" s="3"/>
      <c r="AC1703" s="3"/>
      <c r="AD1703" s="3"/>
      <c r="AE1703" s="3"/>
      <c r="AF1703" s="3"/>
      <c r="AG1703" s="3"/>
      <c r="AH1703" s="2"/>
      <c r="AR1703" s="307"/>
      <c r="AS1703" s="307"/>
      <c r="AT1703" s="307"/>
      <c r="AU1703" s="670"/>
      <c r="AV1703" s="670"/>
      <c r="AW1703" s="572"/>
    </row>
    <row r="1704" spans="4:49" ht="12.75" customHeight="1" x14ac:dyDescent="0.25">
      <c r="D1704" s="3"/>
      <c r="L1704" s="3"/>
      <c r="N1704" s="3"/>
      <c r="O1704" s="3"/>
      <c r="R1704" s="3"/>
      <c r="X1704" s="3"/>
      <c r="Y1704" s="3"/>
      <c r="Z1704" s="835"/>
      <c r="AA1704" s="3"/>
      <c r="AB1704" s="3"/>
      <c r="AC1704" s="3"/>
      <c r="AD1704" s="3"/>
      <c r="AE1704" s="3"/>
      <c r="AF1704" s="3"/>
      <c r="AG1704" s="3"/>
      <c r="AH1704" s="2"/>
      <c r="AR1704" s="307"/>
      <c r="AS1704" s="307"/>
      <c r="AT1704" s="307"/>
      <c r="AU1704" s="670"/>
      <c r="AV1704" s="670"/>
      <c r="AW1704" s="572"/>
    </row>
    <row r="1705" spans="4:49" ht="12.75" customHeight="1" x14ac:dyDescent="0.25">
      <c r="D1705" s="3"/>
      <c r="L1705" s="3"/>
      <c r="N1705" s="3"/>
      <c r="O1705" s="3"/>
      <c r="R1705" s="3"/>
      <c r="X1705" s="3"/>
      <c r="Y1705" s="3"/>
      <c r="Z1705" s="835"/>
      <c r="AA1705" s="3"/>
      <c r="AB1705" s="3"/>
      <c r="AC1705" s="3"/>
      <c r="AD1705" s="3"/>
      <c r="AE1705" s="3"/>
      <c r="AF1705" s="3"/>
      <c r="AG1705" s="3"/>
      <c r="AH1705" s="2"/>
      <c r="AR1705" s="307"/>
      <c r="AS1705" s="307"/>
      <c r="AT1705" s="307"/>
      <c r="AU1705" s="670"/>
      <c r="AV1705" s="670"/>
      <c r="AW1705" s="572"/>
    </row>
    <row r="1706" spans="4:49" ht="12.75" customHeight="1" x14ac:dyDescent="0.25">
      <c r="D1706" s="3"/>
      <c r="L1706" s="3"/>
      <c r="N1706" s="3"/>
      <c r="O1706" s="3"/>
      <c r="R1706" s="3"/>
      <c r="X1706" s="3"/>
      <c r="Y1706" s="3"/>
      <c r="Z1706" s="835"/>
      <c r="AA1706" s="3"/>
      <c r="AB1706" s="3"/>
      <c r="AC1706" s="3"/>
      <c r="AD1706" s="3"/>
      <c r="AE1706" s="3"/>
      <c r="AF1706" s="3"/>
      <c r="AG1706" s="3"/>
      <c r="AH1706" s="2"/>
      <c r="AR1706" s="307"/>
      <c r="AS1706" s="307"/>
      <c r="AT1706" s="307"/>
      <c r="AU1706" s="670"/>
      <c r="AV1706" s="670"/>
      <c r="AW1706" s="572"/>
    </row>
    <row r="1707" spans="4:49" ht="12.75" customHeight="1" x14ac:dyDescent="0.25">
      <c r="D1707" s="3"/>
      <c r="L1707" s="3"/>
      <c r="N1707" s="3"/>
      <c r="O1707" s="3"/>
      <c r="R1707" s="3"/>
      <c r="X1707" s="3"/>
      <c r="Y1707" s="3"/>
      <c r="Z1707" s="835"/>
      <c r="AA1707" s="3"/>
      <c r="AB1707" s="3"/>
      <c r="AC1707" s="3"/>
      <c r="AD1707" s="3"/>
      <c r="AE1707" s="3"/>
      <c r="AF1707" s="3"/>
      <c r="AG1707" s="3"/>
      <c r="AH1707" s="2"/>
      <c r="AR1707" s="307"/>
      <c r="AS1707" s="307"/>
      <c r="AT1707" s="307"/>
      <c r="AU1707" s="670"/>
      <c r="AV1707" s="670"/>
      <c r="AW1707" s="572"/>
    </row>
    <row r="1708" spans="4:49" ht="12.75" customHeight="1" x14ac:dyDescent="0.25">
      <c r="D1708" s="3"/>
      <c r="L1708" s="3"/>
      <c r="N1708" s="3"/>
      <c r="O1708" s="3"/>
      <c r="R1708" s="3"/>
      <c r="X1708" s="3"/>
      <c r="Y1708" s="3"/>
      <c r="Z1708" s="835"/>
      <c r="AA1708" s="3"/>
      <c r="AB1708" s="3"/>
      <c r="AC1708" s="3"/>
      <c r="AD1708" s="3"/>
      <c r="AE1708" s="3"/>
      <c r="AF1708" s="3"/>
      <c r="AG1708" s="3"/>
      <c r="AH1708" s="2"/>
      <c r="AR1708" s="307"/>
      <c r="AS1708" s="307"/>
      <c r="AT1708" s="307"/>
      <c r="AU1708" s="670"/>
      <c r="AV1708" s="670"/>
      <c r="AW1708" s="572"/>
    </row>
    <row r="1709" spans="4:49" ht="12.75" customHeight="1" x14ac:dyDescent="0.25">
      <c r="D1709" s="3"/>
      <c r="L1709" s="3"/>
      <c r="N1709" s="3"/>
      <c r="O1709" s="3"/>
      <c r="R1709" s="3"/>
      <c r="X1709" s="3"/>
      <c r="Y1709" s="3"/>
      <c r="Z1709" s="835"/>
      <c r="AA1709" s="3"/>
      <c r="AB1709" s="3"/>
      <c r="AC1709" s="3"/>
      <c r="AD1709" s="3"/>
      <c r="AE1709" s="3"/>
      <c r="AF1709" s="3"/>
      <c r="AG1709" s="3"/>
      <c r="AH1709" s="2"/>
      <c r="AR1709" s="307"/>
      <c r="AS1709" s="307"/>
      <c r="AT1709" s="307"/>
      <c r="AU1709" s="670"/>
      <c r="AV1709" s="670"/>
      <c r="AW1709" s="572"/>
    </row>
    <row r="1710" spans="4:49" ht="12.75" customHeight="1" x14ac:dyDescent="0.25">
      <c r="D1710" s="3"/>
      <c r="L1710" s="3"/>
      <c r="N1710" s="3"/>
      <c r="O1710" s="3"/>
      <c r="R1710" s="3"/>
      <c r="X1710" s="3"/>
      <c r="Y1710" s="3"/>
      <c r="Z1710" s="835"/>
      <c r="AA1710" s="3"/>
      <c r="AB1710" s="3"/>
      <c r="AC1710" s="3"/>
      <c r="AD1710" s="3"/>
      <c r="AE1710" s="3"/>
      <c r="AF1710" s="3"/>
      <c r="AG1710" s="3"/>
      <c r="AH1710" s="2"/>
      <c r="AR1710" s="307"/>
      <c r="AS1710" s="307"/>
      <c r="AT1710" s="307"/>
      <c r="AU1710" s="670"/>
      <c r="AV1710" s="670"/>
      <c r="AW1710" s="572"/>
    </row>
    <row r="1711" spans="4:49" ht="12.75" customHeight="1" x14ac:dyDescent="0.25">
      <c r="D1711" s="3"/>
      <c r="L1711" s="3"/>
      <c r="N1711" s="3"/>
      <c r="O1711" s="3"/>
      <c r="R1711" s="3"/>
      <c r="X1711" s="3"/>
      <c r="Y1711" s="3"/>
      <c r="Z1711" s="835"/>
      <c r="AA1711" s="3"/>
      <c r="AB1711" s="3"/>
      <c r="AC1711" s="3"/>
      <c r="AD1711" s="3"/>
      <c r="AE1711" s="3"/>
      <c r="AF1711" s="3"/>
      <c r="AG1711" s="3"/>
      <c r="AH1711" s="2"/>
      <c r="AR1711" s="307"/>
      <c r="AS1711" s="307"/>
      <c r="AT1711" s="307"/>
      <c r="AU1711" s="670"/>
      <c r="AV1711" s="670"/>
      <c r="AW1711" s="572"/>
    </row>
    <row r="1712" spans="4:49" ht="12.75" customHeight="1" x14ac:dyDescent="0.25">
      <c r="D1712" s="3"/>
      <c r="L1712" s="3"/>
      <c r="N1712" s="3"/>
      <c r="O1712" s="3"/>
      <c r="R1712" s="3"/>
      <c r="X1712" s="3"/>
      <c r="Y1712" s="3"/>
      <c r="Z1712" s="835"/>
      <c r="AA1712" s="3"/>
      <c r="AB1712" s="3"/>
      <c r="AC1712" s="3"/>
      <c r="AD1712" s="3"/>
      <c r="AE1712" s="3"/>
      <c r="AF1712" s="3"/>
      <c r="AG1712" s="3"/>
      <c r="AH1712" s="2"/>
      <c r="AR1712" s="307"/>
      <c r="AS1712" s="307"/>
      <c r="AT1712" s="307"/>
      <c r="AU1712" s="670"/>
      <c r="AV1712" s="670"/>
      <c r="AW1712" s="572"/>
    </row>
    <row r="1713" spans="4:49" ht="12.75" customHeight="1" x14ac:dyDescent="0.25">
      <c r="D1713" s="3"/>
      <c r="L1713" s="3"/>
      <c r="N1713" s="3"/>
      <c r="O1713" s="3"/>
      <c r="R1713" s="3"/>
      <c r="X1713" s="3"/>
      <c r="Y1713" s="3"/>
      <c r="Z1713" s="835"/>
      <c r="AA1713" s="3"/>
      <c r="AB1713" s="3"/>
      <c r="AC1713" s="3"/>
      <c r="AD1713" s="3"/>
      <c r="AE1713" s="3"/>
      <c r="AF1713" s="3"/>
      <c r="AG1713" s="3"/>
      <c r="AH1713" s="2"/>
      <c r="AR1713" s="307"/>
      <c r="AS1713" s="307"/>
      <c r="AT1713" s="307"/>
      <c r="AU1713" s="670"/>
      <c r="AV1713" s="670"/>
      <c r="AW1713" s="572"/>
    </row>
    <row r="1714" spans="4:49" ht="12.75" customHeight="1" x14ac:dyDescent="0.25">
      <c r="D1714" s="3"/>
      <c r="L1714" s="3"/>
      <c r="N1714" s="3"/>
      <c r="O1714" s="3"/>
      <c r="R1714" s="3"/>
      <c r="X1714" s="3"/>
      <c r="Y1714" s="3"/>
      <c r="Z1714" s="835"/>
      <c r="AA1714" s="3"/>
      <c r="AB1714" s="3"/>
      <c r="AC1714" s="3"/>
      <c r="AD1714" s="3"/>
      <c r="AE1714" s="3"/>
      <c r="AF1714" s="3"/>
      <c r="AG1714" s="3"/>
      <c r="AH1714" s="2"/>
      <c r="AR1714" s="307"/>
      <c r="AS1714" s="307"/>
      <c r="AT1714" s="307"/>
      <c r="AU1714" s="670"/>
      <c r="AV1714" s="670"/>
      <c r="AW1714" s="572"/>
    </row>
    <row r="1715" spans="4:49" ht="12.75" customHeight="1" x14ac:dyDescent="0.25">
      <c r="D1715" s="3"/>
      <c r="L1715" s="3"/>
      <c r="N1715" s="3"/>
      <c r="O1715" s="3"/>
      <c r="R1715" s="3"/>
      <c r="X1715" s="3"/>
      <c r="Y1715" s="3"/>
      <c r="Z1715" s="835"/>
      <c r="AA1715" s="3"/>
      <c r="AB1715" s="3"/>
      <c r="AC1715" s="3"/>
      <c r="AD1715" s="3"/>
      <c r="AE1715" s="3"/>
      <c r="AF1715" s="3"/>
      <c r="AG1715" s="3"/>
      <c r="AH1715" s="2"/>
      <c r="AR1715" s="307"/>
      <c r="AS1715" s="307"/>
      <c r="AT1715" s="307"/>
      <c r="AU1715" s="670"/>
      <c r="AV1715" s="670"/>
      <c r="AW1715" s="572"/>
    </row>
    <row r="1716" spans="4:49" ht="12.75" customHeight="1" x14ac:dyDescent="0.25">
      <c r="D1716" s="3"/>
      <c r="L1716" s="3"/>
      <c r="N1716" s="3"/>
      <c r="O1716" s="3"/>
      <c r="R1716" s="3"/>
      <c r="X1716" s="3"/>
      <c r="Y1716" s="3"/>
      <c r="Z1716" s="835"/>
      <c r="AA1716" s="3"/>
      <c r="AB1716" s="3"/>
      <c r="AC1716" s="3"/>
      <c r="AD1716" s="3"/>
      <c r="AE1716" s="3"/>
      <c r="AF1716" s="3"/>
      <c r="AG1716" s="3"/>
      <c r="AH1716" s="2"/>
      <c r="AR1716" s="307"/>
      <c r="AS1716" s="307"/>
      <c r="AT1716" s="307"/>
      <c r="AU1716" s="670"/>
      <c r="AV1716" s="670"/>
      <c r="AW1716" s="572"/>
    </row>
    <row r="1717" spans="4:49" ht="12.75" customHeight="1" x14ac:dyDescent="0.25">
      <c r="D1717" s="3"/>
      <c r="L1717" s="3"/>
      <c r="N1717" s="3"/>
      <c r="O1717" s="3"/>
      <c r="R1717" s="3"/>
      <c r="X1717" s="3"/>
      <c r="Y1717" s="3"/>
      <c r="Z1717" s="835"/>
      <c r="AA1717" s="3"/>
      <c r="AB1717" s="3"/>
      <c r="AC1717" s="3"/>
      <c r="AD1717" s="3"/>
      <c r="AE1717" s="3"/>
      <c r="AF1717" s="3"/>
      <c r="AG1717" s="3"/>
      <c r="AH1717" s="2"/>
      <c r="AR1717" s="307"/>
      <c r="AS1717" s="307"/>
      <c r="AT1717" s="307"/>
      <c r="AU1717" s="670"/>
      <c r="AV1717" s="670"/>
      <c r="AW1717" s="572"/>
    </row>
    <row r="1718" spans="4:49" ht="12.75" customHeight="1" x14ac:dyDescent="0.25">
      <c r="D1718" s="3"/>
      <c r="L1718" s="3"/>
      <c r="N1718" s="3"/>
      <c r="O1718" s="3"/>
      <c r="R1718" s="3"/>
      <c r="X1718" s="3"/>
      <c r="Y1718" s="3"/>
      <c r="Z1718" s="835"/>
      <c r="AA1718" s="3"/>
      <c r="AB1718" s="3"/>
      <c r="AC1718" s="3"/>
      <c r="AD1718" s="3"/>
      <c r="AE1718" s="3"/>
      <c r="AF1718" s="3"/>
      <c r="AG1718" s="3"/>
      <c r="AH1718" s="2"/>
      <c r="AR1718" s="307"/>
      <c r="AS1718" s="307"/>
      <c r="AT1718" s="307"/>
      <c r="AU1718" s="670"/>
      <c r="AV1718" s="670"/>
      <c r="AW1718" s="572"/>
    </row>
    <row r="1719" spans="4:49" ht="12.75" customHeight="1" x14ac:dyDescent="0.25">
      <c r="D1719" s="3"/>
      <c r="L1719" s="3"/>
      <c r="N1719" s="3"/>
      <c r="O1719" s="3"/>
      <c r="R1719" s="3"/>
      <c r="X1719" s="3"/>
      <c r="Y1719" s="3"/>
      <c r="Z1719" s="835"/>
      <c r="AA1719" s="3"/>
      <c r="AB1719" s="3"/>
      <c r="AC1719" s="3"/>
      <c r="AD1719" s="3"/>
      <c r="AE1719" s="3"/>
      <c r="AF1719" s="3"/>
      <c r="AG1719" s="3"/>
      <c r="AH1719" s="2"/>
      <c r="AR1719" s="307"/>
      <c r="AS1719" s="307"/>
      <c r="AT1719" s="307"/>
      <c r="AU1719" s="670"/>
      <c r="AV1719" s="670"/>
      <c r="AW1719" s="572"/>
    </row>
    <row r="1720" spans="4:49" ht="12.75" customHeight="1" x14ac:dyDescent="0.25">
      <c r="D1720" s="3"/>
      <c r="L1720" s="3"/>
      <c r="N1720" s="3"/>
      <c r="O1720" s="3"/>
      <c r="R1720" s="3"/>
      <c r="X1720" s="3"/>
      <c r="Y1720" s="3"/>
      <c r="Z1720" s="835"/>
      <c r="AA1720" s="3"/>
      <c r="AB1720" s="3"/>
      <c r="AC1720" s="3"/>
      <c r="AD1720" s="3"/>
      <c r="AE1720" s="3"/>
      <c r="AF1720" s="3"/>
      <c r="AG1720" s="3"/>
      <c r="AH1720" s="2"/>
      <c r="AR1720" s="307"/>
      <c r="AS1720" s="307"/>
      <c r="AT1720" s="307"/>
      <c r="AU1720" s="670"/>
      <c r="AV1720" s="670"/>
      <c r="AW1720" s="572"/>
    </row>
    <row r="1721" spans="4:49" ht="12.75" customHeight="1" x14ac:dyDescent="0.25">
      <c r="D1721" s="3"/>
      <c r="L1721" s="3"/>
      <c r="N1721" s="3"/>
      <c r="O1721" s="3"/>
      <c r="R1721" s="3"/>
      <c r="X1721" s="3"/>
      <c r="Y1721" s="3"/>
      <c r="Z1721" s="835"/>
      <c r="AA1721" s="3"/>
      <c r="AB1721" s="3"/>
      <c r="AC1721" s="3"/>
      <c r="AD1721" s="3"/>
      <c r="AE1721" s="3"/>
      <c r="AF1721" s="3"/>
      <c r="AG1721" s="3"/>
      <c r="AH1721" s="2"/>
      <c r="AR1721" s="307"/>
      <c r="AS1721" s="307"/>
      <c r="AT1721" s="307"/>
      <c r="AU1721" s="670"/>
      <c r="AV1721" s="670"/>
      <c r="AW1721" s="572"/>
    </row>
    <row r="1722" spans="4:49" ht="12.75" customHeight="1" x14ac:dyDescent="0.25">
      <c r="D1722" s="3"/>
      <c r="L1722" s="3"/>
      <c r="N1722" s="3"/>
      <c r="O1722" s="3"/>
      <c r="R1722" s="3"/>
      <c r="X1722" s="3"/>
      <c r="Y1722" s="3"/>
      <c r="Z1722" s="835"/>
      <c r="AA1722" s="3"/>
      <c r="AB1722" s="3"/>
      <c r="AC1722" s="3"/>
      <c r="AD1722" s="3"/>
      <c r="AE1722" s="3"/>
      <c r="AF1722" s="3"/>
      <c r="AG1722" s="3"/>
      <c r="AH1722" s="2"/>
      <c r="AR1722" s="307"/>
      <c r="AS1722" s="307"/>
      <c r="AT1722" s="307"/>
      <c r="AU1722" s="670"/>
      <c r="AV1722" s="670"/>
      <c r="AW1722" s="572"/>
    </row>
    <row r="1723" spans="4:49" ht="12.75" customHeight="1" x14ac:dyDescent="0.25">
      <c r="D1723" s="3"/>
      <c r="L1723" s="3"/>
      <c r="N1723" s="3"/>
      <c r="O1723" s="3"/>
      <c r="R1723" s="3"/>
      <c r="X1723" s="3"/>
      <c r="Y1723" s="3"/>
      <c r="Z1723" s="835"/>
      <c r="AA1723" s="3"/>
      <c r="AB1723" s="3"/>
      <c r="AC1723" s="3"/>
      <c r="AD1723" s="3"/>
      <c r="AE1723" s="3"/>
      <c r="AF1723" s="3"/>
      <c r="AG1723" s="3"/>
      <c r="AH1723" s="2"/>
      <c r="AR1723" s="307"/>
      <c r="AS1723" s="307"/>
      <c r="AT1723" s="307"/>
      <c r="AU1723" s="670"/>
      <c r="AV1723" s="670"/>
      <c r="AW1723" s="572"/>
    </row>
    <row r="1724" spans="4:49" ht="12.75" customHeight="1" x14ac:dyDescent="0.25">
      <c r="D1724" s="3"/>
      <c r="L1724" s="3"/>
      <c r="N1724" s="3"/>
      <c r="O1724" s="3"/>
      <c r="R1724" s="3"/>
      <c r="X1724" s="3"/>
      <c r="Y1724" s="3"/>
      <c r="Z1724" s="835"/>
      <c r="AA1724" s="3"/>
      <c r="AB1724" s="3"/>
      <c r="AC1724" s="3"/>
      <c r="AD1724" s="3"/>
      <c r="AE1724" s="3"/>
      <c r="AF1724" s="3"/>
      <c r="AG1724" s="3"/>
      <c r="AH1724" s="2"/>
      <c r="AR1724" s="307"/>
      <c r="AS1724" s="307"/>
      <c r="AT1724" s="307"/>
      <c r="AU1724" s="670"/>
      <c r="AV1724" s="670"/>
      <c r="AW1724" s="572"/>
    </row>
    <row r="1725" spans="4:49" ht="12.75" customHeight="1" x14ac:dyDescent="0.25">
      <c r="D1725" s="3"/>
      <c r="L1725" s="3"/>
      <c r="N1725" s="3"/>
      <c r="O1725" s="3"/>
      <c r="R1725" s="3"/>
      <c r="X1725" s="3"/>
      <c r="Y1725" s="3"/>
      <c r="Z1725" s="835"/>
      <c r="AA1725" s="3"/>
      <c r="AB1725" s="3"/>
      <c r="AC1725" s="3"/>
      <c r="AD1725" s="3"/>
      <c r="AE1725" s="3"/>
      <c r="AF1725" s="3"/>
      <c r="AG1725" s="3"/>
      <c r="AH1725" s="2"/>
      <c r="AR1725" s="307"/>
      <c r="AS1725" s="307"/>
      <c r="AT1725" s="307"/>
      <c r="AU1725" s="670"/>
      <c r="AV1725" s="670"/>
      <c r="AW1725" s="572"/>
    </row>
    <row r="1726" spans="4:49" ht="12.75" customHeight="1" x14ac:dyDescent="0.25">
      <c r="D1726" s="3"/>
      <c r="L1726" s="3"/>
      <c r="N1726" s="3"/>
      <c r="O1726" s="3"/>
      <c r="R1726" s="3"/>
      <c r="X1726" s="3"/>
      <c r="Y1726" s="3"/>
      <c r="Z1726" s="835"/>
      <c r="AA1726" s="3"/>
      <c r="AB1726" s="3"/>
      <c r="AC1726" s="3"/>
      <c r="AD1726" s="3"/>
      <c r="AE1726" s="3"/>
      <c r="AF1726" s="3"/>
      <c r="AG1726" s="3"/>
      <c r="AH1726" s="2"/>
      <c r="AR1726" s="307"/>
      <c r="AS1726" s="307"/>
      <c r="AT1726" s="307"/>
      <c r="AU1726" s="670"/>
      <c r="AV1726" s="670"/>
      <c r="AW1726" s="572"/>
    </row>
    <row r="1727" spans="4:49" ht="12.75" customHeight="1" x14ac:dyDescent="0.25">
      <c r="D1727" s="3"/>
      <c r="L1727" s="3"/>
      <c r="N1727" s="3"/>
      <c r="O1727" s="3"/>
      <c r="R1727" s="3"/>
      <c r="X1727" s="3"/>
      <c r="Y1727" s="3"/>
      <c r="Z1727" s="835"/>
      <c r="AA1727" s="3"/>
      <c r="AB1727" s="3"/>
      <c r="AC1727" s="3"/>
      <c r="AD1727" s="3"/>
      <c r="AE1727" s="3"/>
      <c r="AF1727" s="3"/>
      <c r="AG1727" s="3"/>
      <c r="AH1727" s="2"/>
      <c r="AR1727" s="307"/>
      <c r="AS1727" s="307"/>
      <c r="AT1727" s="307"/>
      <c r="AU1727" s="670"/>
      <c r="AV1727" s="670"/>
      <c r="AW1727" s="572"/>
    </row>
    <row r="1728" spans="4:49" ht="12.75" customHeight="1" x14ac:dyDescent="0.25">
      <c r="D1728" s="3"/>
      <c r="L1728" s="3"/>
      <c r="N1728" s="3"/>
      <c r="O1728" s="3"/>
      <c r="R1728" s="3"/>
      <c r="X1728" s="3"/>
      <c r="Y1728" s="3"/>
      <c r="Z1728" s="835"/>
      <c r="AA1728" s="3"/>
      <c r="AB1728" s="3"/>
      <c r="AC1728" s="3"/>
      <c r="AD1728" s="3"/>
      <c r="AE1728" s="3"/>
      <c r="AF1728" s="3"/>
      <c r="AG1728" s="3"/>
      <c r="AH1728" s="2"/>
      <c r="AR1728" s="307"/>
      <c r="AS1728" s="307"/>
      <c r="AT1728" s="307"/>
      <c r="AU1728" s="670"/>
      <c r="AV1728" s="670"/>
      <c r="AW1728" s="572"/>
    </row>
    <row r="1729" spans="4:49" ht="12.75" customHeight="1" x14ac:dyDescent="0.25">
      <c r="D1729" s="3"/>
      <c r="L1729" s="3"/>
      <c r="N1729" s="3"/>
      <c r="O1729" s="3"/>
      <c r="R1729" s="3"/>
      <c r="X1729" s="3"/>
      <c r="Y1729" s="3"/>
      <c r="Z1729" s="835"/>
      <c r="AA1729" s="3"/>
      <c r="AB1729" s="3"/>
      <c r="AC1729" s="3"/>
      <c r="AD1729" s="3"/>
      <c r="AE1729" s="3"/>
      <c r="AF1729" s="3"/>
      <c r="AG1729" s="3"/>
      <c r="AH1729" s="2"/>
      <c r="AR1729" s="307"/>
      <c r="AS1729" s="307"/>
      <c r="AT1729" s="307"/>
      <c r="AU1729" s="670"/>
      <c r="AV1729" s="670"/>
      <c r="AW1729" s="572"/>
    </row>
    <row r="1730" spans="4:49" ht="12.75" customHeight="1" x14ac:dyDescent="0.25">
      <c r="D1730" s="3"/>
      <c r="L1730" s="3"/>
      <c r="N1730" s="3"/>
      <c r="O1730" s="3"/>
      <c r="R1730" s="3"/>
      <c r="X1730" s="3"/>
      <c r="Y1730" s="3"/>
      <c r="Z1730" s="835"/>
      <c r="AA1730" s="3"/>
      <c r="AB1730" s="3"/>
      <c r="AC1730" s="3"/>
      <c r="AD1730" s="3"/>
      <c r="AE1730" s="3"/>
      <c r="AF1730" s="3"/>
      <c r="AG1730" s="3"/>
      <c r="AH1730" s="2"/>
      <c r="AR1730" s="307"/>
      <c r="AS1730" s="307"/>
      <c r="AT1730" s="307"/>
      <c r="AU1730" s="670"/>
      <c r="AV1730" s="670"/>
      <c r="AW1730" s="572"/>
    </row>
    <row r="1731" spans="4:49" ht="12.75" customHeight="1" x14ac:dyDescent="0.25">
      <c r="D1731" s="3"/>
      <c r="L1731" s="3"/>
      <c r="N1731" s="3"/>
      <c r="O1731" s="3"/>
      <c r="R1731" s="3"/>
      <c r="X1731" s="3"/>
      <c r="Y1731" s="3"/>
      <c r="Z1731" s="835"/>
      <c r="AA1731" s="3"/>
      <c r="AB1731" s="3"/>
      <c r="AC1731" s="3"/>
      <c r="AD1731" s="3"/>
      <c r="AE1731" s="3"/>
      <c r="AF1731" s="3"/>
      <c r="AG1731" s="3"/>
      <c r="AH1731" s="2"/>
      <c r="AR1731" s="307"/>
      <c r="AS1731" s="307"/>
      <c r="AT1731" s="307"/>
      <c r="AU1731" s="670"/>
      <c r="AV1731" s="670"/>
      <c r="AW1731" s="572"/>
    </row>
    <row r="1732" spans="4:49" ht="12.75" customHeight="1" x14ac:dyDescent="0.25">
      <c r="D1732" s="3"/>
      <c r="L1732" s="3"/>
      <c r="N1732" s="3"/>
      <c r="O1732" s="3"/>
      <c r="R1732" s="3"/>
      <c r="X1732" s="3"/>
      <c r="Y1732" s="3"/>
      <c r="Z1732" s="835"/>
      <c r="AA1732" s="3"/>
      <c r="AB1732" s="3"/>
      <c r="AC1732" s="3"/>
      <c r="AD1732" s="3"/>
      <c r="AE1732" s="3"/>
      <c r="AF1732" s="3"/>
      <c r="AG1732" s="3"/>
      <c r="AH1732" s="2"/>
      <c r="AR1732" s="307"/>
      <c r="AS1732" s="307"/>
      <c r="AT1732" s="307"/>
      <c r="AU1732" s="670"/>
      <c r="AV1732" s="670"/>
      <c r="AW1732" s="572"/>
    </row>
    <row r="1733" spans="4:49" ht="12.75" customHeight="1" x14ac:dyDescent="0.25">
      <c r="D1733" s="3"/>
      <c r="L1733" s="3"/>
      <c r="N1733" s="3"/>
      <c r="O1733" s="3"/>
      <c r="R1733" s="3"/>
      <c r="X1733" s="3"/>
      <c r="Y1733" s="3"/>
      <c r="Z1733" s="835"/>
      <c r="AA1733" s="3"/>
      <c r="AB1733" s="3"/>
      <c r="AC1733" s="3"/>
      <c r="AD1733" s="3"/>
      <c r="AE1733" s="3"/>
      <c r="AF1733" s="3"/>
      <c r="AG1733" s="3"/>
      <c r="AH1733" s="2"/>
      <c r="AR1733" s="307"/>
      <c r="AS1733" s="307"/>
      <c r="AT1733" s="307"/>
      <c r="AU1733" s="670"/>
      <c r="AV1733" s="670"/>
      <c r="AW1733" s="572"/>
    </row>
    <row r="1734" spans="4:49" ht="12.75" customHeight="1" x14ac:dyDescent="0.25">
      <c r="D1734" s="3"/>
      <c r="L1734" s="3"/>
      <c r="N1734" s="3"/>
      <c r="O1734" s="3"/>
      <c r="R1734" s="3"/>
      <c r="X1734" s="3"/>
      <c r="Y1734" s="3"/>
      <c r="Z1734" s="835"/>
      <c r="AA1734" s="3"/>
      <c r="AB1734" s="3"/>
      <c r="AC1734" s="3"/>
      <c r="AD1734" s="3"/>
      <c r="AE1734" s="3"/>
      <c r="AF1734" s="3"/>
      <c r="AG1734" s="3"/>
      <c r="AH1734" s="2"/>
      <c r="AR1734" s="307"/>
      <c r="AS1734" s="307"/>
      <c r="AT1734" s="307"/>
      <c r="AU1734" s="670"/>
      <c r="AV1734" s="670"/>
      <c r="AW1734" s="572"/>
    </row>
    <row r="1735" spans="4:49" ht="12.75" customHeight="1" x14ac:dyDescent="0.25">
      <c r="D1735" s="3"/>
      <c r="L1735" s="3"/>
      <c r="N1735" s="3"/>
      <c r="O1735" s="3"/>
      <c r="R1735" s="3"/>
      <c r="X1735" s="3"/>
      <c r="Y1735" s="3"/>
      <c r="Z1735" s="835"/>
      <c r="AA1735" s="3"/>
      <c r="AB1735" s="3"/>
      <c r="AC1735" s="3"/>
      <c r="AD1735" s="3"/>
      <c r="AE1735" s="3"/>
      <c r="AF1735" s="3"/>
      <c r="AG1735" s="3"/>
      <c r="AH1735" s="2"/>
      <c r="AR1735" s="307"/>
      <c r="AS1735" s="307"/>
      <c r="AT1735" s="307"/>
      <c r="AU1735" s="670"/>
      <c r="AV1735" s="670"/>
      <c r="AW1735" s="572"/>
    </row>
    <row r="1736" spans="4:49" ht="12.75" customHeight="1" x14ac:dyDescent="0.25">
      <c r="D1736" s="3"/>
      <c r="L1736" s="3"/>
      <c r="N1736" s="3"/>
      <c r="O1736" s="3"/>
      <c r="R1736" s="3"/>
      <c r="X1736" s="3"/>
      <c r="Y1736" s="3"/>
      <c r="Z1736" s="835"/>
      <c r="AA1736" s="3"/>
      <c r="AB1736" s="3"/>
      <c r="AC1736" s="3"/>
      <c r="AD1736" s="3"/>
      <c r="AE1736" s="3"/>
      <c r="AF1736" s="3"/>
      <c r="AG1736" s="3"/>
      <c r="AH1736" s="2"/>
      <c r="AR1736" s="307"/>
      <c r="AS1736" s="307"/>
      <c r="AT1736" s="307"/>
      <c r="AU1736" s="670"/>
      <c r="AV1736" s="670"/>
      <c r="AW1736" s="572"/>
    </row>
    <row r="1737" spans="4:49" ht="12.75" customHeight="1" x14ac:dyDescent="0.25">
      <c r="D1737" s="3"/>
      <c r="L1737" s="3"/>
      <c r="N1737" s="3"/>
      <c r="O1737" s="3"/>
      <c r="R1737" s="3"/>
      <c r="X1737" s="3"/>
      <c r="Y1737" s="3"/>
      <c r="Z1737" s="835"/>
      <c r="AA1737" s="3"/>
      <c r="AB1737" s="3"/>
      <c r="AC1737" s="3"/>
      <c r="AD1737" s="3"/>
      <c r="AE1737" s="3"/>
      <c r="AF1737" s="3"/>
      <c r="AG1737" s="3"/>
      <c r="AH1737" s="2"/>
      <c r="AR1737" s="307"/>
      <c r="AS1737" s="307"/>
      <c r="AT1737" s="307"/>
      <c r="AU1737" s="670"/>
      <c r="AV1737" s="670"/>
      <c r="AW1737" s="572"/>
    </row>
    <row r="1738" spans="4:49" ht="12.75" customHeight="1" x14ac:dyDescent="0.25">
      <c r="D1738" s="3"/>
      <c r="L1738" s="3"/>
      <c r="N1738" s="3"/>
      <c r="O1738" s="3"/>
      <c r="R1738" s="3"/>
      <c r="X1738" s="3"/>
      <c r="Y1738" s="3"/>
      <c r="Z1738" s="835"/>
      <c r="AA1738" s="3"/>
      <c r="AB1738" s="3"/>
      <c r="AC1738" s="3"/>
      <c r="AD1738" s="3"/>
      <c r="AE1738" s="3"/>
      <c r="AF1738" s="3"/>
      <c r="AG1738" s="3"/>
      <c r="AH1738" s="2"/>
      <c r="AR1738" s="307"/>
      <c r="AS1738" s="307"/>
      <c r="AT1738" s="307"/>
      <c r="AU1738" s="670"/>
      <c r="AV1738" s="670"/>
      <c r="AW1738" s="572"/>
    </row>
    <row r="1739" spans="4:49" ht="12.75" customHeight="1" x14ac:dyDescent="0.25">
      <c r="D1739" s="3"/>
      <c r="L1739" s="3"/>
      <c r="N1739" s="3"/>
      <c r="O1739" s="3"/>
      <c r="R1739" s="3"/>
      <c r="X1739" s="3"/>
      <c r="Y1739" s="3"/>
      <c r="Z1739" s="835"/>
      <c r="AA1739" s="3"/>
      <c r="AB1739" s="3"/>
      <c r="AC1739" s="3"/>
      <c r="AD1739" s="3"/>
      <c r="AE1739" s="3"/>
      <c r="AF1739" s="3"/>
      <c r="AG1739" s="3"/>
      <c r="AH1739" s="2"/>
      <c r="AR1739" s="307"/>
      <c r="AS1739" s="307"/>
      <c r="AT1739" s="307"/>
      <c r="AU1739" s="670"/>
      <c r="AV1739" s="670"/>
      <c r="AW1739" s="572"/>
    </row>
    <row r="1740" spans="4:49" ht="12.75" customHeight="1" x14ac:dyDescent="0.25">
      <c r="D1740" s="3"/>
      <c r="L1740" s="3"/>
      <c r="N1740" s="3"/>
      <c r="O1740" s="3"/>
      <c r="R1740" s="3"/>
      <c r="X1740" s="3"/>
      <c r="Y1740" s="3"/>
      <c r="Z1740" s="835"/>
      <c r="AA1740" s="3"/>
      <c r="AB1740" s="3"/>
      <c r="AC1740" s="3"/>
      <c r="AD1740" s="3"/>
      <c r="AE1740" s="3"/>
      <c r="AF1740" s="3"/>
      <c r="AG1740" s="3"/>
      <c r="AH1740" s="2"/>
      <c r="AR1740" s="307"/>
      <c r="AS1740" s="307"/>
      <c r="AT1740" s="307"/>
      <c r="AU1740" s="670"/>
      <c r="AV1740" s="670"/>
      <c r="AW1740" s="572"/>
    </row>
    <row r="1741" spans="4:49" ht="12.75" customHeight="1" x14ac:dyDescent="0.25">
      <c r="D1741" s="3"/>
      <c r="L1741" s="3"/>
      <c r="N1741" s="3"/>
      <c r="O1741" s="3"/>
      <c r="R1741" s="3"/>
      <c r="X1741" s="3"/>
      <c r="Y1741" s="3"/>
      <c r="Z1741" s="835"/>
      <c r="AA1741" s="3"/>
      <c r="AB1741" s="3"/>
      <c r="AC1741" s="3"/>
      <c r="AD1741" s="3"/>
      <c r="AE1741" s="3"/>
      <c r="AF1741" s="3"/>
      <c r="AG1741" s="3"/>
      <c r="AH1741" s="2"/>
      <c r="AR1741" s="307"/>
      <c r="AS1741" s="307"/>
      <c r="AT1741" s="307"/>
      <c r="AU1741" s="670"/>
      <c r="AV1741" s="670"/>
      <c r="AW1741" s="572"/>
    </row>
    <row r="1742" spans="4:49" ht="12.75" customHeight="1" x14ac:dyDescent="0.25">
      <c r="D1742" s="3"/>
      <c r="L1742" s="3"/>
      <c r="N1742" s="3"/>
      <c r="O1742" s="3"/>
      <c r="R1742" s="3"/>
      <c r="X1742" s="3"/>
      <c r="Y1742" s="3"/>
      <c r="Z1742" s="835"/>
      <c r="AA1742" s="3"/>
      <c r="AB1742" s="3"/>
      <c r="AC1742" s="3"/>
      <c r="AD1742" s="3"/>
      <c r="AE1742" s="3"/>
      <c r="AF1742" s="3"/>
      <c r="AG1742" s="3"/>
      <c r="AH1742" s="2"/>
      <c r="AR1742" s="307"/>
      <c r="AS1742" s="307"/>
      <c r="AT1742" s="307"/>
      <c r="AU1742" s="670"/>
      <c r="AV1742" s="670"/>
      <c r="AW1742" s="572"/>
    </row>
    <row r="1743" spans="4:49" ht="12.75" customHeight="1" x14ac:dyDescent="0.25">
      <c r="D1743" s="3"/>
      <c r="L1743" s="3"/>
      <c r="N1743" s="3"/>
      <c r="O1743" s="3"/>
      <c r="R1743" s="3"/>
      <c r="X1743" s="3"/>
      <c r="Y1743" s="3"/>
      <c r="Z1743" s="835"/>
      <c r="AA1743" s="3"/>
      <c r="AB1743" s="3"/>
      <c r="AC1743" s="3"/>
      <c r="AD1743" s="3"/>
      <c r="AE1743" s="3"/>
      <c r="AF1743" s="3"/>
      <c r="AG1743" s="3"/>
      <c r="AH1743" s="2"/>
      <c r="AR1743" s="307"/>
      <c r="AS1743" s="307"/>
      <c r="AT1743" s="307"/>
      <c r="AU1743" s="670"/>
      <c r="AV1743" s="670"/>
      <c r="AW1743" s="572"/>
    </row>
    <row r="1744" spans="4:49" ht="12.75" customHeight="1" x14ac:dyDescent="0.25">
      <c r="D1744" s="3"/>
      <c r="L1744" s="3"/>
      <c r="N1744" s="3"/>
      <c r="O1744" s="3"/>
      <c r="R1744" s="3"/>
      <c r="X1744" s="3"/>
      <c r="Y1744" s="3"/>
      <c r="Z1744" s="835"/>
      <c r="AA1744" s="3"/>
      <c r="AB1744" s="3"/>
      <c r="AC1744" s="3"/>
      <c r="AD1744" s="3"/>
      <c r="AE1744" s="3"/>
      <c r="AF1744" s="3"/>
      <c r="AG1744" s="3"/>
      <c r="AH1744" s="2"/>
      <c r="AR1744" s="307"/>
      <c r="AS1744" s="307"/>
      <c r="AT1744" s="307"/>
      <c r="AU1744" s="670"/>
      <c r="AV1744" s="670"/>
      <c r="AW1744" s="572"/>
    </row>
    <row r="1745" spans="4:49" ht="12.75" customHeight="1" x14ac:dyDescent="0.25">
      <c r="D1745" s="3"/>
      <c r="L1745" s="3"/>
      <c r="N1745" s="3"/>
      <c r="O1745" s="3"/>
      <c r="R1745" s="3"/>
      <c r="X1745" s="3"/>
      <c r="Y1745" s="3"/>
      <c r="Z1745" s="835"/>
      <c r="AA1745" s="3"/>
      <c r="AB1745" s="3"/>
      <c r="AC1745" s="3"/>
      <c r="AD1745" s="3"/>
      <c r="AE1745" s="3"/>
      <c r="AF1745" s="3"/>
      <c r="AG1745" s="3"/>
      <c r="AH1745" s="2"/>
      <c r="AR1745" s="307"/>
      <c r="AS1745" s="307"/>
      <c r="AT1745" s="307"/>
      <c r="AU1745" s="670"/>
      <c r="AV1745" s="670"/>
      <c r="AW1745" s="572"/>
    </row>
    <row r="1746" spans="4:49" ht="12.75" customHeight="1" x14ac:dyDescent="0.25">
      <c r="D1746" s="3"/>
      <c r="L1746" s="3"/>
      <c r="N1746" s="3"/>
      <c r="O1746" s="3"/>
      <c r="R1746" s="3"/>
      <c r="X1746" s="3"/>
      <c r="Y1746" s="3"/>
      <c r="Z1746" s="835"/>
      <c r="AA1746" s="3"/>
      <c r="AB1746" s="3"/>
      <c r="AC1746" s="3"/>
      <c r="AD1746" s="3"/>
      <c r="AE1746" s="3"/>
      <c r="AF1746" s="3"/>
      <c r="AG1746" s="3"/>
      <c r="AH1746" s="2"/>
      <c r="AR1746" s="307"/>
      <c r="AS1746" s="307"/>
      <c r="AT1746" s="307"/>
      <c r="AU1746" s="670"/>
      <c r="AV1746" s="670"/>
      <c r="AW1746" s="572"/>
    </row>
    <row r="1747" spans="4:49" ht="12.75" customHeight="1" x14ac:dyDescent="0.25">
      <c r="D1747" s="3"/>
      <c r="L1747" s="3"/>
      <c r="N1747" s="3"/>
      <c r="O1747" s="3"/>
      <c r="R1747" s="3"/>
      <c r="X1747" s="3"/>
      <c r="Y1747" s="3"/>
      <c r="Z1747" s="835"/>
      <c r="AA1747" s="3"/>
      <c r="AB1747" s="3"/>
      <c r="AC1747" s="3"/>
      <c r="AD1747" s="3"/>
      <c r="AE1747" s="3"/>
      <c r="AF1747" s="3"/>
      <c r="AG1747" s="3"/>
      <c r="AH1747" s="2"/>
      <c r="AR1747" s="307"/>
      <c r="AS1747" s="307"/>
      <c r="AT1747" s="307"/>
      <c r="AU1747" s="670"/>
      <c r="AV1747" s="670"/>
      <c r="AW1747" s="572"/>
    </row>
    <row r="1748" spans="4:49" ht="12.75" customHeight="1" x14ac:dyDescent="0.25">
      <c r="D1748" s="3"/>
      <c r="L1748" s="3"/>
      <c r="N1748" s="3"/>
      <c r="O1748" s="3"/>
      <c r="R1748" s="3"/>
      <c r="X1748" s="3"/>
      <c r="Y1748" s="3"/>
      <c r="Z1748" s="835"/>
      <c r="AA1748" s="3"/>
      <c r="AB1748" s="3"/>
      <c r="AC1748" s="3"/>
      <c r="AD1748" s="3"/>
      <c r="AE1748" s="3"/>
      <c r="AF1748" s="3"/>
      <c r="AG1748" s="3"/>
      <c r="AH1748" s="2"/>
      <c r="AR1748" s="307"/>
      <c r="AS1748" s="307"/>
      <c r="AT1748" s="307"/>
      <c r="AU1748" s="670"/>
      <c r="AV1748" s="670"/>
      <c r="AW1748" s="572"/>
    </row>
    <row r="1749" spans="4:49" ht="12.75" customHeight="1" x14ac:dyDescent="0.25">
      <c r="D1749" s="3"/>
      <c r="L1749" s="3"/>
      <c r="N1749" s="3"/>
      <c r="O1749" s="3"/>
      <c r="R1749" s="3"/>
      <c r="X1749" s="3"/>
      <c r="Y1749" s="3"/>
      <c r="Z1749" s="835"/>
      <c r="AA1749" s="3"/>
      <c r="AB1749" s="3"/>
      <c r="AC1749" s="3"/>
      <c r="AD1749" s="3"/>
      <c r="AE1749" s="3"/>
      <c r="AF1749" s="3"/>
      <c r="AG1749" s="3"/>
      <c r="AH1749" s="2"/>
      <c r="AR1749" s="307"/>
      <c r="AS1749" s="307"/>
      <c r="AT1749" s="307"/>
      <c r="AU1749" s="670"/>
      <c r="AV1749" s="670"/>
      <c r="AW1749" s="572"/>
    </row>
    <row r="1750" spans="4:49" ht="12.75" customHeight="1" x14ac:dyDescent="0.25">
      <c r="D1750" s="3"/>
      <c r="L1750" s="3"/>
      <c r="N1750" s="3"/>
      <c r="O1750" s="3"/>
      <c r="R1750" s="3"/>
      <c r="X1750" s="3"/>
      <c r="Y1750" s="3"/>
      <c r="Z1750" s="835"/>
      <c r="AA1750" s="3"/>
      <c r="AB1750" s="3"/>
      <c r="AC1750" s="3"/>
      <c r="AD1750" s="3"/>
      <c r="AE1750" s="3"/>
      <c r="AF1750" s="3"/>
      <c r="AG1750" s="3"/>
      <c r="AH1750" s="2"/>
      <c r="AR1750" s="307"/>
      <c r="AS1750" s="307"/>
      <c r="AT1750" s="307"/>
      <c r="AU1750" s="670"/>
      <c r="AV1750" s="670"/>
      <c r="AW1750" s="572"/>
    </row>
    <row r="1751" spans="4:49" ht="12.75" customHeight="1" x14ac:dyDescent="0.25">
      <c r="D1751" s="3"/>
      <c r="L1751" s="3"/>
      <c r="N1751" s="3"/>
      <c r="O1751" s="3"/>
      <c r="R1751" s="3"/>
      <c r="X1751" s="3"/>
      <c r="Y1751" s="3"/>
      <c r="Z1751" s="835"/>
      <c r="AA1751" s="3"/>
      <c r="AB1751" s="3"/>
      <c r="AC1751" s="3"/>
      <c r="AD1751" s="3"/>
      <c r="AE1751" s="3"/>
      <c r="AF1751" s="3"/>
      <c r="AG1751" s="3"/>
      <c r="AH1751" s="2"/>
      <c r="AR1751" s="307"/>
      <c r="AS1751" s="307"/>
      <c r="AT1751" s="307"/>
      <c r="AU1751" s="670"/>
      <c r="AV1751" s="670"/>
      <c r="AW1751" s="572"/>
    </row>
    <row r="1752" spans="4:49" ht="12.75" customHeight="1" x14ac:dyDescent="0.25">
      <c r="D1752" s="3"/>
      <c r="L1752" s="3"/>
      <c r="N1752" s="3"/>
      <c r="O1752" s="3"/>
      <c r="R1752" s="3"/>
      <c r="X1752" s="3"/>
      <c r="Y1752" s="3"/>
      <c r="Z1752" s="835"/>
      <c r="AA1752" s="3"/>
      <c r="AB1752" s="3"/>
      <c r="AC1752" s="3"/>
      <c r="AD1752" s="3"/>
      <c r="AE1752" s="3"/>
      <c r="AF1752" s="3"/>
      <c r="AG1752" s="3"/>
      <c r="AH1752" s="2"/>
      <c r="AR1752" s="307"/>
      <c r="AS1752" s="307"/>
      <c r="AT1752" s="307"/>
      <c r="AU1752" s="670"/>
      <c r="AV1752" s="670"/>
      <c r="AW1752" s="572"/>
    </row>
    <row r="1753" spans="4:49" ht="12.75" customHeight="1" x14ac:dyDescent="0.25">
      <c r="D1753" s="3"/>
      <c r="L1753" s="3"/>
      <c r="N1753" s="3"/>
      <c r="O1753" s="3"/>
      <c r="R1753" s="3"/>
      <c r="X1753" s="3"/>
      <c r="Y1753" s="3"/>
      <c r="Z1753" s="835"/>
      <c r="AA1753" s="3"/>
      <c r="AB1753" s="3"/>
      <c r="AC1753" s="3"/>
      <c r="AD1753" s="3"/>
      <c r="AE1753" s="3"/>
      <c r="AF1753" s="3"/>
      <c r="AG1753" s="3"/>
      <c r="AH1753" s="2"/>
      <c r="AR1753" s="307"/>
      <c r="AS1753" s="307"/>
      <c r="AT1753" s="307"/>
      <c r="AU1753" s="670"/>
      <c r="AV1753" s="670"/>
      <c r="AW1753" s="572"/>
    </row>
    <row r="1754" spans="4:49" ht="12.75" customHeight="1" x14ac:dyDescent="0.25">
      <c r="D1754" s="3"/>
      <c r="L1754" s="3"/>
      <c r="N1754" s="3"/>
      <c r="O1754" s="3"/>
      <c r="R1754" s="3"/>
      <c r="X1754" s="3"/>
      <c r="Y1754" s="3"/>
      <c r="Z1754" s="835"/>
      <c r="AA1754" s="3"/>
      <c r="AB1754" s="3"/>
      <c r="AC1754" s="3"/>
      <c r="AD1754" s="3"/>
      <c r="AE1754" s="3"/>
      <c r="AF1754" s="3"/>
      <c r="AG1754" s="3"/>
      <c r="AH1754" s="2"/>
      <c r="AR1754" s="307"/>
      <c r="AS1754" s="307"/>
      <c r="AT1754" s="307"/>
      <c r="AU1754" s="670"/>
      <c r="AV1754" s="670"/>
      <c r="AW1754" s="572"/>
    </row>
    <row r="1755" spans="4:49" ht="12.75" customHeight="1" x14ac:dyDescent="0.25">
      <c r="D1755" s="3"/>
      <c r="L1755" s="3"/>
      <c r="N1755" s="3"/>
      <c r="O1755" s="3"/>
      <c r="R1755" s="3"/>
      <c r="X1755" s="3"/>
      <c r="Y1755" s="3"/>
      <c r="Z1755" s="835"/>
      <c r="AA1755" s="3"/>
      <c r="AB1755" s="3"/>
      <c r="AC1755" s="3"/>
      <c r="AD1755" s="3"/>
      <c r="AE1755" s="3"/>
      <c r="AF1755" s="3"/>
      <c r="AG1755" s="3"/>
      <c r="AH1755" s="2"/>
      <c r="AR1755" s="307"/>
      <c r="AS1755" s="307"/>
      <c r="AT1755" s="307"/>
      <c r="AU1755" s="670"/>
      <c r="AV1755" s="670"/>
      <c r="AW1755" s="572"/>
    </row>
    <row r="1756" spans="4:49" ht="12.75" customHeight="1" x14ac:dyDescent="0.25">
      <c r="D1756" s="3"/>
      <c r="L1756" s="3"/>
      <c r="N1756" s="3"/>
      <c r="O1756" s="3"/>
      <c r="R1756" s="3"/>
      <c r="X1756" s="3"/>
      <c r="Y1756" s="3"/>
      <c r="Z1756" s="835"/>
      <c r="AA1756" s="3"/>
      <c r="AB1756" s="3"/>
      <c r="AC1756" s="3"/>
      <c r="AD1756" s="3"/>
      <c r="AE1756" s="3"/>
      <c r="AF1756" s="3"/>
      <c r="AG1756" s="3"/>
      <c r="AH1756" s="2"/>
      <c r="AR1756" s="307"/>
      <c r="AS1756" s="307"/>
      <c r="AT1756" s="307"/>
      <c r="AU1756" s="670"/>
      <c r="AV1756" s="670"/>
      <c r="AW1756" s="572"/>
    </row>
    <row r="1757" spans="4:49" ht="12.75" customHeight="1" x14ac:dyDescent="0.25">
      <c r="D1757" s="3"/>
      <c r="L1757" s="3"/>
      <c r="N1757" s="3"/>
      <c r="O1757" s="3"/>
      <c r="R1757" s="3"/>
      <c r="X1757" s="3"/>
      <c r="Y1757" s="3"/>
      <c r="Z1757" s="835"/>
      <c r="AA1757" s="3"/>
      <c r="AB1757" s="3"/>
      <c r="AC1757" s="3"/>
      <c r="AD1757" s="3"/>
      <c r="AE1757" s="3"/>
      <c r="AF1757" s="3"/>
      <c r="AG1757" s="3"/>
      <c r="AH1757" s="2"/>
      <c r="AR1757" s="307"/>
      <c r="AS1757" s="307"/>
      <c r="AT1757" s="307"/>
      <c r="AU1757" s="670"/>
      <c r="AV1757" s="670"/>
      <c r="AW1757" s="572"/>
    </row>
    <row r="1758" spans="4:49" ht="12.75" customHeight="1" x14ac:dyDescent="0.25">
      <c r="D1758" s="3"/>
      <c r="L1758" s="3"/>
      <c r="N1758" s="3"/>
      <c r="O1758" s="3"/>
      <c r="R1758" s="3"/>
      <c r="X1758" s="3"/>
      <c r="Y1758" s="3"/>
      <c r="Z1758" s="835"/>
      <c r="AA1758" s="3"/>
      <c r="AB1758" s="3"/>
      <c r="AC1758" s="3"/>
      <c r="AD1758" s="3"/>
      <c r="AE1758" s="3"/>
      <c r="AF1758" s="3"/>
      <c r="AG1758" s="3"/>
      <c r="AH1758" s="2"/>
      <c r="AR1758" s="307"/>
      <c r="AS1758" s="307"/>
      <c r="AT1758" s="307"/>
      <c r="AU1758" s="670"/>
      <c r="AV1758" s="670"/>
      <c r="AW1758" s="572"/>
    </row>
    <row r="1759" spans="4:49" ht="12.75" customHeight="1" x14ac:dyDescent="0.25">
      <c r="D1759" s="3"/>
      <c r="L1759" s="3"/>
      <c r="N1759" s="3"/>
      <c r="O1759" s="3"/>
      <c r="R1759" s="3"/>
      <c r="X1759" s="3"/>
      <c r="Y1759" s="3"/>
      <c r="Z1759" s="835"/>
      <c r="AA1759" s="3"/>
      <c r="AB1759" s="3"/>
      <c r="AC1759" s="3"/>
      <c r="AD1759" s="3"/>
      <c r="AE1759" s="3"/>
      <c r="AF1759" s="3"/>
      <c r="AG1759" s="3"/>
      <c r="AH1759" s="2"/>
      <c r="AR1759" s="307"/>
      <c r="AS1759" s="307"/>
      <c r="AT1759" s="307"/>
      <c r="AU1759" s="670"/>
      <c r="AV1759" s="670"/>
      <c r="AW1759" s="572"/>
    </row>
    <row r="1760" spans="4:49" ht="15" customHeight="1" x14ac:dyDescent="0.25">
      <c r="AH1760" s="2"/>
      <c r="AR1760" s="307"/>
      <c r="AS1760" s="307"/>
      <c r="AT1760" s="307"/>
      <c r="AU1760" s="670"/>
      <c r="AV1760" s="670"/>
      <c r="AW1760" s="572"/>
    </row>
    <row r="1761" spans="34:49" ht="15" customHeight="1" x14ac:dyDescent="0.25">
      <c r="AH1761" s="2"/>
      <c r="AR1761" s="307"/>
      <c r="AS1761" s="307"/>
      <c r="AT1761" s="307"/>
      <c r="AU1761" s="670"/>
      <c r="AV1761" s="670"/>
      <c r="AW1761" s="572"/>
    </row>
    <row r="1762" spans="34:49" ht="15" customHeight="1" x14ac:dyDescent="0.25">
      <c r="AH1762" s="2"/>
      <c r="AR1762" s="307"/>
      <c r="AS1762" s="307"/>
      <c r="AT1762" s="307"/>
      <c r="AU1762" s="670"/>
      <c r="AV1762" s="670"/>
      <c r="AW1762" s="572"/>
    </row>
    <row r="1763" spans="34:49" ht="15" customHeight="1" x14ac:dyDescent="0.25">
      <c r="AH1763" s="2"/>
      <c r="AR1763" s="307"/>
      <c r="AS1763" s="307"/>
      <c r="AT1763" s="307"/>
      <c r="AU1763" s="670"/>
      <c r="AV1763" s="670"/>
      <c r="AW1763" s="572"/>
    </row>
    <row r="1764" spans="34:49" ht="15" customHeight="1" x14ac:dyDescent="0.25">
      <c r="AH1764" s="2"/>
      <c r="AR1764" s="307"/>
      <c r="AS1764" s="307"/>
      <c r="AT1764" s="307"/>
      <c r="AU1764" s="670"/>
      <c r="AV1764" s="670"/>
      <c r="AW1764" s="572"/>
    </row>
    <row r="1765" spans="34:49" ht="15" customHeight="1" x14ac:dyDescent="0.25">
      <c r="AH1765" s="2"/>
      <c r="AR1765" s="307"/>
      <c r="AS1765" s="307"/>
      <c r="AT1765" s="307"/>
      <c r="AU1765" s="670"/>
      <c r="AV1765" s="670"/>
      <c r="AW1765" s="572"/>
    </row>
    <row r="1766" spans="34:49" ht="15" customHeight="1" x14ac:dyDescent="0.25">
      <c r="AH1766" s="2"/>
      <c r="AR1766" s="307"/>
      <c r="AS1766" s="307"/>
      <c r="AT1766" s="307"/>
      <c r="AU1766" s="670"/>
      <c r="AV1766" s="670"/>
      <c r="AW1766" s="572"/>
    </row>
    <row r="1767" spans="34:49" ht="15" customHeight="1" x14ac:dyDescent="0.25">
      <c r="AH1767" s="2"/>
      <c r="AR1767" s="307"/>
      <c r="AS1767" s="307"/>
      <c r="AT1767" s="307"/>
      <c r="AU1767" s="670"/>
      <c r="AV1767" s="670"/>
      <c r="AW1767" s="572"/>
    </row>
    <row r="1768" spans="34:49" ht="15" customHeight="1" x14ac:dyDescent="0.25">
      <c r="AH1768" s="2"/>
      <c r="AR1768" s="307"/>
      <c r="AS1768" s="307"/>
      <c r="AT1768" s="307"/>
      <c r="AU1768" s="670"/>
      <c r="AV1768" s="670"/>
      <c r="AW1768" s="572"/>
    </row>
    <row r="1769" spans="34:49" ht="15" customHeight="1" x14ac:dyDescent="0.25">
      <c r="AH1769" s="2"/>
      <c r="AR1769" s="307"/>
      <c r="AS1769" s="307"/>
      <c r="AT1769" s="307"/>
      <c r="AU1769" s="670"/>
      <c r="AV1769" s="670"/>
      <c r="AW1769" s="572"/>
    </row>
    <row r="1770" spans="34:49" ht="15" customHeight="1" x14ac:dyDescent="0.25">
      <c r="AH1770" s="2"/>
      <c r="AR1770" s="307"/>
      <c r="AS1770" s="307"/>
      <c r="AT1770" s="307"/>
      <c r="AU1770" s="670"/>
      <c r="AV1770" s="670"/>
      <c r="AW1770" s="572"/>
    </row>
    <row r="1771" spans="34:49" ht="15" customHeight="1" x14ac:dyDescent="0.25">
      <c r="AH1771" s="2"/>
      <c r="AR1771" s="307"/>
      <c r="AS1771" s="307"/>
      <c r="AT1771" s="307"/>
      <c r="AU1771" s="670"/>
      <c r="AV1771" s="670"/>
      <c r="AW1771" s="572"/>
    </row>
    <row r="1772" spans="34:49" ht="15" customHeight="1" x14ac:dyDescent="0.25">
      <c r="AH1772" s="2"/>
      <c r="AR1772" s="307"/>
      <c r="AS1772" s="307"/>
      <c r="AT1772" s="307"/>
      <c r="AU1772" s="670"/>
      <c r="AV1772" s="670"/>
      <c r="AW1772" s="572"/>
    </row>
    <row r="1773" spans="34:49" ht="15" customHeight="1" x14ac:dyDescent="0.25">
      <c r="AH1773" s="2"/>
      <c r="AR1773" s="307"/>
      <c r="AS1773" s="307"/>
      <c r="AT1773" s="307"/>
      <c r="AU1773" s="670"/>
      <c r="AV1773" s="670"/>
      <c r="AW1773" s="572"/>
    </row>
    <row r="1774" spans="34:49" ht="15" customHeight="1" x14ac:dyDescent="0.25">
      <c r="AH1774" s="2"/>
      <c r="AR1774" s="307"/>
      <c r="AS1774" s="307"/>
      <c r="AT1774" s="307"/>
      <c r="AU1774" s="670"/>
      <c r="AV1774" s="670"/>
      <c r="AW1774" s="572"/>
    </row>
    <row r="1775" spans="34:49" ht="15" customHeight="1" x14ac:dyDescent="0.25">
      <c r="AH1775" s="2"/>
      <c r="AR1775" s="307"/>
      <c r="AS1775" s="307"/>
      <c r="AT1775" s="307"/>
      <c r="AU1775" s="670"/>
      <c r="AV1775" s="670"/>
      <c r="AW1775" s="572"/>
    </row>
    <row r="1776" spans="34:49" ht="15" customHeight="1" x14ac:dyDescent="0.25">
      <c r="AH1776" s="2"/>
      <c r="AR1776" s="307"/>
      <c r="AS1776" s="307"/>
      <c r="AT1776" s="307"/>
      <c r="AU1776" s="670"/>
      <c r="AV1776" s="670"/>
      <c r="AW1776" s="572"/>
    </row>
    <row r="1777" spans="34:49" ht="15" customHeight="1" x14ac:dyDescent="0.25">
      <c r="AH1777" s="2"/>
      <c r="AR1777" s="307"/>
      <c r="AS1777" s="307"/>
      <c r="AT1777" s="307"/>
      <c r="AU1777" s="670"/>
      <c r="AV1777" s="670"/>
      <c r="AW1777" s="572"/>
    </row>
    <row r="1778" spans="34:49" ht="15" customHeight="1" x14ac:dyDescent="0.25">
      <c r="AH1778" s="2"/>
      <c r="AR1778" s="307"/>
      <c r="AS1778" s="307"/>
      <c r="AT1778" s="307"/>
      <c r="AU1778" s="670"/>
      <c r="AV1778" s="670"/>
      <c r="AW1778" s="572"/>
    </row>
    <row r="1779" spans="34:49" ht="15" customHeight="1" x14ac:dyDescent="0.25">
      <c r="AH1779" s="2"/>
      <c r="AR1779" s="307"/>
      <c r="AS1779" s="307"/>
      <c r="AT1779" s="307"/>
      <c r="AU1779" s="670"/>
      <c r="AV1779" s="670"/>
      <c r="AW1779" s="572"/>
    </row>
    <row r="1780" spans="34:49" ht="15" customHeight="1" x14ac:dyDescent="0.25">
      <c r="AH1780" s="2"/>
      <c r="AR1780" s="307"/>
      <c r="AS1780" s="307"/>
      <c r="AT1780" s="307"/>
      <c r="AU1780" s="670"/>
      <c r="AV1780" s="670"/>
      <c r="AW1780" s="572"/>
    </row>
    <row r="1781" spans="34:49" ht="15" customHeight="1" x14ac:dyDescent="0.25">
      <c r="AH1781" s="2"/>
      <c r="AR1781" s="307"/>
      <c r="AS1781" s="307"/>
      <c r="AT1781" s="307"/>
      <c r="AU1781" s="670"/>
      <c r="AV1781" s="670"/>
      <c r="AW1781" s="572"/>
    </row>
    <row r="1782" spans="34:49" ht="15" customHeight="1" x14ac:dyDescent="0.25">
      <c r="AH1782" s="2"/>
      <c r="AR1782" s="307"/>
      <c r="AS1782" s="307"/>
      <c r="AT1782" s="307"/>
      <c r="AU1782" s="670"/>
      <c r="AV1782" s="670"/>
      <c r="AW1782" s="572"/>
    </row>
    <row r="1783" spans="34:49" ht="15" customHeight="1" x14ac:dyDescent="0.25">
      <c r="AH1783" s="2"/>
      <c r="AR1783" s="307"/>
      <c r="AS1783" s="307"/>
      <c r="AT1783" s="307"/>
      <c r="AU1783" s="670"/>
      <c r="AV1783" s="670"/>
      <c r="AW1783" s="572"/>
    </row>
    <row r="1784" spans="34:49" ht="15" customHeight="1" x14ac:dyDescent="0.25">
      <c r="AH1784" s="2"/>
      <c r="AR1784" s="307"/>
      <c r="AS1784" s="307"/>
      <c r="AT1784" s="307"/>
      <c r="AU1784" s="670"/>
      <c r="AV1784" s="670"/>
      <c r="AW1784" s="572"/>
    </row>
    <row r="1785" spans="34:49" ht="15" customHeight="1" x14ac:dyDescent="0.25">
      <c r="AH1785" s="2"/>
      <c r="AR1785" s="307"/>
      <c r="AS1785" s="307"/>
      <c r="AT1785" s="307"/>
      <c r="AU1785" s="670"/>
      <c r="AV1785" s="670"/>
      <c r="AW1785" s="572"/>
    </row>
    <row r="1786" spans="34:49" ht="15" customHeight="1" x14ac:dyDescent="0.25">
      <c r="AH1786" s="2"/>
      <c r="AR1786" s="307"/>
      <c r="AS1786" s="307"/>
      <c r="AT1786" s="307"/>
      <c r="AU1786" s="670"/>
      <c r="AV1786" s="670"/>
      <c r="AW1786" s="572"/>
    </row>
    <row r="1787" spans="34:49" ht="15" customHeight="1" x14ac:dyDescent="0.25">
      <c r="AH1787" s="2"/>
      <c r="AR1787" s="307"/>
      <c r="AS1787" s="307"/>
      <c r="AT1787" s="307"/>
      <c r="AU1787" s="670"/>
      <c r="AV1787" s="670"/>
      <c r="AW1787" s="572"/>
    </row>
    <row r="1788" spans="34:49" ht="15" customHeight="1" x14ac:dyDescent="0.25">
      <c r="AH1788" s="2"/>
      <c r="AR1788" s="307"/>
      <c r="AS1788" s="307"/>
      <c r="AT1788" s="307"/>
      <c r="AU1788" s="670"/>
      <c r="AV1788" s="670"/>
      <c r="AW1788" s="572"/>
    </row>
    <row r="1789" spans="34:49" ht="15" customHeight="1" x14ac:dyDescent="0.25">
      <c r="AH1789" s="2"/>
      <c r="AR1789" s="307"/>
      <c r="AS1789" s="307"/>
      <c r="AT1789" s="307"/>
      <c r="AU1789" s="670"/>
      <c r="AV1789" s="670"/>
      <c r="AW1789" s="572"/>
    </row>
    <row r="1790" spans="34:49" ht="15" customHeight="1" x14ac:dyDescent="0.25">
      <c r="AH1790" s="2"/>
      <c r="AR1790" s="307"/>
      <c r="AS1790" s="307"/>
      <c r="AT1790" s="307"/>
      <c r="AU1790" s="670"/>
      <c r="AV1790" s="670"/>
      <c r="AW1790" s="572"/>
    </row>
    <row r="1791" spans="34:49" ht="15" customHeight="1" x14ac:dyDescent="0.25">
      <c r="AH1791" s="2"/>
      <c r="AR1791" s="307"/>
      <c r="AS1791" s="307"/>
      <c r="AT1791" s="307"/>
      <c r="AU1791" s="670"/>
      <c r="AV1791" s="670"/>
      <c r="AW1791" s="572"/>
    </row>
    <row r="1792" spans="34:49" ht="15" customHeight="1" x14ac:dyDescent="0.25">
      <c r="AH1792" s="2"/>
      <c r="AR1792" s="307"/>
      <c r="AS1792" s="307"/>
      <c r="AT1792" s="307"/>
      <c r="AU1792" s="670"/>
      <c r="AV1792" s="670"/>
      <c r="AW1792" s="572"/>
    </row>
    <row r="1793" spans="34:49" ht="15" customHeight="1" x14ac:dyDescent="0.25">
      <c r="AH1793" s="2"/>
      <c r="AR1793" s="307"/>
      <c r="AS1793" s="307"/>
      <c r="AT1793" s="307"/>
      <c r="AU1793" s="670"/>
      <c r="AV1793" s="670"/>
      <c r="AW1793" s="572"/>
    </row>
    <row r="1794" spans="34:49" ht="15" customHeight="1" x14ac:dyDescent="0.25">
      <c r="AH1794" s="2"/>
      <c r="AR1794" s="307"/>
      <c r="AS1794" s="307"/>
      <c r="AT1794" s="307"/>
      <c r="AU1794" s="670"/>
      <c r="AV1794" s="670"/>
      <c r="AW1794" s="572"/>
    </row>
    <row r="1795" spans="34:49" ht="15" customHeight="1" x14ac:dyDescent="0.25">
      <c r="AH1795" s="2"/>
      <c r="AR1795" s="307"/>
      <c r="AS1795" s="307"/>
      <c r="AT1795" s="307"/>
      <c r="AU1795" s="670"/>
      <c r="AV1795" s="670"/>
      <c r="AW1795" s="572"/>
    </row>
    <row r="1796" spans="34:49" ht="15" customHeight="1" x14ac:dyDescent="0.25">
      <c r="AH1796" s="2"/>
      <c r="AR1796" s="307"/>
      <c r="AS1796" s="307"/>
      <c r="AT1796" s="307"/>
      <c r="AU1796" s="670"/>
      <c r="AV1796" s="670"/>
      <c r="AW1796" s="572"/>
    </row>
    <row r="1797" spans="34:49" ht="15" customHeight="1" x14ac:dyDescent="0.25">
      <c r="AH1797" s="2"/>
      <c r="AR1797" s="307"/>
      <c r="AS1797" s="307"/>
      <c r="AT1797" s="307"/>
      <c r="AU1797" s="670"/>
      <c r="AV1797" s="670"/>
      <c r="AW1797" s="572"/>
    </row>
    <row r="1798" spans="34:49" ht="15" customHeight="1" x14ac:dyDescent="0.25">
      <c r="AH1798" s="2"/>
      <c r="AR1798" s="307"/>
      <c r="AS1798" s="307"/>
      <c r="AT1798" s="307"/>
      <c r="AU1798" s="670"/>
      <c r="AV1798" s="670"/>
      <c r="AW1798" s="572"/>
    </row>
    <row r="1799" spans="34:49" ht="15" customHeight="1" x14ac:dyDescent="0.25">
      <c r="AH1799" s="2"/>
      <c r="AR1799" s="307"/>
      <c r="AS1799" s="307"/>
      <c r="AT1799" s="307"/>
      <c r="AU1799" s="670"/>
      <c r="AV1799" s="670"/>
      <c r="AW1799" s="572"/>
    </row>
    <row r="1800" spans="34:49" ht="15" customHeight="1" x14ac:dyDescent="0.25">
      <c r="AH1800" s="2"/>
      <c r="AR1800" s="307"/>
      <c r="AS1800" s="307"/>
      <c r="AT1800" s="307"/>
      <c r="AU1800" s="670"/>
      <c r="AV1800" s="670"/>
      <c r="AW1800" s="572"/>
    </row>
    <row r="1801" spans="34:49" ht="15" customHeight="1" x14ac:dyDescent="0.25">
      <c r="AH1801" s="2"/>
      <c r="AR1801" s="307"/>
      <c r="AS1801" s="307"/>
      <c r="AT1801" s="307"/>
      <c r="AU1801" s="670"/>
      <c r="AV1801" s="670"/>
      <c r="AW1801" s="572"/>
    </row>
    <row r="1802" spans="34:49" ht="15" customHeight="1" x14ac:dyDescent="0.25">
      <c r="AH1802" s="2"/>
      <c r="AR1802" s="307"/>
      <c r="AS1802" s="307"/>
      <c r="AT1802" s="307"/>
      <c r="AU1802" s="670"/>
      <c r="AV1802" s="670"/>
      <c r="AW1802" s="572"/>
    </row>
    <row r="1803" spans="34:49" ht="15" customHeight="1" x14ac:dyDescent="0.25">
      <c r="AH1803" s="2"/>
      <c r="AR1803" s="307"/>
      <c r="AS1803" s="307"/>
      <c r="AT1803" s="307"/>
      <c r="AU1803" s="670"/>
      <c r="AV1803" s="670"/>
      <c r="AW1803" s="572"/>
    </row>
    <row r="1804" spans="34:49" ht="15" customHeight="1" x14ac:dyDescent="0.25">
      <c r="AH1804" s="2"/>
      <c r="AR1804" s="307"/>
      <c r="AS1804" s="307"/>
      <c r="AT1804" s="307"/>
      <c r="AU1804" s="670"/>
      <c r="AV1804" s="670"/>
      <c r="AW1804" s="572"/>
    </row>
    <row r="1805" spans="34:49" ht="15" customHeight="1" x14ac:dyDescent="0.25">
      <c r="AH1805" s="2"/>
      <c r="AR1805" s="307"/>
      <c r="AS1805" s="307"/>
      <c r="AT1805" s="307"/>
      <c r="AU1805" s="670"/>
      <c r="AV1805" s="670"/>
      <c r="AW1805" s="572"/>
    </row>
    <row r="1806" spans="34:49" ht="15" customHeight="1" x14ac:dyDescent="0.25">
      <c r="AH1806" s="2"/>
      <c r="AR1806" s="307"/>
      <c r="AS1806" s="307"/>
      <c r="AT1806" s="307"/>
      <c r="AU1806" s="670"/>
      <c r="AV1806" s="670"/>
      <c r="AW1806" s="572"/>
    </row>
    <row r="1807" spans="34:49" ht="15" customHeight="1" x14ac:dyDescent="0.25">
      <c r="AH1807" s="2"/>
      <c r="AR1807" s="307"/>
      <c r="AS1807" s="307"/>
      <c r="AT1807" s="307"/>
      <c r="AU1807" s="670"/>
      <c r="AV1807" s="670"/>
      <c r="AW1807" s="572"/>
    </row>
    <row r="1808" spans="34:49" ht="15" customHeight="1" x14ac:dyDescent="0.25">
      <c r="AH1808" s="2"/>
      <c r="AR1808" s="307"/>
      <c r="AS1808" s="307"/>
      <c r="AT1808" s="307"/>
      <c r="AU1808" s="670"/>
      <c r="AV1808" s="670"/>
      <c r="AW1808" s="572"/>
    </row>
    <row r="1809" spans="34:49" ht="15" customHeight="1" x14ac:dyDescent="0.25">
      <c r="AH1809" s="2"/>
      <c r="AR1809" s="307"/>
      <c r="AS1809" s="307"/>
      <c r="AT1809" s="307"/>
      <c r="AU1809" s="670"/>
      <c r="AV1809" s="670"/>
      <c r="AW1809" s="572"/>
    </row>
    <row r="1810" spans="34:49" ht="15" customHeight="1" x14ac:dyDescent="0.25">
      <c r="AH1810" s="2"/>
      <c r="AR1810" s="307"/>
      <c r="AS1810" s="307"/>
      <c r="AT1810" s="307"/>
      <c r="AU1810" s="670"/>
      <c r="AV1810" s="670"/>
      <c r="AW1810" s="572"/>
    </row>
    <row r="1811" spans="34:49" ht="15" customHeight="1" x14ac:dyDescent="0.25">
      <c r="AH1811" s="2"/>
      <c r="AR1811" s="307"/>
      <c r="AS1811" s="307"/>
      <c r="AT1811" s="307"/>
      <c r="AU1811" s="670"/>
      <c r="AV1811" s="670"/>
      <c r="AW1811" s="572"/>
    </row>
    <row r="1812" spans="34:49" ht="15" customHeight="1" x14ac:dyDescent="0.25">
      <c r="AH1812" s="2"/>
      <c r="AR1812" s="307"/>
      <c r="AS1812" s="307"/>
      <c r="AT1812" s="307"/>
      <c r="AU1812" s="670"/>
      <c r="AV1812" s="670"/>
      <c r="AW1812" s="572"/>
    </row>
    <row r="1813" spans="34:49" ht="15" customHeight="1" x14ac:dyDescent="0.25">
      <c r="AH1813" s="2"/>
      <c r="AR1813" s="307"/>
      <c r="AS1813" s="307"/>
      <c r="AT1813" s="307"/>
      <c r="AU1813" s="670"/>
      <c r="AV1813" s="670"/>
      <c r="AW1813" s="572"/>
    </row>
    <row r="1814" spans="34:49" ht="15" customHeight="1" x14ac:dyDescent="0.25">
      <c r="AH1814" s="2"/>
      <c r="AR1814" s="307"/>
      <c r="AS1814" s="307"/>
      <c r="AT1814" s="307"/>
      <c r="AU1814" s="670"/>
      <c r="AV1814" s="670"/>
      <c r="AW1814" s="572"/>
    </row>
    <row r="1815" spans="34:49" ht="15" customHeight="1" x14ac:dyDescent="0.25">
      <c r="AH1815" s="2"/>
      <c r="AR1815" s="307"/>
      <c r="AS1815" s="307"/>
      <c r="AT1815" s="307"/>
      <c r="AU1815" s="670"/>
      <c r="AV1815" s="670"/>
      <c r="AW1815" s="572"/>
    </row>
    <row r="1816" spans="34:49" ht="15" customHeight="1" x14ac:dyDescent="0.25">
      <c r="AH1816" s="2"/>
      <c r="AR1816" s="307"/>
      <c r="AS1816" s="307"/>
      <c r="AT1816" s="307"/>
      <c r="AU1816" s="670"/>
      <c r="AV1816" s="670"/>
      <c r="AW1816" s="572"/>
    </row>
    <row r="1817" spans="34:49" ht="15" customHeight="1" x14ac:dyDescent="0.25">
      <c r="AH1817" s="2"/>
      <c r="AR1817" s="307"/>
      <c r="AS1817" s="307"/>
      <c r="AT1817" s="307"/>
      <c r="AU1817" s="670"/>
      <c r="AV1817" s="670"/>
      <c r="AW1817" s="572"/>
    </row>
    <row r="1818" spans="34:49" ht="15" customHeight="1" x14ac:dyDescent="0.25">
      <c r="AH1818" s="2"/>
      <c r="AR1818" s="307"/>
      <c r="AS1818" s="307"/>
      <c r="AT1818" s="307"/>
      <c r="AU1818" s="670"/>
      <c r="AV1818" s="670"/>
      <c r="AW1818" s="572"/>
    </row>
    <row r="1819" spans="34:49" ht="15" customHeight="1" x14ac:dyDescent="0.25">
      <c r="AH1819" s="2"/>
      <c r="AR1819" s="307"/>
      <c r="AS1819" s="307"/>
      <c r="AT1819" s="307"/>
      <c r="AU1819" s="670"/>
      <c r="AV1819" s="670"/>
      <c r="AW1819" s="572"/>
    </row>
    <row r="1820" spans="34:49" ht="15" customHeight="1" x14ac:dyDescent="0.25">
      <c r="AH1820" s="2"/>
      <c r="AR1820" s="307"/>
      <c r="AS1820" s="307"/>
      <c r="AT1820" s="307"/>
      <c r="AU1820" s="670"/>
      <c r="AV1820" s="670"/>
      <c r="AW1820" s="572"/>
    </row>
    <row r="1821" spans="34:49" ht="15" customHeight="1" x14ac:dyDescent="0.25">
      <c r="AH1821" s="2"/>
      <c r="AR1821" s="307"/>
      <c r="AS1821" s="307"/>
      <c r="AT1821" s="307"/>
      <c r="AU1821" s="670"/>
      <c r="AV1821" s="670"/>
      <c r="AW1821" s="572"/>
    </row>
    <row r="1822" spans="34:49" ht="15" customHeight="1" x14ac:dyDescent="0.25">
      <c r="AH1822" s="2"/>
      <c r="AR1822" s="307"/>
      <c r="AS1822" s="307"/>
      <c r="AT1822" s="307"/>
      <c r="AU1822" s="670"/>
      <c r="AV1822" s="670"/>
      <c r="AW1822" s="572"/>
    </row>
    <row r="1823" spans="34:49" ht="15" customHeight="1" x14ac:dyDescent="0.25">
      <c r="AH1823" s="2"/>
      <c r="AR1823" s="307"/>
      <c r="AS1823" s="307"/>
      <c r="AT1823" s="307"/>
      <c r="AU1823" s="670"/>
      <c r="AV1823" s="670"/>
      <c r="AW1823" s="572"/>
    </row>
    <row r="1824" spans="34:49" ht="15" customHeight="1" x14ac:dyDescent="0.25">
      <c r="AH1824" s="2"/>
      <c r="AR1824" s="307"/>
      <c r="AS1824" s="307"/>
      <c r="AT1824" s="307"/>
      <c r="AU1824" s="670"/>
      <c r="AV1824" s="670"/>
      <c r="AW1824" s="572"/>
    </row>
    <row r="1825" spans="34:49" ht="15" customHeight="1" x14ac:dyDescent="0.25">
      <c r="AH1825" s="2"/>
      <c r="AR1825" s="307"/>
      <c r="AS1825" s="307"/>
      <c r="AT1825" s="307"/>
      <c r="AU1825" s="670"/>
      <c r="AV1825" s="670"/>
      <c r="AW1825" s="572"/>
    </row>
    <row r="1826" spans="34:49" ht="15" customHeight="1" x14ac:dyDescent="0.25">
      <c r="AH1826" s="2"/>
      <c r="AR1826" s="307"/>
      <c r="AS1826" s="307"/>
      <c r="AT1826" s="307"/>
      <c r="AU1826" s="670"/>
      <c r="AV1826" s="670"/>
      <c r="AW1826" s="572"/>
    </row>
    <row r="1827" spans="34:49" ht="15" customHeight="1" x14ac:dyDescent="0.25">
      <c r="AH1827" s="2"/>
      <c r="AR1827" s="307"/>
      <c r="AS1827" s="307"/>
      <c r="AT1827" s="307"/>
      <c r="AU1827" s="670"/>
      <c r="AV1827" s="670"/>
      <c r="AW1827" s="572"/>
    </row>
    <row r="1828" spans="34:49" ht="15" customHeight="1" x14ac:dyDescent="0.25">
      <c r="AH1828" s="2"/>
      <c r="AR1828" s="307"/>
      <c r="AS1828" s="307"/>
      <c r="AT1828" s="307"/>
      <c r="AU1828" s="670"/>
      <c r="AV1828" s="670"/>
      <c r="AW1828" s="572"/>
    </row>
    <row r="1829" spans="34:49" ht="15" customHeight="1" x14ac:dyDescent="0.25">
      <c r="AH1829" s="2"/>
      <c r="AR1829" s="307"/>
      <c r="AS1829" s="307"/>
      <c r="AT1829" s="307"/>
      <c r="AU1829" s="670"/>
      <c r="AV1829" s="670"/>
      <c r="AW1829" s="572"/>
    </row>
    <row r="1830" spans="34:49" ht="15" customHeight="1" x14ac:dyDescent="0.25">
      <c r="AH1830" s="2"/>
      <c r="AR1830" s="307"/>
      <c r="AS1830" s="307"/>
      <c r="AT1830" s="307"/>
      <c r="AU1830" s="670"/>
      <c r="AV1830" s="670"/>
      <c r="AW1830" s="572"/>
    </row>
    <row r="1831" spans="34:49" ht="15" customHeight="1" x14ac:dyDescent="0.25">
      <c r="AH1831" s="2"/>
      <c r="AR1831" s="307"/>
      <c r="AS1831" s="307"/>
      <c r="AT1831" s="307"/>
      <c r="AU1831" s="670"/>
      <c r="AV1831" s="670"/>
      <c r="AW1831" s="572"/>
    </row>
    <row r="1832" spans="34:49" ht="15" customHeight="1" x14ac:dyDescent="0.25">
      <c r="AH1832" s="2"/>
      <c r="AR1832" s="307"/>
      <c r="AS1832" s="307"/>
      <c r="AT1832" s="307"/>
      <c r="AU1832" s="670"/>
      <c r="AV1832" s="670"/>
      <c r="AW1832" s="572"/>
    </row>
    <row r="1833" spans="34:49" ht="15" customHeight="1" x14ac:dyDescent="0.25">
      <c r="AH1833" s="2"/>
      <c r="AR1833" s="307"/>
      <c r="AS1833" s="307"/>
      <c r="AT1833" s="307"/>
      <c r="AU1833" s="670"/>
      <c r="AV1833" s="670"/>
      <c r="AW1833" s="572"/>
    </row>
    <row r="1834" spans="34:49" ht="15" customHeight="1" x14ac:dyDescent="0.25">
      <c r="AH1834" s="2"/>
      <c r="AR1834" s="307"/>
      <c r="AS1834" s="307"/>
      <c r="AT1834" s="307"/>
      <c r="AU1834" s="670"/>
      <c r="AV1834" s="670"/>
      <c r="AW1834" s="572"/>
    </row>
    <row r="1835" spans="34:49" ht="15" customHeight="1" x14ac:dyDescent="0.25">
      <c r="AH1835" s="2"/>
      <c r="AR1835" s="307"/>
      <c r="AS1835" s="307"/>
      <c r="AT1835" s="307"/>
      <c r="AU1835" s="670"/>
      <c r="AV1835" s="670"/>
      <c r="AW1835" s="572"/>
    </row>
    <row r="1836" spans="34:49" ht="15" customHeight="1" x14ac:dyDescent="0.25">
      <c r="AH1836" s="2"/>
      <c r="AR1836" s="307"/>
      <c r="AS1836" s="307"/>
      <c r="AT1836" s="307"/>
      <c r="AU1836" s="670"/>
      <c r="AV1836" s="670"/>
      <c r="AW1836" s="572"/>
    </row>
    <row r="1837" spans="34:49" ht="15" customHeight="1" x14ac:dyDescent="0.25">
      <c r="AH1837" s="2"/>
      <c r="AR1837" s="307"/>
      <c r="AS1837" s="307"/>
      <c r="AT1837" s="307"/>
      <c r="AU1837" s="670"/>
      <c r="AV1837" s="670"/>
      <c r="AW1837" s="572"/>
    </row>
    <row r="1838" spans="34:49" ht="15" customHeight="1" x14ac:dyDescent="0.25">
      <c r="AH1838" s="2"/>
      <c r="AR1838" s="307"/>
      <c r="AS1838" s="307"/>
      <c r="AT1838" s="307"/>
      <c r="AU1838" s="670"/>
      <c r="AV1838" s="670"/>
      <c r="AW1838" s="572"/>
    </row>
    <row r="1839" spans="34:49" ht="15" customHeight="1" x14ac:dyDescent="0.25">
      <c r="AH1839" s="2"/>
      <c r="AR1839" s="307"/>
      <c r="AS1839" s="307"/>
      <c r="AT1839" s="307"/>
      <c r="AU1839" s="670"/>
      <c r="AV1839" s="670"/>
      <c r="AW1839" s="572"/>
    </row>
    <row r="1840" spans="34:49" ht="15" customHeight="1" x14ac:dyDescent="0.25">
      <c r="AH1840" s="2"/>
      <c r="AR1840" s="307"/>
      <c r="AS1840" s="307"/>
      <c r="AT1840" s="307"/>
      <c r="AU1840" s="670"/>
      <c r="AV1840" s="670"/>
      <c r="AW1840" s="572"/>
    </row>
    <row r="1841" spans="34:49" ht="15" customHeight="1" x14ac:dyDescent="0.25">
      <c r="AH1841" s="2"/>
      <c r="AR1841" s="307"/>
      <c r="AS1841" s="307"/>
      <c r="AT1841" s="307"/>
      <c r="AU1841" s="670"/>
      <c r="AV1841" s="670"/>
      <c r="AW1841" s="572"/>
    </row>
    <row r="1842" spans="34:49" ht="15" customHeight="1" x14ac:dyDescent="0.25">
      <c r="AH1842" s="2"/>
      <c r="AR1842" s="307"/>
      <c r="AS1842" s="307"/>
      <c r="AT1842" s="307"/>
      <c r="AU1842" s="670"/>
      <c r="AV1842" s="670"/>
      <c r="AW1842" s="572"/>
    </row>
    <row r="1843" spans="34:49" ht="15" customHeight="1" x14ac:dyDescent="0.25">
      <c r="AH1843" s="2"/>
      <c r="AR1843" s="307"/>
      <c r="AS1843" s="307"/>
      <c r="AT1843" s="307"/>
      <c r="AU1843" s="670"/>
      <c r="AV1843" s="670"/>
      <c r="AW1843" s="572"/>
    </row>
    <row r="1844" spans="34:49" ht="15" customHeight="1" x14ac:dyDescent="0.25">
      <c r="AH1844" s="2"/>
      <c r="AR1844" s="307"/>
      <c r="AS1844" s="307"/>
      <c r="AT1844" s="307"/>
      <c r="AU1844" s="670"/>
      <c r="AV1844" s="670"/>
      <c r="AW1844" s="572"/>
    </row>
    <row r="1845" spans="34:49" ht="15" customHeight="1" x14ac:dyDescent="0.25">
      <c r="AH1845" s="2"/>
      <c r="AR1845" s="307"/>
      <c r="AS1845" s="307"/>
      <c r="AT1845" s="307"/>
      <c r="AU1845" s="670"/>
      <c r="AV1845" s="670"/>
      <c r="AW1845" s="572"/>
    </row>
    <row r="1846" spans="34:49" ht="15" customHeight="1" x14ac:dyDescent="0.25">
      <c r="AH1846" s="2"/>
      <c r="AR1846" s="307"/>
      <c r="AS1846" s="307"/>
      <c r="AT1846" s="307"/>
      <c r="AU1846" s="670"/>
      <c r="AV1846" s="670"/>
      <c r="AW1846" s="572"/>
    </row>
    <row r="1847" spans="34:49" ht="15" customHeight="1" x14ac:dyDescent="0.25">
      <c r="AH1847" s="2"/>
      <c r="AR1847" s="307"/>
      <c r="AS1847" s="307"/>
      <c r="AT1847" s="307"/>
      <c r="AU1847" s="670"/>
      <c r="AV1847" s="670"/>
      <c r="AW1847" s="572"/>
    </row>
    <row r="1848" spans="34:49" ht="15" customHeight="1" x14ac:dyDescent="0.25">
      <c r="AH1848" s="2"/>
      <c r="AR1848" s="307"/>
      <c r="AS1848" s="307"/>
      <c r="AT1848" s="307"/>
      <c r="AU1848" s="670"/>
      <c r="AV1848" s="670"/>
      <c r="AW1848" s="572"/>
    </row>
    <row r="1849" spans="34:49" ht="15" customHeight="1" x14ac:dyDescent="0.25">
      <c r="AH1849" s="2"/>
      <c r="AR1849" s="307"/>
      <c r="AS1849" s="307"/>
      <c r="AT1849" s="307"/>
      <c r="AU1849" s="670"/>
      <c r="AV1849" s="670"/>
      <c r="AW1849" s="572"/>
    </row>
    <row r="1850" spans="34:49" ht="15" customHeight="1" x14ac:dyDescent="0.25">
      <c r="AH1850" s="2"/>
      <c r="AR1850" s="307"/>
      <c r="AS1850" s="307"/>
      <c r="AT1850" s="307"/>
      <c r="AU1850" s="670"/>
      <c r="AV1850" s="670"/>
      <c r="AW1850" s="572"/>
    </row>
    <row r="1851" spans="34:49" ht="15" customHeight="1" x14ac:dyDescent="0.25">
      <c r="AH1851" s="2"/>
      <c r="AR1851" s="307"/>
      <c r="AS1851" s="307"/>
      <c r="AT1851" s="307"/>
      <c r="AU1851" s="670"/>
      <c r="AV1851" s="670"/>
      <c r="AW1851" s="572"/>
    </row>
    <row r="1852" spans="34:49" ht="15" customHeight="1" x14ac:dyDescent="0.25">
      <c r="AH1852" s="2"/>
      <c r="AR1852" s="307"/>
      <c r="AS1852" s="307"/>
      <c r="AT1852" s="307"/>
      <c r="AU1852" s="670"/>
      <c r="AV1852" s="670"/>
      <c r="AW1852" s="572"/>
    </row>
    <row r="1853" spans="34:49" ht="15" customHeight="1" x14ac:dyDescent="0.25">
      <c r="AH1853" s="2"/>
      <c r="AR1853" s="307"/>
      <c r="AS1853" s="307"/>
      <c r="AT1853" s="307"/>
      <c r="AU1853" s="670"/>
      <c r="AV1853" s="670"/>
      <c r="AW1853" s="572"/>
    </row>
    <row r="1854" spans="34:49" ht="15" customHeight="1" x14ac:dyDescent="0.25">
      <c r="AH1854" s="2"/>
      <c r="AR1854" s="307"/>
      <c r="AS1854" s="307"/>
      <c r="AT1854" s="307"/>
      <c r="AU1854" s="670"/>
      <c r="AV1854" s="670"/>
      <c r="AW1854" s="572"/>
    </row>
    <row r="1855" spans="34:49" ht="15" customHeight="1" x14ac:dyDescent="0.25">
      <c r="AH1855" s="2"/>
      <c r="AR1855" s="307"/>
      <c r="AS1855" s="307"/>
      <c r="AT1855" s="307"/>
      <c r="AU1855" s="670"/>
      <c r="AV1855" s="670"/>
      <c r="AW1855" s="572"/>
    </row>
    <row r="1856" spans="34:49" ht="15" customHeight="1" x14ac:dyDescent="0.25">
      <c r="AH1856" s="2"/>
      <c r="AR1856" s="307"/>
      <c r="AS1856" s="307"/>
      <c r="AT1856" s="307"/>
      <c r="AU1856" s="670"/>
      <c r="AV1856" s="670"/>
      <c r="AW1856" s="572"/>
    </row>
    <row r="1857" spans="34:49" ht="15" customHeight="1" x14ac:dyDescent="0.25">
      <c r="AH1857" s="2"/>
      <c r="AR1857" s="307"/>
      <c r="AS1857" s="307"/>
      <c r="AT1857" s="307"/>
      <c r="AU1857" s="670"/>
      <c r="AV1857" s="670"/>
      <c r="AW1857" s="572"/>
    </row>
    <row r="1858" spans="34:49" ht="15" customHeight="1" x14ac:dyDescent="0.25">
      <c r="AH1858" s="2"/>
      <c r="AR1858" s="307"/>
      <c r="AS1858" s="307"/>
      <c r="AT1858" s="307"/>
      <c r="AU1858" s="670"/>
      <c r="AV1858" s="670"/>
      <c r="AW1858" s="572"/>
    </row>
    <row r="1859" spans="34:49" ht="15" customHeight="1" x14ac:dyDescent="0.25">
      <c r="AH1859" s="2"/>
      <c r="AR1859" s="307"/>
      <c r="AS1859" s="307"/>
      <c r="AT1859" s="307"/>
      <c r="AU1859" s="670"/>
      <c r="AV1859" s="670"/>
      <c r="AW1859" s="572"/>
    </row>
    <row r="1860" spans="34:49" ht="15" customHeight="1" x14ac:dyDescent="0.25">
      <c r="AH1860" s="2"/>
      <c r="AR1860" s="307"/>
      <c r="AS1860" s="307"/>
      <c r="AT1860" s="307"/>
      <c r="AU1860" s="670"/>
      <c r="AV1860" s="670"/>
      <c r="AW1860" s="572"/>
    </row>
    <row r="1861" spans="34:49" ht="15" customHeight="1" x14ac:dyDescent="0.25">
      <c r="AH1861" s="2"/>
      <c r="AR1861" s="307"/>
      <c r="AS1861" s="307"/>
      <c r="AT1861" s="307"/>
      <c r="AU1861" s="670"/>
      <c r="AV1861" s="670"/>
      <c r="AW1861" s="572"/>
    </row>
    <row r="1862" spans="34:49" ht="15" customHeight="1" x14ac:dyDescent="0.25">
      <c r="AH1862" s="2"/>
      <c r="AR1862" s="307"/>
      <c r="AS1862" s="307"/>
      <c r="AT1862" s="307"/>
      <c r="AU1862" s="670"/>
      <c r="AV1862" s="670"/>
      <c r="AW1862" s="572"/>
    </row>
    <row r="1863" spans="34:49" ht="15" customHeight="1" x14ac:dyDescent="0.25">
      <c r="AH1863" s="2"/>
      <c r="AR1863" s="307"/>
      <c r="AS1863" s="307"/>
      <c r="AT1863" s="307"/>
      <c r="AU1863" s="670"/>
      <c r="AV1863" s="670"/>
      <c r="AW1863" s="572"/>
    </row>
    <row r="1864" spans="34:49" ht="15" customHeight="1" x14ac:dyDescent="0.25">
      <c r="AH1864" s="2"/>
      <c r="AR1864" s="307"/>
      <c r="AS1864" s="307"/>
      <c r="AT1864" s="307"/>
      <c r="AU1864" s="670"/>
      <c r="AV1864" s="670"/>
      <c r="AW1864" s="572"/>
    </row>
    <row r="1865" spans="34:49" ht="15" customHeight="1" x14ac:dyDescent="0.25">
      <c r="AH1865" s="2"/>
      <c r="AR1865" s="307"/>
      <c r="AS1865" s="307"/>
      <c r="AT1865" s="307"/>
      <c r="AU1865" s="670"/>
      <c r="AV1865" s="670"/>
      <c r="AW1865" s="572"/>
    </row>
    <row r="1866" spans="34:49" ht="15" customHeight="1" x14ac:dyDescent="0.25">
      <c r="AH1866" s="2"/>
      <c r="AR1866" s="307"/>
      <c r="AS1866" s="307"/>
      <c r="AT1866" s="307"/>
      <c r="AU1866" s="670"/>
      <c r="AV1866" s="670"/>
      <c r="AW1866" s="572"/>
    </row>
    <row r="1867" spans="34:49" ht="15" customHeight="1" x14ac:dyDescent="0.25">
      <c r="AH1867" s="2"/>
      <c r="AR1867" s="307"/>
      <c r="AS1867" s="307"/>
      <c r="AT1867" s="307"/>
      <c r="AU1867" s="670"/>
      <c r="AV1867" s="670"/>
      <c r="AW1867" s="572"/>
    </row>
    <row r="1868" spans="34:49" ht="15" customHeight="1" x14ac:dyDescent="0.25">
      <c r="AH1868" s="2"/>
      <c r="AR1868" s="307"/>
      <c r="AS1868" s="307"/>
      <c r="AT1868" s="307"/>
      <c r="AU1868" s="670"/>
      <c r="AV1868" s="670"/>
      <c r="AW1868" s="572"/>
    </row>
    <row r="1869" spans="34:49" ht="15" customHeight="1" x14ac:dyDescent="0.25">
      <c r="AH1869" s="2"/>
      <c r="AR1869" s="307"/>
      <c r="AS1869" s="307"/>
      <c r="AT1869" s="307"/>
      <c r="AU1869" s="670"/>
      <c r="AV1869" s="670"/>
      <c r="AW1869" s="572"/>
    </row>
    <row r="1870" spans="34:49" ht="15" customHeight="1" x14ac:dyDescent="0.25">
      <c r="AH1870" s="2"/>
      <c r="AR1870" s="307"/>
      <c r="AS1870" s="307"/>
      <c r="AT1870" s="307"/>
      <c r="AU1870" s="670"/>
      <c r="AV1870" s="670"/>
      <c r="AW1870" s="572"/>
    </row>
    <row r="1871" spans="34:49" ht="15" customHeight="1" x14ac:dyDescent="0.25">
      <c r="AH1871" s="2"/>
      <c r="AR1871" s="307"/>
      <c r="AS1871" s="307"/>
      <c r="AT1871" s="307"/>
      <c r="AU1871" s="670"/>
      <c r="AV1871" s="670"/>
      <c r="AW1871" s="572"/>
    </row>
    <row r="1872" spans="34:49" ht="15" customHeight="1" x14ac:dyDescent="0.25">
      <c r="AH1872" s="2"/>
      <c r="AR1872" s="307"/>
      <c r="AS1872" s="307"/>
      <c r="AT1872" s="307"/>
      <c r="AU1872" s="670"/>
      <c r="AV1872" s="670"/>
      <c r="AW1872" s="572"/>
    </row>
    <row r="1873" spans="34:49" ht="15" customHeight="1" x14ac:dyDescent="0.25">
      <c r="AH1873" s="2"/>
      <c r="AR1873" s="307"/>
      <c r="AS1873" s="307"/>
      <c r="AT1873" s="307"/>
      <c r="AU1873" s="670"/>
      <c r="AV1873" s="670"/>
      <c r="AW1873" s="572"/>
    </row>
    <row r="1874" spans="34:49" ht="15" customHeight="1" x14ac:dyDescent="0.25">
      <c r="AH1874" s="2"/>
      <c r="AR1874" s="307"/>
      <c r="AS1874" s="307"/>
      <c r="AT1874" s="307"/>
      <c r="AU1874" s="670"/>
      <c r="AV1874" s="670"/>
      <c r="AW1874" s="572"/>
    </row>
    <row r="1875" spans="34:49" ht="15" customHeight="1" x14ac:dyDescent="0.25">
      <c r="AH1875" s="2"/>
      <c r="AR1875" s="307"/>
      <c r="AS1875" s="307"/>
      <c r="AT1875" s="307"/>
      <c r="AU1875" s="670"/>
      <c r="AV1875" s="670"/>
      <c r="AW1875" s="572"/>
    </row>
    <row r="1876" spans="34:49" ht="15" customHeight="1" x14ac:dyDescent="0.25">
      <c r="AH1876" s="2"/>
      <c r="AR1876" s="307"/>
      <c r="AS1876" s="307"/>
      <c r="AT1876" s="307"/>
      <c r="AU1876" s="670"/>
      <c r="AV1876" s="670"/>
      <c r="AW1876" s="572"/>
    </row>
    <row r="1877" spans="34:49" ht="15" customHeight="1" x14ac:dyDescent="0.25">
      <c r="AH1877" s="2"/>
      <c r="AR1877" s="307"/>
      <c r="AS1877" s="307"/>
      <c r="AT1877" s="307"/>
      <c r="AU1877" s="670"/>
      <c r="AV1877" s="670"/>
      <c r="AW1877" s="572"/>
    </row>
    <row r="1878" spans="34:49" ht="15" customHeight="1" x14ac:dyDescent="0.25">
      <c r="AH1878" s="2"/>
      <c r="AR1878" s="307"/>
      <c r="AS1878" s="307"/>
      <c r="AT1878" s="307"/>
      <c r="AU1878" s="670"/>
      <c r="AV1878" s="670"/>
      <c r="AW1878" s="572"/>
    </row>
    <row r="1879" spans="34:49" ht="15" customHeight="1" x14ac:dyDescent="0.25">
      <c r="AH1879" s="2"/>
      <c r="AR1879" s="307"/>
      <c r="AS1879" s="307"/>
      <c r="AT1879" s="307"/>
      <c r="AU1879" s="670"/>
      <c r="AV1879" s="670"/>
      <c r="AW1879" s="572"/>
    </row>
    <row r="1880" spans="34:49" ht="15" customHeight="1" x14ac:dyDescent="0.25">
      <c r="AH1880" s="2"/>
      <c r="AR1880" s="307"/>
      <c r="AS1880" s="307"/>
      <c r="AT1880" s="307"/>
      <c r="AU1880" s="670"/>
      <c r="AV1880" s="670"/>
      <c r="AW1880" s="572"/>
    </row>
    <row r="1881" spans="34:49" ht="15" customHeight="1" x14ac:dyDescent="0.25">
      <c r="AH1881" s="2"/>
      <c r="AR1881" s="307"/>
      <c r="AS1881" s="307"/>
      <c r="AT1881" s="307"/>
      <c r="AU1881" s="670"/>
      <c r="AV1881" s="670"/>
      <c r="AW1881" s="572"/>
    </row>
    <row r="1882" spans="34:49" ht="15" customHeight="1" x14ac:dyDescent="0.25">
      <c r="AH1882" s="2"/>
      <c r="AR1882" s="307"/>
      <c r="AS1882" s="307"/>
      <c r="AT1882" s="307"/>
      <c r="AU1882" s="670"/>
      <c r="AV1882" s="670"/>
      <c r="AW1882" s="572"/>
    </row>
    <row r="1883" spans="34:49" ht="15" customHeight="1" x14ac:dyDescent="0.25">
      <c r="AH1883" s="2"/>
      <c r="AR1883" s="307"/>
      <c r="AS1883" s="307"/>
      <c r="AT1883" s="307"/>
      <c r="AU1883" s="670"/>
      <c r="AV1883" s="670"/>
      <c r="AW1883" s="572"/>
    </row>
    <row r="1884" spans="34:49" ht="15" customHeight="1" x14ac:dyDescent="0.25">
      <c r="AH1884" s="2"/>
      <c r="AR1884" s="307"/>
      <c r="AS1884" s="307"/>
      <c r="AT1884" s="307"/>
      <c r="AU1884" s="670"/>
      <c r="AV1884" s="670"/>
      <c r="AW1884" s="572"/>
    </row>
    <row r="1885" spans="34:49" ht="15" customHeight="1" x14ac:dyDescent="0.25">
      <c r="AH1885" s="2"/>
      <c r="AR1885" s="307"/>
      <c r="AS1885" s="307"/>
      <c r="AT1885" s="307"/>
      <c r="AU1885" s="670"/>
      <c r="AV1885" s="670"/>
      <c r="AW1885" s="572"/>
    </row>
    <row r="1886" spans="34:49" ht="15" customHeight="1" x14ac:dyDescent="0.25">
      <c r="AH1886" s="2"/>
      <c r="AR1886" s="307"/>
      <c r="AS1886" s="307"/>
      <c r="AT1886" s="307"/>
      <c r="AU1886" s="670"/>
      <c r="AV1886" s="670"/>
      <c r="AW1886" s="572"/>
    </row>
    <row r="1887" spans="34:49" ht="15" customHeight="1" x14ac:dyDescent="0.25">
      <c r="AH1887" s="2"/>
      <c r="AR1887" s="307"/>
      <c r="AS1887" s="307"/>
      <c r="AT1887" s="307"/>
      <c r="AU1887" s="670"/>
      <c r="AV1887" s="670"/>
      <c r="AW1887" s="572"/>
    </row>
    <row r="1888" spans="34:49" ht="15" customHeight="1" x14ac:dyDescent="0.25">
      <c r="AH1888" s="2"/>
      <c r="AR1888" s="307"/>
      <c r="AS1888" s="307"/>
      <c r="AT1888" s="307"/>
      <c r="AU1888" s="670"/>
      <c r="AV1888" s="670"/>
      <c r="AW1888" s="572"/>
    </row>
    <row r="1889" spans="34:49" ht="15" customHeight="1" x14ac:dyDescent="0.25">
      <c r="AH1889" s="2"/>
      <c r="AR1889" s="307"/>
      <c r="AS1889" s="307"/>
      <c r="AT1889" s="307"/>
      <c r="AU1889" s="670"/>
      <c r="AV1889" s="670"/>
      <c r="AW1889" s="572"/>
    </row>
    <row r="1890" spans="34:49" ht="15" customHeight="1" x14ac:dyDescent="0.25">
      <c r="AH1890" s="2"/>
      <c r="AR1890" s="307"/>
      <c r="AS1890" s="307"/>
      <c r="AT1890" s="307"/>
      <c r="AU1890" s="670"/>
      <c r="AV1890" s="670"/>
      <c r="AW1890" s="572"/>
    </row>
    <row r="1891" spans="34:49" ht="15" customHeight="1" x14ac:dyDescent="0.25">
      <c r="AH1891" s="2"/>
      <c r="AR1891" s="307"/>
      <c r="AS1891" s="307"/>
      <c r="AT1891" s="307"/>
      <c r="AU1891" s="670"/>
      <c r="AV1891" s="670"/>
      <c r="AW1891" s="572"/>
    </row>
    <row r="1892" spans="34:49" ht="15" customHeight="1" x14ac:dyDescent="0.25">
      <c r="AH1892" s="2"/>
      <c r="AR1892" s="307"/>
      <c r="AS1892" s="307"/>
      <c r="AT1892" s="307"/>
      <c r="AU1892" s="670"/>
      <c r="AV1892" s="670"/>
      <c r="AW1892" s="572"/>
    </row>
    <row r="1893" spans="34:49" ht="15" customHeight="1" x14ac:dyDescent="0.25">
      <c r="AH1893" s="2"/>
      <c r="AR1893" s="307"/>
      <c r="AS1893" s="307"/>
      <c r="AT1893" s="307"/>
      <c r="AU1893" s="670"/>
      <c r="AV1893" s="670"/>
      <c r="AW1893" s="572"/>
    </row>
    <row r="1894" spans="34:49" ht="15" customHeight="1" x14ac:dyDescent="0.25">
      <c r="AH1894" s="2"/>
      <c r="AR1894" s="307"/>
      <c r="AS1894" s="307"/>
      <c r="AT1894" s="307"/>
      <c r="AU1894" s="670"/>
      <c r="AV1894" s="670"/>
      <c r="AW1894" s="572"/>
    </row>
    <row r="1895" spans="34:49" ht="15" customHeight="1" x14ac:dyDescent="0.25">
      <c r="AH1895" s="2"/>
      <c r="AR1895" s="307"/>
      <c r="AS1895" s="307"/>
      <c r="AT1895" s="307"/>
      <c r="AU1895" s="670"/>
      <c r="AV1895" s="670"/>
      <c r="AW1895" s="572"/>
    </row>
    <row r="1896" spans="34:49" ht="15" customHeight="1" x14ac:dyDescent="0.25">
      <c r="AH1896" s="2"/>
      <c r="AR1896" s="307"/>
      <c r="AS1896" s="307"/>
      <c r="AT1896" s="307"/>
      <c r="AU1896" s="670"/>
      <c r="AV1896" s="670"/>
      <c r="AW1896" s="572"/>
    </row>
    <row r="1897" spans="34:49" ht="15" customHeight="1" x14ac:dyDescent="0.25">
      <c r="AH1897" s="2"/>
      <c r="AR1897" s="307"/>
      <c r="AS1897" s="307"/>
      <c r="AT1897" s="307"/>
      <c r="AU1897" s="670"/>
      <c r="AV1897" s="670"/>
      <c r="AW1897" s="572"/>
    </row>
    <row r="1898" spans="34:49" ht="15" customHeight="1" x14ac:dyDescent="0.25">
      <c r="AH1898" s="2"/>
      <c r="AR1898" s="307"/>
      <c r="AS1898" s="307"/>
      <c r="AT1898" s="307"/>
      <c r="AU1898" s="670"/>
      <c r="AV1898" s="670"/>
      <c r="AW1898" s="572"/>
    </row>
    <row r="1899" spans="34:49" ht="15" customHeight="1" x14ac:dyDescent="0.25">
      <c r="AH1899" s="2"/>
      <c r="AR1899" s="307"/>
      <c r="AS1899" s="307"/>
      <c r="AT1899" s="307"/>
      <c r="AU1899" s="670"/>
      <c r="AV1899" s="670"/>
      <c r="AW1899" s="572"/>
    </row>
    <row r="1900" spans="34:49" ht="15" customHeight="1" x14ac:dyDescent="0.25">
      <c r="AH1900" s="2"/>
      <c r="AR1900" s="307"/>
      <c r="AS1900" s="307"/>
      <c r="AT1900" s="307"/>
      <c r="AU1900" s="670"/>
      <c r="AV1900" s="670"/>
      <c r="AW1900" s="572"/>
    </row>
    <row r="1901" spans="34:49" ht="15" customHeight="1" x14ac:dyDescent="0.25">
      <c r="AH1901" s="2"/>
      <c r="AR1901" s="307"/>
      <c r="AS1901" s="307"/>
      <c r="AT1901" s="307"/>
      <c r="AU1901" s="670"/>
      <c r="AV1901" s="670"/>
      <c r="AW1901" s="572"/>
    </row>
    <row r="1902" spans="34:49" ht="15" customHeight="1" x14ac:dyDescent="0.25">
      <c r="AH1902" s="2"/>
      <c r="AR1902" s="307"/>
      <c r="AS1902" s="307"/>
      <c r="AT1902" s="307"/>
      <c r="AU1902" s="670"/>
      <c r="AV1902" s="670"/>
      <c r="AW1902" s="572"/>
    </row>
    <row r="1903" spans="34:49" ht="15" customHeight="1" x14ac:dyDescent="0.25">
      <c r="AH1903" s="2"/>
      <c r="AR1903" s="307"/>
      <c r="AS1903" s="307"/>
      <c r="AT1903" s="307"/>
      <c r="AU1903" s="670"/>
      <c r="AV1903" s="670"/>
      <c r="AW1903" s="572"/>
    </row>
    <row r="1904" spans="34:49" ht="15" customHeight="1" x14ac:dyDescent="0.25">
      <c r="AH1904" s="2"/>
      <c r="AR1904" s="307"/>
      <c r="AS1904" s="307"/>
      <c r="AT1904" s="307"/>
      <c r="AU1904" s="670"/>
      <c r="AV1904" s="670"/>
      <c r="AW1904" s="572"/>
    </row>
    <row r="1905" spans="34:49" ht="15" customHeight="1" x14ac:dyDescent="0.25">
      <c r="AH1905" s="2"/>
      <c r="AR1905" s="307"/>
      <c r="AS1905" s="307"/>
      <c r="AT1905" s="307"/>
      <c r="AU1905" s="670"/>
      <c r="AV1905" s="670"/>
      <c r="AW1905" s="572"/>
    </row>
    <row r="1906" spans="34:49" ht="15" customHeight="1" x14ac:dyDescent="0.25">
      <c r="AH1906" s="2"/>
      <c r="AR1906" s="307"/>
      <c r="AS1906" s="307"/>
      <c r="AT1906" s="307"/>
      <c r="AU1906" s="670"/>
      <c r="AV1906" s="670"/>
      <c r="AW1906" s="572"/>
    </row>
    <row r="1907" spans="34:49" ht="15" customHeight="1" x14ac:dyDescent="0.25">
      <c r="AH1907" s="2"/>
      <c r="AR1907" s="307"/>
      <c r="AS1907" s="307"/>
      <c r="AT1907" s="307"/>
      <c r="AU1907" s="670"/>
      <c r="AV1907" s="670"/>
      <c r="AW1907" s="572"/>
    </row>
    <row r="1908" spans="34:49" ht="15" customHeight="1" x14ac:dyDescent="0.25">
      <c r="AH1908" s="2"/>
      <c r="AR1908" s="307"/>
      <c r="AS1908" s="307"/>
      <c r="AT1908" s="307"/>
      <c r="AU1908" s="670"/>
      <c r="AV1908" s="670"/>
      <c r="AW1908" s="572"/>
    </row>
    <row r="1909" spans="34:49" ht="15" customHeight="1" x14ac:dyDescent="0.25">
      <c r="AH1909" s="2"/>
      <c r="AR1909" s="307"/>
      <c r="AS1909" s="307"/>
      <c r="AT1909" s="307"/>
      <c r="AU1909" s="670"/>
      <c r="AV1909" s="670"/>
      <c r="AW1909" s="572"/>
    </row>
    <row r="1910" spans="34:49" ht="15" customHeight="1" x14ac:dyDescent="0.25">
      <c r="AH1910" s="2"/>
      <c r="AR1910" s="307"/>
      <c r="AS1910" s="307"/>
      <c r="AT1910" s="307"/>
      <c r="AU1910" s="670"/>
      <c r="AV1910" s="670"/>
      <c r="AW1910" s="572"/>
    </row>
    <row r="1911" spans="34:49" ht="15" customHeight="1" x14ac:dyDescent="0.25">
      <c r="AH1911" s="2"/>
      <c r="AR1911" s="307"/>
      <c r="AS1911" s="307"/>
      <c r="AT1911" s="307"/>
      <c r="AU1911" s="670"/>
      <c r="AV1911" s="670"/>
      <c r="AW1911" s="572"/>
    </row>
    <row r="1912" spans="34:49" ht="15" customHeight="1" x14ac:dyDescent="0.25">
      <c r="AH1912" s="2"/>
      <c r="AR1912" s="307"/>
      <c r="AS1912" s="307"/>
      <c r="AT1912" s="307"/>
      <c r="AU1912" s="670"/>
      <c r="AV1912" s="670"/>
      <c r="AW1912" s="572"/>
    </row>
    <row r="1913" spans="34:49" ht="15" customHeight="1" x14ac:dyDescent="0.25">
      <c r="AH1913" s="2"/>
      <c r="AR1913" s="307"/>
      <c r="AS1913" s="307"/>
      <c r="AT1913" s="307"/>
      <c r="AU1913" s="670"/>
      <c r="AV1913" s="670"/>
      <c r="AW1913" s="572"/>
    </row>
    <row r="1914" spans="34:49" ht="15" customHeight="1" x14ac:dyDescent="0.25">
      <c r="AH1914" s="2"/>
      <c r="AR1914" s="307"/>
      <c r="AS1914" s="307"/>
      <c r="AT1914" s="307"/>
      <c r="AU1914" s="670"/>
      <c r="AV1914" s="670"/>
      <c r="AW1914" s="572"/>
    </row>
    <row r="1915" spans="34:49" ht="15" customHeight="1" x14ac:dyDescent="0.25">
      <c r="AH1915" s="2"/>
      <c r="AR1915" s="307"/>
      <c r="AS1915" s="307"/>
      <c r="AT1915" s="307"/>
      <c r="AU1915" s="670"/>
      <c r="AV1915" s="670"/>
      <c r="AW1915" s="572"/>
    </row>
    <row r="1916" spans="34:49" ht="15" customHeight="1" x14ac:dyDescent="0.25">
      <c r="AH1916" s="2"/>
      <c r="AR1916" s="307"/>
      <c r="AS1916" s="307"/>
      <c r="AT1916" s="307"/>
      <c r="AU1916" s="670"/>
      <c r="AV1916" s="670"/>
      <c r="AW1916" s="572"/>
    </row>
    <row r="1917" spans="34:49" ht="15" customHeight="1" x14ac:dyDescent="0.25">
      <c r="AH1917" s="2"/>
      <c r="AR1917" s="307"/>
      <c r="AS1917" s="307"/>
      <c r="AT1917" s="307"/>
      <c r="AU1917" s="670"/>
      <c r="AV1917" s="670"/>
      <c r="AW1917" s="572"/>
    </row>
    <row r="1918" spans="34:49" ht="15" customHeight="1" x14ac:dyDescent="0.25">
      <c r="AH1918" s="2"/>
      <c r="AR1918" s="307"/>
      <c r="AS1918" s="307"/>
      <c r="AT1918" s="307"/>
      <c r="AU1918" s="670"/>
      <c r="AV1918" s="670"/>
      <c r="AW1918" s="572"/>
    </row>
    <row r="1919" spans="34:49" ht="15" customHeight="1" x14ac:dyDescent="0.25">
      <c r="AH1919" s="2"/>
      <c r="AR1919" s="307"/>
      <c r="AS1919" s="307"/>
      <c r="AT1919" s="307"/>
      <c r="AU1919" s="670"/>
      <c r="AV1919" s="670"/>
      <c r="AW1919" s="572"/>
    </row>
    <row r="1920" spans="34:49" ht="15" customHeight="1" x14ac:dyDescent="0.25">
      <c r="AH1920" s="2"/>
      <c r="AR1920" s="307"/>
      <c r="AS1920" s="307"/>
      <c r="AT1920" s="307"/>
      <c r="AU1920" s="670"/>
      <c r="AV1920" s="670"/>
      <c r="AW1920" s="572"/>
    </row>
    <row r="1921" spans="34:49" ht="15" customHeight="1" x14ac:dyDescent="0.25">
      <c r="AH1921" s="2"/>
      <c r="AR1921" s="307"/>
      <c r="AS1921" s="307"/>
      <c r="AT1921" s="307"/>
      <c r="AU1921" s="670"/>
      <c r="AV1921" s="670"/>
      <c r="AW1921" s="572"/>
    </row>
    <row r="1922" spans="34:49" ht="15" customHeight="1" x14ac:dyDescent="0.25">
      <c r="AH1922" s="2"/>
      <c r="AR1922" s="307"/>
      <c r="AS1922" s="307"/>
      <c r="AT1922" s="307"/>
      <c r="AU1922" s="670"/>
      <c r="AV1922" s="670"/>
      <c r="AW1922" s="572"/>
    </row>
    <row r="1923" spans="34:49" ht="15" customHeight="1" x14ac:dyDescent="0.25">
      <c r="AH1923" s="2"/>
      <c r="AR1923" s="307"/>
      <c r="AS1923" s="307"/>
      <c r="AT1923" s="307"/>
      <c r="AU1923" s="670"/>
      <c r="AV1923" s="670"/>
      <c r="AW1923" s="572"/>
    </row>
    <row r="1924" spans="34:49" ht="15" customHeight="1" x14ac:dyDescent="0.25">
      <c r="AH1924" s="2"/>
      <c r="AR1924" s="307"/>
      <c r="AS1924" s="307"/>
      <c r="AT1924" s="307"/>
      <c r="AU1924" s="670"/>
      <c r="AV1924" s="670"/>
      <c r="AW1924" s="572"/>
    </row>
    <row r="1925" spans="34:49" ht="15" customHeight="1" x14ac:dyDescent="0.25">
      <c r="AH1925" s="2"/>
      <c r="AR1925" s="307"/>
      <c r="AS1925" s="307"/>
      <c r="AT1925" s="307"/>
      <c r="AU1925" s="670"/>
      <c r="AV1925" s="670"/>
      <c r="AW1925" s="572"/>
    </row>
    <row r="1926" spans="34:49" ht="15" customHeight="1" x14ac:dyDescent="0.25">
      <c r="AH1926" s="2"/>
      <c r="AR1926" s="307"/>
      <c r="AS1926" s="307"/>
      <c r="AT1926" s="307"/>
      <c r="AU1926" s="670"/>
      <c r="AV1926" s="670"/>
      <c r="AW1926" s="572"/>
    </row>
    <row r="1927" spans="34:49" ht="15" customHeight="1" x14ac:dyDescent="0.25">
      <c r="AH1927" s="2"/>
      <c r="AR1927" s="307"/>
      <c r="AS1927" s="307"/>
      <c r="AT1927" s="307"/>
      <c r="AU1927" s="670"/>
      <c r="AV1927" s="670"/>
      <c r="AW1927" s="572"/>
    </row>
    <row r="1928" spans="34:49" ht="15" customHeight="1" x14ac:dyDescent="0.25">
      <c r="AH1928" s="2"/>
      <c r="AR1928" s="307"/>
      <c r="AS1928" s="307"/>
      <c r="AT1928" s="307"/>
      <c r="AU1928" s="670"/>
      <c r="AV1928" s="670"/>
      <c r="AW1928" s="572"/>
    </row>
    <row r="1929" spans="34:49" ht="15" customHeight="1" x14ac:dyDescent="0.25">
      <c r="AH1929" s="2"/>
      <c r="AR1929" s="307"/>
      <c r="AS1929" s="307"/>
      <c r="AT1929" s="307"/>
      <c r="AU1929" s="670"/>
      <c r="AV1929" s="670"/>
      <c r="AW1929" s="572"/>
    </row>
    <row r="1930" spans="34:49" ht="15" customHeight="1" x14ac:dyDescent="0.25">
      <c r="AH1930" s="2"/>
      <c r="AR1930" s="307"/>
      <c r="AS1930" s="307"/>
      <c r="AT1930" s="307"/>
      <c r="AU1930" s="670"/>
      <c r="AV1930" s="670"/>
      <c r="AW1930" s="572"/>
    </row>
    <row r="1931" spans="34:49" ht="15" customHeight="1" x14ac:dyDescent="0.25">
      <c r="AH1931" s="2"/>
      <c r="AR1931" s="307"/>
      <c r="AS1931" s="307"/>
      <c r="AT1931" s="307"/>
      <c r="AU1931" s="670"/>
      <c r="AV1931" s="670"/>
      <c r="AW1931" s="572"/>
    </row>
    <row r="1932" spans="34:49" ht="15" customHeight="1" x14ac:dyDescent="0.25">
      <c r="AH1932" s="2"/>
      <c r="AR1932" s="307"/>
      <c r="AS1932" s="307"/>
      <c r="AT1932" s="307"/>
      <c r="AU1932" s="670"/>
      <c r="AV1932" s="670"/>
      <c r="AW1932" s="572"/>
    </row>
    <row r="1933" spans="34:49" ht="15" customHeight="1" x14ac:dyDescent="0.25">
      <c r="AH1933" s="2"/>
      <c r="AR1933" s="307"/>
      <c r="AS1933" s="307"/>
      <c r="AT1933" s="307"/>
      <c r="AU1933" s="670"/>
      <c r="AV1933" s="670"/>
      <c r="AW1933" s="572"/>
    </row>
    <row r="1934" spans="34:49" ht="15" customHeight="1" x14ac:dyDescent="0.25">
      <c r="AH1934" s="2"/>
      <c r="AR1934" s="307"/>
      <c r="AS1934" s="307"/>
      <c r="AT1934" s="307"/>
      <c r="AU1934" s="670"/>
      <c r="AV1934" s="670"/>
      <c r="AW1934" s="572"/>
    </row>
    <row r="1935" spans="34:49" ht="15" customHeight="1" x14ac:dyDescent="0.25">
      <c r="AH1935" s="2"/>
      <c r="AR1935" s="307"/>
      <c r="AS1935" s="307"/>
      <c r="AT1935" s="307"/>
      <c r="AU1935" s="670"/>
      <c r="AV1935" s="670"/>
      <c r="AW1935" s="572"/>
    </row>
    <row r="1936" spans="34:49" ht="15" customHeight="1" x14ac:dyDescent="0.25">
      <c r="AH1936" s="2"/>
      <c r="AR1936" s="307"/>
      <c r="AS1936" s="307"/>
      <c r="AT1936" s="307"/>
      <c r="AU1936" s="670"/>
      <c r="AV1936" s="670"/>
      <c r="AW1936" s="572"/>
    </row>
    <row r="1937" spans="34:49" ht="15" customHeight="1" x14ac:dyDescent="0.25">
      <c r="AH1937" s="2"/>
      <c r="AR1937" s="307"/>
      <c r="AS1937" s="307"/>
      <c r="AT1937" s="307"/>
      <c r="AU1937" s="670"/>
      <c r="AV1937" s="670"/>
      <c r="AW1937" s="572"/>
    </row>
    <row r="1938" spans="34:49" ht="15" customHeight="1" x14ac:dyDescent="0.25">
      <c r="AH1938" s="2"/>
      <c r="AR1938" s="307"/>
      <c r="AS1938" s="307"/>
      <c r="AT1938" s="307"/>
      <c r="AU1938" s="670"/>
      <c r="AV1938" s="670"/>
      <c r="AW1938" s="572"/>
    </row>
    <row r="1939" spans="34:49" ht="15" customHeight="1" x14ac:dyDescent="0.25">
      <c r="AH1939" s="2"/>
      <c r="AR1939" s="307"/>
      <c r="AS1939" s="307"/>
      <c r="AT1939" s="307"/>
      <c r="AU1939" s="670"/>
      <c r="AV1939" s="670"/>
      <c r="AW1939" s="572"/>
    </row>
    <row r="1940" spans="34:49" ht="15" customHeight="1" x14ac:dyDescent="0.25">
      <c r="AH1940" s="2"/>
      <c r="AR1940" s="307"/>
      <c r="AS1940" s="307"/>
      <c r="AT1940" s="307"/>
      <c r="AU1940" s="670"/>
      <c r="AV1940" s="670"/>
      <c r="AW1940" s="572"/>
    </row>
    <row r="1941" spans="34:49" ht="15" customHeight="1" x14ac:dyDescent="0.25">
      <c r="AH1941" s="2"/>
      <c r="AR1941" s="307"/>
      <c r="AS1941" s="307"/>
      <c r="AT1941" s="307"/>
      <c r="AU1941" s="670"/>
      <c r="AV1941" s="670"/>
      <c r="AW1941" s="572"/>
    </row>
    <row r="1942" spans="34:49" ht="15" customHeight="1" x14ac:dyDescent="0.25">
      <c r="AR1942" s="307"/>
      <c r="AS1942" s="307"/>
      <c r="AT1942" s="307"/>
      <c r="AU1942" s="670"/>
      <c r="AV1942" s="670"/>
      <c r="AW1942" s="572"/>
    </row>
    <row r="1943" spans="34:49" ht="15" customHeight="1" x14ac:dyDescent="0.25">
      <c r="AR1943" s="307"/>
      <c r="AS1943" s="307"/>
      <c r="AT1943" s="307"/>
      <c r="AU1943" s="670"/>
      <c r="AV1943" s="670"/>
      <c r="AW1943" s="572"/>
    </row>
    <row r="1944" spans="34:49" ht="15" customHeight="1" x14ac:dyDescent="0.25">
      <c r="AR1944" s="307"/>
      <c r="AS1944" s="307"/>
      <c r="AT1944" s="307"/>
      <c r="AU1944" s="670"/>
      <c r="AV1944" s="670"/>
      <c r="AW1944" s="572"/>
    </row>
    <row r="1945" spans="34:49" ht="15" customHeight="1" x14ac:dyDescent="0.25">
      <c r="AR1945" s="307"/>
      <c r="AS1945" s="307"/>
      <c r="AT1945" s="307"/>
      <c r="AU1945" s="670"/>
      <c r="AV1945" s="670"/>
      <c r="AW1945" s="572"/>
    </row>
    <row r="1946" spans="34:49" ht="15" customHeight="1" x14ac:dyDescent="0.25">
      <c r="AR1946" s="307"/>
      <c r="AS1946" s="307"/>
      <c r="AT1946" s="307"/>
      <c r="AU1946" s="670"/>
      <c r="AV1946" s="670"/>
      <c r="AW1946" s="572"/>
    </row>
    <row r="1947" spans="34:49" ht="15" customHeight="1" x14ac:dyDescent="0.25">
      <c r="AR1947" s="307"/>
      <c r="AS1947" s="307"/>
      <c r="AT1947" s="307"/>
      <c r="AU1947" s="670"/>
      <c r="AV1947" s="670"/>
      <c r="AW1947" s="572"/>
    </row>
    <row r="1948" spans="34:49" ht="15" customHeight="1" x14ac:dyDescent="0.25">
      <c r="AR1948" s="307"/>
      <c r="AS1948" s="307"/>
      <c r="AT1948" s="307"/>
      <c r="AU1948" s="670"/>
      <c r="AV1948" s="670"/>
      <c r="AW1948" s="572"/>
    </row>
    <row r="1949" spans="34:49" ht="15" customHeight="1" x14ac:dyDescent="0.25">
      <c r="AR1949" s="307"/>
      <c r="AS1949" s="307"/>
      <c r="AT1949" s="307"/>
      <c r="AU1949" s="670"/>
      <c r="AV1949" s="670"/>
      <c r="AW1949" s="572"/>
    </row>
    <row r="1950" spans="34:49" ht="15" customHeight="1" x14ac:dyDescent="0.25">
      <c r="AR1950" s="307"/>
      <c r="AS1950" s="307"/>
      <c r="AT1950" s="307"/>
      <c r="AU1950" s="670"/>
      <c r="AV1950" s="670"/>
      <c r="AW1950" s="572"/>
    </row>
    <row r="1951" spans="34:49" ht="15" customHeight="1" x14ac:dyDescent="0.25">
      <c r="AR1951" s="307"/>
      <c r="AS1951" s="307"/>
      <c r="AT1951" s="307"/>
      <c r="AU1951" s="670"/>
      <c r="AV1951" s="670"/>
      <c r="AW1951" s="572"/>
    </row>
    <row r="1952" spans="34:49" ht="15" customHeight="1" x14ac:dyDescent="0.25">
      <c r="AR1952" s="307"/>
      <c r="AS1952" s="307"/>
      <c r="AT1952" s="307"/>
      <c r="AU1952" s="670"/>
      <c r="AV1952" s="670"/>
      <c r="AW1952" s="572"/>
    </row>
  </sheetData>
  <autoFilter ref="A11:AW1585" xr:uid="{42A9C279-EDB7-47EF-AD19-558BB96F8F13}">
    <filterColumn colId="43" showButton="0"/>
  </autoFilter>
  <mergeCells count="211">
    <mergeCell ref="J15:K15"/>
    <mergeCell ref="AW20:AW26"/>
    <mergeCell ref="AW27:AW33"/>
    <mergeCell ref="AW34:AW40"/>
    <mergeCell ref="J41:K41"/>
    <mergeCell ref="AW63:AW69"/>
    <mergeCell ref="A1:L9"/>
    <mergeCell ref="A10:G10"/>
    <mergeCell ref="H10:L10"/>
    <mergeCell ref="AR11:AS11"/>
    <mergeCell ref="H13:K13"/>
    <mergeCell ref="I14:K14"/>
    <mergeCell ref="J119:K119"/>
    <mergeCell ref="J120:K120"/>
    <mergeCell ref="AW121:AW139"/>
    <mergeCell ref="I140:K140"/>
    <mergeCell ref="J141:K141"/>
    <mergeCell ref="AV142:AV145"/>
    <mergeCell ref="AW142:AW145"/>
    <mergeCell ref="AW77:AW83"/>
    <mergeCell ref="AW84:AW91"/>
    <mergeCell ref="AW92:AW97"/>
    <mergeCell ref="AW98:AW104"/>
    <mergeCell ref="AW105:AW111"/>
    <mergeCell ref="AW112:AW118"/>
    <mergeCell ref="J265:K265"/>
    <mergeCell ref="J294:K294"/>
    <mergeCell ref="J318:K318"/>
    <mergeCell ref="J320:K320"/>
    <mergeCell ref="AW349:AW355"/>
    <mergeCell ref="AW356:AW362"/>
    <mergeCell ref="I146:K146"/>
    <mergeCell ref="J147:K147"/>
    <mergeCell ref="J169:K169"/>
    <mergeCell ref="J191:K191"/>
    <mergeCell ref="J212:K212"/>
    <mergeCell ref="J237:K237"/>
    <mergeCell ref="R447:R453"/>
    <mergeCell ref="R454:R460"/>
    <mergeCell ref="AW454:AW460"/>
    <mergeCell ref="AV477:AV483"/>
    <mergeCell ref="AW477:AW483"/>
    <mergeCell ref="AW498:AW504"/>
    <mergeCell ref="AW363:AW369"/>
    <mergeCell ref="AW370:AW376"/>
    <mergeCell ref="AW391:AW397"/>
    <mergeCell ref="AO412:AO418"/>
    <mergeCell ref="AP412:AP418"/>
    <mergeCell ref="AQ412:AQ418"/>
    <mergeCell ref="AR412:AR418"/>
    <mergeCell ref="AS412:AS418"/>
    <mergeCell ref="AW412:AW418"/>
    <mergeCell ref="J621:K621"/>
    <mergeCell ref="J627:K627"/>
    <mergeCell ref="J633:K633"/>
    <mergeCell ref="J638:K638"/>
    <mergeCell ref="J643:K643"/>
    <mergeCell ref="J648:K648"/>
    <mergeCell ref="AP534:AP540"/>
    <mergeCell ref="AW534:AW540"/>
    <mergeCell ref="AW555:AW561"/>
    <mergeCell ref="AW562:AW568"/>
    <mergeCell ref="AW602:AW608"/>
    <mergeCell ref="J615:K615"/>
    <mergeCell ref="J696:K696"/>
    <mergeCell ref="J699:K699"/>
    <mergeCell ref="J702:K702"/>
    <mergeCell ref="J705:K705"/>
    <mergeCell ref="J708:K708"/>
    <mergeCell ref="J711:K711"/>
    <mergeCell ref="I653:K653"/>
    <mergeCell ref="J654:K654"/>
    <mergeCell ref="AW655:AW661"/>
    <mergeCell ref="J664:K664"/>
    <mergeCell ref="R665:R671"/>
    <mergeCell ref="J693:K693"/>
    <mergeCell ref="J732:K732"/>
    <mergeCell ref="J735:K735"/>
    <mergeCell ref="J738:K738"/>
    <mergeCell ref="I741:K741"/>
    <mergeCell ref="J742:K742"/>
    <mergeCell ref="J753:K753"/>
    <mergeCell ref="J714:K714"/>
    <mergeCell ref="J717:K717"/>
    <mergeCell ref="J720:K720"/>
    <mergeCell ref="J723:K723"/>
    <mergeCell ref="J726:K726"/>
    <mergeCell ref="J729:K729"/>
    <mergeCell ref="J793:K793"/>
    <mergeCell ref="J796:K796"/>
    <mergeCell ref="AW797:AW803"/>
    <mergeCell ref="AW804:AW810"/>
    <mergeCell ref="AW842:AW848"/>
    <mergeCell ref="J856:K856"/>
    <mergeCell ref="J755:K755"/>
    <mergeCell ref="J757:K757"/>
    <mergeCell ref="AW765:AW771"/>
    <mergeCell ref="J781:K781"/>
    <mergeCell ref="J789:K789"/>
    <mergeCell ref="I792:K792"/>
    <mergeCell ref="AU873:AU879"/>
    <mergeCell ref="AV873:AV879"/>
    <mergeCell ref="AW873:AW879"/>
    <mergeCell ref="J860:K860"/>
    <mergeCell ref="J865:K865"/>
    <mergeCell ref="AN873:AN879"/>
    <mergeCell ref="AO873:AO879"/>
    <mergeCell ref="AP873:AP879"/>
    <mergeCell ref="AQ873:AQ879"/>
    <mergeCell ref="I880:K880"/>
    <mergeCell ref="J881:K881"/>
    <mergeCell ref="J900:K900"/>
    <mergeCell ref="J905:K905"/>
    <mergeCell ref="J907:K907"/>
    <mergeCell ref="J917:K917"/>
    <mergeCell ref="AR873:AR879"/>
    <mergeCell ref="AS873:AS879"/>
    <mergeCell ref="AT873:AT879"/>
    <mergeCell ref="I964:K964"/>
    <mergeCell ref="J965:K965"/>
    <mergeCell ref="J981:K981"/>
    <mergeCell ref="J992:K992"/>
    <mergeCell ref="H1014:K1014"/>
    <mergeCell ref="I1015:K1015"/>
    <mergeCell ref="I921:K921"/>
    <mergeCell ref="J922:K922"/>
    <mergeCell ref="J931:K931"/>
    <mergeCell ref="J954:K954"/>
    <mergeCell ref="I960:K960"/>
    <mergeCell ref="J961:K961"/>
    <mergeCell ref="J1044:K1044"/>
    <mergeCell ref="J1061:K1061"/>
    <mergeCell ref="J1076:K1076"/>
    <mergeCell ref="J1079:K1079"/>
    <mergeCell ref="J1081:K1081"/>
    <mergeCell ref="J1085:K1085"/>
    <mergeCell ref="J1016:K1016"/>
    <mergeCell ref="J1023:K1023"/>
    <mergeCell ref="J1031:K1031"/>
    <mergeCell ref="J1035:K1035"/>
    <mergeCell ref="H1042:K1042"/>
    <mergeCell ref="I1043:K1043"/>
    <mergeCell ref="J1170:K1170"/>
    <mergeCell ref="J1190:K1190"/>
    <mergeCell ref="J1193:K1193"/>
    <mergeCell ref="J1203:K1203"/>
    <mergeCell ref="J1207:K1207"/>
    <mergeCell ref="I1210:K1210"/>
    <mergeCell ref="AR1131:AS1131"/>
    <mergeCell ref="I1137:K1137"/>
    <mergeCell ref="J1138:K1138"/>
    <mergeCell ref="J1144:K1144"/>
    <mergeCell ref="J1163:K1163"/>
    <mergeCell ref="J1166:K1166"/>
    <mergeCell ref="J1243:K1243"/>
    <mergeCell ref="J1252:K1252"/>
    <mergeCell ref="J1261:K1261"/>
    <mergeCell ref="J1270:K1270"/>
    <mergeCell ref="J1279:K1279"/>
    <mergeCell ref="J1288:K1288"/>
    <mergeCell ref="J1211:K1211"/>
    <mergeCell ref="J1215:K1215"/>
    <mergeCell ref="J1225:K1225"/>
    <mergeCell ref="J1235:K1235"/>
    <mergeCell ref="H1241:K1241"/>
    <mergeCell ref="I1242:K1242"/>
    <mergeCell ref="J1377:K1377"/>
    <mergeCell ref="J1382:K1382"/>
    <mergeCell ref="I1387:K1387"/>
    <mergeCell ref="J1388:K1388"/>
    <mergeCell ref="J1411:K1411"/>
    <mergeCell ref="AO1415:AO1421"/>
    <mergeCell ref="J1297:K1297"/>
    <mergeCell ref="J1306:K1306"/>
    <mergeCell ref="J1356:K1356"/>
    <mergeCell ref="J1361:K1361"/>
    <mergeCell ref="J1367:K1367"/>
    <mergeCell ref="J1372:K1372"/>
    <mergeCell ref="AW1415:AW1421"/>
    <mergeCell ref="I1429:K1429"/>
    <mergeCell ref="BA1429:BC1429"/>
    <mergeCell ref="J1430:K1430"/>
    <mergeCell ref="J1439:K1439"/>
    <mergeCell ref="J1448:K1448"/>
    <mergeCell ref="AP1415:AP1421"/>
    <mergeCell ref="AQ1415:AQ1421"/>
    <mergeCell ref="AR1415:AR1421"/>
    <mergeCell ref="AS1415:AS1421"/>
    <mergeCell ref="AT1415:AT1421"/>
    <mergeCell ref="AU1415:AU1421"/>
    <mergeCell ref="I1500:K1500"/>
    <mergeCell ref="J1501:K1501"/>
    <mergeCell ref="J1505:K1505"/>
    <mergeCell ref="J1509:K1509"/>
    <mergeCell ref="J1517:K1517"/>
    <mergeCell ref="J1527:K1527"/>
    <mergeCell ref="J1457:K1457"/>
    <mergeCell ref="J1466:K1466"/>
    <mergeCell ref="J1475:K1475"/>
    <mergeCell ref="J1484:K1484"/>
    <mergeCell ref="J1493:K1493"/>
    <mergeCell ref="H1499:K1499"/>
    <mergeCell ref="I1552:K1552"/>
    <mergeCell ref="J1553:K1553"/>
    <mergeCell ref="J1561:K1561"/>
    <mergeCell ref="J1535:K1535"/>
    <mergeCell ref="J1543:K1543"/>
    <mergeCell ref="J1547:K1547"/>
    <mergeCell ref="I1549:K1549"/>
    <mergeCell ref="J1550:K1550"/>
    <mergeCell ref="H1551:K1551"/>
  </mergeCells>
  <pageMargins left="0.70866141732283472" right="0.70866141732283472" top="0.74803149606299213" bottom="0.74803149606299213" header="0" footer="0"/>
  <pageSetup paperSize="9" scale="15"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E9DF6-921D-4E01-8F3B-3301EBB4DD49}">
  <sheetPr codeName="Hoja1">
    <outlinePr summaryBelow="0" summaryRight="0"/>
    <pageSetUpPr fitToPage="1"/>
  </sheetPr>
  <dimension ref="A1:DJ1881"/>
  <sheetViews>
    <sheetView topLeftCell="A11" workbookViewId="0">
      <selection sqref="A1:L9"/>
    </sheetView>
  </sheetViews>
  <sheetFormatPr baseColWidth="10" defaultColWidth="14.42578125" defaultRowHeight="15" customHeight="1" outlineLevelRow="5" outlineLevelCol="2" x14ac:dyDescent="0.25"/>
  <cols>
    <col min="1" max="1" width="20.85546875" style="2" bestFit="1" customWidth="1"/>
    <col min="2" max="2" width="6.42578125" style="3" customWidth="1"/>
    <col min="3" max="6" width="6.42578125" style="2" customWidth="1"/>
    <col min="7" max="7" width="15.140625" style="2" bestFit="1" customWidth="1"/>
    <col min="8" max="8" width="6.42578125" style="2" customWidth="1"/>
    <col min="9" max="9" width="5.42578125" style="2" customWidth="1"/>
    <col min="10" max="10" width="6.42578125" style="2" customWidth="1"/>
    <col min="11" max="11" width="60.42578125" style="2" customWidth="1"/>
    <col min="12" max="12" width="33.140625" style="2" hidden="1" customWidth="1"/>
    <col min="13" max="13" width="75.42578125" style="2" hidden="1" customWidth="1" outlineLevel="1"/>
    <col min="14" max="14" width="50.42578125" style="2" hidden="1" customWidth="1" outlineLevel="1"/>
    <col min="15" max="15" width="30.5703125" style="2" hidden="1" customWidth="1" outlineLevel="1"/>
    <col min="16" max="16" width="31.140625" style="2" hidden="1" customWidth="1" outlineLevel="1"/>
    <col min="17" max="17" width="39.42578125" style="2" hidden="1" customWidth="1" outlineLevel="1"/>
    <col min="18" max="18" width="28.42578125" style="2" hidden="1" customWidth="1" outlineLevel="1"/>
    <col min="19" max="19" width="93.42578125" style="2" hidden="1" customWidth="1" outlineLevel="2"/>
    <col min="20" max="20" width="23.42578125" style="2" hidden="1" customWidth="1" outlineLevel="2"/>
    <col min="21" max="21" width="25.140625" style="2" bestFit="1" customWidth="1" outlineLevel="2"/>
    <col min="22" max="22" width="26.5703125" style="2" bestFit="1" customWidth="1" outlineLevel="2"/>
    <col min="23" max="23" width="19.42578125" style="2" bestFit="1" customWidth="1" outlineLevel="2"/>
    <col min="24" max="24" width="25.140625" style="2" bestFit="1" customWidth="1" outlineLevel="2"/>
    <col min="25" max="25" width="27" style="2" bestFit="1" customWidth="1" outlineLevel="2"/>
    <col min="26" max="26" width="19.42578125" style="2" bestFit="1" customWidth="1" outlineLevel="2"/>
    <col min="27" max="27" width="25.140625" style="2" bestFit="1" customWidth="1" outlineLevel="2"/>
    <col min="28" max="28" width="26.5703125" style="2" bestFit="1" customWidth="1" outlineLevel="2"/>
    <col min="29" max="29" width="19.5703125" style="2" bestFit="1" customWidth="1" outlineLevel="2"/>
    <col min="30" max="30" width="25.140625" style="2" bestFit="1" customWidth="1" outlineLevel="2"/>
    <col min="31" max="31" width="26.5703125" style="2" bestFit="1" customWidth="1" outlineLevel="2"/>
    <col min="32" max="32" width="255.5703125" style="2" hidden="1" customWidth="1" outlineLevel="2"/>
    <col min="33" max="33" width="35.140625" style="170" bestFit="1" customWidth="1" outlineLevel="2"/>
    <col min="34" max="34" width="23.5703125" style="2" bestFit="1" customWidth="1"/>
    <col min="35" max="35" width="28.42578125" style="2" hidden="1" customWidth="1"/>
    <col min="36" max="36" width="25.5703125" style="2" customWidth="1"/>
    <col min="37" max="39" width="25.5703125" style="2" hidden="1" customWidth="1"/>
    <col min="40" max="40" width="25" style="3" customWidth="1" outlineLevel="1"/>
    <col min="41" max="41" width="19.42578125" style="3" bestFit="1" customWidth="1" outlineLevel="1"/>
    <col min="42" max="42" width="33.85546875" style="3" customWidth="1" outlineLevel="1"/>
    <col min="43" max="43" width="27.85546875" style="3" customWidth="1" outlineLevel="1"/>
    <col min="44" max="44" width="11.85546875" style="171" bestFit="1" customWidth="1" outlineLevel="1"/>
    <col min="45" max="45" width="12.5703125" style="3" bestFit="1" customWidth="1" outlineLevel="1"/>
    <col min="46" max="46" width="19.85546875" style="171" customWidth="1" outlineLevel="1"/>
    <col min="47" max="47" width="31.5703125" style="654" bestFit="1" customWidth="1" outlineLevel="1"/>
    <col min="48" max="48" width="82" style="4" customWidth="1"/>
    <col min="49" max="61" width="14.42578125" style="2" customWidth="1"/>
    <col min="62" max="16384" width="14.42578125" style="2"/>
  </cols>
  <sheetData>
    <row r="1" spans="1:48" ht="15" hidden="1" customHeight="1" x14ac:dyDescent="0.25">
      <c r="A1" s="1357" t="s">
        <v>0</v>
      </c>
      <c r="B1" s="1357"/>
      <c r="C1" s="1357"/>
      <c r="D1" s="1357"/>
      <c r="E1" s="1357"/>
      <c r="F1" s="1357"/>
      <c r="G1" s="1357"/>
      <c r="H1" s="1357"/>
      <c r="I1" s="1357"/>
      <c r="J1" s="1357"/>
      <c r="K1" s="1357"/>
      <c r="L1" s="1357"/>
      <c r="M1" s="1"/>
      <c r="N1" s="1"/>
      <c r="O1" s="1"/>
      <c r="P1" s="1"/>
      <c r="Q1" s="1"/>
      <c r="R1" s="1"/>
      <c r="S1" s="1"/>
      <c r="T1" s="1"/>
      <c r="U1" s="1"/>
      <c r="V1" s="1"/>
    </row>
    <row r="2" spans="1:48" ht="15" hidden="1" customHeight="1" x14ac:dyDescent="0.25">
      <c r="A2" s="1357"/>
      <c r="B2" s="1357"/>
      <c r="C2" s="1357"/>
      <c r="D2" s="1357"/>
      <c r="E2" s="1357"/>
      <c r="F2" s="1357"/>
      <c r="G2" s="1357"/>
      <c r="H2" s="1357"/>
      <c r="I2" s="1357"/>
      <c r="J2" s="1357"/>
      <c r="K2" s="1357"/>
      <c r="L2" s="1357"/>
      <c r="M2" s="1"/>
      <c r="N2" s="1"/>
      <c r="O2" s="1"/>
      <c r="P2" s="1"/>
      <c r="Q2" s="1"/>
      <c r="R2" s="1"/>
      <c r="S2" s="1"/>
      <c r="T2" s="1"/>
      <c r="U2" s="1"/>
      <c r="V2" s="1"/>
    </row>
    <row r="3" spans="1:48" ht="15" hidden="1" customHeight="1" x14ac:dyDescent="0.25">
      <c r="A3" s="1357"/>
      <c r="B3" s="1357"/>
      <c r="C3" s="1357"/>
      <c r="D3" s="1357"/>
      <c r="E3" s="1357"/>
      <c r="F3" s="1357"/>
      <c r="G3" s="1357"/>
      <c r="H3" s="1357"/>
      <c r="I3" s="1357"/>
      <c r="J3" s="1357"/>
      <c r="K3" s="1357"/>
      <c r="L3" s="1357"/>
      <c r="M3" s="1"/>
      <c r="N3" s="1"/>
      <c r="O3" s="1"/>
      <c r="P3" s="1"/>
      <c r="Q3" s="1"/>
      <c r="R3" s="1"/>
      <c r="S3" s="1"/>
      <c r="T3" s="1"/>
      <c r="U3" s="1"/>
      <c r="V3" s="1"/>
    </row>
    <row r="4" spans="1:48" ht="15" hidden="1" customHeight="1" x14ac:dyDescent="0.25">
      <c r="A4" s="1357"/>
      <c r="B4" s="1357"/>
      <c r="C4" s="1357"/>
      <c r="D4" s="1357"/>
      <c r="E4" s="1357"/>
      <c r="F4" s="1357"/>
      <c r="G4" s="1357"/>
      <c r="H4" s="1357"/>
      <c r="I4" s="1357"/>
      <c r="J4" s="1357"/>
      <c r="K4" s="1357"/>
      <c r="L4" s="1357"/>
      <c r="M4" s="1"/>
      <c r="N4" s="1"/>
      <c r="O4" s="1"/>
      <c r="P4" s="1"/>
      <c r="Q4" s="1"/>
      <c r="R4" s="1"/>
      <c r="S4" s="1"/>
      <c r="T4" s="1"/>
      <c r="U4" s="1"/>
      <c r="V4" s="1"/>
    </row>
    <row r="5" spans="1:48" ht="15" hidden="1" customHeight="1" x14ac:dyDescent="0.25">
      <c r="A5" s="1357"/>
      <c r="B5" s="1357"/>
      <c r="C5" s="1357"/>
      <c r="D5" s="1357"/>
      <c r="E5" s="1357"/>
      <c r="F5" s="1357"/>
      <c r="G5" s="1357"/>
      <c r="H5" s="1357"/>
      <c r="I5" s="1357"/>
      <c r="J5" s="1357"/>
      <c r="K5" s="1357"/>
      <c r="L5" s="1357"/>
      <c r="M5" s="1"/>
      <c r="N5" s="1"/>
      <c r="O5" s="1"/>
      <c r="P5" s="1"/>
      <c r="Q5" s="1"/>
      <c r="R5" s="1"/>
      <c r="S5" s="1"/>
      <c r="T5" s="1"/>
      <c r="U5" s="1"/>
      <c r="V5" s="1"/>
    </row>
    <row r="6" spans="1:48" ht="15" hidden="1" customHeight="1" x14ac:dyDescent="0.25">
      <c r="A6" s="1357"/>
      <c r="B6" s="1357"/>
      <c r="C6" s="1357"/>
      <c r="D6" s="1357"/>
      <c r="E6" s="1357"/>
      <c r="F6" s="1357"/>
      <c r="G6" s="1357"/>
      <c r="H6" s="1357"/>
      <c r="I6" s="1357"/>
      <c r="J6" s="1357"/>
      <c r="K6" s="1357"/>
      <c r="L6" s="1357"/>
      <c r="M6" s="1"/>
      <c r="N6" s="1"/>
      <c r="O6" s="1"/>
      <c r="P6" s="1"/>
      <c r="Q6" s="1"/>
      <c r="R6" s="1"/>
      <c r="S6" s="1"/>
      <c r="T6" s="1"/>
      <c r="U6" s="1"/>
      <c r="V6" s="1"/>
      <c r="W6" s="1"/>
      <c r="X6" s="1"/>
      <c r="Y6" s="1"/>
      <c r="Z6" s="1"/>
      <c r="AA6" s="1"/>
      <c r="AB6" s="1"/>
      <c r="AC6" s="1"/>
      <c r="AD6" s="1"/>
      <c r="AE6" s="1"/>
      <c r="AF6" s="1"/>
      <c r="AG6" s="396"/>
      <c r="AH6" s="5"/>
      <c r="AI6" s="5"/>
      <c r="AJ6" s="5"/>
      <c r="AK6" s="5"/>
      <c r="AL6" s="5"/>
      <c r="AM6" s="5"/>
      <c r="AN6" s="1"/>
      <c r="AO6" s="1"/>
      <c r="AP6" s="1"/>
      <c r="AQ6" s="1"/>
      <c r="AR6" s="396"/>
      <c r="AS6" s="1"/>
      <c r="AT6" s="396"/>
      <c r="AU6" s="655"/>
      <c r="AV6" s="6"/>
    </row>
    <row r="7" spans="1:48" ht="15" hidden="1" customHeight="1" x14ac:dyDescent="0.25">
      <c r="A7" s="1357"/>
      <c r="B7" s="1357"/>
      <c r="C7" s="1357"/>
      <c r="D7" s="1357"/>
      <c r="E7" s="1357"/>
      <c r="F7" s="1357"/>
      <c r="G7" s="1357"/>
      <c r="H7" s="1357"/>
      <c r="I7" s="1357"/>
      <c r="J7" s="1357"/>
      <c r="K7" s="1357"/>
      <c r="L7" s="1357"/>
      <c r="M7" s="1"/>
      <c r="N7" s="1"/>
      <c r="O7" s="1"/>
      <c r="P7" s="1"/>
      <c r="Q7" s="1"/>
      <c r="R7" s="1"/>
      <c r="S7" s="1"/>
      <c r="T7" s="1"/>
      <c r="U7" s="1"/>
      <c r="V7" s="1"/>
      <c r="W7" s="1"/>
      <c r="X7" s="1"/>
      <c r="Y7" s="1"/>
      <c r="Z7" s="1"/>
      <c r="AA7" s="1"/>
      <c r="AB7" s="1"/>
      <c r="AC7" s="1"/>
      <c r="AD7" s="1"/>
      <c r="AE7" s="1"/>
      <c r="AF7" s="1"/>
      <c r="AG7" s="396"/>
      <c r="AH7" s="5"/>
      <c r="AI7" s="5"/>
      <c r="AJ7" s="5"/>
      <c r="AK7" s="5"/>
      <c r="AL7" s="5"/>
      <c r="AM7" s="5"/>
      <c r="AN7" s="1"/>
      <c r="AO7" s="1"/>
      <c r="AP7" s="1"/>
      <c r="AQ7" s="1"/>
      <c r="AR7" s="396"/>
      <c r="AS7" s="1"/>
      <c r="AT7" s="396"/>
      <c r="AU7" s="655"/>
      <c r="AV7" s="6"/>
    </row>
    <row r="8" spans="1:48" ht="15" hidden="1" customHeight="1" x14ac:dyDescent="0.25">
      <c r="A8" s="1357"/>
      <c r="B8" s="1357"/>
      <c r="C8" s="1357"/>
      <c r="D8" s="1357"/>
      <c r="E8" s="1357"/>
      <c r="F8" s="1357"/>
      <c r="G8" s="1357"/>
      <c r="H8" s="1357"/>
      <c r="I8" s="1357"/>
      <c r="J8" s="1357"/>
      <c r="K8" s="1357"/>
      <c r="L8" s="1357"/>
      <c r="M8" s="1"/>
      <c r="N8" s="1"/>
      <c r="O8" s="1"/>
      <c r="P8" s="1"/>
      <c r="Q8" s="1"/>
      <c r="R8" s="1"/>
      <c r="S8" s="1"/>
      <c r="T8" s="1"/>
      <c r="U8" s="1"/>
      <c r="V8" s="1"/>
      <c r="W8" s="1"/>
      <c r="X8" s="1"/>
      <c r="Y8" s="1"/>
      <c r="Z8" s="1"/>
      <c r="AA8" s="1"/>
      <c r="AB8" s="1"/>
      <c r="AC8" s="1"/>
      <c r="AD8" s="1"/>
      <c r="AE8" s="1"/>
      <c r="AF8" s="1"/>
      <c r="AG8" s="396"/>
      <c r="AH8" s="5"/>
      <c r="AI8" s="5"/>
      <c r="AJ8" s="5"/>
      <c r="AK8" s="5"/>
      <c r="AL8" s="5"/>
      <c r="AM8" s="5"/>
      <c r="AN8" s="1"/>
      <c r="AO8" s="1"/>
      <c r="AP8" s="1"/>
      <c r="AQ8" s="1"/>
      <c r="AR8" s="396"/>
      <c r="AS8" s="1"/>
      <c r="AT8" s="396"/>
      <c r="AU8" s="655"/>
      <c r="AV8" s="6"/>
    </row>
    <row r="9" spans="1:48" ht="15" hidden="1" customHeight="1" x14ac:dyDescent="0.25">
      <c r="A9" s="1357"/>
      <c r="B9" s="1357"/>
      <c r="C9" s="1357"/>
      <c r="D9" s="1357"/>
      <c r="E9" s="1357"/>
      <c r="F9" s="1357"/>
      <c r="G9" s="1357"/>
      <c r="H9" s="1357"/>
      <c r="I9" s="1357"/>
      <c r="J9" s="1357"/>
      <c r="K9" s="1357"/>
      <c r="L9" s="1357"/>
      <c r="M9" s="1"/>
      <c r="N9" s="1"/>
      <c r="O9" s="1"/>
      <c r="P9" s="1"/>
      <c r="Q9" s="1"/>
      <c r="R9" s="1"/>
      <c r="S9" s="1"/>
      <c r="T9" s="1"/>
      <c r="U9" s="1"/>
      <c r="V9" s="1"/>
      <c r="W9" s="1"/>
      <c r="X9" s="1"/>
      <c r="Y9" s="1"/>
      <c r="Z9" s="1"/>
      <c r="AA9" s="1"/>
      <c r="AB9" s="1"/>
      <c r="AC9" s="1"/>
      <c r="AD9" s="1"/>
      <c r="AE9" s="1"/>
      <c r="AF9" s="1"/>
      <c r="AG9" s="396"/>
      <c r="AH9" s="5"/>
      <c r="AI9" s="5"/>
      <c r="AJ9" s="5"/>
      <c r="AK9" s="5"/>
      <c r="AL9" s="5"/>
      <c r="AM9" s="5"/>
      <c r="AN9" s="1"/>
      <c r="AO9" s="1"/>
      <c r="AP9" s="1"/>
      <c r="AQ9" s="1"/>
      <c r="AR9" s="396"/>
      <c r="AS9" s="1"/>
      <c r="AT9" s="396"/>
      <c r="AU9" s="655"/>
      <c r="AV9" s="6"/>
    </row>
    <row r="10" spans="1:48" ht="30" hidden="1" customHeight="1" x14ac:dyDescent="0.25">
      <c r="A10" s="1358" t="s">
        <v>1</v>
      </c>
      <c r="B10" s="1358"/>
      <c r="C10" s="1358"/>
      <c r="D10" s="1358"/>
      <c r="E10" s="1358"/>
      <c r="F10" s="1358"/>
      <c r="G10" s="1358"/>
      <c r="H10" s="1359" t="s">
        <v>2</v>
      </c>
      <c r="I10" s="1359"/>
      <c r="J10" s="1359"/>
      <c r="K10" s="1359"/>
      <c r="L10" s="1359"/>
      <c r="M10" s="7"/>
      <c r="N10" s="7"/>
      <c r="O10" s="8"/>
      <c r="P10" s="9"/>
      <c r="Q10" s="9"/>
      <c r="R10" s="10"/>
      <c r="S10" s="11"/>
      <c r="T10" s="12" t="s">
        <v>3</v>
      </c>
      <c r="U10" s="12"/>
      <c r="V10" s="12"/>
      <c r="W10" s="12" t="s">
        <v>4</v>
      </c>
      <c r="X10" s="12"/>
      <c r="Y10" s="12"/>
      <c r="Z10" s="12" t="s">
        <v>5</v>
      </c>
      <c r="AA10" s="12"/>
      <c r="AB10" s="12"/>
      <c r="AC10" s="12" t="s">
        <v>6</v>
      </c>
      <c r="AD10" s="12"/>
      <c r="AE10" s="12"/>
      <c r="AF10" s="340"/>
      <c r="AG10" s="397"/>
      <c r="AH10" s="13"/>
      <c r="AI10" s="13"/>
      <c r="AJ10" s="13"/>
      <c r="AK10" s="13"/>
      <c r="AL10" s="13"/>
      <c r="AM10" s="13"/>
      <c r="AN10" s="10"/>
      <c r="AO10" s="10"/>
      <c r="AP10" s="10"/>
      <c r="AQ10" s="401"/>
      <c r="AR10" s="293"/>
      <c r="AS10" s="464"/>
      <c r="AT10" s="293"/>
      <c r="AU10" s="646"/>
      <c r="AV10" s="549"/>
    </row>
    <row r="11" spans="1:48" ht="90.75" customHeight="1" x14ac:dyDescent="0.25">
      <c r="A11" s="14" t="s">
        <v>7</v>
      </c>
      <c r="B11" s="14" t="s">
        <v>8</v>
      </c>
      <c r="C11" s="14" t="s">
        <v>9</v>
      </c>
      <c r="D11" s="14" t="s">
        <v>10</v>
      </c>
      <c r="E11" s="14" t="s">
        <v>11</v>
      </c>
      <c r="F11" s="14" t="s">
        <v>12</v>
      </c>
      <c r="G11" s="14" t="s">
        <v>13</v>
      </c>
      <c r="H11" s="15" t="s">
        <v>14</v>
      </c>
      <c r="I11" s="16" t="s">
        <v>15</v>
      </c>
      <c r="J11" s="17" t="s">
        <v>16</v>
      </c>
      <c r="K11" s="18" t="s">
        <v>1994</v>
      </c>
      <c r="L11" s="8" t="s">
        <v>17</v>
      </c>
      <c r="M11" s="7" t="s">
        <v>18</v>
      </c>
      <c r="N11" s="7" t="s">
        <v>19</v>
      </c>
      <c r="O11" s="7" t="s">
        <v>20</v>
      </c>
      <c r="P11" s="19" t="s">
        <v>21</v>
      </c>
      <c r="Q11" s="19" t="s">
        <v>22</v>
      </c>
      <c r="R11" s="19" t="s">
        <v>23</v>
      </c>
      <c r="S11" s="19" t="s">
        <v>24</v>
      </c>
      <c r="T11" s="19" t="s">
        <v>25</v>
      </c>
      <c r="U11" s="19" t="s">
        <v>26</v>
      </c>
      <c r="V11" s="621" t="s">
        <v>1904</v>
      </c>
      <c r="W11" s="19" t="s">
        <v>25</v>
      </c>
      <c r="X11" s="19" t="s">
        <v>27</v>
      </c>
      <c r="Y11" s="19" t="s">
        <v>1905</v>
      </c>
      <c r="Z11" s="19" t="s">
        <v>25</v>
      </c>
      <c r="AA11" s="19" t="s">
        <v>28</v>
      </c>
      <c r="AB11" s="19" t="s">
        <v>1906</v>
      </c>
      <c r="AC11" s="19" t="s">
        <v>25</v>
      </c>
      <c r="AD11" s="19" t="s">
        <v>29</v>
      </c>
      <c r="AE11" s="19" t="s">
        <v>1907</v>
      </c>
      <c r="AF11" s="12" t="s">
        <v>30</v>
      </c>
      <c r="AG11" s="398" t="s">
        <v>1689</v>
      </c>
      <c r="AH11" s="20" t="s">
        <v>1809</v>
      </c>
      <c r="AI11" s="20" t="s">
        <v>1810</v>
      </c>
      <c r="AJ11" s="20" t="s">
        <v>1682</v>
      </c>
      <c r="AK11" s="20" t="s">
        <v>1683</v>
      </c>
      <c r="AL11" s="20" t="s">
        <v>1684</v>
      </c>
      <c r="AM11" s="20" t="s">
        <v>1685</v>
      </c>
      <c r="AN11" s="19" t="s">
        <v>31</v>
      </c>
      <c r="AO11" s="19" t="s">
        <v>1686</v>
      </c>
      <c r="AP11" s="19" t="s">
        <v>1687</v>
      </c>
      <c r="AQ11" s="12" t="s">
        <v>1688</v>
      </c>
      <c r="AR11" s="1360" t="s">
        <v>1690</v>
      </c>
      <c r="AS11" s="1361"/>
      <c r="AT11" s="398" t="s">
        <v>1691</v>
      </c>
      <c r="AU11" s="398" t="s">
        <v>1681</v>
      </c>
      <c r="AV11" s="551" t="s">
        <v>32</v>
      </c>
    </row>
    <row r="12" spans="1:48" ht="15" customHeight="1" x14ac:dyDescent="0.25">
      <c r="A12" s="14"/>
      <c r="B12" s="14"/>
      <c r="C12" s="14"/>
      <c r="D12" s="14"/>
      <c r="E12" s="14"/>
      <c r="F12" s="14"/>
      <c r="G12" s="14"/>
      <c r="H12" s="15"/>
      <c r="I12" s="16"/>
      <c r="J12" s="17"/>
      <c r="K12" s="18"/>
      <c r="L12" s="21" t="s">
        <v>33</v>
      </c>
      <c r="M12" s="22"/>
      <c r="N12" s="22"/>
      <c r="O12" s="22"/>
      <c r="P12" s="23"/>
      <c r="Q12" s="23"/>
      <c r="R12" s="23"/>
      <c r="S12" s="23"/>
      <c r="T12" s="23"/>
      <c r="U12" s="23"/>
      <c r="V12" s="23"/>
      <c r="W12" s="23"/>
      <c r="X12" s="23"/>
      <c r="Y12" s="23"/>
      <c r="Z12" s="23"/>
      <c r="AA12" s="23"/>
      <c r="AB12" s="23"/>
      <c r="AC12" s="23"/>
      <c r="AD12" s="23"/>
      <c r="AE12" s="341"/>
      <c r="AF12" s="341"/>
      <c r="AG12" s="399"/>
      <c r="AH12" s="24" t="s">
        <v>34</v>
      </c>
      <c r="AI12" s="24"/>
      <c r="AJ12" s="24"/>
      <c r="AK12" s="24"/>
      <c r="AL12" s="24"/>
      <c r="AM12" s="24"/>
      <c r="AN12" s="19"/>
      <c r="AO12" s="19"/>
      <c r="AP12" s="19"/>
      <c r="AQ12" s="12"/>
      <c r="AR12" s="398"/>
      <c r="AS12" s="329"/>
      <c r="AT12" s="398"/>
      <c r="AU12" s="656"/>
      <c r="AV12" s="550"/>
    </row>
    <row r="13" spans="1:48" x14ac:dyDescent="0.25">
      <c r="A13" s="25"/>
      <c r="B13" s="26"/>
      <c r="C13" s="27"/>
      <c r="D13" s="26"/>
      <c r="E13" s="27"/>
      <c r="F13" s="27"/>
      <c r="G13" s="26"/>
      <c r="H13" s="27"/>
      <c r="I13" s="28"/>
      <c r="J13" s="29">
        <v>57</v>
      </c>
      <c r="K13" s="30" t="s">
        <v>35</v>
      </c>
      <c r="L13" s="31">
        <f>2000000000/59</f>
        <v>33898305.084745765</v>
      </c>
      <c r="M13" s="32"/>
      <c r="N13" s="32"/>
      <c r="O13" s="32"/>
      <c r="P13" s="32"/>
      <c r="Q13" s="33"/>
      <c r="R13" s="32"/>
      <c r="S13" s="34"/>
      <c r="T13" s="34"/>
      <c r="U13" s="34"/>
      <c r="V13" s="700">
        <v>198609805.69</v>
      </c>
      <c r="W13" s="32"/>
      <c r="X13" s="32"/>
      <c r="Y13" s="32"/>
      <c r="Z13" s="32"/>
      <c r="AA13" s="32"/>
      <c r="AB13" s="32"/>
      <c r="AC13" s="32"/>
      <c r="AD13" s="32"/>
      <c r="AE13" s="402"/>
      <c r="AF13" s="342"/>
      <c r="AG13" s="400"/>
      <c r="AH13" s="35">
        <v>1000000000</v>
      </c>
      <c r="AI13" s="35"/>
      <c r="AJ13" s="35"/>
      <c r="AK13" s="35"/>
      <c r="AL13" s="35"/>
      <c r="AM13" s="35"/>
      <c r="AN13" s="32"/>
      <c r="AO13" s="32"/>
      <c r="AP13" s="32"/>
      <c r="AQ13" s="402"/>
      <c r="AR13" s="463"/>
      <c r="AS13" s="465"/>
      <c r="AT13" s="463"/>
      <c r="AU13" s="657"/>
      <c r="AV13" s="425"/>
    </row>
    <row r="14" spans="1:48" x14ac:dyDescent="0.25">
      <c r="A14" s="25"/>
      <c r="B14" s="26"/>
      <c r="C14" s="27"/>
      <c r="D14" s="26"/>
      <c r="E14" s="27"/>
      <c r="F14" s="27"/>
      <c r="G14" s="26"/>
      <c r="H14" s="28"/>
      <c r="I14" s="36"/>
      <c r="J14" s="29"/>
      <c r="K14" s="532">
        <f>+V14-U14</f>
        <v>13420183.820000023</v>
      </c>
      <c r="L14" s="37"/>
      <c r="M14" s="32"/>
      <c r="N14" s="32"/>
      <c r="O14" s="32"/>
      <c r="P14" s="32"/>
      <c r="Q14" s="33"/>
      <c r="R14" s="32"/>
      <c r="S14" s="34"/>
      <c r="T14" s="34"/>
      <c r="U14" s="35">
        <v>228786122.36000001</v>
      </c>
      <c r="V14" s="35">
        <f t="shared" ref="V14:AJ14" si="0">+V15+V984+V1012+V1170+V1428+V1480</f>
        <v>242206306.18000004</v>
      </c>
      <c r="W14" s="35"/>
      <c r="X14" s="35">
        <f t="shared" si="0"/>
        <v>309310874.11723787</v>
      </c>
      <c r="Y14" s="35">
        <f t="shared" si="0"/>
        <v>20834550</v>
      </c>
      <c r="Z14" s="35" t="e">
        <f t="shared" si="0"/>
        <v>#REF!</v>
      </c>
      <c r="AA14" s="35">
        <f t="shared" si="0"/>
        <v>303361549.44923794</v>
      </c>
      <c r="AB14" s="35">
        <f t="shared" si="0"/>
        <v>10621454.955</v>
      </c>
      <c r="AC14" s="35">
        <f t="shared" si="0"/>
        <v>98958691.840000004</v>
      </c>
      <c r="AD14" s="35">
        <f t="shared" si="0"/>
        <v>127203136.78585716</v>
      </c>
      <c r="AE14" s="35">
        <f t="shared" si="0"/>
        <v>3801450</v>
      </c>
      <c r="AF14" s="35" t="e">
        <f t="shared" si="0"/>
        <v>#VALUE!</v>
      </c>
      <c r="AG14" s="35">
        <f t="shared" si="0"/>
        <v>1000129249.9993923</v>
      </c>
      <c r="AH14" s="35">
        <f t="shared" si="0"/>
        <v>999999999.99857116</v>
      </c>
      <c r="AI14" s="35">
        <f t="shared" si="0"/>
        <v>0</v>
      </c>
      <c r="AJ14" s="35">
        <f t="shared" si="0"/>
        <v>242206306.18000004</v>
      </c>
      <c r="AK14" s="35"/>
      <c r="AL14" s="35"/>
      <c r="AM14" s="35"/>
      <c r="AN14" s="32"/>
      <c r="AO14" s="32"/>
      <c r="AP14" s="32"/>
      <c r="AQ14" s="402"/>
      <c r="AR14" s="463"/>
      <c r="AS14" s="465"/>
      <c r="AT14" s="463"/>
      <c r="AU14" s="657"/>
      <c r="AV14" s="425"/>
    </row>
    <row r="15" spans="1:48" ht="20.25" customHeight="1" x14ac:dyDescent="0.25">
      <c r="A15" s="38" t="str">
        <f t="shared" ref="A15:A246" si="1">CONCATENATE(B15,".",C15,".",D15,".",E15,".",F15,".",G15)</f>
        <v>1.0.0.0.0.0</v>
      </c>
      <c r="B15" s="39">
        <v>1</v>
      </c>
      <c r="C15" s="39">
        <v>0</v>
      </c>
      <c r="D15" s="39">
        <v>0</v>
      </c>
      <c r="E15" s="39">
        <v>0</v>
      </c>
      <c r="F15" s="39">
        <v>0</v>
      </c>
      <c r="G15" s="39">
        <v>0</v>
      </c>
      <c r="H15" s="1401" t="s">
        <v>36</v>
      </c>
      <c r="I15" s="1401"/>
      <c r="J15" s="1401"/>
      <c r="K15" s="1401"/>
      <c r="L15" s="40" t="s">
        <v>37</v>
      </c>
      <c r="M15" s="40"/>
      <c r="N15" s="40" t="s">
        <v>37</v>
      </c>
      <c r="O15" s="40" t="s">
        <v>38</v>
      </c>
      <c r="P15" s="41">
        <v>44562</v>
      </c>
      <c r="Q15" s="41">
        <v>44926</v>
      </c>
      <c r="R15" s="40"/>
      <c r="S15" s="40"/>
      <c r="T15" s="40"/>
      <c r="U15" s="947">
        <f t="shared" ref="U15" si="2">+U16+U130+U136+U631+U720+U768+U856+U897+U930+U934</f>
        <v>233119557.5355714</v>
      </c>
      <c r="V15" s="575">
        <f>+V16+V136+V631+V720+V768+V856+V897+V930+V934+V130</f>
        <v>190495392.69000006</v>
      </c>
      <c r="W15" s="575">
        <f t="shared" ref="W15:AG15" si="3">+W16+W136+W631+W720+W768+W856+W897+W930+W934+W130</f>
        <v>3283743.75</v>
      </c>
      <c r="X15" s="575">
        <f t="shared" si="3"/>
        <v>290652639.53257126</v>
      </c>
      <c r="Y15" s="575">
        <f t="shared" si="3"/>
        <v>20834550</v>
      </c>
      <c r="Z15" s="575" t="e">
        <f t="shared" si="3"/>
        <v>#REF!</v>
      </c>
      <c r="AA15" s="575">
        <f t="shared" si="3"/>
        <v>290498070.13257128</v>
      </c>
      <c r="AB15" s="575">
        <f t="shared" si="3"/>
        <v>10621454.955</v>
      </c>
      <c r="AC15" s="575">
        <f t="shared" si="3"/>
        <v>69279794.840000004</v>
      </c>
      <c r="AD15" s="575">
        <f t="shared" si="3"/>
        <v>103625896.05585715</v>
      </c>
      <c r="AE15" s="575">
        <f t="shared" si="3"/>
        <v>3801450</v>
      </c>
      <c r="AF15" s="575" t="e">
        <f t="shared" si="3"/>
        <v>#VALUE!</v>
      </c>
      <c r="AG15" s="575">
        <f t="shared" si="3"/>
        <v>772727473.60439217</v>
      </c>
      <c r="AH15" s="575">
        <f>+AH16+AH136+AH631+AH720+AH768+AH856+AH897+AH930+AH934+AH130</f>
        <v>896333600.28857124</v>
      </c>
      <c r="AI15" s="575">
        <f t="shared" ref="AI15:AJ15" si="4">+AI16+AI136+AI631+AI720+AI768+AI856+AI897+AI930+AI934+AI130</f>
        <v>0</v>
      </c>
      <c r="AJ15" s="575">
        <f t="shared" si="4"/>
        <v>190495392.69000006</v>
      </c>
      <c r="AK15" s="43"/>
      <c r="AL15" s="43"/>
      <c r="AM15" s="43"/>
      <c r="AN15" s="39" t="s">
        <v>39</v>
      </c>
      <c r="AO15" s="311"/>
      <c r="AP15" s="311"/>
      <c r="AQ15" s="311"/>
      <c r="AR15" s="44"/>
      <c r="AS15" s="311"/>
      <c r="AT15" s="44"/>
      <c r="AU15" s="658"/>
      <c r="AV15" s="426"/>
    </row>
    <row r="16" spans="1:48" ht="39" customHeight="1" outlineLevel="1" x14ac:dyDescent="0.25">
      <c r="A16" s="45" t="str">
        <f t="shared" si="1"/>
        <v>1.1.1.0.0.0</v>
      </c>
      <c r="B16" s="46">
        <v>1</v>
      </c>
      <c r="C16" s="46">
        <v>1</v>
      </c>
      <c r="D16" s="46">
        <v>1</v>
      </c>
      <c r="E16" s="46">
        <v>0</v>
      </c>
      <c r="F16" s="46">
        <v>0</v>
      </c>
      <c r="G16" s="46">
        <v>0</v>
      </c>
      <c r="H16" s="47"/>
      <c r="I16" s="1363" t="s">
        <v>40</v>
      </c>
      <c r="J16" s="1363"/>
      <c r="K16" s="1363"/>
      <c r="L16" s="46" t="s">
        <v>41</v>
      </c>
      <c r="M16" s="48" t="s">
        <v>42</v>
      </c>
      <c r="N16" s="48" t="s">
        <v>43</v>
      </c>
      <c r="O16" s="46" t="s">
        <v>44</v>
      </c>
      <c r="P16" s="49">
        <v>44571</v>
      </c>
      <c r="Q16" s="49">
        <v>44925</v>
      </c>
      <c r="R16" s="46"/>
      <c r="S16" s="48"/>
      <c r="T16" s="46"/>
      <c r="U16" s="50">
        <f t="shared" ref="U16:AF16" si="5">+U17+U52+U109+U110</f>
        <v>587571.42000000004</v>
      </c>
      <c r="V16" s="680">
        <f t="shared" si="5"/>
        <v>119301</v>
      </c>
      <c r="W16" s="112">
        <f>+W17+W52+W109+W110</f>
        <v>30</v>
      </c>
      <c r="X16" s="112">
        <f t="shared" si="5"/>
        <v>242571.42</v>
      </c>
      <c r="Y16" s="112">
        <f t="shared" si="5"/>
        <v>0</v>
      </c>
      <c r="Z16" s="112" t="e">
        <f t="shared" si="5"/>
        <v>#REF!</v>
      </c>
      <c r="AA16" s="112">
        <f t="shared" si="5"/>
        <v>80857.149999999994</v>
      </c>
      <c r="AB16" s="112">
        <f t="shared" si="5"/>
        <v>0</v>
      </c>
      <c r="AC16" s="112">
        <v>0</v>
      </c>
      <c r="AD16" s="112">
        <f t="shared" si="5"/>
        <v>0</v>
      </c>
      <c r="AE16" s="112">
        <f t="shared" si="5"/>
        <v>0</v>
      </c>
      <c r="AF16" s="112">
        <f t="shared" si="5"/>
        <v>0</v>
      </c>
      <c r="AG16" s="112">
        <f>+AG17+AG52+AG109+AG110</f>
        <v>910583.49000000011</v>
      </c>
      <c r="AH16" s="112">
        <f>+AH17+AH52+AH109+AH110</f>
        <v>910999.99000000011</v>
      </c>
      <c r="AI16" s="112">
        <f t="shared" ref="AI16:AJ16" si="6">+AI17+AI52+AI109+AI110</f>
        <v>0</v>
      </c>
      <c r="AJ16" s="112">
        <f t="shared" si="6"/>
        <v>119301</v>
      </c>
      <c r="AK16" s="51"/>
      <c r="AL16" s="51"/>
      <c r="AM16" s="51"/>
      <c r="AN16" s="52" t="s">
        <v>39</v>
      </c>
      <c r="AO16" s="52"/>
      <c r="AP16" s="52"/>
      <c r="AQ16" s="403"/>
      <c r="AR16" s="109"/>
      <c r="AS16" s="330"/>
      <c r="AT16" s="109"/>
      <c r="AU16" s="659"/>
      <c r="AV16" s="109"/>
    </row>
    <row r="17" spans="1:48" ht="95.45" customHeight="1" outlineLevel="1" x14ac:dyDescent="0.25">
      <c r="A17" s="53" t="str">
        <f t="shared" si="1"/>
        <v>1.1.1.1.0.0</v>
      </c>
      <c r="B17" s="54">
        <v>1</v>
      </c>
      <c r="C17" s="54">
        <v>1</v>
      </c>
      <c r="D17" s="54">
        <v>1</v>
      </c>
      <c r="E17" s="54">
        <v>1</v>
      </c>
      <c r="F17" s="54">
        <v>0</v>
      </c>
      <c r="G17" s="54">
        <v>0</v>
      </c>
      <c r="H17" s="55"/>
      <c r="I17" s="56"/>
      <c r="J17" s="1351" t="s">
        <v>45</v>
      </c>
      <c r="K17" s="1351"/>
      <c r="L17" s="54" t="s">
        <v>41</v>
      </c>
      <c r="M17" s="57" t="s">
        <v>46</v>
      </c>
      <c r="N17" s="54" t="s">
        <v>47</v>
      </c>
      <c r="O17" s="54" t="s">
        <v>44</v>
      </c>
      <c r="P17" s="58">
        <v>44571</v>
      </c>
      <c r="Q17" s="58">
        <v>44925</v>
      </c>
      <c r="R17" s="59">
        <f>+SUM(R18:R51)</f>
        <v>0</v>
      </c>
      <c r="S17" s="57" t="s">
        <v>48</v>
      </c>
      <c r="T17" s="54">
        <f>+SUM(T18:T51)</f>
        <v>46</v>
      </c>
      <c r="U17" s="60">
        <f t="shared" ref="U17:AD17" si="7">SUM(U25:U38)</f>
        <v>170000</v>
      </c>
      <c r="V17" s="672">
        <f t="shared" si="7"/>
        <v>119301</v>
      </c>
      <c r="W17" s="60">
        <f t="shared" si="7"/>
        <v>0</v>
      </c>
      <c r="X17" s="60">
        <f t="shared" si="7"/>
        <v>0</v>
      </c>
      <c r="Y17" s="60"/>
      <c r="Z17" s="586">
        <f t="shared" si="7"/>
        <v>0</v>
      </c>
      <c r="AA17" s="116">
        <f t="shared" si="7"/>
        <v>0</v>
      </c>
      <c r="AB17" s="799"/>
      <c r="AC17" s="60">
        <f t="shared" si="7"/>
        <v>0</v>
      </c>
      <c r="AD17" s="586">
        <f t="shared" si="7"/>
        <v>0</v>
      </c>
      <c r="AE17" s="116"/>
      <c r="AF17" s="81"/>
      <c r="AG17" s="61">
        <f>+SUM(AG18:AG51)</f>
        <v>170000</v>
      </c>
      <c r="AH17" s="576">
        <f>+SUM(AH18:AH51)</f>
        <v>170000</v>
      </c>
      <c r="AI17" s="576">
        <f t="shared" ref="AI17" si="8">+SUM(AI18:AI51)</f>
        <v>0</v>
      </c>
      <c r="AJ17" s="576">
        <f>+SUM(AJ18:AJ51)</f>
        <v>119301</v>
      </c>
      <c r="AK17" s="61"/>
      <c r="AL17" s="61"/>
      <c r="AM17" s="61"/>
      <c r="AN17" s="62" t="s">
        <v>39</v>
      </c>
      <c r="AO17" s="62"/>
      <c r="AP17" s="62"/>
      <c r="AQ17" s="404"/>
      <c r="AR17" s="62"/>
      <c r="AS17" s="466"/>
      <c r="AT17" s="62"/>
      <c r="AU17" s="660"/>
      <c r="AV17" s="567" t="s">
        <v>49</v>
      </c>
    </row>
    <row r="18" spans="1:48" ht="66.75" customHeight="1" outlineLevel="2" x14ac:dyDescent="0.25">
      <c r="A18" s="63" t="str">
        <f t="shared" si="1"/>
        <v>1.1.1.1.1.58-63-64</v>
      </c>
      <c r="B18" s="64">
        <v>1</v>
      </c>
      <c r="C18" s="64">
        <v>1</v>
      </c>
      <c r="D18" s="64">
        <v>1</v>
      </c>
      <c r="E18" s="64">
        <v>1</v>
      </c>
      <c r="F18" s="64">
        <v>1</v>
      </c>
      <c r="G18" s="64" t="s">
        <v>50</v>
      </c>
      <c r="H18" s="65"/>
      <c r="I18" s="65"/>
      <c r="J18" s="66"/>
      <c r="K18" s="67" t="s">
        <v>51</v>
      </c>
      <c r="L18" s="64" t="s">
        <v>41</v>
      </c>
      <c r="M18" s="68" t="s">
        <v>52</v>
      </c>
      <c r="N18" s="64" t="s">
        <v>53</v>
      </c>
      <c r="O18" s="64" t="s">
        <v>54</v>
      </c>
      <c r="P18" s="69">
        <v>44571</v>
      </c>
      <c r="Q18" s="69">
        <v>44925</v>
      </c>
      <c r="R18" s="64"/>
      <c r="S18" s="70" t="s">
        <v>48</v>
      </c>
      <c r="T18" s="71"/>
      <c r="U18" s="72"/>
      <c r="V18" s="671">
        <f>+AJ18</f>
        <v>0</v>
      </c>
      <c r="W18" s="587"/>
      <c r="X18" s="154"/>
      <c r="Y18" s="797"/>
      <c r="Z18" s="588">
        <v>11</v>
      </c>
      <c r="AA18" s="170"/>
      <c r="AB18" s="798"/>
      <c r="AC18" s="72"/>
      <c r="AD18" s="587"/>
      <c r="AE18" s="154"/>
      <c r="AF18" s="64" t="s">
        <v>55</v>
      </c>
      <c r="AG18" s="552">
        <v>0</v>
      </c>
      <c r="AH18" s="370">
        <v>0</v>
      </c>
      <c r="AI18" s="75"/>
      <c r="AJ18" s="75"/>
      <c r="AK18" s="75"/>
      <c r="AL18" s="75"/>
      <c r="AM18" s="75"/>
      <c r="AN18" s="76" t="s">
        <v>39</v>
      </c>
      <c r="AO18" s="76"/>
      <c r="AP18" s="76"/>
      <c r="AQ18" s="405"/>
      <c r="AR18" s="76"/>
      <c r="AS18" s="467"/>
      <c r="AT18" s="76"/>
      <c r="AU18" s="661"/>
      <c r="AV18" s="335" t="s">
        <v>56</v>
      </c>
    </row>
    <row r="19" spans="1:48" ht="54" customHeight="1" outlineLevel="2" x14ac:dyDescent="0.25">
      <c r="A19" s="63" t="str">
        <f t="shared" si="1"/>
        <v>1.1.1.1.2.59-61-62-60</v>
      </c>
      <c r="B19" s="64">
        <v>1</v>
      </c>
      <c r="C19" s="64">
        <v>1</v>
      </c>
      <c r="D19" s="64">
        <v>1</v>
      </c>
      <c r="E19" s="64">
        <v>1</v>
      </c>
      <c r="F19" s="64">
        <v>2</v>
      </c>
      <c r="G19" s="64" t="s">
        <v>57</v>
      </c>
      <c r="H19" s="65"/>
      <c r="I19" s="65"/>
      <c r="J19" s="66"/>
      <c r="K19" s="67" t="s">
        <v>58</v>
      </c>
      <c r="L19" s="64" t="s">
        <v>41</v>
      </c>
      <c r="M19" s="68" t="s">
        <v>52</v>
      </c>
      <c r="N19" s="64" t="s">
        <v>53</v>
      </c>
      <c r="O19" s="64" t="s">
        <v>44</v>
      </c>
      <c r="P19" s="69">
        <v>44571</v>
      </c>
      <c r="Q19" s="69">
        <v>44925</v>
      </c>
      <c r="R19" s="64"/>
      <c r="S19" s="70" t="s">
        <v>48</v>
      </c>
      <c r="T19" s="71"/>
      <c r="U19" s="72"/>
      <c r="V19" s="671">
        <f t="shared" ref="V19:V51" si="9">+AJ19</f>
        <v>0</v>
      </c>
      <c r="W19" s="587"/>
      <c r="X19" s="154"/>
      <c r="Y19" s="797"/>
      <c r="Z19" s="588">
        <v>8</v>
      </c>
      <c r="AA19" s="170"/>
      <c r="AB19" s="798"/>
      <c r="AC19" s="72"/>
      <c r="AD19" s="587"/>
      <c r="AE19" s="154"/>
      <c r="AF19" s="64" t="s">
        <v>55</v>
      </c>
      <c r="AG19" s="552">
        <v>0</v>
      </c>
      <c r="AH19" s="370">
        <v>0</v>
      </c>
      <c r="AI19" s="75"/>
      <c r="AJ19" s="75"/>
      <c r="AK19" s="75"/>
      <c r="AL19" s="75"/>
      <c r="AM19" s="75"/>
      <c r="AN19" s="76" t="s">
        <v>39</v>
      </c>
      <c r="AO19" s="76"/>
      <c r="AP19" s="76"/>
      <c r="AQ19" s="405"/>
      <c r="AR19" s="76"/>
      <c r="AS19" s="467"/>
      <c r="AT19" s="76"/>
      <c r="AU19" s="661"/>
      <c r="AV19" s="335" t="s">
        <v>59</v>
      </c>
    </row>
    <row r="20" spans="1:48" ht="51.75" customHeight="1" outlineLevel="2" x14ac:dyDescent="0.25">
      <c r="A20" s="63" t="str">
        <f t="shared" si="1"/>
        <v>1.1.1.1.3.58-63-64</v>
      </c>
      <c r="B20" s="64">
        <v>1</v>
      </c>
      <c r="C20" s="64">
        <v>1</v>
      </c>
      <c r="D20" s="64">
        <v>1</v>
      </c>
      <c r="E20" s="64">
        <v>1</v>
      </c>
      <c r="F20" s="64">
        <v>3</v>
      </c>
      <c r="G20" s="64" t="s">
        <v>50</v>
      </c>
      <c r="H20" s="65"/>
      <c r="I20" s="65"/>
      <c r="J20" s="66"/>
      <c r="K20" s="67" t="s">
        <v>60</v>
      </c>
      <c r="L20" s="64" t="s">
        <v>41</v>
      </c>
      <c r="M20" s="68" t="s">
        <v>52</v>
      </c>
      <c r="N20" s="64" t="s">
        <v>53</v>
      </c>
      <c r="O20" s="64" t="s">
        <v>44</v>
      </c>
      <c r="P20" s="69">
        <v>44571</v>
      </c>
      <c r="Q20" s="69">
        <v>44925</v>
      </c>
      <c r="R20" s="64"/>
      <c r="S20" s="70" t="s">
        <v>48</v>
      </c>
      <c r="T20" s="71"/>
      <c r="U20" s="72"/>
      <c r="V20" s="671">
        <f t="shared" si="9"/>
        <v>0</v>
      </c>
      <c r="W20" s="588">
        <v>24</v>
      </c>
      <c r="X20" s="170"/>
      <c r="Y20" s="798"/>
      <c r="Z20" s="587"/>
      <c r="AA20" s="170"/>
      <c r="AB20" s="797"/>
      <c r="AC20" s="72"/>
      <c r="AD20" s="587"/>
      <c r="AE20" s="154"/>
      <c r="AF20" s="64" t="s">
        <v>55</v>
      </c>
      <c r="AG20" s="552">
        <v>0</v>
      </c>
      <c r="AH20" s="370">
        <v>0</v>
      </c>
      <c r="AI20" s="75"/>
      <c r="AJ20" s="75"/>
      <c r="AK20" s="75"/>
      <c r="AL20" s="75"/>
      <c r="AM20" s="75"/>
      <c r="AN20" s="76" t="s">
        <v>39</v>
      </c>
      <c r="AO20" s="76"/>
      <c r="AP20" s="76"/>
      <c r="AQ20" s="405"/>
      <c r="AR20" s="76"/>
      <c r="AS20" s="467"/>
      <c r="AT20" s="76"/>
      <c r="AU20" s="661"/>
      <c r="AV20" s="335" t="s">
        <v>61</v>
      </c>
    </row>
    <row r="21" spans="1:48" ht="48.75" customHeight="1" outlineLevel="2" x14ac:dyDescent="0.25">
      <c r="A21" s="63" t="str">
        <f t="shared" si="1"/>
        <v>1.1.1.1.4.59-61-62-60</v>
      </c>
      <c r="B21" s="64">
        <v>1</v>
      </c>
      <c r="C21" s="64">
        <v>1</v>
      </c>
      <c r="D21" s="64">
        <v>1</v>
      </c>
      <c r="E21" s="64">
        <v>1</v>
      </c>
      <c r="F21" s="64">
        <v>4</v>
      </c>
      <c r="G21" s="64" t="s">
        <v>57</v>
      </c>
      <c r="H21" s="65"/>
      <c r="I21" s="65"/>
      <c r="J21" s="66"/>
      <c r="K21" s="67" t="s">
        <v>62</v>
      </c>
      <c r="L21" s="64" t="s">
        <v>41</v>
      </c>
      <c r="M21" s="68" t="s">
        <v>52</v>
      </c>
      <c r="N21" s="64" t="s">
        <v>53</v>
      </c>
      <c r="O21" s="64" t="s">
        <v>44</v>
      </c>
      <c r="P21" s="69">
        <v>44571</v>
      </c>
      <c r="Q21" s="69">
        <v>44925</v>
      </c>
      <c r="R21" s="64"/>
      <c r="S21" s="70" t="s">
        <v>48</v>
      </c>
      <c r="T21" s="71"/>
      <c r="U21" s="72"/>
      <c r="V21" s="671">
        <f t="shared" si="9"/>
        <v>0</v>
      </c>
      <c r="W21" s="588">
        <v>32</v>
      </c>
      <c r="X21" s="170"/>
      <c r="Y21" s="798"/>
      <c r="Z21" s="587"/>
      <c r="AA21" s="170"/>
      <c r="AB21" s="797"/>
      <c r="AC21" s="72"/>
      <c r="AD21" s="587"/>
      <c r="AE21" s="154"/>
      <c r="AF21" s="64" t="s">
        <v>55</v>
      </c>
      <c r="AG21" s="552">
        <v>0</v>
      </c>
      <c r="AH21" s="370">
        <v>0</v>
      </c>
      <c r="AI21" s="75"/>
      <c r="AJ21" s="75"/>
      <c r="AK21" s="75"/>
      <c r="AL21" s="75"/>
      <c r="AM21" s="75"/>
      <c r="AN21" s="76" t="s">
        <v>39</v>
      </c>
      <c r="AO21" s="76"/>
      <c r="AP21" s="76"/>
      <c r="AQ21" s="405"/>
      <c r="AR21" s="76"/>
      <c r="AS21" s="467"/>
      <c r="AT21" s="76"/>
      <c r="AU21" s="661"/>
      <c r="AV21" s="336" t="s">
        <v>63</v>
      </c>
    </row>
    <row r="22" spans="1:48" ht="54" customHeight="1" outlineLevel="2" x14ac:dyDescent="0.25">
      <c r="A22" s="63" t="str">
        <f t="shared" si="1"/>
        <v>1.1.1.1.5.58-64</v>
      </c>
      <c r="B22" s="64">
        <v>1</v>
      </c>
      <c r="C22" s="64">
        <v>1</v>
      </c>
      <c r="D22" s="64">
        <v>1</v>
      </c>
      <c r="E22" s="64">
        <v>1</v>
      </c>
      <c r="F22" s="64">
        <v>5</v>
      </c>
      <c r="G22" s="64" t="s">
        <v>64</v>
      </c>
      <c r="H22" s="65"/>
      <c r="I22" s="65"/>
      <c r="J22" s="66"/>
      <c r="K22" s="67" t="s">
        <v>65</v>
      </c>
      <c r="L22" s="64" t="s">
        <v>41</v>
      </c>
      <c r="M22" s="68" t="s">
        <v>52</v>
      </c>
      <c r="N22" s="64" t="s">
        <v>53</v>
      </c>
      <c r="O22" s="64" t="s">
        <v>44</v>
      </c>
      <c r="P22" s="69">
        <v>44571</v>
      </c>
      <c r="Q22" s="69">
        <v>44925</v>
      </c>
      <c r="R22" s="64"/>
      <c r="S22" s="70" t="s">
        <v>48</v>
      </c>
      <c r="T22" s="71"/>
      <c r="U22" s="72"/>
      <c r="V22" s="671">
        <f t="shared" si="9"/>
        <v>0</v>
      </c>
      <c r="W22" s="588">
        <v>40</v>
      </c>
      <c r="X22" s="170"/>
      <c r="Y22" s="798"/>
      <c r="Z22" s="587"/>
      <c r="AA22" s="170"/>
      <c r="AB22" s="797"/>
      <c r="AC22" s="587"/>
      <c r="AD22" s="802"/>
      <c r="AE22" s="154"/>
      <c r="AF22" s="64" t="s">
        <v>55</v>
      </c>
      <c r="AG22" s="552">
        <v>0</v>
      </c>
      <c r="AH22" s="370">
        <v>0</v>
      </c>
      <c r="AI22" s="75"/>
      <c r="AJ22" s="75"/>
      <c r="AK22" s="75"/>
      <c r="AL22" s="75"/>
      <c r="AM22" s="75"/>
      <c r="AN22" s="76" t="s">
        <v>39</v>
      </c>
      <c r="AO22" s="76"/>
      <c r="AP22" s="76"/>
      <c r="AQ22" s="405"/>
      <c r="AR22" s="76"/>
      <c r="AS22" s="467"/>
      <c r="AT22" s="76"/>
      <c r="AU22" s="661"/>
      <c r="AV22" s="335" t="s">
        <v>66</v>
      </c>
    </row>
    <row r="23" spans="1:48" ht="75.75" customHeight="1" outlineLevel="2" x14ac:dyDescent="0.25">
      <c r="A23" s="63" t="str">
        <f t="shared" si="1"/>
        <v>1.1.1.1.6.58-63-64</v>
      </c>
      <c r="B23" s="64">
        <v>1</v>
      </c>
      <c r="C23" s="64">
        <v>1</v>
      </c>
      <c r="D23" s="64">
        <v>1</v>
      </c>
      <c r="E23" s="64">
        <v>1</v>
      </c>
      <c r="F23" s="64">
        <v>6</v>
      </c>
      <c r="G23" s="64" t="s">
        <v>50</v>
      </c>
      <c r="H23" s="65"/>
      <c r="I23" s="65"/>
      <c r="J23" s="66"/>
      <c r="K23" s="67" t="s">
        <v>67</v>
      </c>
      <c r="L23" s="64" t="s">
        <v>41</v>
      </c>
      <c r="M23" s="68" t="s">
        <v>52</v>
      </c>
      <c r="N23" s="64" t="s">
        <v>53</v>
      </c>
      <c r="O23" s="64" t="s">
        <v>44</v>
      </c>
      <c r="P23" s="69">
        <v>44571</v>
      </c>
      <c r="Q23" s="69">
        <v>44925</v>
      </c>
      <c r="R23" s="64"/>
      <c r="S23" s="70" t="s">
        <v>48</v>
      </c>
      <c r="T23" s="588">
        <v>13</v>
      </c>
      <c r="U23" s="170"/>
      <c r="V23" s="794">
        <f t="shared" si="9"/>
        <v>0</v>
      </c>
      <c r="W23" s="588">
        <v>59</v>
      </c>
      <c r="X23" s="170"/>
      <c r="Y23" s="798"/>
      <c r="Z23" s="587"/>
      <c r="AA23" s="170"/>
      <c r="AB23" s="797"/>
      <c r="AC23" s="588">
        <v>3</v>
      </c>
      <c r="AD23" s="803"/>
      <c r="AE23" s="807"/>
      <c r="AF23" s="64" t="s">
        <v>55</v>
      </c>
      <c r="AG23" s="552">
        <v>0</v>
      </c>
      <c r="AH23" s="370">
        <v>0</v>
      </c>
      <c r="AI23" s="75"/>
      <c r="AJ23" s="75"/>
      <c r="AK23" s="75"/>
      <c r="AL23" s="75"/>
      <c r="AM23" s="75"/>
      <c r="AN23" s="76" t="s">
        <v>39</v>
      </c>
      <c r="AO23" s="76"/>
      <c r="AP23" s="76"/>
      <c r="AQ23" s="405"/>
      <c r="AR23" s="76"/>
      <c r="AS23" s="467"/>
      <c r="AT23" s="76"/>
      <c r="AU23" s="661"/>
      <c r="AV23" s="337" t="s">
        <v>68</v>
      </c>
    </row>
    <row r="24" spans="1:48" ht="74.25" customHeight="1" outlineLevel="2" x14ac:dyDescent="0.25">
      <c r="A24" s="63" t="str">
        <f t="shared" si="1"/>
        <v>1.1.1.1.7.59-61-62-60</v>
      </c>
      <c r="B24" s="64">
        <v>1</v>
      </c>
      <c r="C24" s="64">
        <v>1</v>
      </c>
      <c r="D24" s="64">
        <v>1</v>
      </c>
      <c r="E24" s="64">
        <v>1</v>
      </c>
      <c r="F24" s="64">
        <v>7</v>
      </c>
      <c r="G24" s="64" t="s">
        <v>57</v>
      </c>
      <c r="H24" s="65"/>
      <c r="I24" s="65"/>
      <c r="J24" s="65"/>
      <c r="K24" s="67" t="s">
        <v>69</v>
      </c>
      <c r="L24" s="64" t="s">
        <v>41</v>
      </c>
      <c r="M24" s="68" t="s">
        <v>52</v>
      </c>
      <c r="N24" s="64" t="s">
        <v>53</v>
      </c>
      <c r="O24" s="64" t="s">
        <v>44</v>
      </c>
      <c r="P24" s="69">
        <v>44571</v>
      </c>
      <c r="Q24" s="69">
        <v>44925</v>
      </c>
      <c r="R24" s="64"/>
      <c r="S24" s="70" t="s">
        <v>48</v>
      </c>
      <c r="T24" s="588">
        <v>16</v>
      </c>
      <c r="U24" s="170"/>
      <c r="V24" s="794">
        <f t="shared" si="9"/>
        <v>0</v>
      </c>
      <c r="W24" s="588">
        <v>20</v>
      </c>
      <c r="X24" s="170"/>
      <c r="Y24" s="798"/>
      <c r="Z24" s="588">
        <v>1</v>
      </c>
      <c r="AA24" s="170"/>
      <c r="AB24" s="798"/>
      <c r="AC24" s="588">
        <v>3</v>
      </c>
      <c r="AD24" s="803"/>
      <c r="AE24" s="807"/>
      <c r="AF24" s="64" t="s">
        <v>55</v>
      </c>
      <c r="AG24" s="552">
        <v>0</v>
      </c>
      <c r="AH24" s="370">
        <v>0</v>
      </c>
      <c r="AI24" s="75"/>
      <c r="AJ24" s="75"/>
      <c r="AK24" s="75"/>
      <c r="AL24" s="75"/>
      <c r="AM24" s="75"/>
      <c r="AN24" s="76" t="s">
        <v>39</v>
      </c>
      <c r="AO24" s="76"/>
      <c r="AP24" s="76"/>
      <c r="AQ24" s="405"/>
      <c r="AR24" s="76"/>
      <c r="AS24" s="467"/>
      <c r="AT24" s="76"/>
      <c r="AU24" s="661"/>
      <c r="AV24" s="337" t="s">
        <v>70</v>
      </c>
    </row>
    <row r="25" spans="1:48" ht="38.25" customHeight="1" outlineLevel="2" x14ac:dyDescent="0.25">
      <c r="A25" s="63" t="str">
        <f t="shared" si="1"/>
        <v>1.1.1.1.8.58</v>
      </c>
      <c r="B25" s="64">
        <v>1</v>
      </c>
      <c r="C25" s="64">
        <v>1</v>
      </c>
      <c r="D25" s="64">
        <v>1</v>
      </c>
      <c r="E25" s="64">
        <v>1</v>
      </c>
      <c r="F25" s="64">
        <v>8</v>
      </c>
      <c r="G25" s="64">
        <v>58</v>
      </c>
      <c r="H25" s="65"/>
      <c r="I25" s="65"/>
      <c r="J25" s="66"/>
      <c r="K25" s="67" t="s">
        <v>71</v>
      </c>
      <c r="L25" s="64" t="s">
        <v>72</v>
      </c>
      <c r="M25" s="64" t="s">
        <v>73</v>
      </c>
      <c r="N25" s="64" t="s">
        <v>74</v>
      </c>
      <c r="O25" s="64" t="s">
        <v>75</v>
      </c>
      <c r="P25" s="69">
        <v>44571</v>
      </c>
      <c r="Q25" s="69">
        <v>44925</v>
      </c>
      <c r="R25" s="64"/>
      <c r="S25" s="70" t="s">
        <v>76</v>
      </c>
      <c r="T25" s="71"/>
      <c r="U25" s="796">
        <f>+AH25</f>
        <v>24000</v>
      </c>
      <c r="V25" s="671">
        <f t="shared" si="9"/>
        <v>0</v>
      </c>
      <c r="W25" s="72"/>
      <c r="X25" s="795"/>
      <c r="Y25" s="72"/>
      <c r="Z25" s="72"/>
      <c r="AA25" s="795"/>
      <c r="AB25" s="72"/>
      <c r="AC25" s="72"/>
      <c r="AD25" s="804"/>
      <c r="AE25" s="154"/>
      <c r="AF25" s="64" t="s">
        <v>77</v>
      </c>
      <c r="AG25" s="502">
        <v>24000</v>
      </c>
      <c r="AH25" s="371">
        <v>24000</v>
      </c>
      <c r="AI25" s="78"/>
      <c r="AJ25" s="78"/>
      <c r="AK25" s="78"/>
      <c r="AL25" s="78"/>
      <c r="AM25" s="78"/>
      <c r="AN25" s="76" t="s">
        <v>39</v>
      </c>
      <c r="AO25" s="312"/>
      <c r="AP25" s="312"/>
      <c r="AQ25" s="406"/>
      <c r="AR25" s="76"/>
      <c r="AS25" s="468"/>
      <c r="AT25" s="76"/>
      <c r="AU25" s="661"/>
      <c r="AV25" s="1352" t="s">
        <v>78</v>
      </c>
    </row>
    <row r="26" spans="1:48" ht="52.5" customHeight="1" outlineLevel="2" x14ac:dyDescent="0.25">
      <c r="A26" s="63" t="str">
        <f t="shared" si="1"/>
        <v>1.1.1.1.8.59</v>
      </c>
      <c r="B26" s="64">
        <v>1</v>
      </c>
      <c r="C26" s="64">
        <v>1</v>
      </c>
      <c r="D26" s="64">
        <v>1</v>
      </c>
      <c r="E26" s="64">
        <v>1</v>
      </c>
      <c r="F26" s="64">
        <v>8</v>
      </c>
      <c r="G26" s="64">
        <v>59</v>
      </c>
      <c r="H26" s="65"/>
      <c r="I26" s="65"/>
      <c r="J26" s="66"/>
      <c r="K26" s="67" t="s">
        <v>79</v>
      </c>
      <c r="L26" s="64" t="s">
        <v>72</v>
      </c>
      <c r="M26" s="64" t="s">
        <v>73</v>
      </c>
      <c r="N26" s="64" t="s">
        <v>74</v>
      </c>
      <c r="O26" s="64" t="s">
        <v>75</v>
      </c>
      <c r="P26" s="69">
        <v>44571</v>
      </c>
      <c r="Q26" s="69">
        <v>44925</v>
      </c>
      <c r="R26" s="64"/>
      <c r="S26" s="70" t="s">
        <v>76</v>
      </c>
      <c r="T26" s="71"/>
      <c r="U26" s="77">
        <f t="shared" ref="U26:U27" si="10">+AH26</f>
        <v>24000</v>
      </c>
      <c r="V26" s="671">
        <f t="shared" si="9"/>
        <v>0</v>
      </c>
      <c r="W26" s="72"/>
      <c r="X26" s="72"/>
      <c r="Y26" s="72"/>
      <c r="Z26" s="72"/>
      <c r="AA26" s="72"/>
      <c r="AB26" s="72"/>
      <c r="AC26" s="72"/>
      <c r="AD26" s="587"/>
      <c r="AE26" s="154"/>
      <c r="AF26" s="64" t="s">
        <v>77</v>
      </c>
      <c r="AG26" s="502">
        <v>24000</v>
      </c>
      <c r="AH26" s="371">
        <v>24000</v>
      </c>
      <c r="AI26" s="78"/>
      <c r="AJ26" s="78"/>
      <c r="AK26" s="78"/>
      <c r="AL26" s="78"/>
      <c r="AM26" s="78"/>
      <c r="AN26" s="76" t="s">
        <v>39</v>
      </c>
      <c r="AO26" s="312"/>
      <c r="AP26" s="312"/>
      <c r="AQ26" s="406"/>
      <c r="AR26" s="76"/>
      <c r="AS26" s="468"/>
      <c r="AT26" s="76"/>
      <c r="AU26" s="661"/>
      <c r="AV26" s="1352"/>
    </row>
    <row r="27" spans="1:48" ht="52.5" customHeight="1" outlineLevel="2" x14ac:dyDescent="0.25">
      <c r="A27" s="63" t="str">
        <f t="shared" si="1"/>
        <v>1.1.1.1.8.60</v>
      </c>
      <c r="B27" s="64">
        <v>1</v>
      </c>
      <c r="C27" s="64">
        <v>1</v>
      </c>
      <c r="D27" s="64">
        <v>1</v>
      </c>
      <c r="E27" s="64">
        <v>1</v>
      </c>
      <c r="F27" s="64">
        <v>8</v>
      </c>
      <c r="G27" s="64">
        <v>60</v>
      </c>
      <c r="H27" s="65"/>
      <c r="I27" s="65"/>
      <c r="J27" s="66"/>
      <c r="K27" s="67" t="s">
        <v>80</v>
      </c>
      <c r="L27" s="64" t="s">
        <v>72</v>
      </c>
      <c r="M27" s="64" t="s">
        <v>73</v>
      </c>
      <c r="N27" s="64" t="s">
        <v>74</v>
      </c>
      <c r="O27" s="64" t="s">
        <v>75</v>
      </c>
      <c r="P27" s="69">
        <v>44571</v>
      </c>
      <c r="Q27" s="69">
        <v>44925</v>
      </c>
      <c r="R27" s="64"/>
      <c r="S27" s="70" t="s">
        <v>76</v>
      </c>
      <c r="T27" s="71"/>
      <c r="U27" s="77">
        <f t="shared" si="10"/>
        <v>25000</v>
      </c>
      <c r="V27" s="671">
        <f t="shared" si="9"/>
        <v>0</v>
      </c>
      <c r="W27" s="72"/>
      <c r="X27" s="72"/>
      <c r="Y27" s="72"/>
      <c r="Z27" s="72"/>
      <c r="AA27" s="72"/>
      <c r="AB27" s="72"/>
      <c r="AC27" s="72"/>
      <c r="AD27" s="587"/>
      <c r="AE27" s="154"/>
      <c r="AF27" s="64" t="s">
        <v>77</v>
      </c>
      <c r="AG27" s="502">
        <v>25000</v>
      </c>
      <c r="AH27" s="371">
        <v>25000</v>
      </c>
      <c r="AI27" s="78"/>
      <c r="AJ27" s="78"/>
      <c r="AK27" s="78"/>
      <c r="AL27" s="78"/>
      <c r="AM27" s="78"/>
      <c r="AN27" s="76" t="s">
        <v>39</v>
      </c>
      <c r="AO27" s="312"/>
      <c r="AP27" s="312"/>
      <c r="AQ27" s="406"/>
      <c r="AR27" s="76"/>
      <c r="AS27" s="468"/>
      <c r="AT27" s="76"/>
      <c r="AU27" s="661"/>
      <c r="AV27" s="1352"/>
    </row>
    <row r="28" spans="1:48" ht="52.5" customHeight="1" outlineLevel="2" x14ac:dyDescent="0.25">
      <c r="A28" s="63" t="str">
        <f t="shared" si="1"/>
        <v>1.1.1.1.8.61</v>
      </c>
      <c r="B28" s="64">
        <v>1</v>
      </c>
      <c r="C28" s="64">
        <v>1</v>
      </c>
      <c r="D28" s="64">
        <v>1</v>
      </c>
      <c r="E28" s="64">
        <v>1</v>
      </c>
      <c r="F28" s="64">
        <v>8</v>
      </c>
      <c r="G28" s="64">
        <v>61</v>
      </c>
      <c r="H28" s="65"/>
      <c r="I28" s="65"/>
      <c r="J28" s="66"/>
      <c r="K28" s="67" t="s">
        <v>81</v>
      </c>
      <c r="L28" s="64" t="s">
        <v>72</v>
      </c>
      <c r="M28" s="64" t="s">
        <v>73</v>
      </c>
      <c r="N28" s="64" t="s">
        <v>74</v>
      </c>
      <c r="O28" s="64" t="s">
        <v>75</v>
      </c>
      <c r="P28" s="69">
        <v>44571</v>
      </c>
      <c r="Q28" s="69">
        <v>44925</v>
      </c>
      <c r="R28" s="64"/>
      <c r="S28" s="70" t="s">
        <v>76</v>
      </c>
      <c r="T28" s="71"/>
      <c r="U28" s="77">
        <v>25000</v>
      </c>
      <c r="V28" s="671">
        <f t="shared" si="9"/>
        <v>0</v>
      </c>
      <c r="W28" s="72"/>
      <c r="X28" s="72"/>
      <c r="Y28" s="72"/>
      <c r="Z28" s="72"/>
      <c r="AA28" s="72"/>
      <c r="AB28" s="72"/>
      <c r="AC28" s="72"/>
      <c r="AD28" s="587"/>
      <c r="AE28" s="154"/>
      <c r="AF28" s="64" t="s">
        <v>77</v>
      </c>
      <c r="AG28" s="502">
        <v>25000</v>
      </c>
      <c r="AH28" s="371">
        <v>25000</v>
      </c>
      <c r="AI28" s="78"/>
      <c r="AJ28" s="78"/>
      <c r="AK28" s="78"/>
      <c r="AL28" s="78"/>
      <c r="AM28" s="78"/>
      <c r="AN28" s="76" t="s">
        <v>39</v>
      </c>
      <c r="AO28" s="312"/>
      <c r="AP28" s="312"/>
      <c r="AQ28" s="406"/>
      <c r="AR28" s="76"/>
      <c r="AS28" s="468"/>
      <c r="AT28" s="76"/>
      <c r="AU28" s="661"/>
      <c r="AV28" s="1352"/>
    </row>
    <row r="29" spans="1:48" ht="52.5" customHeight="1" outlineLevel="2" x14ac:dyDescent="0.25">
      <c r="A29" s="63" t="str">
        <f t="shared" si="1"/>
        <v>1.1.1.1.8.62</v>
      </c>
      <c r="B29" s="64">
        <v>1</v>
      </c>
      <c r="C29" s="64">
        <v>1</v>
      </c>
      <c r="D29" s="64">
        <v>1</v>
      </c>
      <c r="E29" s="64">
        <v>1</v>
      </c>
      <c r="F29" s="64">
        <v>8</v>
      </c>
      <c r="G29" s="64">
        <v>62</v>
      </c>
      <c r="H29" s="65"/>
      <c r="I29" s="65"/>
      <c r="J29" s="66"/>
      <c r="K29" s="67" t="s">
        <v>1720</v>
      </c>
      <c r="L29" s="64" t="s">
        <v>72</v>
      </c>
      <c r="M29" s="64" t="s">
        <v>73</v>
      </c>
      <c r="N29" s="64" t="s">
        <v>74</v>
      </c>
      <c r="O29" s="64" t="s">
        <v>75</v>
      </c>
      <c r="P29" s="69">
        <v>44571</v>
      </c>
      <c r="Q29" s="69">
        <v>44925</v>
      </c>
      <c r="R29" s="64"/>
      <c r="S29" s="70" t="s">
        <v>76</v>
      </c>
      <c r="T29" s="71"/>
      <c r="U29" s="77">
        <v>24000</v>
      </c>
      <c r="V29" s="671">
        <f t="shared" si="9"/>
        <v>0</v>
      </c>
      <c r="W29" s="72"/>
      <c r="X29" s="72"/>
      <c r="Y29" s="72"/>
      <c r="Z29" s="72"/>
      <c r="AA29" s="72"/>
      <c r="AB29" s="72"/>
      <c r="AC29" s="72"/>
      <c r="AD29" s="587"/>
      <c r="AE29" s="154"/>
      <c r="AF29" s="64" t="s">
        <v>77</v>
      </c>
      <c r="AG29" s="502">
        <v>24000</v>
      </c>
      <c r="AH29" s="371">
        <v>24000</v>
      </c>
      <c r="AI29" s="78"/>
      <c r="AJ29" s="78"/>
      <c r="AK29" s="78"/>
      <c r="AL29" s="78"/>
      <c r="AM29" s="78"/>
      <c r="AN29" s="76" t="s">
        <v>39</v>
      </c>
      <c r="AO29" s="312"/>
      <c r="AP29" s="312"/>
      <c r="AQ29" s="406"/>
      <c r="AR29" s="76"/>
      <c r="AS29" s="468"/>
      <c r="AT29" s="76"/>
      <c r="AU29" s="661"/>
      <c r="AV29" s="1352"/>
    </row>
    <row r="30" spans="1:48" ht="52.5" customHeight="1" outlineLevel="2" x14ac:dyDescent="0.25">
      <c r="A30" s="63" t="str">
        <f t="shared" si="1"/>
        <v>1.1.1.1.8.63</v>
      </c>
      <c r="B30" s="64">
        <v>1</v>
      </c>
      <c r="C30" s="64">
        <v>1</v>
      </c>
      <c r="D30" s="64">
        <v>1</v>
      </c>
      <c r="E30" s="64">
        <v>1</v>
      </c>
      <c r="F30" s="64">
        <v>8</v>
      </c>
      <c r="G30" s="64">
        <v>63</v>
      </c>
      <c r="H30" s="65"/>
      <c r="I30" s="65"/>
      <c r="J30" s="66"/>
      <c r="K30" s="67" t="s">
        <v>82</v>
      </c>
      <c r="L30" s="64" t="s">
        <v>72</v>
      </c>
      <c r="M30" s="64" t="s">
        <v>73</v>
      </c>
      <c r="N30" s="64" t="s">
        <v>74</v>
      </c>
      <c r="O30" s="64" t="s">
        <v>75</v>
      </c>
      <c r="P30" s="69">
        <v>44571</v>
      </c>
      <c r="Q30" s="69">
        <v>44925</v>
      </c>
      <c r="R30" s="64"/>
      <c r="S30" s="70" t="s">
        <v>76</v>
      </c>
      <c r="T30" s="71"/>
      <c r="U30" s="77">
        <v>24000</v>
      </c>
      <c r="V30" s="671">
        <f t="shared" si="9"/>
        <v>0</v>
      </c>
      <c r="W30" s="72"/>
      <c r="X30" s="72"/>
      <c r="Y30" s="72"/>
      <c r="Z30" s="72"/>
      <c r="AA30" s="72"/>
      <c r="AB30" s="72"/>
      <c r="AC30" s="72"/>
      <c r="AD30" s="587"/>
      <c r="AE30" s="154"/>
      <c r="AF30" s="64" t="s">
        <v>77</v>
      </c>
      <c r="AG30" s="502">
        <v>24000</v>
      </c>
      <c r="AH30" s="371">
        <v>24000</v>
      </c>
      <c r="AI30" s="78"/>
      <c r="AJ30" s="78"/>
      <c r="AK30" s="78"/>
      <c r="AL30" s="78"/>
      <c r="AM30" s="78"/>
      <c r="AN30" s="76" t="s">
        <v>39</v>
      </c>
      <c r="AO30" s="312"/>
      <c r="AP30" s="312"/>
      <c r="AQ30" s="406"/>
      <c r="AR30" s="76"/>
      <c r="AS30" s="468"/>
      <c r="AT30" s="76"/>
      <c r="AU30" s="661"/>
      <c r="AV30" s="1352"/>
    </row>
    <row r="31" spans="1:48" ht="52.5" customHeight="1" outlineLevel="2" x14ac:dyDescent="0.25">
      <c r="A31" s="63" t="str">
        <f t="shared" si="1"/>
        <v>1.1.1.1.8.64</v>
      </c>
      <c r="B31" s="64">
        <v>1</v>
      </c>
      <c r="C31" s="64">
        <v>1</v>
      </c>
      <c r="D31" s="64">
        <v>1</v>
      </c>
      <c r="E31" s="64">
        <v>1</v>
      </c>
      <c r="F31" s="64">
        <v>8</v>
      </c>
      <c r="G31" s="64">
        <v>64</v>
      </c>
      <c r="H31" s="65"/>
      <c r="I31" s="65"/>
      <c r="J31" s="66"/>
      <c r="K31" s="67" t="s">
        <v>83</v>
      </c>
      <c r="L31" s="64" t="s">
        <v>72</v>
      </c>
      <c r="M31" s="64" t="s">
        <v>73</v>
      </c>
      <c r="N31" s="64" t="s">
        <v>74</v>
      </c>
      <c r="O31" s="64" t="s">
        <v>75</v>
      </c>
      <c r="P31" s="69">
        <v>44571</v>
      </c>
      <c r="Q31" s="69">
        <v>44925</v>
      </c>
      <c r="R31" s="64"/>
      <c r="S31" s="70" t="s">
        <v>76</v>
      </c>
      <c r="T31" s="71"/>
      <c r="U31" s="77">
        <v>24000</v>
      </c>
      <c r="V31" s="671">
        <f t="shared" si="9"/>
        <v>0</v>
      </c>
      <c r="W31" s="72"/>
      <c r="X31" s="72"/>
      <c r="Y31" s="72"/>
      <c r="Z31" s="72"/>
      <c r="AA31" s="72"/>
      <c r="AB31" s="72"/>
      <c r="AC31" s="72"/>
      <c r="AD31" s="587"/>
      <c r="AE31" s="154"/>
      <c r="AF31" s="64" t="s">
        <v>77</v>
      </c>
      <c r="AG31" s="502">
        <v>24000</v>
      </c>
      <c r="AH31" s="371">
        <v>24000</v>
      </c>
      <c r="AI31" s="78"/>
      <c r="AJ31" s="78"/>
      <c r="AK31" s="78"/>
      <c r="AL31" s="78"/>
      <c r="AM31" s="78"/>
      <c r="AN31" s="76" t="s">
        <v>39</v>
      </c>
      <c r="AO31" s="312"/>
      <c r="AP31" s="312"/>
      <c r="AQ31" s="406"/>
      <c r="AR31" s="76"/>
      <c r="AS31" s="468"/>
      <c r="AT31" s="76"/>
      <c r="AU31" s="661"/>
      <c r="AV31" s="1352"/>
    </row>
    <row r="32" spans="1:48" ht="72.75" customHeight="1" outlineLevel="2" x14ac:dyDescent="0.25">
      <c r="A32" s="63" t="str">
        <f t="shared" si="1"/>
        <v>1.1.1.1.9.58</v>
      </c>
      <c r="B32" s="64">
        <v>1</v>
      </c>
      <c r="C32" s="64">
        <v>1</v>
      </c>
      <c r="D32" s="64">
        <v>1</v>
      </c>
      <c r="E32" s="64">
        <v>1</v>
      </c>
      <c r="F32" s="64">
        <v>9</v>
      </c>
      <c r="G32" s="64">
        <v>58</v>
      </c>
      <c r="H32" s="65"/>
      <c r="I32" s="65"/>
      <c r="J32" s="66"/>
      <c r="K32" s="67" t="s">
        <v>84</v>
      </c>
      <c r="L32" s="64" t="s">
        <v>72</v>
      </c>
      <c r="M32" s="64" t="s">
        <v>73</v>
      </c>
      <c r="N32" s="64" t="s">
        <v>74</v>
      </c>
      <c r="O32" s="64" t="s">
        <v>75</v>
      </c>
      <c r="P32" s="69">
        <v>44571</v>
      </c>
      <c r="Q32" s="69">
        <v>44925</v>
      </c>
      <c r="R32" s="64"/>
      <c r="S32" s="70" t="s">
        <v>76</v>
      </c>
      <c r="T32" s="71"/>
      <c r="U32" s="72"/>
      <c r="V32" s="671">
        <f t="shared" si="9"/>
        <v>17043</v>
      </c>
      <c r="W32" s="72"/>
      <c r="X32" s="72"/>
      <c r="Y32" s="72"/>
      <c r="Z32" s="72"/>
      <c r="AA32" s="72"/>
      <c r="AB32" s="72"/>
      <c r="AC32" s="72"/>
      <c r="AD32" s="587"/>
      <c r="AE32" s="154"/>
      <c r="AF32" s="64" t="s">
        <v>85</v>
      </c>
      <c r="AG32" s="552">
        <v>0</v>
      </c>
      <c r="AH32" s="370">
        <v>0</v>
      </c>
      <c r="AI32" s="75"/>
      <c r="AJ32" s="584">
        <v>17043</v>
      </c>
      <c r="AK32" s="75"/>
      <c r="AL32" s="75"/>
      <c r="AM32" s="75"/>
      <c r="AN32" s="76" t="s">
        <v>39</v>
      </c>
      <c r="AO32" s="76"/>
      <c r="AP32" s="76"/>
      <c r="AQ32" s="405"/>
      <c r="AR32" s="76"/>
      <c r="AS32" s="467"/>
      <c r="AT32" s="76"/>
      <c r="AU32" s="646">
        <v>276</v>
      </c>
      <c r="AV32" s="335" t="s">
        <v>86</v>
      </c>
    </row>
    <row r="33" spans="1:48" ht="72.75" customHeight="1" outlineLevel="2" x14ac:dyDescent="0.25">
      <c r="A33" s="63" t="str">
        <f t="shared" si="1"/>
        <v>1.1.1.1.9.59</v>
      </c>
      <c r="B33" s="64">
        <v>1</v>
      </c>
      <c r="C33" s="64">
        <v>1</v>
      </c>
      <c r="D33" s="64">
        <v>1</v>
      </c>
      <c r="E33" s="64">
        <v>1</v>
      </c>
      <c r="F33" s="64">
        <v>9</v>
      </c>
      <c r="G33" s="64">
        <v>59</v>
      </c>
      <c r="H33" s="65"/>
      <c r="I33" s="65"/>
      <c r="J33" s="66"/>
      <c r="K33" s="67" t="s">
        <v>84</v>
      </c>
      <c r="L33" s="64" t="s">
        <v>72</v>
      </c>
      <c r="M33" s="64" t="s">
        <v>73</v>
      </c>
      <c r="N33" s="64" t="s">
        <v>74</v>
      </c>
      <c r="O33" s="64" t="s">
        <v>75</v>
      </c>
      <c r="P33" s="69">
        <v>44571</v>
      </c>
      <c r="Q33" s="69">
        <v>44925</v>
      </c>
      <c r="R33" s="64"/>
      <c r="S33" s="70" t="s">
        <v>76</v>
      </c>
      <c r="T33" s="71"/>
      <c r="U33" s="72"/>
      <c r="V33" s="671">
        <f t="shared" si="9"/>
        <v>17043</v>
      </c>
      <c r="W33" s="72"/>
      <c r="X33" s="72"/>
      <c r="Y33" s="72"/>
      <c r="Z33" s="72"/>
      <c r="AA33" s="72"/>
      <c r="AB33" s="72"/>
      <c r="AC33" s="72"/>
      <c r="AD33" s="587"/>
      <c r="AE33" s="154"/>
      <c r="AF33" s="64" t="s">
        <v>85</v>
      </c>
      <c r="AG33" s="552">
        <v>0</v>
      </c>
      <c r="AH33" s="370">
        <v>0</v>
      </c>
      <c r="AI33" s="75"/>
      <c r="AJ33" s="584">
        <v>17043</v>
      </c>
      <c r="AK33" s="75"/>
      <c r="AL33" s="75"/>
      <c r="AM33" s="75"/>
      <c r="AN33" s="76" t="s">
        <v>39</v>
      </c>
      <c r="AO33" s="76"/>
      <c r="AP33" s="76"/>
      <c r="AQ33" s="405"/>
      <c r="AR33" s="76"/>
      <c r="AS33" s="467"/>
      <c r="AT33" s="76"/>
      <c r="AU33" s="646">
        <v>276</v>
      </c>
      <c r="AV33" s="335" t="s">
        <v>86</v>
      </c>
    </row>
    <row r="34" spans="1:48" ht="72.75" customHeight="1" outlineLevel="2" x14ac:dyDescent="0.25">
      <c r="A34" s="63" t="str">
        <f t="shared" si="1"/>
        <v>1.1.1.1.9.60</v>
      </c>
      <c r="B34" s="64">
        <v>1</v>
      </c>
      <c r="C34" s="64">
        <v>1</v>
      </c>
      <c r="D34" s="64">
        <v>1</v>
      </c>
      <c r="E34" s="64">
        <v>1</v>
      </c>
      <c r="F34" s="64">
        <v>9</v>
      </c>
      <c r="G34" s="64">
        <v>60</v>
      </c>
      <c r="H34" s="65"/>
      <c r="I34" s="65"/>
      <c r="J34" s="66"/>
      <c r="K34" s="67" t="s">
        <v>84</v>
      </c>
      <c r="L34" s="64" t="s">
        <v>72</v>
      </c>
      <c r="M34" s="64" t="s">
        <v>73</v>
      </c>
      <c r="N34" s="64" t="s">
        <v>74</v>
      </c>
      <c r="O34" s="64" t="s">
        <v>75</v>
      </c>
      <c r="P34" s="69">
        <v>44571</v>
      </c>
      <c r="Q34" s="69">
        <v>44925</v>
      </c>
      <c r="R34" s="64"/>
      <c r="S34" s="70" t="s">
        <v>76</v>
      </c>
      <c r="T34" s="71"/>
      <c r="U34" s="72"/>
      <c r="V34" s="671">
        <f t="shared" si="9"/>
        <v>17043</v>
      </c>
      <c r="W34" s="72"/>
      <c r="X34" s="72"/>
      <c r="Y34" s="72"/>
      <c r="Z34" s="72"/>
      <c r="AA34" s="72"/>
      <c r="AB34" s="72"/>
      <c r="AC34" s="72"/>
      <c r="AD34" s="587"/>
      <c r="AE34" s="154"/>
      <c r="AF34" s="64" t="s">
        <v>85</v>
      </c>
      <c r="AG34" s="552">
        <v>0</v>
      </c>
      <c r="AH34" s="370">
        <v>0</v>
      </c>
      <c r="AI34" s="75"/>
      <c r="AJ34" s="701">
        <v>17043</v>
      </c>
      <c r="AK34" s="75"/>
      <c r="AL34" s="75"/>
      <c r="AM34" s="75"/>
      <c r="AN34" s="76" t="s">
        <v>39</v>
      </c>
      <c r="AO34" s="76"/>
      <c r="AP34" s="76"/>
      <c r="AQ34" s="405"/>
      <c r="AR34" s="76"/>
      <c r="AS34" s="467"/>
      <c r="AT34" s="76"/>
      <c r="AU34" s="646">
        <v>276</v>
      </c>
      <c r="AV34" s="335" t="s">
        <v>86</v>
      </c>
    </row>
    <row r="35" spans="1:48" ht="72.75" customHeight="1" outlineLevel="2" x14ac:dyDescent="0.25">
      <c r="A35" s="63" t="str">
        <f t="shared" si="1"/>
        <v>1.1.1.1.9.61</v>
      </c>
      <c r="B35" s="64">
        <v>1</v>
      </c>
      <c r="C35" s="64">
        <v>1</v>
      </c>
      <c r="D35" s="64">
        <v>1</v>
      </c>
      <c r="E35" s="64">
        <v>1</v>
      </c>
      <c r="F35" s="64">
        <v>9</v>
      </c>
      <c r="G35" s="64">
        <v>61</v>
      </c>
      <c r="H35" s="65"/>
      <c r="I35" s="65"/>
      <c r="J35" s="66"/>
      <c r="K35" s="67" t="s">
        <v>84</v>
      </c>
      <c r="L35" s="64" t="s">
        <v>72</v>
      </c>
      <c r="M35" s="64" t="s">
        <v>73</v>
      </c>
      <c r="N35" s="64" t="s">
        <v>74</v>
      </c>
      <c r="O35" s="64" t="s">
        <v>75</v>
      </c>
      <c r="P35" s="69">
        <v>44571</v>
      </c>
      <c r="Q35" s="69">
        <v>44925</v>
      </c>
      <c r="R35" s="64"/>
      <c r="S35" s="70" t="s">
        <v>76</v>
      </c>
      <c r="T35" s="71"/>
      <c r="U35" s="72"/>
      <c r="V35" s="671">
        <f t="shared" si="9"/>
        <v>17043</v>
      </c>
      <c r="W35" s="72"/>
      <c r="X35" s="72"/>
      <c r="Y35" s="72"/>
      <c r="Z35" s="72"/>
      <c r="AA35" s="72"/>
      <c r="AB35" s="72"/>
      <c r="AC35" s="72"/>
      <c r="AD35" s="587"/>
      <c r="AE35" s="154"/>
      <c r="AF35" s="64" t="s">
        <v>85</v>
      </c>
      <c r="AG35" s="552">
        <v>0</v>
      </c>
      <c r="AH35" s="370">
        <v>0</v>
      </c>
      <c r="AI35" s="75"/>
      <c r="AJ35" s="701">
        <v>17043</v>
      </c>
      <c r="AK35" s="75"/>
      <c r="AL35" s="75"/>
      <c r="AM35" s="75"/>
      <c r="AN35" s="76" t="s">
        <v>39</v>
      </c>
      <c r="AO35" s="76"/>
      <c r="AP35" s="76"/>
      <c r="AQ35" s="405"/>
      <c r="AR35" s="76"/>
      <c r="AS35" s="467"/>
      <c r="AT35" s="76"/>
      <c r="AU35" s="646">
        <v>276</v>
      </c>
      <c r="AV35" s="335" t="s">
        <v>86</v>
      </c>
    </row>
    <row r="36" spans="1:48" ht="72.75" customHeight="1" outlineLevel="2" x14ac:dyDescent="0.25">
      <c r="A36" s="63" t="str">
        <f t="shared" si="1"/>
        <v>1.1.1.1.9.62</v>
      </c>
      <c r="B36" s="64">
        <v>1</v>
      </c>
      <c r="C36" s="64">
        <v>1</v>
      </c>
      <c r="D36" s="64">
        <v>1</v>
      </c>
      <c r="E36" s="64">
        <v>1</v>
      </c>
      <c r="F36" s="64">
        <v>9</v>
      </c>
      <c r="G36" s="64">
        <v>62</v>
      </c>
      <c r="H36" s="65"/>
      <c r="I36" s="65"/>
      <c r="J36" s="66"/>
      <c r="K36" s="67" t="s">
        <v>84</v>
      </c>
      <c r="L36" s="64" t="s">
        <v>72</v>
      </c>
      <c r="M36" s="64" t="s">
        <v>73</v>
      </c>
      <c r="N36" s="64" t="s">
        <v>74</v>
      </c>
      <c r="O36" s="64" t="s">
        <v>75</v>
      </c>
      <c r="P36" s="69">
        <v>44571</v>
      </c>
      <c r="Q36" s="69">
        <v>44925</v>
      </c>
      <c r="R36" s="64"/>
      <c r="S36" s="70" t="s">
        <v>76</v>
      </c>
      <c r="T36" s="71"/>
      <c r="U36" s="72"/>
      <c r="V36" s="671">
        <f t="shared" si="9"/>
        <v>17043</v>
      </c>
      <c r="W36" s="72"/>
      <c r="X36" s="72"/>
      <c r="Y36" s="72"/>
      <c r="Z36" s="72"/>
      <c r="AA36" s="72"/>
      <c r="AB36" s="72"/>
      <c r="AC36" s="72"/>
      <c r="AD36" s="587"/>
      <c r="AE36" s="154"/>
      <c r="AF36" s="64" t="s">
        <v>85</v>
      </c>
      <c r="AG36" s="552">
        <v>0</v>
      </c>
      <c r="AH36" s="370">
        <v>0</v>
      </c>
      <c r="AI36" s="75"/>
      <c r="AJ36" s="701">
        <v>17043</v>
      </c>
      <c r="AK36" s="75"/>
      <c r="AL36" s="75"/>
      <c r="AM36" s="75"/>
      <c r="AN36" s="76" t="s">
        <v>39</v>
      </c>
      <c r="AO36" s="76"/>
      <c r="AP36" s="76"/>
      <c r="AQ36" s="405"/>
      <c r="AR36" s="76"/>
      <c r="AS36" s="467"/>
      <c r="AT36" s="76"/>
      <c r="AU36" s="646">
        <v>276</v>
      </c>
      <c r="AV36" s="335" t="s">
        <v>86</v>
      </c>
    </row>
    <row r="37" spans="1:48" ht="72.75" customHeight="1" outlineLevel="2" x14ac:dyDescent="0.25">
      <c r="A37" s="63" t="str">
        <f t="shared" si="1"/>
        <v>1.1.1.1.9.63</v>
      </c>
      <c r="B37" s="64">
        <v>1</v>
      </c>
      <c r="C37" s="64">
        <v>1</v>
      </c>
      <c r="D37" s="64">
        <v>1</v>
      </c>
      <c r="E37" s="64">
        <v>1</v>
      </c>
      <c r="F37" s="64">
        <v>9</v>
      </c>
      <c r="G37" s="64">
        <v>63</v>
      </c>
      <c r="H37" s="65"/>
      <c r="I37" s="65"/>
      <c r="J37" s="66"/>
      <c r="K37" s="67" t="s">
        <v>84</v>
      </c>
      <c r="L37" s="64" t="s">
        <v>72</v>
      </c>
      <c r="M37" s="64" t="s">
        <v>73</v>
      </c>
      <c r="N37" s="64" t="s">
        <v>74</v>
      </c>
      <c r="O37" s="64" t="s">
        <v>75</v>
      </c>
      <c r="P37" s="69">
        <v>44571</v>
      </c>
      <c r="Q37" s="69">
        <v>44925</v>
      </c>
      <c r="R37" s="64"/>
      <c r="S37" s="70" t="s">
        <v>76</v>
      </c>
      <c r="T37" s="71"/>
      <c r="U37" s="72"/>
      <c r="V37" s="671">
        <f t="shared" si="9"/>
        <v>17043</v>
      </c>
      <c r="W37" s="72"/>
      <c r="X37" s="72"/>
      <c r="Y37" s="72"/>
      <c r="Z37" s="72"/>
      <c r="AA37" s="72"/>
      <c r="AB37" s="72"/>
      <c r="AC37" s="72"/>
      <c r="AD37" s="587"/>
      <c r="AE37" s="154"/>
      <c r="AF37" s="64" t="s">
        <v>85</v>
      </c>
      <c r="AG37" s="552">
        <v>0</v>
      </c>
      <c r="AH37" s="370">
        <v>0</v>
      </c>
      <c r="AI37" s="75"/>
      <c r="AJ37" s="701">
        <v>17043</v>
      </c>
      <c r="AK37" s="75"/>
      <c r="AL37" s="75"/>
      <c r="AM37" s="75"/>
      <c r="AN37" s="76" t="s">
        <v>39</v>
      </c>
      <c r="AO37" s="76"/>
      <c r="AP37" s="76"/>
      <c r="AQ37" s="405"/>
      <c r="AR37" s="76"/>
      <c r="AS37" s="467"/>
      <c r="AT37" s="76"/>
      <c r="AU37" s="646">
        <v>276</v>
      </c>
      <c r="AV37" s="335" t="s">
        <v>86</v>
      </c>
    </row>
    <row r="38" spans="1:48" ht="72.75" customHeight="1" outlineLevel="2" x14ac:dyDescent="0.25">
      <c r="A38" s="63" t="str">
        <f t="shared" si="1"/>
        <v>1.1.1.1.9.64</v>
      </c>
      <c r="B38" s="64">
        <v>1</v>
      </c>
      <c r="C38" s="64">
        <v>1</v>
      </c>
      <c r="D38" s="64">
        <v>1</v>
      </c>
      <c r="E38" s="64">
        <v>1</v>
      </c>
      <c r="F38" s="64">
        <v>9</v>
      </c>
      <c r="G38" s="64">
        <v>64</v>
      </c>
      <c r="H38" s="65"/>
      <c r="I38" s="65"/>
      <c r="J38" s="66"/>
      <c r="K38" s="67" t="s">
        <v>84</v>
      </c>
      <c r="L38" s="64" t="s">
        <v>72</v>
      </c>
      <c r="M38" s="64" t="s">
        <v>73</v>
      </c>
      <c r="N38" s="64" t="s">
        <v>74</v>
      </c>
      <c r="O38" s="64" t="s">
        <v>75</v>
      </c>
      <c r="P38" s="69">
        <v>44571</v>
      </c>
      <c r="Q38" s="69">
        <v>44925</v>
      </c>
      <c r="R38" s="64"/>
      <c r="S38" s="70" t="s">
        <v>76</v>
      </c>
      <c r="T38" s="793"/>
      <c r="U38" s="154"/>
      <c r="V38" s="794">
        <f t="shared" si="9"/>
        <v>17043</v>
      </c>
      <c r="W38" s="72"/>
      <c r="X38" s="72"/>
      <c r="Y38" s="72"/>
      <c r="Z38" s="72"/>
      <c r="AA38" s="72"/>
      <c r="AB38" s="72"/>
      <c r="AC38" s="72"/>
      <c r="AD38" s="587"/>
      <c r="AE38" s="154"/>
      <c r="AF38" s="64" t="s">
        <v>85</v>
      </c>
      <c r="AG38" s="552">
        <v>0</v>
      </c>
      <c r="AH38" s="370">
        <v>0</v>
      </c>
      <c r="AI38" s="75"/>
      <c r="AJ38" s="701">
        <v>17043</v>
      </c>
      <c r="AK38" s="75"/>
      <c r="AL38" s="75"/>
      <c r="AM38" s="75"/>
      <c r="AN38" s="76" t="s">
        <v>39</v>
      </c>
      <c r="AO38" s="76"/>
      <c r="AP38" s="76"/>
      <c r="AQ38" s="405"/>
      <c r="AR38" s="76"/>
      <c r="AS38" s="467"/>
      <c r="AT38" s="76"/>
      <c r="AU38" s="646">
        <v>276</v>
      </c>
      <c r="AV38" s="335" t="s">
        <v>86</v>
      </c>
    </row>
    <row r="39" spans="1:48" ht="49.5" customHeight="1" outlineLevel="2" x14ac:dyDescent="0.25">
      <c r="A39" s="63" t="str">
        <f t="shared" si="1"/>
        <v>1.1.1.1.13.58-64</v>
      </c>
      <c r="B39" s="64">
        <v>1</v>
      </c>
      <c r="C39" s="64">
        <v>1</v>
      </c>
      <c r="D39" s="64">
        <v>1</v>
      </c>
      <c r="E39" s="64">
        <v>1</v>
      </c>
      <c r="F39" s="64">
        <v>13</v>
      </c>
      <c r="G39" s="64" t="s">
        <v>64</v>
      </c>
      <c r="H39" s="65"/>
      <c r="I39" s="65"/>
      <c r="J39" s="65"/>
      <c r="K39" s="67" t="s">
        <v>1702</v>
      </c>
      <c r="L39" s="64" t="s">
        <v>41</v>
      </c>
      <c r="M39" s="68" t="s">
        <v>52</v>
      </c>
      <c r="N39" s="64" t="s">
        <v>47</v>
      </c>
      <c r="O39" s="64" t="s">
        <v>44</v>
      </c>
      <c r="P39" s="69">
        <v>44571</v>
      </c>
      <c r="Q39" s="69">
        <v>44925</v>
      </c>
      <c r="R39" s="64"/>
      <c r="S39" s="70" t="s">
        <v>48</v>
      </c>
      <c r="T39" s="588">
        <v>17</v>
      </c>
      <c r="U39" s="170"/>
      <c r="V39" s="794">
        <f t="shared" si="9"/>
        <v>0</v>
      </c>
      <c r="W39" s="72"/>
      <c r="X39" s="72"/>
      <c r="Y39" s="72"/>
      <c r="Z39" s="72"/>
      <c r="AA39" s="72"/>
      <c r="AB39" s="72"/>
      <c r="AC39" s="72"/>
      <c r="AD39" s="587"/>
      <c r="AE39" s="154"/>
      <c r="AF39" s="64" t="s">
        <v>55</v>
      </c>
      <c r="AG39" s="552">
        <v>0</v>
      </c>
      <c r="AH39" s="372">
        <v>0</v>
      </c>
      <c r="AI39" s="79"/>
      <c r="AJ39" s="79"/>
      <c r="AK39" s="79"/>
      <c r="AL39" s="79"/>
      <c r="AM39" s="79"/>
      <c r="AN39" s="76" t="s">
        <v>39</v>
      </c>
      <c r="AO39" s="76"/>
      <c r="AP39" s="76"/>
      <c r="AQ39" s="405"/>
      <c r="AR39" s="76"/>
      <c r="AS39" s="467"/>
      <c r="AT39" s="76"/>
      <c r="AU39" s="661"/>
      <c r="AV39" s="335" t="s">
        <v>87</v>
      </c>
    </row>
    <row r="40" spans="1:48" ht="49.5" customHeight="1" outlineLevel="2" x14ac:dyDescent="0.25">
      <c r="A40" s="63" t="str">
        <f t="shared" si="1"/>
        <v>1.1.1.1.14.58-64</v>
      </c>
      <c r="B40" s="64">
        <v>1</v>
      </c>
      <c r="C40" s="64">
        <v>1</v>
      </c>
      <c r="D40" s="64">
        <v>1</v>
      </c>
      <c r="E40" s="64">
        <v>1</v>
      </c>
      <c r="F40" s="64">
        <v>14</v>
      </c>
      <c r="G40" s="64" t="s">
        <v>64</v>
      </c>
      <c r="H40" s="65"/>
      <c r="I40" s="65"/>
      <c r="J40" s="65"/>
      <c r="K40" s="67" t="s">
        <v>1703</v>
      </c>
      <c r="L40" s="64" t="s">
        <v>41</v>
      </c>
      <c r="M40" s="68" t="s">
        <v>52</v>
      </c>
      <c r="N40" s="64" t="s">
        <v>47</v>
      </c>
      <c r="O40" s="64" t="s">
        <v>44</v>
      </c>
      <c r="P40" s="69">
        <v>44571</v>
      </c>
      <c r="Q40" s="69">
        <v>44925</v>
      </c>
      <c r="R40" s="64"/>
      <c r="S40" s="70" t="s">
        <v>48</v>
      </c>
      <c r="T40" s="71"/>
      <c r="U40" s="795"/>
      <c r="V40" s="671">
        <f t="shared" si="9"/>
        <v>0</v>
      </c>
      <c r="W40" s="72"/>
      <c r="X40" s="72"/>
      <c r="Y40" s="72"/>
      <c r="Z40" s="72"/>
      <c r="AA40" s="72"/>
      <c r="AB40" s="72"/>
      <c r="AC40" s="72"/>
      <c r="AD40" s="587"/>
      <c r="AE40" s="154"/>
      <c r="AF40" s="64" t="s">
        <v>55</v>
      </c>
      <c r="AG40" s="552">
        <v>0</v>
      </c>
      <c r="AH40" s="372">
        <v>0</v>
      </c>
      <c r="AI40" s="79"/>
      <c r="AJ40" s="79"/>
      <c r="AK40" s="79"/>
      <c r="AL40" s="79"/>
      <c r="AM40" s="79"/>
      <c r="AN40" s="76" t="s">
        <v>39</v>
      </c>
      <c r="AO40" s="76"/>
      <c r="AP40" s="76"/>
      <c r="AQ40" s="405"/>
      <c r="AR40" s="76"/>
      <c r="AS40" s="467"/>
      <c r="AT40" s="76"/>
      <c r="AU40" s="661"/>
      <c r="AV40" s="335" t="s">
        <v>88</v>
      </c>
    </row>
    <row r="41" spans="1:48" ht="46.5" customHeight="1" outlineLevel="2" x14ac:dyDescent="0.25">
      <c r="A41" s="63" t="str">
        <f t="shared" si="1"/>
        <v>1.1.1.1.15.58-64</v>
      </c>
      <c r="B41" s="64">
        <v>1</v>
      </c>
      <c r="C41" s="64">
        <v>1</v>
      </c>
      <c r="D41" s="64">
        <v>1</v>
      </c>
      <c r="E41" s="64">
        <v>1</v>
      </c>
      <c r="F41" s="64">
        <v>15</v>
      </c>
      <c r="G41" s="64" t="s">
        <v>64</v>
      </c>
      <c r="H41" s="65"/>
      <c r="I41" s="65"/>
      <c r="J41" s="65"/>
      <c r="K41" s="65" t="s">
        <v>1704</v>
      </c>
      <c r="L41" s="64" t="s">
        <v>41</v>
      </c>
      <c r="M41" s="68" t="s">
        <v>52</v>
      </c>
      <c r="N41" s="64" t="s">
        <v>47</v>
      </c>
      <c r="O41" s="64" t="s">
        <v>44</v>
      </c>
      <c r="P41" s="69">
        <v>44571</v>
      </c>
      <c r="Q41" s="69">
        <v>44925</v>
      </c>
      <c r="R41" s="64"/>
      <c r="S41" s="70" t="s">
        <v>48</v>
      </c>
      <c r="T41" s="71"/>
      <c r="U41" s="72"/>
      <c r="V41" s="671">
        <f t="shared" si="9"/>
        <v>0</v>
      </c>
      <c r="W41" s="72"/>
      <c r="X41" s="72"/>
      <c r="Y41" s="72"/>
      <c r="Z41" s="72"/>
      <c r="AA41" s="72"/>
      <c r="AB41" s="72"/>
      <c r="AC41" s="72"/>
      <c r="AD41" s="587"/>
      <c r="AE41" s="154"/>
      <c r="AF41" s="64" t="s">
        <v>55</v>
      </c>
      <c r="AG41" s="552">
        <v>0</v>
      </c>
      <c r="AH41" s="372">
        <v>0</v>
      </c>
      <c r="AI41" s="79"/>
      <c r="AJ41" s="79"/>
      <c r="AK41" s="79"/>
      <c r="AL41" s="79"/>
      <c r="AM41" s="79"/>
      <c r="AN41" s="76" t="s">
        <v>39</v>
      </c>
      <c r="AO41" s="76"/>
      <c r="AP41" s="76"/>
      <c r="AQ41" s="405"/>
      <c r="AR41" s="76"/>
      <c r="AS41" s="467"/>
      <c r="AT41" s="76"/>
      <c r="AU41" s="661"/>
      <c r="AV41" s="335" t="s">
        <v>88</v>
      </c>
    </row>
    <row r="42" spans="1:48" ht="51.75" customHeight="1" outlineLevel="2" x14ac:dyDescent="0.25">
      <c r="A42" s="63" t="str">
        <f t="shared" si="1"/>
        <v>1.1.1.1.17.58-64</v>
      </c>
      <c r="B42" s="64">
        <v>1</v>
      </c>
      <c r="C42" s="64">
        <v>1</v>
      </c>
      <c r="D42" s="64">
        <v>1</v>
      </c>
      <c r="E42" s="64">
        <v>1</v>
      </c>
      <c r="F42" s="64">
        <v>17</v>
      </c>
      <c r="G42" s="64" t="s">
        <v>64</v>
      </c>
      <c r="H42" s="65"/>
      <c r="I42" s="65"/>
      <c r="J42" s="65"/>
      <c r="K42" s="67" t="s">
        <v>1705</v>
      </c>
      <c r="L42" s="64" t="s">
        <v>41</v>
      </c>
      <c r="M42" s="68" t="s">
        <v>52</v>
      </c>
      <c r="N42" s="64" t="s">
        <v>47</v>
      </c>
      <c r="O42" s="64" t="s">
        <v>44</v>
      </c>
      <c r="P42" s="69">
        <v>44571</v>
      </c>
      <c r="Q42" s="69">
        <v>44925</v>
      </c>
      <c r="R42" s="64"/>
      <c r="S42" s="70" t="s">
        <v>48</v>
      </c>
      <c r="T42" s="71"/>
      <c r="U42" s="72"/>
      <c r="V42" s="671">
        <f t="shared" si="9"/>
        <v>0</v>
      </c>
      <c r="W42" s="72"/>
      <c r="X42" s="72"/>
      <c r="Y42" s="72"/>
      <c r="Z42" s="72"/>
      <c r="AA42" s="72"/>
      <c r="AB42" s="72"/>
      <c r="AC42" s="72"/>
      <c r="AD42" s="587"/>
      <c r="AE42" s="154"/>
      <c r="AF42" s="64" t="s">
        <v>55</v>
      </c>
      <c r="AG42" s="552">
        <v>0</v>
      </c>
      <c r="AH42" s="372">
        <v>0</v>
      </c>
      <c r="AI42" s="79"/>
      <c r="AJ42" s="79"/>
      <c r="AK42" s="79"/>
      <c r="AL42" s="79"/>
      <c r="AM42" s="79"/>
      <c r="AN42" s="76" t="s">
        <v>39</v>
      </c>
      <c r="AO42" s="76"/>
      <c r="AP42" s="76"/>
      <c r="AQ42" s="405"/>
      <c r="AR42" s="76"/>
      <c r="AS42" s="467"/>
      <c r="AT42" s="76"/>
      <c r="AU42" s="661"/>
      <c r="AV42" s="335" t="s">
        <v>88</v>
      </c>
    </row>
    <row r="43" spans="1:48" ht="47.25" customHeight="1" outlineLevel="2" x14ac:dyDescent="0.25">
      <c r="A43" s="63" t="str">
        <f t="shared" si="1"/>
        <v>1.1.1.1.18.58-64</v>
      </c>
      <c r="B43" s="64">
        <v>1</v>
      </c>
      <c r="C43" s="64">
        <v>1</v>
      </c>
      <c r="D43" s="64">
        <v>1</v>
      </c>
      <c r="E43" s="64">
        <v>1</v>
      </c>
      <c r="F43" s="64">
        <v>18</v>
      </c>
      <c r="G43" s="64" t="s">
        <v>64</v>
      </c>
      <c r="H43" s="65"/>
      <c r="I43" s="65"/>
      <c r="J43" s="65"/>
      <c r="K43" s="67" t="s">
        <v>1706</v>
      </c>
      <c r="L43" s="64" t="s">
        <v>41</v>
      </c>
      <c r="M43" s="68" t="s">
        <v>52</v>
      </c>
      <c r="N43" s="64" t="s">
        <v>47</v>
      </c>
      <c r="O43" s="64" t="s">
        <v>44</v>
      </c>
      <c r="P43" s="69">
        <v>44571</v>
      </c>
      <c r="Q43" s="69">
        <v>44925</v>
      </c>
      <c r="R43" s="64"/>
      <c r="S43" s="70" t="s">
        <v>48</v>
      </c>
      <c r="T43" s="71"/>
      <c r="U43" s="72"/>
      <c r="V43" s="671">
        <f t="shared" si="9"/>
        <v>0</v>
      </c>
      <c r="W43" s="72"/>
      <c r="X43" s="72"/>
      <c r="Y43" s="72"/>
      <c r="Z43" s="72"/>
      <c r="AA43" s="72"/>
      <c r="AB43" s="72"/>
      <c r="AC43" s="72"/>
      <c r="AD43" s="587"/>
      <c r="AE43" s="154"/>
      <c r="AF43" s="64" t="s">
        <v>55</v>
      </c>
      <c r="AG43" s="552">
        <v>0</v>
      </c>
      <c r="AH43" s="372">
        <v>0</v>
      </c>
      <c r="AI43" s="79"/>
      <c r="AJ43" s="79"/>
      <c r="AK43" s="79"/>
      <c r="AL43" s="79"/>
      <c r="AM43" s="79"/>
      <c r="AN43" s="76" t="s">
        <v>39</v>
      </c>
      <c r="AO43" s="76"/>
      <c r="AP43" s="76"/>
      <c r="AQ43" s="405"/>
      <c r="AR43" s="76"/>
      <c r="AS43" s="467"/>
      <c r="AT43" s="76"/>
      <c r="AU43" s="661"/>
      <c r="AV43" s="335" t="s">
        <v>88</v>
      </c>
    </row>
    <row r="44" spans="1:48" ht="42" customHeight="1" outlineLevel="2" x14ac:dyDescent="0.25">
      <c r="A44" s="63" t="str">
        <f t="shared" si="1"/>
        <v>1.1.1.1.19.58-64</v>
      </c>
      <c r="B44" s="64">
        <v>1</v>
      </c>
      <c r="C44" s="64">
        <v>1</v>
      </c>
      <c r="D44" s="64">
        <v>1</v>
      </c>
      <c r="E44" s="64">
        <v>1</v>
      </c>
      <c r="F44" s="64">
        <v>19</v>
      </c>
      <c r="G44" s="64" t="s">
        <v>64</v>
      </c>
      <c r="H44" s="65"/>
      <c r="I44" s="65"/>
      <c r="J44" s="65"/>
      <c r="K44" s="67" t="s">
        <v>1707</v>
      </c>
      <c r="L44" s="64" t="s">
        <v>41</v>
      </c>
      <c r="M44" s="68" t="s">
        <v>52</v>
      </c>
      <c r="N44" s="64" t="s">
        <v>47</v>
      </c>
      <c r="O44" s="64" t="s">
        <v>44</v>
      </c>
      <c r="P44" s="69">
        <v>44571</v>
      </c>
      <c r="Q44" s="69">
        <v>44925</v>
      </c>
      <c r="R44" s="64"/>
      <c r="S44" s="70" t="s">
        <v>48</v>
      </c>
      <c r="T44" s="71"/>
      <c r="U44" s="72"/>
      <c r="V44" s="671">
        <f t="shared" si="9"/>
        <v>0</v>
      </c>
      <c r="W44" s="72"/>
      <c r="X44" s="72"/>
      <c r="Y44" s="72"/>
      <c r="Z44" s="72"/>
      <c r="AA44" s="72"/>
      <c r="AB44" s="72"/>
      <c r="AC44" s="72"/>
      <c r="AD44" s="587"/>
      <c r="AE44" s="154"/>
      <c r="AF44" s="64" t="s">
        <v>55</v>
      </c>
      <c r="AG44" s="552">
        <v>0</v>
      </c>
      <c r="AH44" s="372">
        <v>0</v>
      </c>
      <c r="AI44" s="79"/>
      <c r="AJ44" s="79"/>
      <c r="AK44" s="79"/>
      <c r="AL44" s="79"/>
      <c r="AM44" s="79"/>
      <c r="AN44" s="76" t="s">
        <v>39</v>
      </c>
      <c r="AO44" s="76"/>
      <c r="AP44" s="76"/>
      <c r="AQ44" s="405"/>
      <c r="AR44" s="76"/>
      <c r="AS44" s="467"/>
      <c r="AT44" s="76"/>
      <c r="AU44" s="661"/>
      <c r="AV44" s="335" t="s">
        <v>88</v>
      </c>
    </row>
    <row r="45" spans="1:48" ht="51" customHeight="1" outlineLevel="2" x14ac:dyDescent="0.25">
      <c r="A45" s="63" t="str">
        <f t="shared" si="1"/>
        <v>1.1.1.1.21.58-64</v>
      </c>
      <c r="B45" s="64">
        <v>1</v>
      </c>
      <c r="C45" s="64">
        <v>1</v>
      </c>
      <c r="D45" s="64">
        <v>1</v>
      </c>
      <c r="E45" s="64">
        <v>1</v>
      </c>
      <c r="F45" s="64">
        <v>21</v>
      </c>
      <c r="G45" s="64" t="s">
        <v>64</v>
      </c>
      <c r="H45" s="65"/>
      <c r="I45" s="65"/>
      <c r="J45" s="65"/>
      <c r="K45" s="67" t="s">
        <v>1811</v>
      </c>
      <c r="L45" s="64" t="s">
        <v>41</v>
      </c>
      <c r="M45" s="68" t="s">
        <v>52</v>
      </c>
      <c r="N45" s="64" t="s">
        <v>47</v>
      </c>
      <c r="O45" s="64" t="s">
        <v>44</v>
      </c>
      <c r="P45" s="69">
        <v>44571</v>
      </c>
      <c r="Q45" s="69">
        <v>44925</v>
      </c>
      <c r="R45" s="64"/>
      <c r="S45" s="70" t="s">
        <v>48</v>
      </c>
      <c r="T45" s="71"/>
      <c r="U45" s="72"/>
      <c r="V45" s="671">
        <f t="shared" si="9"/>
        <v>0</v>
      </c>
      <c r="W45" s="72"/>
      <c r="X45" s="72"/>
      <c r="Y45" s="72"/>
      <c r="Z45" s="72"/>
      <c r="AA45" s="72"/>
      <c r="AB45" s="72"/>
      <c r="AC45" s="72"/>
      <c r="AD45" s="587"/>
      <c r="AE45" s="154"/>
      <c r="AF45" s="64" t="s">
        <v>55</v>
      </c>
      <c r="AG45" s="552">
        <v>0</v>
      </c>
      <c r="AH45" s="372">
        <v>0</v>
      </c>
      <c r="AI45" s="79"/>
      <c r="AJ45" s="79"/>
      <c r="AK45" s="79"/>
      <c r="AL45" s="79"/>
      <c r="AM45" s="79"/>
      <c r="AN45" s="76" t="s">
        <v>39</v>
      </c>
      <c r="AO45" s="76"/>
      <c r="AP45" s="76"/>
      <c r="AQ45" s="405"/>
      <c r="AR45" s="76"/>
      <c r="AS45" s="467"/>
      <c r="AT45" s="76"/>
      <c r="AU45" s="661"/>
      <c r="AV45" s="335" t="s">
        <v>88</v>
      </c>
    </row>
    <row r="46" spans="1:48" ht="46.5" customHeight="1" outlineLevel="2" x14ac:dyDescent="0.25">
      <c r="A46" s="63" t="str">
        <f t="shared" si="1"/>
        <v>1.1.1.1.22.58-64</v>
      </c>
      <c r="B46" s="64">
        <v>1</v>
      </c>
      <c r="C46" s="64">
        <v>1</v>
      </c>
      <c r="D46" s="64">
        <v>1</v>
      </c>
      <c r="E46" s="64">
        <v>1</v>
      </c>
      <c r="F46" s="64">
        <v>22</v>
      </c>
      <c r="G46" s="64" t="s">
        <v>64</v>
      </c>
      <c r="H46" s="65"/>
      <c r="I46" s="65"/>
      <c r="J46" s="65"/>
      <c r="K46" s="67" t="s">
        <v>1708</v>
      </c>
      <c r="L46" s="64" t="s">
        <v>41</v>
      </c>
      <c r="M46" s="68" t="s">
        <v>52</v>
      </c>
      <c r="N46" s="64" t="s">
        <v>47</v>
      </c>
      <c r="O46" s="64" t="s">
        <v>44</v>
      </c>
      <c r="P46" s="69">
        <v>44571</v>
      </c>
      <c r="Q46" s="69">
        <v>44925</v>
      </c>
      <c r="R46" s="64"/>
      <c r="S46" s="70" t="s">
        <v>89</v>
      </c>
      <c r="T46" s="71"/>
      <c r="U46" s="72"/>
      <c r="V46" s="671">
        <f t="shared" si="9"/>
        <v>0</v>
      </c>
      <c r="W46" s="72"/>
      <c r="X46" s="72"/>
      <c r="Y46" s="72"/>
      <c r="Z46" s="72"/>
      <c r="AA46" s="72"/>
      <c r="AB46" s="72"/>
      <c r="AC46" s="72"/>
      <c r="AD46" s="587"/>
      <c r="AE46" s="154"/>
      <c r="AF46" s="64" t="s">
        <v>55</v>
      </c>
      <c r="AG46" s="552">
        <v>0</v>
      </c>
      <c r="AH46" s="372">
        <v>0</v>
      </c>
      <c r="AI46" s="79"/>
      <c r="AJ46" s="79"/>
      <c r="AK46" s="79"/>
      <c r="AL46" s="79"/>
      <c r="AM46" s="79"/>
      <c r="AN46" s="76" t="s">
        <v>39</v>
      </c>
      <c r="AO46" s="76"/>
      <c r="AP46" s="76"/>
      <c r="AQ46" s="405"/>
      <c r="AR46" s="76"/>
      <c r="AS46" s="467"/>
      <c r="AT46" s="76"/>
      <c r="AU46" s="661"/>
      <c r="AV46" s="335" t="s">
        <v>88</v>
      </c>
    </row>
    <row r="47" spans="1:48" ht="46.5" customHeight="1" outlineLevel="2" x14ac:dyDescent="0.25">
      <c r="A47" s="63" t="str">
        <f t="shared" si="1"/>
        <v>1.1.1.1.23.58-64</v>
      </c>
      <c r="B47" s="64">
        <v>1</v>
      </c>
      <c r="C47" s="64">
        <v>1</v>
      </c>
      <c r="D47" s="64">
        <v>1</v>
      </c>
      <c r="E47" s="64">
        <v>1</v>
      </c>
      <c r="F47" s="64">
        <v>23</v>
      </c>
      <c r="G47" s="64" t="s">
        <v>64</v>
      </c>
      <c r="H47" s="65"/>
      <c r="I47" s="65"/>
      <c r="J47" s="65"/>
      <c r="K47" s="65" t="s">
        <v>1709</v>
      </c>
      <c r="L47" s="64" t="s">
        <v>41</v>
      </c>
      <c r="M47" s="68" t="s">
        <v>52</v>
      </c>
      <c r="N47" s="64" t="s">
        <v>47</v>
      </c>
      <c r="O47" s="64" t="s">
        <v>44</v>
      </c>
      <c r="P47" s="69">
        <v>44571</v>
      </c>
      <c r="Q47" s="69">
        <v>44925</v>
      </c>
      <c r="R47" s="64"/>
      <c r="S47" s="70" t="s">
        <v>48</v>
      </c>
      <c r="T47" s="71"/>
      <c r="U47" s="72"/>
      <c r="V47" s="671">
        <f t="shared" si="9"/>
        <v>0</v>
      </c>
      <c r="W47" s="73">
        <v>15</v>
      </c>
      <c r="X47" s="73"/>
      <c r="Y47" s="73"/>
      <c r="Z47" s="72"/>
      <c r="AA47" s="72"/>
      <c r="AB47" s="72"/>
      <c r="AC47" s="72"/>
      <c r="AD47" s="587"/>
      <c r="AE47" s="154"/>
      <c r="AF47" s="64" t="s">
        <v>55</v>
      </c>
      <c r="AG47" s="552">
        <v>0</v>
      </c>
      <c r="AH47" s="372">
        <v>0</v>
      </c>
      <c r="AI47" s="79"/>
      <c r="AJ47" s="79"/>
      <c r="AK47" s="79"/>
      <c r="AL47" s="79"/>
      <c r="AM47" s="79"/>
      <c r="AN47" s="76" t="s">
        <v>39</v>
      </c>
      <c r="AO47" s="76"/>
      <c r="AP47" s="76"/>
      <c r="AQ47" s="405"/>
      <c r="AR47" s="76"/>
      <c r="AS47" s="467"/>
      <c r="AT47" s="76"/>
      <c r="AU47" s="661"/>
      <c r="AV47" s="335" t="s">
        <v>90</v>
      </c>
    </row>
    <row r="48" spans="1:48" ht="46.5" customHeight="1" outlineLevel="2" x14ac:dyDescent="0.25">
      <c r="A48" s="63" t="str">
        <f t="shared" si="1"/>
        <v>1.1.1.1.24.58-64</v>
      </c>
      <c r="B48" s="64">
        <v>1</v>
      </c>
      <c r="C48" s="64">
        <v>1</v>
      </c>
      <c r="D48" s="64">
        <v>1</v>
      </c>
      <c r="E48" s="64">
        <v>1</v>
      </c>
      <c r="F48" s="64">
        <v>24</v>
      </c>
      <c r="G48" s="64" t="s">
        <v>64</v>
      </c>
      <c r="H48" s="65"/>
      <c r="I48" s="65"/>
      <c r="J48" s="65"/>
      <c r="K48" s="67" t="s">
        <v>1710</v>
      </c>
      <c r="L48" s="64" t="s">
        <v>41</v>
      </c>
      <c r="M48" s="68" t="s">
        <v>52</v>
      </c>
      <c r="N48" s="64" t="s">
        <v>47</v>
      </c>
      <c r="O48" s="64" t="s">
        <v>44</v>
      </c>
      <c r="P48" s="69">
        <v>44571</v>
      </c>
      <c r="Q48" s="69">
        <v>44925</v>
      </c>
      <c r="R48" s="64"/>
      <c r="S48" s="70" t="s">
        <v>48</v>
      </c>
      <c r="T48" s="71"/>
      <c r="U48" s="72"/>
      <c r="V48" s="671">
        <f t="shared" si="9"/>
        <v>0</v>
      </c>
      <c r="W48" s="72"/>
      <c r="X48" s="72"/>
      <c r="Y48" s="72"/>
      <c r="Z48" s="72"/>
      <c r="AA48" s="72"/>
      <c r="AB48" s="72"/>
      <c r="AC48" s="72"/>
      <c r="AD48" s="587"/>
      <c r="AE48" s="154"/>
      <c r="AF48" s="64" t="s">
        <v>55</v>
      </c>
      <c r="AG48" s="552">
        <v>0</v>
      </c>
      <c r="AH48" s="372">
        <v>0</v>
      </c>
      <c r="AI48" s="79"/>
      <c r="AJ48" s="79"/>
      <c r="AK48" s="79"/>
      <c r="AL48" s="79"/>
      <c r="AM48" s="79"/>
      <c r="AN48" s="76" t="s">
        <v>39</v>
      </c>
      <c r="AO48" s="76"/>
      <c r="AP48" s="76"/>
      <c r="AQ48" s="405"/>
      <c r="AR48" s="76"/>
      <c r="AS48" s="467"/>
      <c r="AT48" s="76"/>
      <c r="AU48" s="661"/>
      <c r="AV48" s="335" t="s">
        <v>88</v>
      </c>
    </row>
    <row r="49" spans="1:48" ht="46.5" customHeight="1" outlineLevel="2" x14ac:dyDescent="0.25">
      <c r="A49" s="63" t="str">
        <f t="shared" si="1"/>
        <v>1.1.1.1.25.58-64</v>
      </c>
      <c r="B49" s="64">
        <v>1</v>
      </c>
      <c r="C49" s="64">
        <v>1</v>
      </c>
      <c r="D49" s="64">
        <v>1</v>
      </c>
      <c r="E49" s="64">
        <v>1</v>
      </c>
      <c r="F49" s="64">
        <v>25</v>
      </c>
      <c r="G49" s="64" t="s">
        <v>64</v>
      </c>
      <c r="H49" s="65"/>
      <c r="I49" s="65"/>
      <c r="J49" s="65"/>
      <c r="K49" s="67" t="s">
        <v>1711</v>
      </c>
      <c r="L49" s="64" t="s">
        <v>41</v>
      </c>
      <c r="M49" s="68" t="s">
        <v>52</v>
      </c>
      <c r="N49" s="64" t="s">
        <v>47</v>
      </c>
      <c r="O49" s="64" t="s">
        <v>44</v>
      </c>
      <c r="P49" s="69">
        <v>44571</v>
      </c>
      <c r="Q49" s="69">
        <v>44925</v>
      </c>
      <c r="R49" s="64"/>
      <c r="S49" s="70" t="s">
        <v>48</v>
      </c>
      <c r="T49" s="71"/>
      <c r="U49" s="72"/>
      <c r="V49" s="671">
        <f t="shared" si="9"/>
        <v>0</v>
      </c>
      <c r="W49" s="72"/>
      <c r="X49" s="72"/>
      <c r="Y49" s="72"/>
      <c r="Z49" s="800">
        <v>7</v>
      </c>
      <c r="AA49" s="170"/>
      <c r="AB49" s="801"/>
      <c r="AC49" s="72"/>
      <c r="AD49" s="587"/>
      <c r="AE49" s="154"/>
      <c r="AF49" s="64" t="s">
        <v>55</v>
      </c>
      <c r="AG49" s="552">
        <v>0</v>
      </c>
      <c r="AH49" s="372">
        <v>0</v>
      </c>
      <c r="AI49" s="79"/>
      <c r="AJ49" s="79"/>
      <c r="AK49" s="79"/>
      <c r="AL49" s="79"/>
      <c r="AM49" s="79"/>
      <c r="AN49" s="76" t="s">
        <v>39</v>
      </c>
      <c r="AO49" s="76"/>
      <c r="AP49" s="76"/>
      <c r="AQ49" s="405"/>
      <c r="AR49" s="76"/>
      <c r="AS49" s="467"/>
      <c r="AT49" s="76"/>
      <c r="AU49" s="661"/>
      <c r="AV49" s="336" t="s">
        <v>91</v>
      </c>
    </row>
    <row r="50" spans="1:48" ht="35.25" customHeight="1" outlineLevel="2" x14ac:dyDescent="0.25">
      <c r="A50" s="63" t="str">
        <f t="shared" si="1"/>
        <v>1.1.1.1.26.58-64</v>
      </c>
      <c r="B50" s="64">
        <v>1</v>
      </c>
      <c r="C50" s="64">
        <v>1</v>
      </c>
      <c r="D50" s="64">
        <v>1</v>
      </c>
      <c r="E50" s="64">
        <v>1</v>
      </c>
      <c r="F50" s="64">
        <v>26</v>
      </c>
      <c r="G50" s="64" t="s">
        <v>64</v>
      </c>
      <c r="H50" s="65"/>
      <c r="I50" s="65"/>
      <c r="J50" s="65"/>
      <c r="K50" s="67" t="s">
        <v>1712</v>
      </c>
      <c r="L50" s="64" t="s">
        <v>41</v>
      </c>
      <c r="M50" s="68" t="s">
        <v>52</v>
      </c>
      <c r="N50" s="64" t="s">
        <v>47</v>
      </c>
      <c r="O50" s="64" t="s">
        <v>44</v>
      </c>
      <c r="P50" s="69">
        <v>44571</v>
      </c>
      <c r="Q50" s="69">
        <v>44925</v>
      </c>
      <c r="R50" s="64"/>
      <c r="S50" s="70" t="s">
        <v>48</v>
      </c>
      <c r="T50" s="71"/>
      <c r="U50" s="72"/>
      <c r="V50" s="671">
        <f t="shared" si="9"/>
        <v>0</v>
      </c>
      <c r="W50" s="72"/>
      <c r="X50" s="72"/>
      <c r="Y50" s="72"/>
      <c r="Z50" s="72"/>
      <c r="AA50" s="795"/>
      <c r="AB50" s="72"/>
      <c r="AC50" s="72"/>
      <c r="AD50" s="587"/>
      <c r="AE50" s="154"/>
      <c r="AF50" s="64" t="s">
        <v>55</v>
      </c>
      <c r="AG50" s="552">
        <v>0</v>
      </c>
      <c r="AH50" s="372">
        <v>0</v>
      </c>
      <c r="AI50" s="79"/>
      <c r="AJ50" s="79"/>
      <c r="AK50" s="79"/>
      <c r="AL50" s="79"/>
      <c r="AM50" s="79"/>
      <c r="AN50" s="76" t="s">
        <v>39</v>
      </c>
      <c r="AO50" s="76"/>
      <c r="AP50" s="76"/>
      <c r="AQ50" s="405"/>
      <c r="AR50" s="76"/>
      <c r="AS50" s="467"/>
      <c r="AT50" s="76"/>
      <c r="AU50" s="661"/>
      <c r="AV50" s="335" t="s">
        <v>88</v>
      </c>
    </row>
    <row r="51" spans="1:48" ht="42.75" customHeight="1" outlineLevel="2" x14ac:dyDescent="0.25">
      <c r="A51" s="63" t="str">
        <f t="shared" si="1"/>
        <v>1.1.1.1.27.58-64</v>
      </c>
      <c r="B51" s="64">
        <v>1</v>
      </c>
      <c r="C51" s="64">
        <v>1</v>
      </c>
      <c r="D51" s="64">
        <v>1</v>
      </c>
      <c r="E51" s="64">
        <v>1</v>
      </c>
      <c r="F51" s="64">
        <v>27</v>
      </c>
      <c r="G51" s="64" t="s">
        <v>64</v>
      </c>
      <c r="H51" s="65"/>
      <c r="I51" s="65"/>
      <c r="J51" s="65"/>
      <c r="K51" s="65" t="s">
        <v>1713</v>
      </c>
      <c r="L51" s="64" t="s">
        <v>41</v>
      </c>
      <c r="M51" s="68" t="s">
        <v>52</v>
      </c>
      <c r="N51" s="64" t="s">
        <v>47</v>
      </c>
      <c r="O51" s="64" t="s">
        <v>44</v>
      </c>
      <c r="P51" s="69">
        <v>44571</v>
      </c>
      <c r="Q51" s="69">
        <v>44925</v>
      </c>
      <c r="R51" s="64"/>
      <c r="S51" s="70" t="s">
        <v>48</v>
      </c>
      <c r="T51" s="71"/>
      <c r="U51" s="72"/>
      <c r="V51" s="671">
        <f t="shared" si="9"/>
        <v>0</v>
      </c>
      <c r="W51" s="72"/>
      <c r="X51" s="72"/>
      <c r="Y51" s="72"/>
      <c r="Z51" s="72"/>
      <c r="AA51" s="72"/>
      <c r="AB51" s="72"/>
      <c r="AC51" s="72"/>
      <c r="AD51" s="587"/>
      <c r="AE51" s="154"/>
      <c r="AF51" s="64" t="s">
        <v>55</v>
      </c>
      <c r="AG51" s="64">
        <v>0</v>
      </c>
      <c r="AH51" s="372">
        <v>0</v>
      </c>
      <c r="AI51" s="79"/>
      <c r="AJ51" s="79"/>
      <c r="AK51" s="79"/>
      <c r="AL51" s="79"/>
      <c r="AM51" s="79"/>
      <c r="AN51" s="76" t="s">
        <v>39</v>
      </c>
      <c r="AO51" s="76"/>
      <c r="AP51" s="76"/>
      <c r="AQ51" s="405"/>
      <c r="AR51" s="76"/>
      <c r="AS51" s="467"/>
      <c r="AT51" s="76"/>
      <c r="AU51" s="661"/>
      <c r="AV51" s="335" t="s">
        <v>88</v>
      </c>
    </row>
    <row r="52" spans="1:48" ht="63.75" customHeight="1" outlineLevel="1" x14ac:dyDescent="0.25">
      <c r="A52" s="80" t="str">
        <f t="shared" si="1"/>
        <v>1.1.1.2.0.0</v>
      </c>
      <c r="B52" s="80">
        <v>1</v>
      </c>
      <c r="C52" s="80">
        <v>1</v>
      </c>
      <c r="D52" s="80">
        <v>1</v>
      </c>
      <c r="E52" s="80">
        <v>2</v>
      </c>
      <c r="F52" s="80">
        <v>0</v>
      </c>
      <c r="G52" s="81">
        <v>0</v>
      </c>
      <c r="H52" s="80"/>
      <c r="I52" s="80"/>
      <c r="J52" s="1347" t="s">
        <v>92</v>
      </c>
      <c r="K52" s="1347"/>
      <c r="L52" s="82" t="s">
        <v>72</v>
      </c>
      <c r="M52" s="83" t="s">
        <v>42</v>
      </c>
      <c r="N52" s="82" t="s">
        <v>47</v>
      </c>
      <c r="O52" s="82" t="s">
        <v>44</v>
      </c>
      <c r="P52" s="84">
        <v>44571</v>
      </c>
      <c r="Q52" s="84">
        <v>44925</v>
      </c>
      <c r="R52" s="85">
        <f>+SUM(R53:R95)</f>
        <v>0</v>
      </c>
      <c r="S52" s="57" t="s">
        <v>93</v>
      </c>
      <c r="T52" s="54">
        <f>+SUM(T53:T108)</f>
        <v>8</v>
      </c>
      <c r="U52" s="60">
        <f t="shared" ref="U52:AD52" si="11">SUM(U67:U108)</f>
        <v>417571.42000000004</v>
      </c>
      <c r="V52" s="672">
        <f t="shared" si="11"/>
        <v>0</v>
      </c>
      <c r="W52" s="60">
        <f t="shared" si="11"/>
        <v>0</v>
      </c>
      <c r="X52" s="60">
        <f t="shared" si="11"/>
        <v>242571.42</v>
      </c>
      <c r="Y52" s="60"/>
      <c r="Z52" s="60">
        <f t="shared" si="11"/>
        <v>0</v>
      </c>
      <c r="AA52" s="60">
        <f t="shared" si="11"/>
        <v>80857.149999999994</v>
      </c>
      <c r="AB52" s="60"/>
      <c r="AC52" s="60">
        <f t="shared" si="11"/>
        <v>0</v>
      </c>
      <c r="AD52" s="60">
        <f t="shared" si="11"/>
        <v>0</v>
      </c>
      <c r="AE52" s="805"/>
      <c r="AF52" s="806"/>
      <c r="AG52" s="576">
        <f>SUM(AG53:AG108)</f>
        <v>740583.49000000011</v>
      </c>
      <c r="AH52" s="369">
        <f>SUM(AH53:AH108)</f>
        <v>740999.99000000011</v>
      </c>
      <c r="AI52" s="369">
        <f t="shared" ref="AI52" si="12">SUM(AI53:AI108)</f>
        <v>0</v>
      </c>
      <c r="AJ52" s="369">
        <f>SUM(AJ53:AJ108)</f>
        <v>0</v>
      </c>
      <c r="AK52" s="61"/>
      <c r="AL52" s="61"/>
      <c r="AM52" s="61"/>
      <c r="AN52" s="62" t="s">
        <v>39</v>
      </c>
      <c r="AO52" s="62"/>
      <c r="AP52" s="62"/>
      <c r="AQ52" s="404"/>
      <c r="AR52" s="62"/>
      <c r="AS52" s="466"/>
      <c r="AT52" s="62"/>
      <c r="AU52" s="660"/>
      <c r="AV52" s="334" t="s">
        <v>94</v>
      </c>
    </row>
    <row r="53" spans="1:48" ht="51.6" customHeight="1" outlineLevel="3" x14ac:dyDescent="0.25">
      <c r="A53" s="63" t="str">
        <f t="shared" si="1"/>
        <v>1.1.1.2.1.58</v>
      </c>
      <c r="B53" s="63">
        <v>1</v>
      </c>
      <c r="C53" s="63">
        <v>1</v>
      </c>
      <c r="D53" s="63">
        <v>1</v>
      </c>
      <c r="E53" s="63">
        <v>2</v>
      </c>
      <c r="F53" s="63">
        <v>1</v>
      </c>
      <c r="G53" s="64">
        <v>58</v>
      </c>
      <c r="H53" s="63"/>
      <c r="I53" s="63"/>
      <c r="J53" s="67"/>
      <c r="K53" s="86" t="s">
        <v>95</v>
      </c>
      <c r="L53" s="64" t="s">
        <v>75</v>
      </c>
      <c r="M53" s="68" t="s">
        <v>52</v>
      </c>
      <c r="N53" s="64" t="s">
        <v>47</v>
      </c>
      <c r="O53" s="64" t="s">
        <v>44</v>
      </c>
      <c r="P53" s="69">
        <v>44571</v>
      </c>
      <c r="Q53" s="69">
        <v>44925</v>
      </c>
      <c r="R53" s="64"/>
      <c r="S53" s="74" t="s">
        <v>93</v>
      </c>
      <c r="T53" s="74"/>
      <c r="U53" s="87"/>
      <c r="V53" s="671">
        <f>+AJ53</f>
        <v>0</v>
      </c>
      <c r="W53" s="589">
        <v>3</v>
      </c>
      <c r="X53" s="170"/>
      <c r="Y53" s="808"/>
      <c r="Z53" s="87"/>
      <c r="AA53" s="87"/>
      <c r="AB53" s="87"/>
      <c r="AC53" s="87"/>
      <c r="AD53" s="87"/>
      <c r="AE53" s="93"/>
      <c r="AF53" s="339" t="s">
        <v>96</v>
      </c>
      <c r="AG53" s="510">
        <v>0</v>
      </c>
      <c r="AH53" s="370">
        <v>0</v>
      </c>
      <c r="AI53" s="75"/>
      <c r="AJ53" s="75"/>
      <c r="AK53" s="75"/>
      <c r="AL53" s="75"/>
      <c r="AM53" s="75"/>
      <c r="AN53" s="89" t="s">
        <v>39</v>
      </c>
      <c r="AO53" s="89"/>
      <c r="AP53" s="89"/>
      <c r="AQ53" s="407"/>
      <c r="AR53" s="89"/>
      <c r="AS53" s="469"/>
      <c r="AT53" s="89"/>
      <c r="AU53" s="661"/>
      <c r="AV53" s="335" t="s">
        <v>97</v>
      </c>
    </row>
    <row r="54" spans="1:48" ht="47.25" customHeight="1" outlineLevel="3" x14ac:dyDescent="0.25">
      <c r="A54" s="63" t="str">
        <f t="shared" si="1"/>
        <v>1.1.1.2.2.59</v>
      </c>
      <c r="B54" s="63">
        <v>1</v>
      </c>
      <c r="C54" s="63">
        <v>1</v>
      </c>
      <c r="D54" s="63">
        <v>1</v>
      </c>
      <c r="E54" s="63">
        <v>2</v>
      </c>
      <c r="F54" s="63">
        <v>2</v>
      </c>
      <c r="G54" s="64">
        <v>59</v>
      </c>
      <c r="H54" s="63"/>
      <c r="I54" s="63"/>
      <c r="J54" s="67"/>
      <c r="K54" s="86" t="s">
        <v>98</v>
      </c>
      <c r="L54" s="64" t="s">
        <v>75</v>
      </c>
      <c r="M54" s="68" t="s">
        <v>52</v>
      </c>
      <c r="N54" s="64" t="s">
        <v>47</v>
      </c>
      <c r="O54" s="64" t="s">
        <v>44</v>
      </c>
      <c r="P54" s="69">
        <v>44571</v>
      </c>
      <c r="Q54" s="69">
        <v>44925</v>
      </c>
      <c r="R54" s="64"/>
      <c r="S54" s="74" t="s">
        <v>93</v>
      </c>
      <c r="T54" s="74"/>
      <c r="U54" s="87"/>
      <c r="V54" s="671">
        <f t="shared" ref="V54:V108" si="13">+AJ54</f>
        <v>0</v>
      </c>
      <c r="W54" s="589">
        <v>2</v>
      </c>
      <c r="X54" s="170"/>
      <c r="Y54" s="808"/>
      <c r="Z54" s="87"/>
      <c r="AA54" s="87"/>
      <c r="AB54" s="87"/>
      <c r="AC54" s="87"/>
      <c r="AD54" s="87"/>
      <c r="AE54" s="93"/>
      <c r="AF54" s="339" t="s">
        <v>96</v>
      </c>
      <c r="AG54" s="510">
        <v>0</v>
      </c>
      <c r="AH54" s="370">
        <v>0</v>
      </c>
      <c r="AI54" s="75"/>
      <c r="AJ54" s="75"/>
      <c r="AK54" s="75"/>
      <c r="AL54" s="75"/>
      <c r="AM54" s="75"/>
      <c r="AN54" s="89" t="s">
        <v>39</v>
      </c>
      <c r="AO54" s="89"/>
      <c r="AP54" s="89"/>
      <c r="AQ54" s="407"/>
      <c r="AR54" s="89"/>
      <c r="AS54" s="469"/>
      <c r="AT54" s="89"/>
      <c r="AU54" s="661"/>
      <c r="AV54" s="336" t="s">
        <v>99</v>
      </c>
    </row>
    <row r="55" spans="1:48" ht="104.1" customHeight="1" outlineLevel="3" x14ac:dyDescent="0.25">
      <c r="A55" s="63" t="str">
        <f t="shared" si="1"/>
        <v>1.1.1.2.3.63</v>
      </c>
      <c r="B55" s="63">
        <v>1</v>
      </c>
      <c r="C55" s="63">
        <v>1</v>
      </c>
      <c r="D55" s="63">
        <v>1</v>
      </c>
      <c r="E55" s="63">
        <v>2</v>
      </c>
      <c r="F55" s="63">
        <v>3</v>
      </c>
      <c r="G55" s="64">
        <v>63</v>
      </c>
      <c r="H55" s="63"/>
      <c r="I55" s="63"/>
      <c r="J55" s="67"/>
      <c r="K55" s="86" t="s">
        <v>100</v>
      </c>
      <c r="L55" s="64" t="s">
        <v>75</v>
      </c>
      <c r="M55" s="68" t="s">
        <v>52</v>
      </c>
      <c r="N55" s="64" t="s">
        <v>47</v>
      </c>
      <c r="O55" s="64" t="s">
        <v>44</v>
      </c>
      <c r="P55" s="69">
        <v>44571</v>
      </c>
      <c r="Q55" s="69">
        <v>44925</v>
      </c>
      <c r="R55" s="64"/>
      <c r="S55" s="74" t="s">
        <v>93</v>
      </c>
      <c r="T55" s="74"/>
      <c r="U55" s="87"/>
      <c r="V55" s="671">
        <f t="shared" si="13"/>
        <v>0</v>
      </c>
      <c r="W55" s="589">
        <v>3</v>
      </c>
      <c r="X55" s="170"/>
      <c r="Y55" s="808"/>
      <c r="Z55" s="589">
        <v>1</v>
      </c>
      <c r="AA55" s="170"/>
      <c r="AB55" s="808"/>
      <c r="AC55" s="87"/>
      <c r="AD55" s="87"/>
      <c r="AE55" s="93"/>
      <c r="AF55" s="339" t="s">
        <v>96</v>
      </c>
      <c r="AG55" s="510">
        <v>0</v>
      </c>
      <c r="AH55" s="370">
        <v>0</v>
      </c>
      <c r="AI55" s="75"/>
      <c r="AJ55" s="75"/>
      <c r="AK55" s="75"/>
      <c r="AL55" s="75"/>
      <c r="AM55" s="75"/>
      <c r="AN55" s="89" t="s">
        <v>39</v>
      </c>
      <c r="AO55" s="89"/>
      <c r="AP55" s="89"/>
      <c r="AQ55" s="407"/>
      <c r="AR55" s="89"/>
      <c r="AS55" s="469"/>
      <c r="AT55" s="89"/>
      <c r="AU55" s="661"/>
      <c r="AV55" s="335" t="s">
        <v>101</v>
      </c>
    </row>
    <row r="56" spans="1:48" ht="96" customHeight="1" outlineLevel="3" x14ac:dyDescent="0.25">
      <c r="A56" s="63" t="str">
        <f t="shared" si="1"/>
        <v>1.1.1.2.4.64</v>
      </c>
      <c r="B56" s="63">
        <v>1</v>
      </c>
      <c r="C56" s="63">
        <v>1</v>
      </c>
      <c r="D56" s="63">
        <v>1</v>
      </c>
      <c r="E56" s="63">
        <v>2</v>
      </c>
      <c r="F56" s="63">
        <v>4</v>
      </c>
      <c r="G56" s="64">
        <v>64</v>
      </c>
      <c r="H56" s="63"/>
      <c r="I56" s="63"/>
      <c r="J56" s="67"/>
      <c r="K56" s="86" t="s">
        <v>102</v>
      </c>
      <c r="L56" s="64" t="s">
        <v>75</v>
      </c>
      <c r="M56" s="68" t="s">
        <v>52</v>
      </c>
      <c r="N56" s="64" t="s">
        <v>47</v>
      </c>
      <c r="O56" s="64" t="s">
        <v>44</v>
      </c>
      <c r="P56" s="69">
        <v>44571</v>
      </c>
      <c r="Q56" s="69">
        <v>44925</v>
      </c>
      <c r="R56" s="64"/>
      <c r="S56" s="74" t="s">
        <v>93</v>
      </c>
      <c r="T56" s="74"/>
      <c r="U56" s="87"/>
      <c r="V56" s="671">
        <f t="shared" si="13"/>
        <v>0</v>
      </c>
      <c r="W56" s="589">
        <v>2</v>
      </c>
      <c r="X56" s="170"/>
      <c r="Y56" s="808"/>
      <c r="Z56" s="589">
        <v>1</v>
      </c>
      <c r="AA56" s="170"/>
      <c r="AB56" s="808"/>
      <c r="AC56" s="87"/>
      <c r="AD56" s="87"/>
      <c r="AE56" s="93"/>
      <c r="AF56" s="339" t="s">
        <v>96</v>
      </c>
      <c r="AG56" s="510">
        <v>0</v>
      </c>
      <c r="AH56" s="370">
        <v>0</v>
      </c>
      <c r="AI56" s="75"/>
      <c r="AJ56" s="75"/>
      <c r="AK56" s="75"/>
      <c r="AL56" s="75"/>
      <c r="AM56" s="75"/>
      <c r="AN56" s="89" t="s">
        <v>39</v>
      </c>
      <c r="AO56" s="89"/>
      <c r="AP56" s="89"/>
      <c r="AQ56" s="407"/>
      <c r="AR56" s="89"/>
      <c r="AS56" s="469"/>
      <c r="AT56" s="89"/>
      <c r="AU56" s="661"/>
      <c r="AV56" s="336" t="s">
        <v>103</v>
      </c>
    </row>
    <row r="57" spans="1:48" ht="104.1" customHeight="1" outlineLevel="3" x14ac:dyDescent="0.25">
      <c r="A57" s="63" t="str">
        <f t="shared" si="1"/>
        <v>1.1.1.2.5.61</v>
      </c>
      <c r="B57" s="63">
        <v>1</v>
      </c>
      <c r="C57" s="63">
        <v>1</v>
      </c>
      <c r="D57" s="63">
        <v>1</v>
      </c>
      <c r="E57" s="63">
        <v>2</v>
      </c>
      <c r="F57" s="63">
        <v>5</v>
      </c>
      <c r="G57" s="64">
        <v>61</v>
      </c>
      <c r="H57" s="63"/>
      <c r="I57" s="63"/>
      <c r="J57" s="90"/>
      <c r="K57" s="90" t="s">
        <v>104</v>
      </c>
      <c r="L57" s="64" t="s">
        <v>75</v>
      </c>
      <c r="M57" s="68" t="s">
        <v>52</v>
      </c>
      <c r="N57" s="64" t="s">
        <v>47</v>
      </c>
      <c r="O57" s="64" t="s">
        <v>44</v>
      </c>
      <c r="P57" s="69">
        <v>44571</v>
      </c>
      <c r="Q57" s="69">
        <v>44925</v>
      </c>
      <c r="R57" s="64"/>
      <c r="S57" s="74" t="s">
        <v>93</v>
      </c>
      <c r="T57" s="74"/>
      <c r="U57" s="87"/>
      <c r="V57" s="671">
        <f t="shared" si="13"/>
        <v>0</v>
      </c>
      <c r="W57" s="589">
        <v>3</v>
      </c>
      <c r="X57" s="170"/>
      <c r="Y57" s="808"/>
      <c r="Z57" s="589">
        <v>1</v>
      </c>
      <c r="AA57" s="170"/>
      <c r="AB57" s="808"/>
      <c r="AC57" s="87"/>
      <c r="AD57" s="87"/>
      <c r="AE57" s="93"/>
      <c r="AF57" s="339" t="s">
        <v>96</v>
      </c>
      <c r="AG57" s="510">
        <v>0</v>
      </c>
      <c r="AH57" s="370">
        <v>0</v>
      </c>
      <c r="AI57" s="75"/>
      <c r="AJ57" s="75"/>
      <c r="AK57" s="75"/>
      <c r="AL57" s="75"/>
      <c r="AM57" s="75"/>
      <c r="AN57" s="89" t="s">
        <v>39</v>
      </c>
      <c r="AO57" s="89"/>
      <c r="AP57" s="89"/>
      <c r="AQ57" s="407"/>
      <c r="AR57" s="89"/>
      <c r="AS57" s="469"/>
      <c r="AT57" s="89"/>
      <c r="AU57" s="661"/>
      <c r="AV57" s="336" t="s">
        <v>101</v>
      </c>
    </row>
    <row r="58" spans="1:48" ht="63" customHeight="1" outlineLevel="3" x14ac:dyDescent="0.25">
      <c r="A58" s="63" t="str">
        <f t="shared" si="1"/>
        <v>1.1.1.2.6.62</v>
      </c>
      <c r="B58" s="63">
        <v>1</v>
      </c>
      <c r="C58" s="63">
        <v>1</v>
      </c>
      <c r="D58" s="63">
        <v>1</v>
      </c>
      <c r="E58" s="63">
        <v>2</v>
      </c>
      <c r="F58" s="63">
        <v>6</v>
      </c>
      <c r="G58" s="64">
        <v>62</v>
      </c>
      <c r="H58" s="63"/>
      <c r="I58" s="63"/>
      <c r="J58" s="90"/>
      <c r="K58" s="90" t="s">
        <v>105</v>
      </c>
      <c r="L58" s="64" t="s">
        <v>75</v>
      </c>
      <c r="M58" s="68" t="s">
        <v>52</v>
      </c>
      <c r="N58" s="64" t="s">
        <v>47</v>
      </c>
      <c r="O58" s="64" t="s">
        <v>44</v>
      </c>
      <c r="P58" s="69">
        <v>44571</v>
      </c>
      <c r="Q58" s="69">
        <v>44925</v>
      </c>
      <c r="R58" s="64"/>
      <c r="S58" s="74" t="s">
        <v>93</v>
      </c>
      <c r="T58" s="74"/>
      <c r="U58" s="87"/>
      <c r="V58" s="671">
        <f t="shared" si="13"/>
        <v>0</v>
      </c>
      <c r="W58" s="589">
        <v>3</v>
      </c>
      <c r="X58" s="170"/>
      <c r="Y58" s="808"/>
      <c r="Z58" s="87"/>
      <c r="AA58" s="95"/>
      <c r="AB58" s="87"/>
      <c r="AC58" s="87"/>
      <c r="AD58" s="87"/>
      <c r="AE58" s="93"/>
      <c r="AF58" s="339" t="s">
        <v>96</v>
      </c>
      <c r="AG58" s="510">
        <v>0</v>
      </c>
      <c r="AH58" s="370">
        <v>0</v>
      </c>
      <c r="AI58" s="75"/>
      <c r="AJ58" s="75"/>
      <c r="AK58" s="75"/>
      <c r="AL58" s="75"/>
      <c r="AM58" s="75"/>
      <c r="AN58" s="89" t="s">
        <v>39</v>
      </c>
      <c r="AO58" s="89"/>
      <c r="AP58" s="89"/>
      <c r="AQ58" s="407"/>
      <c r="AR58" s="89"/>
      <c r="AS58" s="469"/>
      <c r="AT58" s="89"/>
      <c r="AU58" s="661"/>
      <c r="AV58" s="335" t="s">
        <v>97</v>
      </c>
    </row>
    <row r="59" spans="1:48" ht="111.75" customHeight="1" outlineLevel="3" x14ac:dyDescent="0.25">
      <c r="A59" s="63" t="str">
        <f t="shared" si="1"/>
        <v>1.1.1.2.7.60</v>
      </c>
      <c r="B59" s="63">
        <v>1</v>
      </c>
      <c r="C59" s="63">
        <v>1</v>
      </c>
      <c r="D59" s="63">
        <v>1</v>
      </c>
      <c r="E59" s="63">
        <v>2</v>
      </c>
      <c r="F59" s="63">
        <v>7</v>
      </c>
      <c r="G59" s="64">
        <v>60</v>
      </c>
      <c r="H59" s="63"/>
      <c r="I59" s="63"/>
      <c r="J59" s="90"/>
      <c r="K59" s="91" t="s">
        <v>106</v>
      </c>
      <c r="L59" s="64" t="s">
        <v>75</v>
      </c>
      <c r="M59" s="68" t="s">
        <v>52</v>
      </c>
      <c r="N59" s="64" t="s">
        <v>47</v>
      </c>
      <c r="O59" s="64" t="s">
        <v>44</v>
      </c>
      <c r="P59" s="69">
        <v>44571</v>
      </c>
      <c r="Q59" s="69">
        <v>44925</v>
      </c>
      <c r="R59" s="64"/>
      <c r="S59" s="74" t="s">
        <v>93</v>
      </c>
      <c r="T59" s="74"/>
      <c r="U59" s="87"/>
      <c r="V59" s="671">
        <f t="shared" si="13"/>
        <v>0</v>
      </c>
      <c r="W59" s="589">
        <v>3</v>
      </c>
      <c r="X59" s="170"/>
      <c r="Y59" s="808"/>
      <c r="Z59" s="589">
        <v>1</v>
      </c>
      <c r="AA59" s="170"/>
      <c r="AB59" s="808"/>
      <c r="AC59" s="87"/>
      <c r="AD59" s="87"/>
      <c r="AE59" s="93"/>
      <c r="AF59" s="339" t="s">
        <v>96</v>
      </c>
      <c r="AG59" s="510">
        <v>0</v>
      </c>
      <c r="AH59" s="370">
        <v>0</v>
      </c>
      <c r="AI59" s="75"/>
      <c r="AJ59" s="75"/>
      <c r="AK59" s="75"/>
      <c r="AL59" s="75"/>
      <c r="AM59" s="75"/>
      <c r="AN59" s="89" t="s">
        <v>39</v>
      </c>
      <c r="AO59" s="89"/>
      <c r="AP59" s="89"/>
      <c r="AQ59" s="407"/>
      <c r="AR59" s="89"/>
      <c r="AS59" s="469"/>
      <c r="AT59" s="89"/>
      <c r="AU59" s="661"/>
      <c r="AV59" s="336" t="s">
        <v>107</v>
      </c>
    </row>
    <row r="60" spans="1:48" ht="81.75" customHeight="1" outlineLevel="3" x14ac:dyDescent="0.25">
      <c r="A60" s="63" t="str">
        <f t="shared" si="1"/>
        <v>1.1.1.2.8.58</v>
      </c>
      <c r="B60" s="63">
        <v>1</v>
      </c>
      <c r="C60" s="63">
        <v>1</v>
      </c>
      <c r="D60" s="63">
        <v>1</v>
      </c>
      <c r="E60" s="63">
        <v>2</v>
      </c>
      <c r="F60" s="63">
        <v>8</v>
      </c>
      <c r="G60" s="64">
        <v>58</v>
      </c>
      <c r="H60" s="63"/>
      <c r="I60" s="63"/>
      <c r="J60" s="90"/>
      <c r="K60" s="91" t="s">
        <v>108</v>
      </c>
      <c r="L60" s="64" t="s">
        <v>75</v>
      </c>
      <c r="M60" s="68" t="s">
        <v>52</v>
      </c>
      <c r="N60" s="64" t="s">
        <v>47</v>
      </c>
      <c r="O60" s="64" t="s">
        <v>44</v>
      </c>
      <c r="P60" s="69">
        <v>44571</v>
      </c>
      <c r="Q60" s="69">
        <v>44925</v>
      </c>
      <c r="R60" s="64"/>
      <c r="S60" s="339" t="s">
        <v>93</v>
      </c>
      <c r="T60" s="295">
        <v>1</v>
      </c>
      <c r="U60" s="170"/>
      <c r="V60" s="794">
        <f t="shared" si="13"/>
        <v>0</v>
      </c>
      <c r="W60" s="810">
        <v>3</v>
      </c>
      <c r="X60" s="573"/>
      <c r="Y60" s="808"/>
      <c r="Z60" s="589">
        <v>3</v>
      </c>
      <c r="AA60" s="573"/>
      <c r="AB60" s="808"/>
      <c r="AC60" s="589">
        <v>2</v>
      </c>
      <c r="AD60" s="573"/>
      <c r="AE60" s="811"/>
      <c r="AF60" s="339" t="s">
        <v>96</v>
      </c>
      <c r="AG60" s="510">
        <v>0</v>
      </c>
      <c r="AH60" s="370">
        <v>0</v>
      </c>
      <c r="AI60" s="75"/>
      <c r="AJ60" s="75"/>
      <c r="AK60" s="75"/>
      <c r="AL60" s="75"/>
      <c r="AM60" s="75"/>
      <c r="AN60" s="89" t="s">
        <v>39</v>
      </c>
      <c r="AO60" s="89"/>
      <c r="AP60" s="89"/>
      <c r="AQ60" s="407"/>
      <c r="AR60" s="89"/>
      <c r="AS60" s="469"/>
      <c r="AT60" s="89"/>
      <c r="AU60" s="661"/>
      <c r="AV60" s="335" t="s">
        <v>109</v>
      </c>
    </row>
    <row r="61" spans="1:48" ht="106.35" customHeight="1" outlineLevel="3" x14ac:dyDescent="0.25">
      <c r="A61" s="63" t="str">
        <f t="shared" si="1"/>
        <v>1.1.1.2.9.59</v>
      </c>
      <c r="B61" s="63">
        <v>1</v>
      </c>
      <c r="C61" s="63">
        <v>1</v>
      </c>
      <c r="D61" s="63">
        <v>1</v>
      </c>
      <c r="E61" s="63">
        <v>2</v>
      </c>
      <c r="F61" s="63">
        <v>9</v>
      </c>
      <c r="G61" s="64">
        <v>59</v>
      </c>
      <c r="H61" s="63"/>
      <c r="I61" s="63"/>
      <c r="J61" s="90"/>
      <c r="K61" s="91" t="s">
        <v>110</v>
      </c>
      <c r="L61" s="64" t="s">
        <v>75</v>
      </c>
      <c r="M61" s="68" t="s">
        <v>52</v>
      </c>
      <c r="N61" s="64" t="s">
        <v>47</v>
      </c>
      <c r="O61" s="64" t="s">
        <v>44</v>
      </c>
      <c r="P61" s="69">
        <v>44571</v>
      </c>
      <c r="Q61" s="69">
        <v>44925</v>
      </c>
      <c r="R61" s="64"/>
      <c r="S61" s="339" t="s">
        <v>93</v>
      </c>
      <c r="T61" s="295">
        <v>1</v>
      </c>
      <c r="U61" s="170"/>
      <c r="V61" s="813">
        <f t="shared" si="13"/>
        <v>0</v>
      </c>
      <c r="W61" s="295">
        <v>2</v>
      </c>
      <c r="X61" s="295"/>
      <c r="Y61" s="75"/>
      <c r="Z61" s="295">
        <v>3</v>
      </c>
      <c r="AA61" s="295"/>
      <c r="AB61" s="75"/>
      <c r="AC61" s="295">
        <v>3</v>
      </c>
      <c r="AD61" s="170"/>
      <c r="AE61" s="811"/>
      <c r="AF61" s="339" t="s">
        <v>96</v>
      </c>
      <c r="AG61" s="510">
        <v>0</v>
      </c>
      <c r="AH61" s="370">
        <v>0</v>
      </c>
      <c r="AI61" s="75"/>
      <c r="AJ61" s="75"/>
      <c r="AK61" s="75"/>
      <c r="AL61" s="75"/>
      <c r="AM61" s="75"/>
      <c r="AN61" s="89" t="s">
        <v>39</v>
      </c>
      <c r="AO61" s="89"/>
      <c r="AP61" s="89"/>
      <c r="AQ61" s="407"/>
      <c r="AR61" s="89"/>
      <c r="AS61" s="469"/>
      <c r="AT61" s="89"/>
      <c r="AU61" s="661"/>
      <c r="AV61" s="336" t="s">
        <v>111</v>
      </c>
    </row>
    <row r="62" spans="1:48" ht="96" customHeight="1" outlineLevel="3" x14ac:dyDescent="0.25">
      <c r="A62" s="63" t="str">
        <f t="shared" si="1"/>
        <v>1.1.1.2.10.63</v>
      </c>
      <c r="B62" s="63">
        <v>1</v>
      </c>
      <c r="C62" s="63">
        <v>1</v>
      </c>
      <c r="D62" s="63">
        <v>1</v>
      </c>
      <c r="E62" s="63">
        <v>2</v>
      </c>
      <c r="F62" s="63">
        <v>10</v>
      </c>
      <c r="G62" s="64">
        <v>63</v>
      </c>
      <c r="H62" s="63"/>
      <c r="I62" s="63"/>
      <c r="J62" s="90"/>
      <c r="K62" s="91" t="s">
        <v>112</v>
      </c>
      <c r="L62" s="64" t="s">
        <v>75</v>
      </c>
      <c r="M62" s="68" t="s">
        <v>52</v>
      </c>
      <c r="N62" s="64" t="s">
        <v>47</v>
      </c>
      <c r="O62" s="64" t="s">
        <v>44</v>
      </c>
      <c r="P62" s="69">
        <v>44571</v>
      </c>
      <c r="Q62" s="69">
        <v>44925</v>
      </c>
      <c r="R62" s="64"/>
      <c r="S62" s="339" t="s">
        <v>93</v>
      </c>
      <c r="T62" s="295">
        <v>1</v>
      </c>
      <c r="U62" s="170"/>
      <c r="V62" s="794">
        <f t="shared" si="13"/>
        <v>0</v>
      </c>
      <c r="W62" s="95"/>
      <c r="X62" s="809">
        <v>5</v>
      </c>
      <c r="Y62" s="809"/>
      <c r="Z62" s="95"/>
      <c r="AA62" s="809">
        <v>3</v>
      </c>
      <c r="AB62" s="809"/>
      <c r="AC62" s="95"/>
      <c r="AD62" s="809">
        <v>3</v>
      </c>
      <c r="AE62" s="589"/>
      <c r="AF62" s="339" t="s">
        <v>96</v>
      </c>
      <c r="AG62" s="510">
        <v>0</v>
      </c>
      <c r="AH62" s="370">
        <v>0</v>
      </c>
      <c r="AI62" s="75"/>
      <c r="AJ62" s="75"/>
      <c r="AK62" s="75"/>
      <c r="AL62" s="75"/>
      <c r="AM62" s="75"/>
      <c r="AN62" s="89" t="s">
        <v>39</v>
      </c>
      <c r="AO62" s="89"/>
      <c r="AP62" s="89"/>
      <c r="AQ62" s="407"/>
      <c r="AR62" s="89"/>
      <c r="AS62" s="469"/>
      <c r="AT62" s="89"/>
      <c r="AU62" s="661"/>
      <c r="AV62" s="335" t="s">
        <v>113</v>
      </c>
    </row>
    <row r="63" spans="1:48" ht="95.25" customHeight="1" outlineLevel="3" x14ac:dyDescent="0.25">
      <c r="A63" s="63" t="str">
        <f t="shared" si="1"/>
        <v>1.1.1.2.11.64</v>
      </c>
      <c r="B63" s="63">
        <v>1</v>
      </c>
      <c r="C63" s="63">
        <v>1</v>
      </c>
      <c r="D63" s="63">
        <v>1</v>
      </c>
      <c r="E63" s="63">
        <v>2</v>
      </c>
      <c r="F63" s="63">
        <v>11</v>
      </c>
      <c r="G63" s="64">
        <v>64</v>
      </c>
      <c r="H63" s="63"/>
      <c r="I63" s="63"/>
      <c r="J63" s="90"/>
      <c r="K63" s="91" t="s">
        <v>114</v>
      </c>
      <c r="L63" s="64" t="s">
        <v>75</v>
      </c>
      <c r="M63" s="68" t="s">
        <v>52</v>
      </c>
      <c r="N63" s="64" t="s">
        <v>47</v>
      </c>
      <c r="O63" s="64" t="s">
        <v>44</v>
      </c>
      <c r="P63" s="69">
        <v>44571</v>
      </c>
      <c r="Q63" s="69">
        <v>44925</v>
      </c>
      <c r="R63" s="64"/>
      <c r="S63" s="339" t="s">
        <v>93</v>
      </c>
      <c r="T63" s="295">
        <v>1</v>
      </c>
      <c r="U63" s="170"/>
      <c r="V63" s="794">
        <f t="shared" si="13"/>
        <v>0</v>
      </c>
      <c r="W63" s="88">
        <v>2</v>
      </c>
      <c r="X63" s="88"/>
      <c r="Y63" s="87"/>
      <c r="Z63" s="88">
        <v>3</v>
      </c>
      <c r="AA63" s="88"/>
      <c r="AB63" s="87"/>
      <c r="AC63" s="88">
        <v>3</v>
      </c>
      <c r="AE63" s="589"/>
      <c r="AF63" s="339" t="s">
        <v>96</v>
      </c>
      <c r="AG63" s="510">
        <v>0</v>
      </c>
      <c r="AH63" s="370">
        <v>0</v>
      </c>
      <c r="AI63" s="75"/>
      <c r="AJ63" s="75"/>
      <c r="AK63" s="75"/>
      <c r="AL63" s="75"/>
      <c r="AM63" s="75"/>
      <c r="AN63" s="89" t="s">
        <v>39</v>
      </c>
      <c r="AO63" s="89"/>
      <c r="AP63" s="89"/>
      <c r="AQ63" s="407"/>
      <c r="AR63" s="89"/>
      <c r="AS63" s="469"/>
      <c r="AT63" s="89"/>
      <c r="AU63" s="661"/>
      <c r="AV63" s="336" t="s">
        <v>115</v>
      </c>
    </row>
    <row r="64" spans="1:48" ht="96.75" customHeight="1" outlineLevel="3" x14ac:dyDescent="0.25">
      <c r="A64" s="63" t="str">
        <f t="shared" si="1"/>
        <v>1.1.1.2.12.61</v>
      </c>
      <c r="B64" s="63">
        <v>1</v>
      </c>
      <c r="C64" s="63">
        <v>1</v>
      </c>
      <c r="D64" s="63">
        <v>1</v>
      </c>
      <c r="E64" s="63">
        <v>2</v>
      </c>
      <c r="F64" s="63">
        <v>12</v>
      </c>
      <c r="G64" s="64">
        <v>61</v>
      </c>
      <c r="H64" s="63"/>
      <c r="I64" s="63"/>
      <c r="J64" s="90"/>
      <c r="K64" s="91" t="s">
        <v>116</v>
      </c>
      <c r="L64" s="64" t="s">
        <v>75</v>
      </c>
      <c r="M64" s="68" t="s">
        <v>52</v>
      </c>
      <c r="N64" s="64" t="s">
        <v>47</v>
      </c>
      <c r="O64" s="64" t="s">
        <v>44</v>
      </c>
      <c r="P64" s="69">
        <v>44571</v>
      </c>
      <c r="Q64" s="69">
        <v>44925</v>
      </c>
      <c r="R64" s="64"/>
      <c r="S64" s="339" t="s">
        <v>93</v>
      </c>
      <c r="T64" s="295">
        <v>2</v>
      </c>
      <c r="U64" s="170"/>
      <c r="V64" s="794">
        <f t="shared" si="13"/>
        <v>0</v>
      </c>
      <c r="W64" s="87"/>
      <c r="X64" s="88">
        <v>3</v>
      </c>
      <c r="Y64" s="88"/>
      <c r="Z64" s="87"/>
      <c r="AA64" s="88">
        <v>6</v>
      </c>
      <c r="AB64" s="88"/>
      <c r="AC64" s="87"/>
      <c r="AD64" s="88">
        <v>6</v>
      </c>
      <c r="AE64" s="589"/>
      <c r="AF64" s="339" t="s">
        <v>96</v>
      </c>
      <c r="AG64" s="510">
        <v>0</v>
      </c>
      <c r="AH64" s="370">
        <v>0</v>
      </c>
      <c r="AI64" s="75"/>
      <c r="AJ64" s="75"/>
      <c r="AK64" s="75"/>
      <c r="AL64" s="75"/>
      <c r="AM64" s="75"/>
      <c r="AN64" s="89" t="s">
        <v>39</v>
      </c>
      <c r="AO64" s="89"/>
      <c r="AP64" s="89"/>
      <c r="AQ64" s="407"/>
      <c r="AR64" s="89"/>
      <c r="AS64" s="469"/>
      <c r="AT64" s="89"/>
      <c r="AU64" s="661"/>
      <c r="AV64" s="336" t="s">
        <v>117</v>
      </c>
    </row>
    <row r="65" spans="1:48" ht="107.25" customHeight="1" outlineLevel="3" x14ac:dyDescent="0.25">
      <c r="A65" s="63" t="str">
        <f t="shared" si="1"/>
        <v>1.1.1.2.13.62</v>
      </c>
      <c r="B65" s="63">
        <v>1</v>
      </c>
      <c r="C65" s="63">
        <v>1</v>
      </c>
      <c r="D65" s="63">
        <v>1</v>
      </c>
      <c r="E65" s="63">
        <v>2</v>
      </c>
      <c r="F65" s="63">
        <v>13</v>
      </c>
      <c r="G65" s="64">
        <v>62</v>
      </c>
      <c r="H65" s="63"/>
      <c r="I65" s="63"/>
      <c r="J65" s="90"/>
      <c r="K65" s="91" t="s">
        <v>118</v>
      </c>
      <c r="L65" s="64" t="s">
        <v>75</v>
      </c>
      <c r="M65" s="68" t="s">
        <v>52</v>
      </c>
      <c r="N65" s="64" t="s">
        <v>47</v>
      </c>
      <c r="O65" s="64" t="s">
        <v>44</v>
      </c>
      <c r="P65" s="69">
        <v>44571</v>
      </c>
      <c r="Q65" s="69">
        <v>44925</v>
      </c>
      <c r="R65" s="64"/>
      <c r="S65" s="339" t="s">
        <v>93</v>
      </c>
      <c r="T65" s="295">
        <v>1</v>
      </c>
      <c r="U65" s="170"/>
      <c r="V65" s="794">
        <f t="shared" si="13"/>
        <v>0</v>
      </c>
      <c r="W65" s="87"/>
      <c r="X65" s="88">
        <v>5</v>
      </c>
      <c r="Y65" s="88"/>
      <c r="Z65" s="87"/>
      <c r="AA65" s="88">
        <v>3</v>
      </c>
      <c r="AB65" s="88"/>
      <c r="AC65" s="87"/>
      <c r="AD65" s="88">
        <v>3</v>
      </c>
      <c r="AE65" s="589"/>
      <c r="AF65" s="339" t="s">
        <v>96</v>
      </c>
      <c r="AG65" s="510">
        <v>0</v>
      </c>
      <c r="AH65" s="370">
        <v>0</v>
      </c>
      <c r="AI65" s="75"/>
      <c r="AJ65" s="75"/>
      <c r="AK65" s="75"/>
      <c r="AL65" s="75"/>
      <c r="AM65" s="75"/>
      <c r="AN65" s="89" t="s">
        <v>39</v>
      </c>
      <c r="AO65" s="89"/>
      <c r="AP65" s="89"/>
      <c r="AQ65" s="407"/>
      <c r="AR65" s="89"/>
      <c r="AS65" s="469"/>
      <c r="AT65" s="89"/>
      <c r="AU65" s="661"/>
      <c r="AV65" s="337" t="s">
        <v>119</v>
      </c>
    </row>
    <row r="66" spans="1:48" ht="94.5" customHeight="1" outlineLevel="3" x14ac:dyDescent="0.25">
      <c r="A66" s="63" t="str">
        <f t="shared" si="1"/>
        <v>1.1.1.2.14.60</v>
      </c>
      <c r="B66" s="63">
        <v>1</v>
      </c>
      <c r="C66" s="63">
        <v>1</v>
      </c>
      <c r="D66" s="63">
        <v>1</v>
      </c>
      <c r="E66" s="63">
        <v>2</v>
      </c>
      <c r="F66" s="63">
        <v>14</v>
      </c>
      <c r="G66" s="64">
        <v>60</v>
      </c>
      <c r="H66" s="63"/>
      <c r="I66" s="63"/>
      <c r="J66" s="90"/>
      <c r="K66" s="91" t="s">
        <v>120</v>
      </c>
      <c r="L66" s="64" t="s">
        <v>75</v>
      </c>
      <c r="M66" s="68" t="s">
        <v>52</v>
      </c>
      <c r="N66" s="64" t="s">
        <v>47</v>
      </c>
      <c r="O66" s="64" t="s">
        <v>44</v>
      </c>
      <c r="P66" s="69">
        <v>44571</v>
      </c>
      <c r="Q66" s="69">
        <v>44925</v>
      </c>
      <c r="R66" s="64"/>
      <c r="S66" s="339" t="s">
        <v>93</v>
      </c>
      <c r="T66" s="295">
        <v>1</v>
      </c>
      <c r="U66" s="170"/>
      <c r="V66" s="794">
        <f t="shared" si="13"/>
        <v>0</v>
      </c>
      <c r="W66" s="87"/>
      <c r="X66" s="88">
        <v>3</v>
      </c>
      <c r="Y66" s="88"/>
      <c r="Z66" s="87"/>
      <c r="AA66" s="88">
        <v>3</v>
      </c>
      <c r="AB66" s="88"/>
      <c r="AC66" s="87"/>
      <c r="AD66" s="88">
        <v>3</v>
      </c>
      <c r="AE66" s="589"/>
      <c r="AF66" s="339" t="s">
        <v>96</v>
      </c>
      <c r="AG66" s="510">
        <v>0</v>
      </c>
      <c r="AH66" s="370">
        <v>0</v>
      </c>
      <c r="AI66" s="75"/>
      <c r="AJ66" s="75"/>
      <c r="AK66" s="75"/>
      <c r="AL66" s="75"/>
      <c r="AM66" s="75"/>
      <c r="AN66" s="89" t="s">
        <v>39</v>
      </c>
      <c r="AO66" s="89"/>
      <c r="AP66" s="89"/>
      <c r="AQ66" s="407"/>
      <c r="AR66" s="89"/>
      <c r="AS66" s="469"/>
      <c r="AT66" s="89"/>
      <c r="AU66" s="661"/>
      <c r="AV66" s="336" t="s">
        <v>121</v>
      </c>
    </row>
    <row r="67" spans="1:48" ht="60" customHeight="1" outlineLevel="3" x14ac:dyDescent="0.25">
      <c r="A67" s="63" t="str">
        <f t="shared" si="1"/>
        <v>1.1.1.2.15.58</v>
      </c>
      <c r="B67" s="63">
        <v>1</v>
      </c>
      <c r="C67" s="63">
        <v>1</v>
      </c>
      <c r="D67" s="63">
        <v>1</v>
      </c>
      <c r="E67" s="63">
        <v>2</v>
      </c>
      <c r="F67" s="63">
        <v>15</v>
      </c>
      <c r="G67" s="64">
        <v>58</v>
      </c>
      <c r="H67" s="63"/>
      <c r="I67" s="63"/>
      <c r="J67" s="90"/>
      <c r="K67" s="91" t="s">
        <v>122</v>
      </c>
      <c r="L67" s="64" t="s">
        <v>72</v>
      </c>
      <c r="M67" s="64" t="s">
        <v>73</v>
      </c>
      <c r="N67" s="68" t="s">
        <v>123</v>
      </c>
      <c r="O67" s="64" t="s">
        <v>75</v>
      </c>
      <c r="P67" s="69">
        <v>44571</v>
      </c>
      <c r="Q67" s="69">
        <v>44925</v>
      </c>
      <c r="R67" s="64"/>
      <c r="S67" s="74" t="s">
        <v>73</v>
      </c>
      <c r="T67" s="812"/>
      <c r="U67" s="95">
        <f>+AH67</f>
        <v>25000</v>
      </c>
      <c r="V67" s="671">
        <f t="shared" si="13"/>
        <v>0</v>
      </c>
      <c r="W67" s="87"/>
      <c r="X67" s="87"/>
      <c r="Y67" s="87"/>
      <c r="Z67" s="87"/>
      <c r="AA67" s="87"/>
      <c r="AB67" s="87"/>
      <c r="AC67" s="87"/>
      <c r="AD67" s="87"/>
      <c r="AE67" s="93"/>
      <c r="AF67" s="339" t="s">
        <v>77</v>
      </c>
      <c r="AG67" s="510">
        <v>25000</v>
      </c>
      <c r="AH67" s="371">
        <v>25000</v>
      </c>
      <c r="AI67" s="78"/>
      <c r="AJ67" s="78"/>
      <c r="AK67" s="78"/>
      <c r="AL67" s="78"/>
      <c r="AM67" s="78"/>
      <c r="AN67" s="89" t="s">
        <v>39</v>
      </c>
      <c r="AO67" s="313"/>
      <c r="AP67" s="313"/>
      <c r="AQ67" s="408"/>
      <c r="AR67" s="89"/>
      <c r="AS67" s="470"/>
      <c r="AT67" s="89"/>
      <c r="AU67" s="661"/>
      <c r="AV67" s="1352" t="s">
        <v>124</v>
      </c>
    </row>
    <row r="68" spans="1:48" ht="60" customHeight="1" outlineLevel="3" x14ac:dyDescent="0.25">
      <c r="A68" s="63" t="str">
        <f t="shared" si="1"/>
        <v>1.1.1.2.15.59</v>
      </c>
      <c r="B68" s="63">
        <v>1</v>
      </c>
      <c r="C68" s="63">
        <v>1</v>
      </c>
      <c r="D68" s="63">
        <v>1</v>
      </c>
      <c r="E68" s="63">
        <v>2</v>
      </c>
      <c r="F68" s="63">
        <v>15</v>
      </c>
      <c r="G68" s="64">
        <v>59</v>
      </c>
      <c r="H68" s="63"/>
      <c r="I68" s="63"/>
      <c r="J68" s="90"/>
      <c r="K68" s="91" t="s">
        <v>122</v>
      </c>
      <c r="L68" s="64" t="s">
        <v>72</v>
      </c>
      <c r="M68" s="64" t="s">
        <v>73</v>
      </c>
      <c r="N68" s="68" t="s">
        <v>123</v>
      </c>
      <c r="O68" s="64" t="s">
        <v>75</v>
      </c>
      <c r="P68" s="69">
        <v>44571</v>
      </c>
      <c r="Q68" s="69">
        <v>44925</v>
      </c>
      <c r="R68" s="64"/>
      <c r="S68" s="74" t="s">
        <v>73</v>
      </c>
      <c r="T68" s="74"/>
      <c r="U68" s="87">
        <f t="shared" ref="U68:U69" si="14">+AH68</f>
        <v>25000</v>
      </c>
      <c r="V68" s="671">
        <f t="shared" si="13"/>
        <v>0</v>
      </c>
      <c r="W68" s="87"/>
      <c r="X68" s="87"/>
      <c r="Y68" s="87"/>
      <c r="Z68" s="87"/>
      <c r="AA68" s="87"/>
      <c r="AB68" s="87"/>
      <c r="AC68" s="87"/>
      <c r="AD68" s="87"/>
      <c r="AE68" s="93"/>
      <c r="AF68" s="339" t="s">
        <v>77</v>
      </c>
      <c r="AG68" s="510">
        <v>25000</v>
      </c>
      <c r="AH68" s="371">
        <v>25000</v>
      </c>
      <c r="AI68" s="78"/>
      <c r="AJ68" s="78"/>
      <c r="AK68" s="78"/>
      <c r="AL68" s="78"/>
      <c r="AM68" s="78"/>
      <c r="AN68" s="89" t="s">
        <v>39</v>
      </c>
      <c r="AO68" s="313"/>
      <c r="AP68" s="313"/>
      <c r="AQ68" s="408"/>
      <c r="AR68" s="89"/>
      <c r="AS68" s="470"/>
      <c r="AT68" s="89"/>
      <c r="AU68" s="661"/>
      <c r="AV68" s="1352"/>
    </row>
    <row r="69" spans="1:48" ht="60" customHeight="1" outlineLevel="3" x14ac:dyDescent="0.25">
      <c r="A69" s="63" t="str">
        <f t="shared" si="1"/>
        <v>1.1.1.2.15.60</v>
      </c>
      <c r="B69" s="63">
        <v>1</v>
      </c>
      <c r="C69" s="63">
        <v>1</v>
      </c>
      <c r="D69" s="63">
        <v>1</v>
      </c>
      <c r="E69" s="63">
        <v>2</v>
      </c>
      <c r="F69" s="63">
        <v>15</v>
      </c>
      <c r="G69" s="64">
        <v>60</v>
      </c>
      <c r="H69" s="63"/>
      <c r="I69" s="63"/>
      <c r="J69" s="90"/>
      <c r="K69" s="91" t="s">
        <v>122</v>
      </c>
      <c r="L69" s="64" t="s">
        <v>72</v>
      </c>
      <c r="M69" s="64" t="s">
        <v>73</v>
      </c>
      <c r="N69" s="68" t="s">
        <v>123</v>
      </c>
      <c r="O69" s="64" t="s">
        <v>75</v>
      </c>
      <c r="P69" s="69">
        <v>44571</v>
      </c>
      <c r="Q69" s="69">
        <v>44925</v>
      </c>
      <c r="R69" s="64"/>
      <c r="S69" s="74" t="s">
        <v>73</v>
      </c>
      <c r="T69" s="74"/>
      <c r="U69" s="87">
        <f t="shared" si="14"/>
        <v>25000</v>
      </c>
      <c r="V69" s="671">
        <f t="shared" si="13"/>
        <v>0</v>
      </c>
      <c r="W69" s="87"/>
      <c r="X69" s="87"/>
      <c r="Y69" s="87"/>
      <c r="Z69" s="87"/>
      <c r="AA69" s="87"/>
      <c r="AB69" s="87"/>
      <c r="AC69" s="87"/>
      <c r="AD69" s="87"/>
      <c r="AE69" s="93"/>
      <c r="AF69" s="339" t="s">
        <v>77</v>
      </c>
      <c r="AG69" s="510">
        <v>25000</v>
      </c>
      <c r="AH69" s="371">
        <v>25000</v>
      </c>
      <c r="AI69" s="78"/>
      <c r="AJ69" s="78"/>
      <c r="AK69" s="78"/>
      <c r="AL69" s="78"/>
      <c r="AM69" s="78"/>
      <c r="AN69" s="89" t="s">
        <v>39</v>
      </c>
      <c r="AO69" s="313"/>
      <c r="AP69" s="313"/>
      <c r="AQ69" s="408"/>
      <c r="AR69" s="89"/>
      <c r="AS69" s="470"/>
      <c r="AT69" s="89"/>
      <c r="AU69" s="661"/>
      <c r="AV69" s="1352"/>
    </row>
    <row r="70" spans="1:48" ht="60" customHeight="1" outlineLevel="3" x14ac:dyDescent="0.25">
      <c r="A70" s="63" t="str">
        <f t="shared" si="1"/>
        <v>1.1.1.2.15.61</v>
      </c>
      <c r="B70" s="63">
        <v>1</v>
      </c>
      <c r="C70" s="63">
        <v>1</v>
      </c>
      <c r="D70" s="63">
        <v>1</v>
      </c>
      <c r="E70" s="63">
        <v>2</v>
      </c>
      <c r="F70" s="63">
        <v>15</v>
      </c>
      <c r="G70" s="64">
        <v>61</v>
      </c>
      <c r="H70" s="63"/>
      <c r="I70" s="63"/>
      <c r="J70" s="90"/>
      <c r="K70" s="91" t="s">
        <v>122</v>
      </c>
      <c r="L70" s="64" t="s">
        <v>72</v>
      </c>
      <c r="M70" s="64" t="s">
        <v>73</v>
      </c>
      <c r="N70" s="68" t="s">
        <v>123</v>
      </c>
      <c r="O70" s="64" t="s">
        <v>75</v>
      </c>
      <c r="P70" s="69">
        <v>44571</v>
      </c>
      <c r="Q70" s="69">
        <v>44925</v>
      </c>
      <c r="R70" s="64"/>
      <c r="S70" s="74" t="s">
        <v>73</v>
      </c>
      <c r="T70" s="74"/>
      <c r="U70" s="87">
        <f>+AH70</f>
        <v>25000</v>
      </c>
      <c r="V70" s="671">
        <f t="shared" si="13"/>
        <v>0</v>
      </c>
      <c r="W70" s="87"/>
      <c r="X70" s="87"/>
      <c r="Y70" s="87"/>
      <c r="Z70" s="87"/>
      <c r="AA70" s="87"/>
      <c r="AB70" s="87"/>
      <c r="AC70" s="87"/>
      <c r="AD70" s="87"/>
      <c r="AE70" s="93"/>
      <c r="AF70" s="339" t="s">
        <v>77</v>
      </c>
      <c r="AG70" s="510">
        <v>25000</v>
      </c>
      <c r="AH70" s="371">
        <v>25000</v>
      </c>
      <c r="AI70" s="78"/>
      <c r="AJ70" s="78"/>
      <c r="AK70" s="78"/>
      <c r="AL70" s="78"/>
      <c r="AM70" s="78"/>
      <c r="AN70" s="89" t="s">
        <v>39</v>
      </c>
      <c r="AO70" s="313"/>
      <c r="AP70" s="313"/>
      <c r="AQ70" s="408"/>
      <c r="AR70" s="89"/>
      <c r="AS70" s="470"/>
      <c r="AT70" s="89"/>
      <c r="AU70" s="661"/>
      <c r="AV70" s="1352"/>
    </row>
    <row r="71" spans="1:48" ht="60" customHeight="1" outlineLevel="3" x14ac:dyDescent="0.25">
      <c r="A71" s="63" t="str">
        <f t="shared" si="1"/>
        <v>1.1.1.2.15.62</v>
      </c>
      <c r="B71" s="63">
        <v>1</v>
      </c>
      <c r="C71" s="63">
        <v>1</v>
      </c>
      <c r="D71" s="63">
        <v>1</v>
      </c>
      <c r="E71" s="63">
        <v>2</v>
      </c>
      <c r="F71" s="63">
        <v>15</v>
      </c>
      <c r="G71" s="64">
        <v>62</v>
      </c>
      <c r="H71" s="63"/>
      <c r="I71" s="63"/>
      <c r="J71" s="90"/>
      <c r="K71" s="91" t="s">
        <v>122</v>
      </c>
      <c r="L71" s="64" t="s">
        <v>72</v>
      </c>
      <c r="M71" s="64" t="s">
        <v>73</v>
      </c>
      <c r="N71" s="68" t="s">
        <v>123</v>
      </c>
      <c r="O71" s="64" t="s">
        <v>75</v>
      </c>
      <c r="P71" s="69">
        <v>44571</v>
      </c>
      <c r="Q71" s="69">
        <v>44925</v>
      </c>
      <c r="R71" s="64"/>
      <c r="S71" s="74" t="s">
        <v>73</v>
      </c>
      <c r="T71" s="74"/>
      <c r="U71" s="87">
        <v>25000</v>
      </c>
      <c r="V71" s="671">
        <f t="shared" si="13"/>
        <v>0</v>
      </c>
      <c r="W71" s="87"/>
      <c r="X71" s="87"/>
      <c r="Y71" s="87"/>
      <c r="Z71" s="87"/>
      <c r="AA71" s="87"/>
      <c r="AB71" s="87"/>
      <c r="AC71" s="87"/>
      <c r="AD71" s="87"/>
      <c r="AE71" s="93"/>
      <c r="AF71" s="339" t="s">
        <v>77</v>
      </c>
      <c r="AG71" s="510">
        <v>25000</v>
      </c>
      <c r="AH71" s="371">
        <v>25000</v>
      </c>
      <c r="AI71" s="78"/>
      <c r="AJ71" s="78"/>
      <c r="AK71" s="78"/>
      <c r="AL71" s="78"/>
      <c r="AM71" s="78"/>
      <c r="AN71" s="89" t="s">
        <v>39</v>
      </c>
      <c r="AO71" s="313"/>
      <c r="AP71" s="313"/>
      <c r="AQ71" s="408"/>
      <c r="AR71" s="89"/>
      <c r="AS71" s="470"/>
      <c r="AT71" s="89"/>
      <c r="AU71" s="661"/>
      <c r="AV71" s="1352"/>
    </row>
    <row r="72" spans="1:48" ht="60" customHeight="1" outlineLevel="3" x14ac:dyDescent="0.25">
      <c r="A72" s="63" t="str">
        <f t="shared" si="1"/>
        <v>1.1.1.2.15.63</v>
      </c>
      <c r="B72" s="63">
        <v>1</v>
      </c>
      <c r="C72" s="63">
        <v>1</v>
      </c>
      <c r="D72" s="63">
        <v>1</v>
      </c>
      <c r="E72" s="63">
        <v>2</v>
      </c>
      <c r="F72" s="63">
        <v>15</v>
      </c>
      <c r="G72" s="64">
        <v>63</v>
      </c>
      <c r="H72" s="63"/>
      <c r="I72" s="63"/>
      <c r="J72" s="90"/>
      <c r="K72" s="91" t="s">
        <v>122</v>
      </c>
      <c r="L72" s="64" t="s">
        <v>72</v>
      </c>
      <c r="M72" s="64" t="s">
        <v>73</v>
      </c>
      <c r="N72" s="68" t="s">
        <v>123</v>
      </c>
      <c r="O72" s="64" t="s">
        <v>75</v>
      </c>
      <c r="P72" s="69">
        <v>44571</v>
      </c>
      <c r="Q72" s="69">
        <v>44925</v>
      </c>
      <c r="R72" s="64"/>
      <c r="S72" s="74" t="s">
        <v>73</v>
      </c>
      <c r="T72" s="74"/>
      <c r="U72" s="87">
        <v>25000</v>
      </c>
      <c r="V72" s="671">
        <f t="shared" si="13"/>
        <v>0</v>
      </c>
      <c r="W72" s="87"/>
      <c r="X72" s="87"/>
      <c r="Y72" s="87"/>
      <c r="Z72" s="87"/>
      <c r="AA72" s="87"/>
      <c r="AB72" s="87"/>
      <c r="AC72" s="87"/>
      <c r="AD72" s="87"/>
      <c r="AE72" s="93"/>
      <c r="AF72" s="339" t="s">
        <v>77</v>
      </c>
      <c r="AG72" s="510">
        <v>25000</v>
      </c>
      <c r="AH72" s="371">
        <v>25000</v>
      </c>
      <c r="AI72" s="78"/>
      <c r="AJ72" s="78"/>
      <c r="AK72" s="78"/>
      <c r="AL72" s="78"/>
      <c r="AM72" s="78"/>
      <c r="AN72" s="89" t="s">
        <v>39</v>
      </c>
      <c r="AO72" s="313"/>
      <c r="AP72" s="313"/>
      <c r="AQ72" s="408"/>
      <c r="AR72" s="89"/>
      <c r="AS72" s="470"/>
      <c r="AT72" s="89"/>
      <c r="AU72" s="661"/>
      <c r="AV72" s="1352"/>
    </row>
    <row r="73" spans="1:48" ht="60" customHeight="1" outlineLevel="3" x14ac:dyDescent="0.25">
      <c r="A73" s="63" t="str">
        <f t="shared" si="1"/>
        <v>1.1.1.2.15.64</v>
      </c>
      <c r="B73" s="63">
        <v>1</v>
      </c>
      <c r="C73" s="63">
        <v>1</v>
      </c>
      <c r="D73" s="63">
        <v>1</v>
      </c>
      <c r="E73" s="63">
        <v>2</v>
      </c>
      <c r="F73" s="63">
        <v>15</v>
      </c>
      <c r="G73" s="64">
        <v>64</v>
      </c>
      <c r="H73" s="63"/>
      <c r="I73" s="63"/>
      <c r="J73" s="90"/>
      <c r="K73" s="91" t="s">
        <v>122</v>
      </c>
      <c r="L73" s="64" t="s">
        <v>72</v>
      </c>
      <c r="M73" s="64" t="s">
        <v>73</v>
      </c>
      <c r="N73" s="68" t="s">
        <v>123</v>
      </c>
      <c r="O73" s="64" t="s">
        <v>75</v>
      </c>
      <c r="P73" s="69">
        <v>44571</v>
      </c>
      <c r="Q73" s="69">
        <v>44925</v>
      </c>
      <c r="R73" s="64"/>
      <c r="S73" s="74" t="s">
        <v>73</v>
      </c>
      <c r="T73" s="74"/>
      <c r="U73" s="87">
        <v>25000</v>
      </c>
      <c r="V73" s="671">
        <f t="shared" si="13"/>
        <v>0</v>
      </c>
      <c r="W73" s="87"/>
      <c r="X73" s="87"/>
      <c r="Y73" s="87"/>
      <c r="Z73" s="87"/>
      <c r="AA73" s="87"/>
      <c r="AB73" s="87"/>
      <c r="AC73" s="87"/>
      <c r="AD73" s="87"/>
      <c r="AE73" s="93"/>
      <c r="AF73" s="339" t="s">
        <v>77</v>
      </c>
      <c r="AG73" s="510">
        <v>25000</v>
      </c>
      <c r="AH73" s="371">
        <v>25000</v>
      </c>
      <c r="AI73" s="78"/>
      <c r="AJ73" s="78"/>
      <c r="AK73" s="78"/>
      <c r="AL73" s="78"/>
      <c r="AM73" s="78"/>
      <c r="AN73" s="89" t="s">
        <v>39</v>
      </c>
      <c r="AO73" s="313"/>
      <c r="AP73" s="313"/>
      <c r="AQ73" s="408"/>
      <c r="AR73" s="89"/>
      <c r="AS73" s="470"/>
      <c r="AT73" s="89"/>
      <c r="AU73" s="661"/>
      <c r="AV73" s="1352"/>
    </row>
    <row r="74" spans="1:48" ht="60" customHeight="1" outlineLevel="3" x14ac:dyDescent="0.25">
      <c r="A74" s="63" t="str">
        <f t="shared" si="1"/>
        <v>1.1.1.2.16.58</v>
      </c>
      <c r="B74" s="63">
        <v>1</v>
      </c>
      <c r="C74" s="63">
        <v>1</v>
      </c>
      <c r="D74" s="63">
        <v>1</v>
      </c>
      <c r="E74" s="63">
        <v>2</v>
      </c>
      <c r="F74" s="63">
        <v>16</v>
      </c>
      <c r="G74" s="64">
        <v>58</v>
      </c>
      <c r="H74" s="63"/>
      <c r="I74" s="63"/>
      <c r="J74" s="90"/>
      <c r="K74" s="91" t="s">
        <v>125</v>
      </c>
      <c r="L74" s="64" t="s">
        <v>72</v>
      </c>
      <c r="M74" s="64" t="s">
        <v>73</v>
      </c>
      <c r="N74" s="68" t="s">
        <v>123</v>
      </c>
      <c r="O74" s="64" t="s">
        <v>75</v>
      </c>
      <c r="P74" s="69">
        <v>44571</v>
      </c>
      <c r="Q74" s="69">
        <v>44925</v>
      </c>
      <c r="R74" s="64"/>
      <c r="S74" s="74" t="s">
        <v>73</v>
      </c>
      <c r="T74" s="74"/>
      <c r="U74" s="87"/>
      <c r="V74" s="671">
        <f t="shared" si="13"/>
        <v>0</v>
      </c>
      <c r="W74" s="87"/>
      <c r="X74" s="87"/>
      <c r="Y74" s="87"/>
      <c r="Z74" s="87"/>
      <c r="AA74" s="87"/>
      <c r="AB74" s="87"/>
      <c r="AC74" s="87"/>
      <c r="AD74" s="87"/>
      <c r="AE74" s="93"/>
      <c r="AF74" s="339" t="s">
        <v>126</v>
      </c>
      <c r="AG74" s="510">
        <v>0</v>
      </c>
      <c r="AH74" s="370">
        <v>0</v>
      </c>
      <c r="AI74" s="75"/>
      <c r="AJ74" s="75"/>
      <c r="AK74" s="75"/>
      <c r="AL74" s="75"/>
      <c r="AM74" s="75"/>
      <c r="AN74" s="89" t="s">
        <v>39</v>
      </c>
      <c r="AO74" s="89"/>
      <c r="AP74" s="89"/>
      <c r="AQ74" s="407"/>
      <c r="AR74" s="89"/>
      <c r="AS74" s="469"/>
      <c r="AT74" s="89"/>
      <c r="AU74" s="661"/>
      <c r="AV74" s="335" t="s">
        <v>127</v>
      </c>
    </row>
    <row r="75" spans="1:48" ht="60" customHeight="1" outlineLevel="3" x14ac:dyDescent="0.25">
      <c r="A75" s="63" t="str">
        <f t="shared" si="1"/>
        <v>1.1.1.2.16.59</v>
      </c>
      <c r="B75" s="63">
        <v>1</v>
      </c>
      <c r="C75" s="63">
        <v>1</v>
      </c>
      <c r="D75" s="63">
        <v>1</v>
      </c>
      <c r="E75" s="63">
        <v>2</v>
      </c>
      <c r="F75" s="63">
        <v>16</v>
      </c>
      <c r="G75" s="64">
        <v>59</v>
      </c>
      <c r="H75" s="63"/>
      <c r="I75" s="63"/>
      <c r="J75" s="90"/>
      <c r="K75" s="91" t="s">
        <v>128</v>
      </c>
      <c r="L75" s="64" t="s">
        <v>72</v>
      </c>
      <c r="M75" s="64" t="s">
        <v>73</v>
      </c>
      <c r="N75" s="68" t="s">
        <v>123</v>
      </c>
      <c r="O75" s="64" t="s">
        <v>75</v>
      </c>
      <c r="P75" s="69">
        <v>44571</v>
      </c>
      <c r="Q75" s="69">
        <v>44925</v>
      </c>
      <c r="R75" s="64"/>
      <c r="S75" s="74" t="s">
        <v>73</v>
      </c>
      <c r="T75" s="74"/>
      <c r="U75" s="87"/>
      <c r="V75" s="671">
        <f t="shared" si="13"/>
        <v>0</v>
      </c>
      <c r="W75" s="87"/>
      <c r="X75" s="87"/>
      <c r="Y75" s="87"/>
      <c r="Z75" s="87"/>
      <c r="AA75" s="87"/>
      <c r="AB75" s="87"/>
      <c r="AC75" s="87"/>
      <c r="AD75" s="87"/>
      <c r="AE75" s="93"/>
      <c r="AF75" s="339" t="s">
        <v>129</v>
      </c>
      <c r="AG75" s="510">
        <v>0</v>
      </c>
      <c r="AH75" s="370">
        <v>0</v>
      </c>
      <c r="AI75" s="75"/>
      <c r="AJ75" s="75"/>
      <c r="AK75" s="75"/>
      <c r="AL75" s="75"/>
      <c r="AM75" s="75"/>
      <c r="AN75" s="89" t="s">
        <v>39</v>
      </c>
      <c r="AO75" s="89"/>
      <c r="AP75" s="89"/>
      <c r="AQ75" s="407"/>
      <c r="AR75" s="89"/>
      <c r="AS75" s="469"/>
      <c r="AT75" s="89"/>
      <c r="AU75" s="661"/>
      <c r="AV75" s="335" t="s">
        <v>127</v>
      </c>
    </row>
    <row r="76" spans="1:48" ht="60" customHeight="1" outlineLevel="3" x14ac:dyDescent="0.25">
      <c r="A76" s="63" t="str">
        <f t="shared" si="1"/>
        <v>1.1.1.2.16.60</v>
      </c>
      <c r="B76" s="63">
        <v>1</v>
      </c>
      <c r="C76" s="63">
        <v>1</v>
      </c>
      <c r="D76" s="63">
        <v>1</v>
      </c>
      <c r="E76" s="63">
        <v>2</v>
      </c>
      <c r="F76" s="63">
        <v>16</v>
      </c>
      <c r="G76" s="64">
        <v>60</v>
      </c>
      <c r="H76" s="63"/>
      <c r="I76" s="63"/>
      <c r="J76" s="90"/>
      <c r="K76" s="91" t="s">
        <v>130</v>
      </c>
      <c r="L76" s="64" t="s">
        <v>72</v>
      </c>
      <c r="M76" s="64" t="s">
        <v>73</v>
      </c>
      <c r="N76" s="68" t="s">
        <v>123</v>
      </c>
      <c r="O76" s="64" t="s">
        <v>75</v>
      </c>
      <c r="P76" s="69">
        <v>44571</v>
      </c>
      <c r="Q76" s="69">
        <v>44925</v>
      </c>
      <c r="R76" s="64"/>
      <c r="S76" s="74" t="s">
        <v>73</v>
      </c>
      <c r="T76" s="74"/>
      <c r="U76" s="87"/>
      <c r="V76" s="671">
        <f t="shared" si="13"/>
        <v>0</v>
      </c>
      <c r="W76" s="87"/>
      <c r="X76" s="87"/>
      <c r="Y76" s="87"/>
      <c r="Z76" s="87"/>
      <c r="AA76" s="87"/>
      <c r="AB76" s="87"/>
      <c r="AC76" s="87"/>
      <c r="AD76" s="87"/>
      <c r="AE76" s="93"/>
      <c r="AF76" s="339" t="s">
        <v>129</v>
      </c>
      <c r="AG76" s="510">
        <v>0</v>
      </c>
      <c r="AH76" s="370">
        <v>0</v>
      </c>
      <c r="AI76" s="75"/>
      <c r="AJ76" s="75"/>
      <c r="AK76" s="75"/>
      <c r="AL76" s="75"/>
      <c r="AM76" s="75"/>
      <c r="AN76" s="89" t="s">
        <v>39</v>
      </c>
      <c r="AO76" s="89"/>
      <c r="AP76" s="89"/>
      <c r="AQ76" s="407"/>
      <c r="AR76" s="89"/>
      <c r="AS76" s="469"/>
      <c r="AT76" s="89"/>
      <c r="AU76" s="661"/>
      <c r="AV76" s="335" t="s">
        <v>127</v>
      </c>
    </row>
    <row r="77" spans="1:48" ht="60" customHeight="1" outlineLevel="3" x14ac:dyDescent="0.25">
      <c r="A77" s="63" t="str">
        <f t="shared" si="1"/>
        <v>1.1.1.2.16.61</v>
      </c>
      <c r="B77" s="63">
        <v>1</v>
      </c>
      <c r="C77" s="63">
        <v>1</v>
      </c>
      <c r="D77" s="63">
        <v>1</v>
      </c>
      <c r="E77" s="63">
        <v>2</v>
      </c>
      <c r="F77" s="63">
        <v>16</v>
      </c>
      <c r="G77" s="64">
        <v>61</v>
      </c>
      <c r="H77" s="63"/>
      <c r="I77" s="63"/>
      <c r="J77" s="90"/>
      <c r="K77" s="91" t="s">
        <v>131</v>
      </c>
      <c r="L77" s="64" t="s">
        <v>72</v>
      </c>
      <c r="M77" s="64" t="s">
        <v>73</v>
      </c>
      <c r="N77" s="68" t="s">
        <v>123</v>
      </c>
      <c r="O77" s="64" t="s">
        <v>75</v>
      </c>
      <c r="P77" s="69">
        <v>44571</v>
      </c>
      <c r="Q77" s="69">
        <v>44925</v>
      </c>
      <c r="R77" s="64"/>
      <c r="S77" s="74" t="s">
        <v>73</v>
      </c>
      <c r="T77" s="74"/>
      <c r="U77" s="87"/>
      <c r="V77" s="671">
        <f t="shared" si="13"/>
        <v>0</v>
      </c>
      <c r="W77" s="87"/>
      <c r="X77" s="87"/>
      <c r="Y77" s="87"/>
      <c r="Z77" s="87"/>
      <c r="AA77" s="87"/>
      <c r="AB77" s="87"/>
      <c r="AC77" s="87"/>
      <c r="AD77" s="87"/>
      <c r="AE77" s="93"/>
      <c r="AF77" s="339" t="s">
        <v>129</v>
      </c>
      <c r="AG77" s="510">
        <v>0</v>
      </c>
      <c r="AH77" s="370">
        <v>0</v>
      </c>
      <c r="AI77" s="75"/>
      <c r="AJ77" s="75"/>
      <c r="AK77" s="75"/>
      <c r="AL77" s="75"/>
      <c r="AM77" s="75"/>
      <c r="AN77" s="89" t="s">
        <v>39</v>
      </c>
      <c r="AO77" s="89"/>
      <c r="AP77" s="89"/>
      <c r="AQ77" s="407"/>
      <c r="AR77" s="89"/>
      <c r="AS77" s="469"/>
      <c r="AT77" s="89"/>
      <c r="AU77" s="661"/>
      <c r="AV77" s="335" t="s">
        <v>127</v>
      </c>
    </row>
    <row r="78" spans="1:48" ht="60" customHeight="1" outlineLevel="3" x14ac:dyDescent="0.25">
      <c r="A78" s="63" t="str">
        <f t="shared" si="1"/>
        <v>1.1.1.2.16.62</v>
      </c>
      <c r="B78" s="63">
        <v>1</v>
      </c>
      <c r="C78" s="63">
        <v>1</v>
      </c>
      <c r="D78" s="63">
        <v>1</v>
      </c>
      <c r="E78" s="63">
        <v>2</v>
      </c>
      <c r="F78" s="63">
        <v>16</v>
      </c>
      <c r="G78" s="64">
        <v>62</v>
      </c>
      <c r="H78" s="63"/>
      <c r="I78" s="63"/>
      <c r="J78" s="90"/>
      <c r="K78" s="91" t="s">
        <v>132</v>
      </c>
      <c r="L78" s="64" t="s">
        <v>72</v>
      </c>
      <c r="M78" s="64" t="s">
        <v>73</v>
      </c>
      <c r="N78" s="68" t="s">
        <v>123</v>
      </c>
      <c r="O78" s="64" t="s">
        <v>75</v>
      </c>
      <c r="P78" s="69">
        <v>44571</v>
      </c>
      <c r="Q78" s="69">
        <v>44925</v>
      </c>
      <c r="R78" s="64"/>
      <c r="S78" s="74" t="s">
        <v>73</v>
      </c>
      <c r="T78" s="74"/>
      <c r="U78" s="87"/>
      <c r="V78" s="671">
        <f t="shared" si="13"/>
        <v>0</v>
      </c>
      <c r="W78" s="87"/>
      <c r="X78" s="87"/>
      <c r="Y78" s="87"/>
      <c r="Z78" s="87"/>
      <c r="AA78" s="87"/>
      <c r="AB78" s="87"/>
      <c r="AC78" s="87"/>
      <c r="AD78" s="87"/>
      <c r="AE78" s="93"/>
      <c r="AF78" s="339" t="s">
        <v>129</v>
      </c>
      <c r="AG78" s="510">
        <v>0</v>
      </c>
      <c r="AH78" s="370">
        <v>0</v>
      </c>
      <c r="AI78" s="75"/>
      <c r="AJ78" s="75"/>
      <c r="AK78" s="75"/>
      <c r="AL78" s="75"/>
      <c r="AM78" s="75"/>
      <c r="AN78" s="89" t="s">
        <v>39</v>
      </c>
      <c r="AO78" s="89"/>
      <c r="AP78" s="89"/>
      <c r="AQ78" s="407"/>
      <c r="AR78" s="89"/>
      <c r="AS78" s="469"/>
      <c r="AT78" s="89"/>
      <c r="AU78" s="661"/>
      <c r="AV78" s="335" t="s">
        <v>127</v>
      </c>
    </row>
    <row r="79" spans="1:48" ht="60" customHeight="1" outlineLevel="3" x14ac:dyDescent="0.25">
      <c r="A79" s="63" t="str">
        <f t="shared" si="1"/>
        <v>1.1.1.2.16.63</v>
      </c>
      <c r="B79" s="63">
        <v>1</v>
      </c>
      <c r="C79" s="63">
        <v>1</v>
      </c>
      <c r="D79" s="63">
        <v>1</v>
      </c>
      <c r="E79" s="63">
        <v>2</v>
      </c>
      <c r="F79" s="63">
        <v>16</v>
      </c>
      <c r="G79" s="64">
        <v>63</v>
      </c>
      <c r="H79" s="63"/>
      <c r="I79" s="63"/>
      <c r="J79" s="90"/>
      <c r="K79" s="91" t="s">
        <v>1721</v>
      </c>
      <c r="L79" s="64" t="s">
        <v>72</v>
      </c>
      <c r="M79" s="64" t="s">
        <v>73</v>
      </c>
      <c r="N79" s="68" t="s">
        <v>123</v>
      </c>
      <c r="O79" s="64" t="s">
        <v>75</v>
      </c>
      <c r="P79" s="69">
        <v>44571</v>
      </c>
      <c r="Q79" s="69">
        <v>44925</v>
      </c>
      <c r="R79" s="64"/>
      <c r="S79" s="74" t="s">
        <v>73</v>
      </c>
      <c r="T79" s="74"/>
      <c r="U79" s="87"/>
      <c r="V79" s="671">
        <f t="shared" si="13"/>
        <v>0</v>
      </c>
      <c r="W79" s="87"/>
      <c r="X79" s="87"/>
      <c r="Y79" s="87"/>
      <c r="Z79" s="87"/>
      <c r="AA79" s="87"/>
      <c r="AB79" s="87"/>
      <c r="AC79" s="87"/>
      <c r="AD79" s="87"/>
      <c r="AE79" s="93"/>
      <c r="AF79" s="339" t="s">
        <v>129</v>
      </c>
      <c r="AG79" s="510">
        <v>0</v>
      </c>
      <c r="AH79" s="370">
        <v>0</v>
      </c>
      <c r="AI79" s="75"/>
      <c r="AJ79" s="75"/>
      <c r="AK79" s="75"/>
      <c r="AL79" s="75"/>
      <c r="AM79" s="75"/>
      <c r="AN79" s="89" t="s">
        <v>39</v>
      </c>
      <c r="AO79" s="89"/>
      <c r="AP79" s="89"/>
      <c r="AQ79" s="407"/>
      <c r="AR79" s="89"/>
      <c r="AS79" s="469"/>
      <c r="AT79" s="89"/>
      <c r="AU79" s="661"/>
      <c r="AV79" s="335" t="s">
        <v>127</v>
      </c>
    </row>
    <row r="80" spans="1:48" ht="60" customHeight="1" outlineLevel="3" x14ac:dyDescent="0.25">
      <c r="A80" s="63" t="str">
        <f t="shared" si="1"/>
        <v>1.1.1.2.16.64</v>
      </c>
      <c r="B80" s="63">
        <v>1</v>
      </c>
      <c r="C80" s="63">
        <v>1</v>
      </c>
      <c r="D80" s="63">
        <v>1</v>
      </c>
      <c r="E80" s="63">
        <v>2</v>
      </c>
      <c r="F80" s="63">
        <v>16</v>
      </c>
      <c r="G80" s="64">
        <v>64</v>
      </c>
      <c r="H80" s="63"/>
      <c r="I80" s="63"/>
      <c r="J80" s="90"/>
      <c r="K80" s="91" t="s">
        <v>133</v>
      </c>
      <c r="L80" s="64" t="s">
        <v>72</v>
      </c>
      <c r="M80" s="64" t="s">
        <v>73</v>
      </c>
      <c r="N80" s="68" t="s">
        <v>123</v>
      </c>
      <c r="O80" s="64" t="s">
        <v>75</v>
      </c>
      <c r="P80" s="69">
        <v>44571</v>
      </c>
      <c r="Q80" s="69">
        <v>44925</v>
      </c>
      <c r="R80" s="64"/>
      <c r="S80" s="74" t="s">
        <v>73</v>
      </c>
      <c r="T80" s="74"/>
      <c r="U80" s="87"/>
      <c r="V80" s="671">
        <f t="shared" si="13"/>
        <v>0</v>
      </c>
      <c r="W80" s="87"/>
      <c r="X80" s="87"/>
      <c r="Y80" s="87"/>
      <c r="Z80" s="87"/>
      <c r="AA80" s="87"/>
      <c r="AB80" s="87"/>
      <c r="AC80" s="87"/>
      <c r="AD80" s="87"/>
      <c r="AE80" s="93"/>
      <c r="AF80" s="339" t="s">
        <v>129</v>
      </c>
      <c r="AG80" s="510">
        <v>0</v>
      </c>
      <c r="AH80" s="370">
        <v>0</v>
      </c>
      <c r="AI80" s="75"/>
      <c r="AJ80" s="75"/>
      <c r="AK80" s="75"/>
      <c r="AL80" s="75"/>
      <c r="AM80" s="75"/>
      <c r="AN80" s="89" t="s">
        <v>39</v>
      </c>
      <c r="AO80" s="89"/>
      <c r="AP80" s="89"/>
      <c r="AQ80" s="407"/>
      <c r="AR80" s="89"/>
      <c r="AS80" s="469"/>
      <c r="AT80" s="89"/>
      <c r="AU80" s="661"/>
      <c r="AV80" s="335" t="s">
        <v>127</v>
      </c>
    </row>
    <row r="81" spans="1:48" ht="60" customHeight="1" outlineLevel="3" x14ac:dyDescent="0.25">
      <c r="A81" s="63" t="str">
        <f t="shared" si="1"/>
        <v>1.1.1.2.18.58</v>
      </c>
      <c r="B81" s="63">
        <v>1</v>
      </c>
      <c r="C81" s="63">
        <v>1</v>
      </c>
      <c r="D81" s="63">
        <v>1</v>
      </c>
      <c r="E81" s="63">
        <v>2</v>
      </c>
      <c r="F81" s="63">
        <v>18</v>
      </c>
      <c r="G81" s="64">
        <v>58</v>
      </c>
      <c r="H81" s="63"/>
      <c r="I81" s="63"/>
      <c r="J81" s="90"/>
      <c r="K81" s="91" t="s">
        <v>134</v>
      </c>
      <c r="L81" s="64" t="s">
        <v>72</v>
      </c>
      <c r="M81" s="64" t="s">
        <v>73</v>
      </c>
      <c r="N81" s="68" t="s">
        <v>123</v>
      </c>
      <c r="O81" s="64" t="s">
        <v>75</v>
      </c>
      <c r="P81" s="69">
        <v>44571</v>
      </c>
      <c r="Q81" s="69">
        <v>44925</v>
      </c>
      <c r="R81" s="64"/>
      <c r="S81" s="74" t="s">
        <v>73</v>
      </c>
      <c r="T81" s="74"/>
      <c r="U81" s="87">
        <f>+AH81</f>
        <v>21428.57</v>
      </c>
      <c r="V81" s="671">
        <f t="shared" si="13"/>
        <v>0</v>
      </c>
      <c r="W81" s="87"/>
      <c r="X81" s="87"/>
      <c r="Y81" s="87"/>
      <c r="Z81" s="87"/>
      <c r="AA81" s="87"/>
      <c r="AB81" s="87"/>
      <c r="AC81" s="87"/>
      <c r="AD81" s="87"/>
      <c r="AE81" s="93"/>
      <c r="AF81" s="339" t="s">
        <v>135</v>
      </c>
      <c r="AG81" s="510">
        <v>21428.57</v>
      </c>
      <c r="AH81" s="370">
        <v>21428.57</v>
      </c>
      <c r="AI81" s="75"/>
      <c r="AJ81" s="75"/>
      <c r="AK81" s="75"/>
      <c r="AL81" s="75"/>
      <c r="AM81" s="75"/>
      <c r="AN81" s="89" t="s">
        <v>39</v>
      </c>
      <c r="AO81" s="313"/>
      <c r="AP81" s="313"/>
      <c r="AQ81" s="408"/>
      <c r="AR81" s="89"/>
      <c r="AS81" s="470"/>
      <c r="AT81" s="89"/>
      <c r="AU81" s="661"/>
      <c r="AV81" s="1274" t="s">
        <v>136</v>
      </c>
    </row>
    <row r="82" spans="1:48" ht="60" customHeight="1" outlineLevel="3" x14ac:dyDescent="0.25">
      <c r="A82" s="63" t="str">
        <f t="shared" si="1"/>
        <v>1.1.1.2.18.59</v>
      </c>
      <c r="B82" s="63">
        <v>1</v>
      </c>
      <c r="C82" s="63">
        <v>1</v>
      </c>
      <c r="D82" s="63">
        <v>1</v>
      </c>
      <c r="E82" s="63">
        <v>2</v>
      </c>
      <c r="F82" s="63">
        <v>18</v>
      </c>
      <c r="G82" s="64">
        <v>59</v>
      </c>
      <c r="H82" s="63"/>
      <c r="I82" s="63"/>
      <c r="J82" s="90"/>
      <c r="K82" s="91" t="s">
        <v>137</v>
      </c>
      <c r="L82" s="64" t="s">
        <v>72</v>
      </c>
      <c r="M82" s="64" t="s">
        <v>73</v>
      </c>
      <c r="N82" s="68" t="s">
        <v>123</v>
      </c>
      <c r="O82" s="64" t="s">
        <v>75</v>
      </c>
      <c r="P82" s="69">
        <v>44571</v>
      </c>
      <c r="Q82" s="69">
        <v>44925</v>
      </c>
      <c r="R82" s="64"/>
      <c r="S82" s="74" t="s">
        <v>73</v>
      </c>
      <c r="T82" s="74"/>
      <c r="U82" s="87">
        <f t="shared" ref="U82:U83" si="15">+AH82</f>
        <v>21428.57</v>
      </c>
      <c r="V82" s="671">
        <f t="shared" si="13"/>
        <v>0</v>
      </c>
      <c r="W82" s="87"/>
      <c r="X82" s="87"/>
      <c r="Y82" s="87"/>
      <c r="Z82" s="87"/>
      <c r="AA82" s="87"/>
      <c r="AB82" s="87"/>
      <c r="AC82" s="87"/>
      <c r="AD82" s="87"/>
      <c r="AE82" s="93"/>
      <c r="AF82" s="339" t="s">
        <v>135</v>
      </c>
      <c r="AG82" s="510">
        <v>21428.57</v>
      </c>
      <c r="AH82" s="371">
        <v>21428.57</v>
      </c>
      <c r="AI82" s="78"/>
      <c r="AJ82" s="78"/>
      <c r="AK82" s="78"/>
      <c r="AL82" s="78"/>
      <c r="AM82" s="78"/>
      <c r="AN82" s="89" t="s">
        <v>39</v>
      </c>
      <c r="AO82" s="313"/>
      <c r="AP82" s="313"/>
      <c r="AQ82" s="408"/>
      <c r="AR82" s="89"/>
      <c r="AS82" s="470"/>
      <c r="AT82" s="89"/>
      <c r="AU82" s="661"/>
      <c r="AV82" s="1274"/>
    </row>
    <row r="83" spans="1:48" ht="60" customHeight="1" outlineLevel="3" x14ac:dyDescent="0.25">
      <c r="A83" s="63" t="str">
        <f t="shared" si="1"/>
        <v>1.1.1.2.18.60</v>
      </c>
      <c r="B83" s="63">
        <v>1</v>
      </c>
      <c r="C83" s="63">
        <v>1</v>
      </c>
      <c r="D83" s="63">
        <v>1</v>
      </c>
      <c r="E83" s="63">
        <v>2</v>
      </c>
      <c r="F83" s="63">
        <v>18</v>
      </c>
      <c r="G83" s="64">
        <v>60</v>
      </c>
      <c r="H83" s="63"/>
      <c r="I83" s="63"/>
      <c r="J83" s="90"/>
      <c r="K83" s="91" t="s">
        <v>138</v>
      </c>
      <c r="L83" s="64" t="s">
        <v>72</v>
      </c>
      <c r="M83" s="64" t="s">
        <v>73</v>
      </c>
      <c r="N83" s="68" t="s">
        <v>123</v>
      </c>
      <c r="O83" s="64" t="s">
        <v>75</v>
      </c>
      <c r="P83" s="69">
        <v>44571</v>
      </c>
      <c r="Q83" s="69">
        <v>44925</v>
      </c>
      <c r="R83" s="64"/>
      <c r="S83" s="74" t="s">
        <v>73</v>
      </c>
      <c r="T83" s="74"/>
      <c r="U83" s="87">
        <f t="shared" si="15"/>
        <v>21428.57</v>
      </c>
      <c r="V83" s="671">
        <f t="shared" si="13"/>
        <v>0</v>
      </c>
      <c r="W83" s="87"/>
      <c r="X83" s="87"/>
      <c r="Y83" s="87"/>
      <c r="Z83" s="87"/>
      <c r="AA83" s="87"/>
      <c r="AB83" s="87"/>
      <c r="AC83" s="87"/>
      <c r="AD83" s="87"/>
      <c r="AE83" s="93"/>
      <c r="AF83" s="339" t="s">
        <v>135</v>
      </c>
      <c r="AG83" s="510">
        <v>21428.57</v>
      </c>
      <c r="AH83" s="371">
        <v>21428.57</v>
      </c>
      <c r="AI83" s="78"/>
      <c r="AJ83" s="78"/>
      <c r="AK83" s="78"/>
      <c r="AL83" s="78"/>
      <c r="AM83" s="78"/>
      <c r="AN83" s="89" t="s">
        <v>39</v>
      </c>
      <c r="AO83" s="313"/>
      <c r="AP83" s="313"/>
      <c r="AQ83" s="408"/>
      <c r="AR83" s="89"/>
      <c r="AS83" s="470"/>
      <c r="AT83" s="89"/>
      <c r="AU83" s="661"/>
      <c r="AV83" s="1274"/>
    </row>
    <row r="84" spans="1:48" ht="60" customHeight="1" outlineLevel="3" x14ac:dyDescent="0.25">
      <c r="A84" s="63" t="str">
        <f t="shared" si="1"/>
        <v>1.1.1.2.18.61</v>
      </c>
      <c r="B84" s="63">
        <v>1</v>
      </c>
      <c r="C84" s="63">
        <v>1</v>
      </c>
      <c r="D84" s="63">
        <v>1</v>
      </c>
      <c r="E84" s="63">
        <v>2</v>
      </c>
      <c r="F84" s="63">
        <v>18</v>
      </c>
      <c r="G84" s="64">
        <v>61</v>
      </c>
      <c r="H84" s="63"/>
      <c r="I84" s="63"/>
      <c r="J84" s="90"/>
      <c r="K84" s="91" t="s">
        <v>139</v>
      </c>
      <c r="L84" s="64" t="s">
        <v>72</v>
      </c>
      <c r="M84" s="64" t="s">
        <v>73</v>
      </c>
      <c r="N84" s="68" t="s">
        <v>123</v>
      </c>
      <c r="O84" s="64" t="s">
        <v>75</v>
      </c>
      <c r="P84" s="69">
        <v>44571</v>
      </c>
      <c r="Q84" s="69">
        <v>44925</v>
      </c>
      <c r="R84" s="64"/>
      <c r="S84" s="74" t="s">
        <v>73</v>
      </c>
      <c r="T84" s="74"/>
      <c r="U84" s="87"/>
      <c r="V84" s="671">
        <f t="shared" si="13"/>
        <v>0</v>
      </c>
      <c r="W84" s="87"/>
      <c r="X84" s="87">
        <f>+AH84</f>
        <v>21428.57</v>
      </c>
      <c r="Y84" s="87"/>
      <c r="Z84" s="87"/>
      <c r="AA84" s="87"/>
      <c r="AB84" s="87"/>
      <c r="AC84" s="87"/>
      <c r="AD84" s="87"/>
      <c r="AE84" s="93"/>
      <c r="AF84" s="339" t="s">
        <v>135</v>
      </c>
      <c r="AG84" s="510">
        <v>21428.57</v>
      </c>
      <c r="AH84" s="371">
        <v>21428.57</v>
      </c>
      <c r="AI84" s="78"/>
      <c r="AJ84" s="78"/>
      <c r="AK84" s="78"/>
      <c r="AL84" s="78"/>
      <c r="AM84" s="78"/>
      <c r="AN84" s="89" t="s">
        <v>39</v>
      </c>
      <c r="AO84" s="313"/>
      <c r="AP84" s="313"/>
      <c r="AQ84" s="408"/>
      <c r="AR84" s="89"/>
      <c r="AS84" s="470"/>
      <c r="AT84" s="89"/>
      <c r="AU84" s="661"/>
      <c r="AV84" s="1274"/>
    </row>
    <row r="85" spans="1:48" ht="60" customHeight="1" outlineLevel="3" x14ac:dyDescent="0.25">
      <c r="A85" s="63" t="str">
        <f t="shared" si="1"/>
        <v>1.1.1.2.18.62</v>
      </c>
      <c r="B85" s="63">
        <v>1</v>
      </c>
      <c r="C85" s="63">
        <v>1</v>
      </c>
      <c r="D85" s="63">
        <v>1</v>
      </c>
      <c r="E85" s="63">
        <v>2</v>
      </c>
      <c r="F85" s="63">
        <v>18</v>
      </c>
      <c r="G85" s="64">
        <v>62</v>
      </c>
      <c r="H85" s="63"/>
      <c r="I85" s="63"/>
      <c r="J85" s="90"/>
      <c r="K85" s="91" t="s">
        <v>140</v>
      </c>
      <c r="L85" s="64" t="s">
        <v>72</v>
      </c>
      <c r="M85" s="64" t="s">
        <v>73</v>
      </c>
      <c r="N85" s="68" t="s">
        <v>123</v>
      </c>
      <c r="O85" s="64" t="s">
        <v>75</v>
      </c>
      <c r="P85" s="69">
        <v>44571</v>
      </c>
      <c r="Q85" s="69">
        <v>44925</v>
      </c>
      <c r="R85" s="64"/>
      <c r="S85" s="74" t="s">
        <v>73</v>
      </c>
      <c r="T85" s="74"/>
      <c r="U85" s="87"/>
      <c r="V85" s="671">
        <f t="shared" si="13"/>
        <v>0</v>
      </c>
      <c r="W85" s="87"/>
      <c r="X85" s="87">
        <f t="shared" ref="X85:X86" si="16">+AH85</f>
        <v>21428.57</v>
      </c>
      <c r="Y85" s="87"/>
      <c r="Z85" s="87"/>
      <c r="AA85" s="87"/>
      <c r="AB85" s="87"/>
      <c r="AC85" s="87"/>
      <c r="AD85" s="87"/>
      <c r="AE85" s="93"/>
      <c r="AF85" s="339" t="s">
        <v>135</v>
      </c>
      <c r="AG85" s="510">
        <v>21428.57</v>
      </c>
      <c r="AH85" s="371">
        <v>21428.57</v>
      </c>
      <c r="AI85" s="78"/>
      <c r="AJ85" s="78"/>
      <c r="AK85" s="78"/>
      <c r="AL85" s="78"/>
      <c r="AM85" s="78"/>
      <c r="AN85" s="89" t="s">
        <v>39</v>
      </c>
      <c r="AO85" s="313"/>
      <c r="AP85" s="313"/>
      <c r="AQ85" s="408"/>
      <c r="AR85" s="89"/>
      <c r="AS85" s="470"/>
      <c r="AT85" s="89"/>
      <c r="AU85" s="661"/>
      <c r="AV85" s="1274"/>
    </row>
    <row r="86" spans="1:48" ht="60" customHeight="1" outlineLevel="3" x14ac:dyDescent="0.25">
      <c r="A86" s="63" t="str">
        <f t="shared" si="1"/>
        <v>1.1.1.2.18.63</v>
      </c>
      <c r="B86" s="63">
        <v>1</v>
      </c>
      <c r="C86" s="63">
        <v>1</v>
      </c>
      <c r="D86" s="63">
        <v>1</v>
      </c>
      <c r="E86" s="63">
        <v>2</v>
      </c>
      <c r="F86" s="63">
        <v>18</v>
      </c>
      <c r="G86" s="64">
        <v>63</v>
      </c>
      <c r="H86" s="63"/>
      <c r="I86" s="63"/>
      <c r="J86" s="90"/>
      <c r="K86" s="91" t="s">
        <v>141</v>
      </c>
      <c r="L86" s="64" t="s">
        <v>72</v>
      </c>
      <c r="M86" s="64" t="s">
        <v>73</v>
      </c>
      <c r="N86" s="68" t="s">
        <v>123</v>
      </c>
      <c r="O86" s="64" t="s">
        <v>75</v>
      </c>
      <c r="P86" s="69">
        <v>44571</v>
      </c>
      <c r="Q86" s="69">
        <v>44925</v>
      </c>
      <c r="R86" s="64"/>
      <c r="S86" s="74" t="s">
        <v>73</v>
      </c>
      <c r="T86" s="74"/>
      <c r="U86" s="87"/>
      <c r="V86" s="671">
        <f t="shared" si="13"/>
        <v>0</v>
      </c>
      <c r="W86" s="87"/>
      <c r="X86" s="87">
        <f t="shared" si="16"/>
        <v>21428.57</v>
      </c>
      <c r="Y86" s="87"/>
      <c r="Z86" s="87"/>
      <c r="AA86" s="87"/>
      <c r="AB86" s="87"/>
      <c r="AC86" s="87"/>
      <c r="AD86" s="87"/>
      <c r="AE86" s="93"/>
      <c r="AF86" s="339" t="s">
        <v>135</v>
      </c>
      <c r="AG86" s="502">
        <v>21428.57</v>
      </c>
      <c r="AH86" s="371">
        <v>21428.57</v>
      </c>
      <c r="AI86" s="78"/>
      <c r="AJ86" s="78"/>
      <c r="AK86" s="78"/>
      <c r="AL86" s="78"/>
      <c r="AM86" s="78"/>
      <c r="AN86" s="89" t="s">
        <v>39</v>
      </c>
      <c r="AO86" s="313"/>
      <c r="AP86" s="313"/>
      <c r="AQ86" s="408"/>
      <c r="AR86" s="89"/>
      <c r="AS86" s="470"/>
      <c r="AT86" s="89"/>
      <c r="AU86" s="661"/>
      <c r="AV86" s="1274"/>
    </row>
    <row r="87" spans="1:48" ht="58.5" customHeight="1" outlineLevel="3" x14ac:dyDescent="0.25">
      <c r="A87" s="63" t="str">
        <f t="shared" si="1"/>
        <v>1.1.1.2.18.64</v>
      </c>
      <c r="B87" s="63">
        <v>1</v>
      </c>
      <c r="C87" s="63">
        <v>1</v>
      </c>
      <c r="D87" s="63">
        <v>1</v>
      </c>
      <c r="E87" s="63">
        <v>2</v>
      </c>
      <c r="F87" s="63">
        <v>18</v>
      </c>
      <c r="G87" s="64">
        <v>64</v>
      </c>
      <c r="H87" s="63"/>
      <c r="I87" s="63"/>
      <c r="J87" s="90"/>
      <c r="K87" s="91" t="s">
        <v>142</v>
      </c>
      <c r="L87" s="64" t="s">
        <v>72</v>
      </c>
      <c r="M87" s="64" t="s">
        <v>73</v>
      </c>
      <c r="N87" s="68" t="s">
        <v>123</v>
      </c>
      <c r="O87" s="64" t="s">
        <v>75</v>
      </c>
      <c r="P87" s="69">
        <v>44571</v>
      </c>
      <c r="Q87" s="69">
        <v>44925</v>
      </c>
      <c r="R87" s="64"/>
      <c r="S87" s="74" t="s">
        <v>73</v>
      </c>
      <c r="T87" s="74"/>
      <c r="U87" s="87"/>
      <c r="V87" s="671">
        <f t="shared" si="13"/>
        <v>0</v>
      </c>
      <c r="W87" s="87"/>
      <c r="X87" s="87"/>
      <c r="Y87" s="87"/>
      <c r="Z87" s="87"/>
      <c r="AA87" s="87">
        <f>+AH87</f>
        <v>21428.58</v>
      </c>
      <c r="AB87" s="87"/>
      <c r="AC87" s="87"/>
      <c r="AD87" s="87"/>
      <c r="AE87" s="93"/>
      <c r="AF87" s="339" t="s">
        <v>135</v>
      </c>
      <c r="AG87" s="502">
        <v>21428.58</v>
      </c>
      <c r="AH87" s="371">
        <v>21428.58</v>
      </c>
      <c r="AI87" s="78"/>
      <c r="AJ87" s="78"/>
      <c r="AK87" s="78"/>
      <c r="AL87" s="78"/>
      <c r="AM87" s="78"/>
      <c r="AN87" s="89" t="s">
        <v>39</v>
      </c>
      <c r="AO87" s="313"/>
      <c r="AP87" s="313"/>
      <c r="AQ87" s="408"/>
      <c r="AR87" s="89"/>
      <c r="AS87" s="470"/>
      <c r="AT87" s="89"/>
      <c r="AU87" s="661"/>
      <c r="AV87" s="1274"/>
    </row>
    <row r="88" spans="1:48" ht="49.5" customHeight="1" outlineLevel="3" x14ac:dyDescent="0.25">
      <c r="A88" s="63" t="str">
        <f t="shared" si="1"/>
        <v>1.1.1.2.20.58</v>
      </c>
      <c r="B88" s="63">
        <v>1</v>
      </c>
      <c r="C88" s="63">
        <v>1</v>
      </c>
      <c r="D88" s="63">
        <v>1</v>
      </c>
      <c r="E88" s="63">
        <v>2</v>
      </c>
      <c r="F88" s="63">
        <v>20</v>
      </c>
      <c r="G88" s="64">
        <v>58</v>
      </c>
      <c r="H88" s="63"/>
      <c r="I88" s="63"/>
      <c r="J88" s="90"/>
      <c r="K88" s="91" t="s">
        <v>1812</v>
      </c>
      <c r="L88" s="64" t="s">
        <v>72</v>
      </c>
      <c r="M88" s="64" t="s">
        <v>73</v>
      </c>
      <c r="N88" s="68" t="s">
        <v>143</v>
      </c>
      <c r="O88" s="64" t="s">
        <v>44</v>
      </c>
      <c r="P88" s="69">
        <v>44571</v>
      </c>
      <c r="Q88" s="69">
        <v>44925</v>
      </c>
      <c r="R88" s="92"/>
      <c r="S88" s="74" t="s">
        <v>144</v>
      </c>
      <c r="T88" s="74"/>
      <c r="U88" s="87">
        <f>+AH88</f>
        <v>21428.57</v>
      </c>
      <c r="V88" s="671">
        <f t="shared" si="13"/>
        <v>0</v>
      </c>
      <c r="W88" s="87"/>
      <c r="X88" s="87"/>
      <c r="Y88" s="87"/>
      <c r="Z88" s="87"/>
      <c r="AA88" s="87"/>
      <c r="AB88" s="87"/>
      <c r="AC88" s="87"/>
      <c r="AD88" s="87"/>
      <c r="AE88" s="93"/>
      <c r="AF88" s="339" t="s">
        <v>145</v>
      </c>
      <c r="AG88" s="502">
        <v>21028.57</v>
      </c>
      <c r="AH88" s="371">
        <v>21428.57</v>
      </c>
      <c r="AI88" s="78"/>
      <c r="AJ88" s="78"/>
      <c r="AK88" s="78"/>
      <c r="AL88" s="78"/>
      <c r="AM88" s="78"/>
      <c r="AN88" s="89" t="s">
        <v>39</v>
      </c>
      <c r="AO88" s="313"/>
      <c r="AP88" s="313"/>
      <c r="AQ88" s="408"/>
      <c r="AR88" s="89"/>
      <c r="AS88" s="470"/>
      <c r="AT88" s="89"/>
      <c r="AU88" s="661"/>
      <c r="AV88" s="1274" t="s">
        <v>146</v>
      </c>
    </row>
    <row r="89" spans="1:48" ht="49.5" customHeight="1" outlineLevel="3" x14ac:dyDescent="0.25">
      <c r="A89" s="63" t="str">
        <f t="shared" si="1"/>
        <v>1.1.1.2.20.59</v>
      </c>
      <c r="B89" s="63">
        <v>1</v>
      </c>
      <c r="C89" s="63">
        <v>1</v>
      </c>
      <c r="D89" s="63">
        <v>1</v>
      </c>
      <c r="E89" s="63">
        <v>2</v>
      </c>
      <c r="F89" s="63">
        <v>20</v>
      </c>
      <c r="G89" s="64">
        <v>59</v>
      </c>
      <c r="H89" s="63"/>
      <c r="I89" s="63"/>
      <c r="J89" s="90"/>
      <c r="K89" s="91" t="s">
        <v>147</v>
      </c>
      <c r="L89" s="64" t="s">
        <v>72</v>
      </c>
      <c r="M89" s="64" t="s">
        <v>73</v>
      </c>
      <c r="N89" s="68" t="s">
        <v>143</v>
      </c>
      <c r="O89" s="64" t="s">
        <v>44</v>
      </c>
      <c r="P89" s="69">
        <v>44571</v>
      </c>
      <c r="Q89" s="69">
        <v>44925</v>
      </c>
      <c r="R89" s="64"/>
      <c r="S89" s="74" t="s">
        <v>144</v>
      </c>
      <c r="T89" s="74"/>
      <c r="U89" s="87">
        <f t="shared" ref="U89:U90" si="17">+AH89</f>
        <v>21428.57</v>
      </c>
      <c r="V89" s="671">
        <f t="shared" si="13"/>
        <v>0</v>
      </c>
      <c r="W89" s="87"/>
      <c r="X89" s="87"/>
      <c r="Y89" s="87"/>
      <c r="Z89" s="87"/>
      <c r="AA89" s="87"/>
      <c r="AB89" s="87"/>
      <c r="AC89" s="87"/>
      <c r="AD89" s="87"/>
      <c r="AE89" s="93"/>
      <c r="AF89" s="339" t="s">
        <v>145</v>
      </c>
      <c r="AG89" s="502">
        <v>21412.07</v>
      </c>
      <c r="AH89" s="371">
        <v>21428.57</v>
      </c>
      <c r="AI89" s="78"/>
      <c r="AJ89" s="78"/>
      <c r="AK89" s="78"/>
      <c r="AL89" s="78"/>
      <c r="AM89" s="78"/>
      <c r="AN89" s="89" t="s">
        <v>39</v>
      </c>
      <c r="AO89" s="313"/>
      <c r="AP89" s="313"/>
      <c r="AQ89" s="408"/>
      <c r="AR89" s="89"/>
      <c r="AS89" s="470"/>
      <c r="AT89" s="89"/>
      <c r="AU89" s="661"/>
      <c r="AV89" s="1274"/>
    </row>
    <row r="90" spans="1:48" ht="49.5" customHeight="1" outlineLevel="3" x14ac:dyDescent="0.25">
      <c r="A90" s="63" t="str">
        <f t="shared" si="1"/>
        <v>1.1.1.2.20.60</v>
      </c>
      <c r="B90" s="63">
        <v>1</v>
      </c>
      <c r="C90" s="63">
        <v>1</v>
      </c>
      <c r="D90" s="63">
        <v>1</v>
      </c>
      <c r="E90" s="63">
        <v>2</v>
      </c>
      <c r="F90" s="63">
        <v>20</v>
      </c>
      <c r="G90" s="64">
        <v>60</v>
      </c>
      <c r="H90" s="63"/>
      <c r="I90" s="63"/>
      <c r="J90" s="90"/>
      <c r="K90" s="91" t="s">
        <v>148</v>
      </c>
      <c r="L90" s="64" t="s">
        <v>72</v>
      </c>
      <c r="M90" s="64" t="s">
        <v>73</v>
      </c>
      <c r="N90" s="68" t="s">
        <v>143</v>
      </c>
      <c r="O90" s="64" t="s">
        <v>44</v>
      </c>
      <c r="P90" s="69">
        <v>44571</v>
      </c>
      <c r="Q90" s="69">
        <v>44925</v>
      </c>
      <c r="R90" s="64"/>
      <c r="S90" s="74" t="s">
        <v>144</v>
      </c>
      <c r="T90" s="74"/>
      <c r="U90" s="87">
        <f t="shared" si="17"/>
        <v>21428.57</v>
      </c>
      <c r="V90" s="671">
        <f t="shared" si="13"/>
        <v>0</v>
      </c>
      <c r="W90" s="87"/>
      <c r="X90" s="87"/>
      <c r="Y90" s="87"/>
      <c r="Z90" s="87"/>
      <c r="AA90" s="87"/>
      <c r="AB90" s="87"/>
      <c r="AC90" s="87"/>
      <c r="AD90" s="87"/>
      <c r="AE90" s="93"/>
      <c r="AF90" s="339" t="s">
        <v>145</v>
      </c>
      <c r="AG90" s="502">
        <v>21428.57</v>
      </c>
      <c r="AH90" s="371">
        <v>21428.57</v>
      </c>
      <c r="AI90" s="78"/>
      <c r="AJ90" s="78"/>
      <c r="AK90" s="78"/>
      <c r="AL90" s="78"/>
      <c r="AM90" s="78"/>
      <c r="AN90" s="89" t="s">
        <v>39</v>
      </c>
      <c r="AO90" s="313"/>
      <c r="AP90" s="313"/>
      <c r="AQ90" s="408"/>
      <c r="AR90" s="89"/>
      <c r="AS90" s="470"/>
      <c r="AT90" s="89"/>
      <c r="AU90" s="661"/>
      <c r="AV90" s="1274"/>
    </row>
    <row r="91" spans="1:48" ht="49.5" customHeight="1" outlineLevel="3" x14ac:dyDescent="0.25">
      <c r="A91" s="63" t="str">
        <f t="shared" si="1"/>
        <v>1.1.1.2.20.61</v>
      </c>
      <c r="B91" s="63">
        <v>1</v>
      </c>
      <c r="C91" s="63">
        <v>1</v>
      </c>
      <c r="D91" s="63">
        <v>1</v>
      </c>
      <c r="E91" s="63">
        <v>2</v>
      </c>
      <c r="F91" s="63">
        <v>20</v>
      </c>
      <c r="G91" s="64">
        <v>61</v>
      </c>
      <c r="H91" s="63"/>
      <c r="I91" s="63"/>
      <c r="J91" s="90"/>
      <c r="K91" s="91" t="s">
        <v>149</v>
      </c>
      <c r="L91" s="64" t="s">
        <v>72</v>
      </c>
      <c r="M91" s="64" t="s">
        <v>73</v>
      </c>
      <c r="N91" s="68" t="s">
        <v>143</v>
      </c>
      <c r="O91" s="64" t="s">
        <v>44</v>
      </c>
      <c r="P91" s="69">
        <v>44571</v>
      </c>
      <c r="Q91" s="69">
        <v>44925</v>
      </c>
      <c r="R91" s="64"/>
      <c r="S91" s="74" t="s">
        <v>144</v>
      </c>
      <c r="T91" s="74"/>
      <c r="U91" s="87"/>
      <c r="V91" s="671">
        <f t="shared" si="13"/>
        <v>0</v>
      </c>
      <c r="W91" s="87"/>
      <c r="X91" s="87">
        <f>+AH91</f>
        <v>21428.57</v>
      </c>
      <c r="Y91" s="87"/>
      <c r="Z91" s="87"/>
      <c r="AA91" s="87"/>
      <c r="AB91" s="87"/>
      <c r="AC91" s="87"/>
      <c r="AD91" s="87"/>
      <c r="AE91" s="93"/>
      <c r="AF91" s="339" t="s">
        <v>145</v>
      </c>
      <c r="AG91" s="502">
        <v>21428.57</v>
      </c>
      <c r="AH91" s="371">
        <v>21428.57</v>
      </c>
      <c r="AI91" s="78"/>
      <c r="AJ91" s="78"/>
      <c r="AK91" s="78"/>
      <c r="AL91" s="78"/>
      <c r="AM91" s="78"/>
      <c r="AN91" s="89" t="s">
        <v>39</v>
      </c>
      <c r="AO91" s="313"/>
      <c r="AP91" s="313"/>
      <c r="AQ91" s="408"/>
      <c r="AR91" s="89"/>
      <c r="AS91" s="470"/>
      <c r="AT91" s="89"/>
      <c r="AU91" s="661"/>
      <c r="AV91" s="1274"/>
    </row>
    <row r="92" spans="1:48" ht="49.5" customHeight="1" outlineLevel="3" x14ac:dyDescent="0.25">
      <c r="A92" s="63" t="str">
        <f t="shared" si="1"/>
        <v>1.1.1.2.20.62</v>
      </c>
      <c r="B92" s="63">
        <v>1</v>
      </c>
      <c r="C92" s="63">
        <v>1</v>
      </c>
      <c r="D92" s="63">
        <v>1</v>
      </c>
      <c r="E92" s="63">
        <v>2</v>
      </c>
      <c r="F92" s="63">
        <v>20</v>
      </c>
      <c r="G92" s="64">
        <v>62</v>
      </c>
      <c r="H92" s="63"/>
      <c r="I92" s="63"/>
      <c r="J92" s="90"/>
      <c r="K92" s="91" t="s">
        <v>150</v>
      </c>
      <c r="L92" s="64" t="s">
        <v>72</v>
      </c>
      <c r="M92" s="64" t="s">
        <v>73</v>
      </c>
      <c r="N92" s="68" t="s">
        <v>143</v>
      </c>
      <c r="O92" s="64" t="s">
        <v>44</v>
      </c>
      <c r="P92" s="69">
        <v>44571</v>
      </c>
      <c r="Q92" s="69">
        <v>44925</v>
      </c>
      <c r="R92" s="64"/>
      <c r="S92" s="74" t="s">
        <v>144</v>
      </c>
      <c r="T92" s="74"/>
      <c r="U92" s="87"/>
      <c r="V92" s="671">
        <f t="shared" si="13"/>
        <v>0</v>
      </c>
      <c r="W92" s="87"/>
      <c r="X92" s="87">
        <f t="shared" ref="X92:X93" si="18">+AH92</f>
        <v>21428.57</v>
      </c>
      <c r="Y92" s="87"/>
      <c r="Z92" s="87"/>
      <c r="AA92" s="87"/>
      <c r="AB92" s="87"/>
      <c r="AC92" s="87"/>
      <c r="AD92" s="87"/>
      <c r="AE92" s="93"/>
      <c r="AF92" s="339" t="s">
        <v>145</v>
      </c>
      <c r="AG92" s="502">
        <v>21428.57</v>
      </c>
      <c r="AH92" s="371">
        <v>21428.57</v>
      </c>
      <c r="AI92" s="78"/>
      <c r="AJ92" s="78"/>
      <c r="AK92" s="78"/>
      <c r="AL92" s="78"/>
      <c r="AM92" s="78"/>
      <c r="AN92" s="89" t="s">
        <v>39</v>
      </c>
      <c r="AO92" s="313"/>
      <c r="AP92" s="313"/>
      <c r="AQ92" s="408"/>
      <c r="AR92" s="89"/>
      <c r="AS92" s="470"/>
      <c r="AT92" s="89"/>
      <c r="AU92" s="661"/>
      <c r="AV92" s="1274"/>
    </row>
    <row r="93" spans="1:48" ht="49.5" customHeight="1" outlineLevel="3" x14ac:dyDescent="0.25">
      <c r="A93" s="63" t="str">
        <f t="shared" si="1"/>
        <v>1.1.1.2.20.63</v>
      </c>
      <c r="B93" s="63">
        <v>1</v>
      </c>
      <c r="C93" s="63">
        <v>1</v>
      </c>
      <c r="D93" s="63">
        <v>1</v>
      </c>
      <c r="E93" s="63">
        <v>2</v>
      </c>
      <c r="F93" s="63">
        <v>20</v>
      </c>
      <c r="G93" s="64">
        <v>63</v>
      </c>
      <c r="H93" s="63"/>
      <c r="I93" s="63"/>
      <c r="J93" s="90"/>
      <c r="K93" s="91" t="s">
        <v>151</v>
      </c>
      <c r="L93" s="64" t="s">
        <v>72</v>
      </c>
      <c r="M93" s="64" t="s">
        <v>73</v>
      </c>
      <c r="N93" s="68" t="s">
        <v>143</v>
      </c>
      <c r="O93" s="64" t="s">
        <v>44</v>
      </c>
      <c r="P93" s="69">
        <v>44571</v>
      </c>
      <c r="Q93" s="69">
        <v>44925</v>
      </c>
      <c r="R93" s="64"/>
      <c r="S93" s="74" t="s">
        <v>144</v>
      </c>
      <c r="T93" s="74"/>
      <c r="U93" s="87"/>
      <c r="V93" s="671">
        <f t="shared" si="13"/>
        <v>0</v>
      </c>
      <c r="W93" s="87"/>
      <c r="X93" s="87">
        <f t="shared" si="18"/>
        <v>21428.57</v>
      </c>
      <c r="Y93" s="87"/>
      <c r="Z93" s="87"/>
      <c r="AA93" s="87"/>
      <c r="AB93" s="87"/>
      <c r="AC93" s="87"/>
      <c r="AD93" s="87"/>
      <c r="AE93" s="93"/>
      <c r="AF93" s="339" t="s">
        <v>145</v>
      </c>
      <c r="AG93" s="502">
        <v>21428.57</v>
      </c>
      <c r="AH93" s="371">
        <v>21428.57</v>
      </c>
      <c r="AI93" s="78"/>
      <c r="AJ93" s="78"/>
      <c r="AK93" s="78"/>
      <c r="AL93" s="78"/>
      <c r="AM93" s="78"/>
      <c r="AN93" s="89" t="s">
        <v>39</v>
      </c>
      <c r="AO93" s="313"/>
      <c r="AP93" s="313"/>
      <c r="AQ93" s="408"/>
      <c r="AR93" s="89"/>
      <c r="AS93" s="470"/>
      <c r="AT93" s="89"/>
      <c r="AU93" s="661"/>
      <c r="AV93" s="1274"/>
    </row>
    <row r="94" spans="1:48" ht="49.5" customHeight="1" outlineLevel="3" x14ac:dyDescent="0.25">
      <c r="A94" s="63" t="str">
        <f t="shared" si="1"/>
        <v>1.1.1.2.20.64</v>
      </c>
      <c r="B94" s="63">
        <v>1</v>
      </c>
      <c r="C94" s="63">
        <v>1</v>
      </c>
      <c r="D94" s="63">
        <v>1</v>
      </c>
      <c r="E94" s="63">
        <v>2</v>
      </c>
      <c r="F94" s="63">
        <v>20</v>
      </c>
      <c r="G94" s="64">
        <v>64</v>
      </c>
      <c r="H94" s="63"/>
      <c r="I94" s="63"/>
      <c r="J94" s="90"/>
      <c r="K94" s="91" t="s">
        <v>152</v>
      </c>
      <c r="L94" s="64" t="s">
        <v>72</v>
      </c>
      <c r="M94" s="64" t="s">
        <v>73</v>
      </c>
      <c r="N94" s="68" t="s">
        <v>143</v>
      </c>
      <c r="O94" s="64" t="s">
        <v>44</v>
      </c>
      <c r="P94" s="69">
        <v>44571</v>
      </c>
      <c r="Q94" s="69">
        <v>44925</v>
      </c>
      <c r="R94" s="64"/>
      <c r="S94" s="74" t="s">
        <v>144</v>
      </c>
      <c r="T94" s="74"/>
      <c r="U94" s="87"/>
      <c r="V94" s="671">
        <f t="shared" si="13"/>
        <v>0</v>
      </c>
      <c r="W94" s="87"/>
      <c r="X94" s="87"/>
      <c r="Y94" s="93"/>
      <c r="Z94" s="93"/>
      <c r="AA94" s="75">
        <f>+AH94</f>
        <v>21428.57</v>
      </c>
      <c r="AB94" s="585"/>
      <c r="AC94" s="94"/>
      <c r="AD94" s="87"/>
      <c r="AE94" s="93"/>
      <c r="AF94" s="339" t="s">
        <v>145</v>
      </c>
      <c r="AG94" s="502">
        <v>21428.57</v>
      </c>
      <c r="AH94" s="371">
        <v>21428.57</v>
      </c>
      <c r="AI94" s="78"/>
      <c r="AJ94" s="78"/>
      <c r="AK94" s="78"/>
      <c r="AL94" s="78"/>
      <c r="AM94" s="78"/>
      <c r="AN94" s="89" t="s">
        <v>39</v>
      </c>
      <c r="AO94" s="313"/>
      <c r="AP94" s="313"/>
      <c r="AQ94" s="408"/>
      <c r="AR94" s="89"/>
      <c r="AS94" s="470"/>
      <c r="AT94" s="89"/>
      <c r="AU94" s="661"/>
      <c r="AV94" s="1274"/>
    </row>
    <row r="95" spans="1:48" ht="45.75" customHeight="1" outlineLevel="3" x14ac:dyDescent="0.25">
      <c r="A95" s="63" t="str">
        <f t="shared" si="1"/>
        <v>1.1.1.2.21.58</v>
      </c>
      <c r="B95" s="63">
        <v>1</v>
      </c>
      <c r="C95" s="63">
        <v>1</v>
      </c>
      <c r="D95" s="63">
        <v>1</v>
      </c>
      <c r="E95" s="63">
        <v>2</v>
      </c>
      <c r="F95" s="63">
        <v>21</v>
      </c>
      <c r="G95" s="64">
        <v>58</v>
      </c>
      <c r="H95" s="63"/>
      <c r="I95" s="63"/>
      <c r="J95" s="90"/>
      <c r="K95" s="91" t="s">
        <v>153</v>
      </c>
      <c r="L95" s="64" t="s">
        <v>72</v>
      </c>
      <c r="M95" s="64" t="s">
        <v>73</v>
      </c>
      <c r="N95" s="68" t="s">
        <v>154</v>
      </c>
      <c r="O95" s="64" t="s">
        <v>155</v>
      </c>
      <c r="P95" s="69">
        <v>44571</v>
      </c>
      <c r="Q95" s="69">
        <v>44925</v>
      </c>
      <c r="R95" s="92"/>
      <c r="S95" s="74" t="s">
        <v>76</v>
      </c>
      <c r="T95" s="74"/>
      <c r="U95" s="87">
        <f>+AH95</f>
        <v>38000</v>
      </c>
      <c r="V95" s="671">
        <f t="shared" si="13"/>
        <v>0</v>
      </c>
      <c r="W95" s="87"/>
      <c r="X95" s="87"/>
      <c r="Y95" s="87"/>
      <c r="Z95" s="87"/>
      <c r="AA95" s="95"/>
      <c r="AB95" s="95"/>
      <c r="AC95" s="87"/>
      <c r="AD95" s="87"/>
      <c r="AE95" s="93"/>
      <c r="AF95" s="339" t="s">
        <v>156</v>
      </c>
      <c r="AG95" s="502">
        <v>38000</v>
      </c>
      <c r="AH95" s="371">
        <v>38000</v>
      </c>
      <c r="AI95" s="78"/>
      <c r="AJ95" s="78"/>
      <c r="AK95" s="78"/>
      <c r="AL95" s="78"/>
      <c r="AM95" s="78"/>
      <c r="AN95" s="89" t="s">
        <v>39</v>
      </c>
      <c r="AO95" s="313"/>
      <c r="AP95" s="313"/>
      <c r="AQ95" s="408"/>
      <c r="AR95" s="89"/>
      <c r="AS95" s="470"/>
      <c r="AT95" s="89"/>
      <c r="AU95" s="661"/>
      <c r="AV95" s="1274" t="s">
        <v>157</v>
      </c>
    </row>
    <row r="96" spans="1:48" ht="45.75" customHeight="1" outlineLevel="3" x14ac:dyDescent="0.25">
      <c r="A96" s="63" t="str">
        <f t="shared" si="1"/>
        <v>1.1.1.2.21.59</v>
      </c>
      <c r="B96" s="63">
        <v>1</v>
      </c>
      <c r="C96" s="63">
        <v>1</v>
      </c>
      <c r="D96" s="63">
        <v>1</v>
      </c>
      <c r="E96" s="63">
        <v>2</v>
      </c>
      <c r="F96" s="63">
        <v>21</v>
      </c>
      <c r="G96" s="64">
        <v>59</v>
      </c>
      <c r="H96" s="63"/>
      <c r="I96" s="63"/>
      <c r="J96" s="90"/>
      <c r="K96" s="91" t="s">
        <v>158</v>
      </c>
      <c r="L96" s="64" t="s">
        <v>72</v>
      </c>
      <c r="M96" s="64" t="s">
        <v>73</v>
      </c>
      <c r="N96" s="68" t="s">
        <v>154</v>
      </c>
      <c r="O96" s="64" t="s">
        <v>155</v>
      </c>
      <c r="P96" s="69">
        <v>44571</v>
      </c>
      <c r="Q96" s="69">
        <v>44925</v>
      </c>
      <c r="R96" s="64"/>
      <c r="S96" s="74" t="s">
        <v>76</v>
      </c>
      <c r="T96" s="74"/>
      <c r="U96" s="87">
        <f t="shared" ref="U96:U97" si="19">+AH96</f>
        <v>38000</v>
      </c>
      <c r="V96" s="671">
        <f t="shared" si="13"/>
        <v>0</v>
      </c>
      <c r="W96" s="87"/>
      <c r="X96" s="87"/>
      <c r="Y96" s="87"/>
      <c r="Z96" s="87"/>
      <c r="AA96" s="87"/>
      <c r="AB96" s="87"/>
      <c r="AC96" s="87"/>
      <c r="AD96" s="87"/>
      <c r="AE96" s="93"/>
      <c r="AF96" s="339" t="s">
        <v>159</v>
      </c>
      <c r="AG96" s="502">
        <v>38000</v>
      </c>
      <c r="AH96" s="371">
        <v>38000</v>
      </c>
      <c r="AI96" s="78"/>
      <c r="AJ96" s="78"/>
      <c r="AK96" s="78"/>
      <c r="AL96" s="78"/>
      <c r="AM96" s="78"/>
      <c r="AN96" s="89" t="s">
        <v>39</v>
      </c>
      <c r="AO96" s="313"/>
      <c r="AP96" s="313"/>
      <c r="AQ96" s="408"/>
      <c r="AR96" s="89"/>
      <c r="AS96" s="470"/>
      <c r="AT96" s="89"/>
      <c r="AU96" s="661"/>
      <c r="AV96" s="1274"/>
    </row>
    <row r="97" spans="1:48" ht="45.75" customHeight="1" outlineLevel="3" x14ac:dyDescent="0.25">
      <c r="A97" s="63" t="str">
        <f t="shared" si="1"/>
        <v>1.1.1.2.21.60</v>
      </c>
      <c r="B97" s="63">
        <v>1</v>
      </c>
      <c r="C97" s="63">
        <v>1</v>
      </c>
      <c r="D97" s="63">
        <v>1</v>
      </c>
      <c r="E97" s="63">
        <v>2</v>
      </c>
      <c r="F97" s="63">
        <v>21</v>
      </c>
      <c r="G97" s="64">
        <v>60</v>
      </c>
      <c r="H97" s="63"/>
      <c r="I97" s="63"/>
      <c r="J97" s="90"/>
      <c r="K97" s="91" t="s">
        <v>160</v>
      </c>
      <c r="L97" s="64" t="s">
        <v>72</v>
      </c>
      <c r="M97" s="64" t="s">
        <v>73</v>
      </c>
      <c r="N97" s="68" t="s">
        <v>154</v>
      </c>
      <c r="O97" s="64" t="s">
        <v>155</v>
      </c>
      <c r="P97" s="69">
        <v>44571</v>
      </c>
      <c r="Q97" s="69">
        <v>44925</v>
      </c>
      <c r="R97" s="64"/>
      <c r="S97" s="74" t="s">
        <v>76</v>
      </c>
      <c r="T97" s="74"/>
      <c r="U97" s="87">
        <f t="shared" si="19"/>
        <v>38000</v>
      </c>
      <c r="V97" s="671">
        <f t="shared" si="13"/>
        <v>0</v>
      </c>
      <c r="W97" s="87"/>
      <c r="X97" s="87"/>
      <c r="Y97" s="87"/>
      <c r="Z97" s="87"/>
      <c r="AA97" s="87"/>
      <c r="AB97" s="87"/>
      <c r="AC97" s="87"/>
      <c r="AD97" s="87"/>
      <c r="AE97" s="93"/>
      <c r="AF97" s="339" t="s">
        <v>159</v>
      </c>
      <c r="AG97" s="502">
        <v>38000</v>
      </c>
      <c r="AH97" s="371">
        <v>38000</v>
      </c>
      <c r="AI97" s="78"/>
      <c r="AJ97" s="78"/>
      <c r="AK97" s="78"/>
      <c r="AL97" s="78"/>
      <c r="AM97" s="78"/>
      <c r="AN97" s="89" t="s">
        <v>39</v>
      </c>
      <c r="AO97" s="313"/>
      <c r="AP97" s="313"/>
      <c r="AQ97" s="408"/>
      <c r="AR97" s="89"/>
      <c r="AS97" s="470"/>
      <c r="AT97" s="89"/>
      <c r="AU97" s="661"/>
      <c r="AV97" s="1274"/>
    </row>
    <row r="98" spans="1:48" ht="45.75" customHeight="1" outlineLevel="3" x14ac:dyDescent="0.25">
      <c r="A98" s="63" t="str">
        <f t="shared" si="1"/>
        <v>1.1.1.2.21.61</v>
      </c>
      <c r="B98" s="63">
        <v>1</v>
      </c>
      <c r="C98" s="63">
        <v>1</v>
      </c>
      <c r="D98" s="63">
        <v>1</v>
      </c>
      <c r="E98" s="63">
        <v>2</v>
      </c>
      <c r="F98" s="63">
        <v>21</v>
      </c>
      <c r="G98" s="64">
        <v>61</v>
      </c>
      <c r="H98" s="63"/>
      <c r="I98" s="63"/>
      <c r="J98" s="90"/>
      <c r="K98" s="91" t="s">
        <v>161</v>
      </c>
      <c r="L98" s="64" t="s">
        <v>72</v>
      </c>
      <c r="M98" s="64" t="s">
        <v>73</v>
      </c>
      <c r="N98" s="68" t="s">
        <v>154</v>
      </c>
      <c r="O98" s="64" t="s">
        <v>155</v>
      </c>
      <c r="P98" s="69">
        <v>44571</v>
      </c>
      <c r="Q98" s="69">
        <v>44925</v>
      </c>
      <c r="R98" s="64"/>
      <c r="S98" s="74" t="s">
        <v>76</v>
      </c>
      <c r="T98" s="74"/>
      <c r="U98" s="87"/>
      <c r="V98" s="671">
        <f t="shared" si="13"/>
        <v>0</v>
      </c>
      <c r="W98" s="87"/>
      <c r="X98" s="87">
        <v>38000</v>
      </c>
      <c r="Y98" s="87"/>
      <c r="Z98" s="87"/>
      <c r="AA98" s="87"/>
      <c r="AB98" s="87"/>
      <c r="AC98" s="87"/>
      <c r="AD98" s="87"/>
      <c r="AE98" s="93"/>
      <c r="AF98" s="339" t="s">
        <v>159</v>
      </c>
      <c r="AG98" s="502">
        <v>38000</v>
      </c>
      <c r="AH98" s="371">
        <v>38000</v>
      </c>
      <c r="AI98" s="78"/>
      <c r="AJ98" s="78"/>
      <c r="AK98" s="78"/>
      <c r="AL98" s="78"/>
      <c r="AM98" s="78"/>
      <c r="AN98" s="89" t="s">
        <v>39</v>
      </c>
      <c r="AO98" s="313"/>
      <c r="AP98" s="313"/>
      <c r="AQ98" s="408"/>
      <c r="AR98" s="89"/>
      <c r="AS98" s="470"/>
      <c r="AT98" s="89"/>
      <c r="AU98" s="661"/>
      <c r="AV98" s="1274"/>
    </row>
    <row r="99" spans="1:48" ht="45.75" customHeight="1" outlineLevel="3" x14ac:dyDescent="0.25">
      <c r="A99" s="63" t="str">
        <f t="shared" si="1"/>
        <v>1.1.1.2.21.62</v>
      </c>
      <c r="B99" s="63">
        <v>1</v>
      </c>
      <c r="C99" s="63">
        <v>1</v>
      </c>
      <c r="D99" s="63">
        <v>1</v>
      </c>
      <c r="E99" s="63">
        <v>2</v>
      </c>
      <c r="F99" s="63">
        <v>21</v>
      </c>
      <c r="G99" s="64">
        <v>62</v>
      </c>
      <c r="H99" s="63"/>
      <c r="I99" s="63"/>
      <c r="J99" s="90"/>
      <c r="K99" s="91" t="s">
        <v>162</v>
      </c>
      <c r="L99" s="64" t="s">
        <v>72</v>
      </c>
      <c r="M99" s="64" t="s">
        <v>73</v>
      </c>
      <c r="N99" s="68" t="s">
        <v>154</v>
      </c>
      <c r="O99" s="64" t="s">
        <v>155</v>
      </c>
      <c r="P99" s="69">
        <v>44571</v>
      </c>
      <c r="Q99" s="69">
        <v>44925</v>
      </c>
      <c r="R99" s="64"/>
      <c r="S99" s="74" t="s">
        <v>76</v>
      </c>
      <c r="T99" s="74"/>
      <c r="U99" s="87"/>
      <c r="V99" s="671">
        <f t="shared" si="13"/>
        <v>0</v>
      </c>
      <c r="W99" s="87"/>
      <c r="X99" s="87">
        <f t="shared" ref="X99:X100" si="20">+AH99</f>
        <v>38000</v>
      </c>
      <c r="Y99" s="87"/>
      <c r="Z99" s="87"/>
      <c r="AA99" s="87"/>
      <c r="AB99" s="87"/>
      <c r="AC99" s="87"/>
      <c r="AD99" s="87"/>
      <c r="AE99" s="93"/>
      <c r="AF99" s="339" t="s">
        <v>159</v>
      </c>
      <c r="AG99" s="502">
        <v>38000</v>
      </c>
      <c r="AH99" s="371">
        <v>38000</v>
      </c>
      <c r="AI99" s="78"/>
      <c r="AJ99" s="78"/>
      <c r="AK99" s="78"/>
      <c r="AL99" s="78"/>
      <c r="AM99" s="78"/>
      <c r="AN99" s="89" t="s">
        <v>39</v>
      </c>
      <c r="AO99" s="313"/>
      <c r="AP99" s="313"/>
      <c r="AQ99" s="408"/>
      <c r="AR99" s="89"/>
      <c r="AS99" s="470"/>
      <c r="AT99" s="89"/>
      <c r="AU99" s="661"/>
      <c r="AV99" s="1274"/>
    </row>
    <row r="100" spans="1:48" ht="45.75" customHeight="1" outlineLevel="3" x14ac:dyDescent="0.25">
      <c r="A100" s="63" t="str">
        <f t="shared" si="1"/>
        <v>1.1.1.2.21.63</v>
      </c>
      <c r="B100" s="63">
        <v>1</v>
      </c>
      <c r="C100" s="63">
        <v>1</v>
      </c>
      <c r="D100" s="63">
        <v>1</v>
      </c>
      <c r="E100" s="63">
        <v>2</v>
      </c>
      <c r="F100" s="63">
        <v>21</v>
      </c>
      <c r="G100" s="64">
        <v>63</v>
      </c>
      <c r="H100" s="63"/>
      <c r="I100" s="63"/>
      <c r="J100" s="90"/>
      <c r="K100" s="91" t="s">
        <v>163</v>
      </c>
      <c r="L100" s="64" t="s">
        <v>72</v>
      </c>
      <c r="M100" s="64" t="s">
        <v>73</v>
      </c>
      <c r="N100" s="68" t="s">
        <v>154</v>
      </c>
      <c r="O100" s="64" t="s">
        <v>155</v>
      </c>
      <c r="P100" s="69">
        <v>44571</v>
      </c>
      <c r="Q100" s="69">
        <v>44925</v>
      </c>
      <c r="R100" s="64"/>
      <c r="S100" s="74" t="s">
        <v>76</v>
      </c>
      <c r="T100" s="74"/>
      <c r="U100" s="87"/>
      <c r="V100" s="671">
        <f t="shared" si="13"/>
        <v>0</v>
      </c>
      <c r="W100" s="87"/>
      <c r="X100" s="87">
        <f t="shared" si="20"/>
        <v>38000</v>
      </c>
      <c r="Y100" s="87"/>
      <c r="Z100" s="87"/>
      <c r="AA100" s="87"/>
      <c r="AB100" s="87"/>
      <c r="AC100" s="87"/>
      <c r="AD100" s="87"/>
      <c r="AE100" s="93"/>
      <c r="AF100" s="339" t="s">
        <v>159</v>
      </c>
      <c r="AG100" s="502">
        <v>38000</v>
      </c>
      <c r="AH100" s="371">
        <v>38000</v>
      </c>
      <c r="AI100" s="78"/>
      <c r="AJ100" s="78"/>
      <c r="AK100" s="78"/>
      <c r="AL100" s="78"/>
      <c r="AM100" s="78"/>
      <c r="AN100" s="89" t="s">
        <v>39</v>
      </c>
      <c r="AO100" s="313"/>
      <c r="AP100" s="313"/>
      <c r="AQ100" s="408"/>
      <c r="AR100" s="89"/>
      <c r="AS100" s="470"/>
      <c r="AT100" s="89"/>
      <c r="AU100" s="661"/>
      <c r="AV100" s="1274"/>
    </row>
    <row r="101" spans="1:48" ht="45.75" customHeight="1" outlineLevel="3" x14ac:dyDescent="0.25">
      <c r="A101" s="63" t="str">
        <f t="shared" si="1"/>
        <v>1.1.1.2.21.64</v>
      </c>
      <c r="B101" s="63">
        <v>1</v>
      </c>
      <c r="C101" s="63">
        <v>1</v>
      </c>
      <c r="D101" s="63">
        <v>1</v>
      </c>
      <c r="E101" s="63">
        <v>2</v>
      </c>
      <c r="F101" s="63">
        <v>21</v>
      </c>
      <c r="G101" s="64">
        <v>64</v>
      </c>
      <c r="H101" s="63"/>
      <c r="I101" s="63"/>
      <c r="J101" s="90"/>
      <c r="K101" s="91" t="s">
        <v>164</v>
      </c>
      <c r="L101" s="64" t="s">
        <v>72</v>
      </c>
      <c r="M101" s="64" t="s">
        <v>73</v>
      </c>
      <c r="N101" s="68" t="s">
        <v>154</v>
      </c>
      <c r="O101" s="64" t="s">
        <v>155</v>
      </c>
      <c r="P101" s="69">
        <v>44571</v>
      </c>
      <c r="Q101" s="69">
        <v>44925</v>
      </c>
      <c r="R101" s="64"/>
      <c r="S101" s="74" t="s">
        <v>76</v>
      </c>
      <c r="T101" s="74"/>
      <c r="U101" s="87"/>
      <c r="V101" s="671">
        <f t="shared" si="13"/>
        <v>0</v>
      </c>
      <c r="W101" s="87"/>
      <c r="X101" s="87"/>
      <c r="Y101" s="87"/>
      <c r="Z101" s="87"/>
      <c r="AA101" s="87">
        <f>+AH101</f>
        <v>38000</v>
      </c>
      <c r="AB101" s="87"/>
      <c r="AC101" s="87"/>
      <c r="AD101" s="87"/>
      <c r="AE101" s="93"/>
      <c r="AF101" s="339" t="s">
        <v>159</v>
      </c>
      <c r="AG101" s="502">
        <v>38000</v>
      </c>
      <c r="AH101" s="371">
        <v>38000</v>
      </c>
      <c r="AI101" s="78"/>
      <c r="AJ101" s="78"/>
      <c r="AK101" s="78"/>
      <c r="AL101" s="78"/>
      <c r="AM101" s="78"/>
      <c r="AN101" s="89" t="s">
        <v>39</v>
      </c>
      <c r="AO101" s="313"/>
      <c r="AP101" s="313"/>
      <c r="AQ101" s="408"/>
      <c r="AR101" s="89"/>
      <c r="AS101" s="470"/>
      <c r="AT101" s="89"/>
      <c r="AU101" s="661"/>
      <c r="AV101" s="1274"/>
    </row>
    <row r="102" spans="1:48" ht="72.75" customHeight="1" outlineLevel="3" x14ac:dyDescent="0.25">
      <c r="A102" s="63" t="str">
        <f t="shared" si="1"/>
        <v>1.1.1.2.23.58</v>
      </c>
      <c r="B102" s="63">
        <v>1</v>
      </c>
      <c r="C102" s="63">
        <v>1</v>
      </c>
      <c r="D102" s="63">
        <v>1</v>
      </c>
      <c r="E102" s="63">
        <v>2</v>
      </c>
      <c r="F102" s="63">
        <v>23</v>
      </c>
      <c r="G102" s="64">
        <v>58</v>
      </c>
      <c r="H102" s="63"/>
      <c r="I102" s="63"/>
      <c r="J102" s="90"/>
      <c r="K102" s="91" t="s">
        <v>165</v>
      </c>
      <c r="L102" s="64" t="s">
        <v>72</v>
      </c>
      <c r="M102" s="64" t="s">
        <v>166</v>
      </c>
      <c r="N102" s="68" t="s">
        <v>167</v>
      </c>
      <c r="O102" s="64" t="s">
        <v>168</v>
      </c>
      <c r="P102" s="69">
        <v>44571</v>
      </c>
      <c r="Q102" s="69">
        <v>44925</v>
      </c>
      <c r="R102" s="92"/>
      <c r="S102" s="74" t="s">
        <v>166</v>
      </c>
      <c r="T102" s="74"/>
      <c r="U102" s="87"/>
      <c r="V102" s="671">
        <f t="shared" si="13"/>
        <v>0</v>
      </c>
      <c r="W102" s="87"/>
      <c r="X102" s="87"/>
      <c r="Y102" s="87"/>
      <c r="Z102" s="87"/>
      <c r="AA102" s="87"/>
      <c r="AB102" s="87"/>
      <c r="AC102" s="87"/>
      <c r="AD102" s="87"/>
      <c r="AE102" s="93"/>
      <c r="AF102" s="339" t="s">
        <v>169</v>
      </c>
      <c r="AG102" s="529">
        <v>0</v>
      </c>
      <c r="AH102" s="371">
        <v>0</v>
      </c>
      <c r="AI102" s="78"/>
      <c r="AJ102" s="78"/>
      <c r="AK102" s="78"/>
      <c r="AL102" s="78"/>
      <c r="AM102" s="78"/>
      <c r="AN102" s="89" t="s">
        <v>39</v>
      </c>
      <c r="AO102" s="89"/>
      <c r="AP102" s="89"/>
      <c r="AQ102" s="407"/>
      <c r="AR102" s="89"/>
      <c r="AS102" s="469"/>
      <c r="AT102" s="89"/>
      <c r="AU102" s="661"/>
      <c r="AV102" s="185" t="s">
        <v>127</v>
      </c>
    </row>
    <row r="103" spans="1:48" ht="72.75" customHeight="1" outlineLevel="3" x14ac:dyDescent="0.25">
      <c r="A103" s="63" t="str">
        <f t="shared" si="1"/>
        <v>1.1.1.2.23.59</v>
      </c>
      <c r="B103" s="63">
        <v>1</v>
      </c>
      <c r="C103" s="63">
        <v>1</v>
      </c>
      <c r="D103" s="63">
        <v>1</v>
      </c>
      <c r="E103" s="63">
        <v>2</v>
      </c>
      <c r="F103" s="63">
        <v>23</v>
      </c>
      <c r="G103" s="64">
        <v>59</v>
      </c>
      <c r="H103" s="63"/>
      <c r="I103" s="63"/>
      <c r="J103" s="90"/>
      <c r="K103" s="91" t="s">
        <v>170</v>
      </c>
      <c r="L103" s="64" t="s">
        <v>72</v>
      </c>
      <c r="M103" s="64" t="s">
        <v>166</v>
      </c>
      <c r="N103" s="68" t="s">
        <v>167</v>
      </c>
      <c r="O103" s="64" t="s">
        <v>168</v>
      </c>
      <c r="P103" s="69">
        <v>44571</v>
      </c>
      <c r="Q103" s="69">
        <v>44925</v>
      </c>
      <c r="R103" s="64"/>
      <c r="S103" s="74" t="s">
        <v>166</v>
      </c>
      <c r="T103" s="74"/>
      <c r="U103" s="87"/>
      <c r="V103" s="671">
        <f t="shared" si="13"/>
        <v>0</v>
      </c>
      <c r="W103" s="87"/>
      <c r="X103" s="87"/>
      <c r="Y103" s="87"/>
      <c r="Z103" s="87"/>
      <c r="AA103" s="87"/>
      <c r="AB103" s="87"/>
      <c r="AC103" s="87"/>
      <c r="AD103" s="87"/>
      <c r="AE103" s="93"/>
      <c r="AF103" s="339"/>
      <c r="AG103" s="529">
        <v>0</v>
      </c>
      <c r="AH103" s="371">
        <v>0</v>
      </c>
      <c r="AI103" s="78"/>
      <c r="AJ103" s="78"/>
      <c r="AK103" s="78"/>
      <c r="AL103" s="78"/>
      <c r="AM103" s="78"/>
      <c r="AN103" s="89" t="s">
        <v>39</v>
      </c>
      <c r="AO103" s="89"/>
      <c r="AP103" s="89"/>
      <c r="AQ103" s="407"/>
      <c r="AR103" s="89"/>
      <c r="AS103" s="469"/>
      <c r="AT103" s="89"/>
      <c r="AU103" s="661"/>
      <c r="AV103" s="185" t="s">
        <v>127</v>
      </c>
    </row>
    <row r="104" spans="1:48" ht="72.75" customHeight="1" outlineLevel="3" x14ac:dyDescent="0.25">
      <c r="A104" s="63" t="str">
        <f t="shared" si="1"/>
        <v>1.1.1.2.23.60</v>
      </c>
      <c r="B104" s="63">
        <v>1</v>
      </c>
      <c r="C104" s="63">
        <v>1</v>
      </c>
      <c r="D104" s="63">
        <v>1</v>
      </c>
      <c r="E104" s="63">
        <v>2</v>
      </c>
      <c r="F104" s="63">
        <v>23</v>
      </c>
      <c r="G104" s="64">
        <v>60</v>
      </c>
      <c r="H104" s="63"/>
      <c r="I104" s="63"/>
      <c r="J104" s="90"/>
      <c r="K104" s="91" t="s">
        <v>171</v>
      </c>
      <c r="L104" s="64" t="s">
        <v>72</v>
      </c>
      <c r="M104" s="64" t="s">
        <v>166</v>
      </c>
      <c r="N104" s="68" t="s">
        <v>167</v>
      </c>
      <c r="O104" s="64" t="s">
        <v>168</v>
      </c>
      <c r="P104" s="69">
        <v>44571</v>
      </c>
      <c r="Q104" s="69">
        <v>44925</v>
      </c>
      <c r="R104" s="64"/>
      <c r="S104" s="74" t="s">
        <v>166</v>
      </c>
      <c r="T104" s="74"/>
      <c r="U104" s="87"/>
      <c r="V104" s="671">
        <f t="shared" si="13"/>
        <v>0</v>
      </c>
      <c r="W104" s="87"/>
      <c r="X104" s="87"/>
      <c r="Y104" s="87"/>
      <c r="Z104" s="87"/>
      <c r="AA104" s="87"/>
      <c r="AB104" s="87"/>
      <c r="AC104" s="87"/>
      <c r="AD104" s="87"/>
      <c r="AE104" s="93"/>
      <c r="AF104" s="339"/>
      <c r="AG104" s="529">
        <v>0</v>
      </c>
      <c r="AH104" s="371">
        <v>0</v>
      </c>
      <c r="AI104" s="78"/>
      <c r="AJ104" s="78"/>
      <c r="AK104" s="78"/>
      <c r="AL104" s="78"/>
      <c r="AM104" s="78"/>
      <c r="AN104" s="89" t="s">
        <v>39</v>
      </c>
      <c r="AO104" s="89"/>
      <c r="AP104" s="89"/>
      <c r="AQ104" s="407"/>
      <c r="AR104" s="89"/>
      <c r="AS104" s="469"/>
      <c r="AT104" s="89"/>
      <c r="AU104" s="661"/>
      <c r="AV104" s="185" t="s">
        <v>127</v>
      </c>
    </row>
    <row r="105" spans="1:48" ht="72.75" customHeight="1" outlineLevel="3" x14ac:dyDescent="0.25">
      <c r="A105" s="63" t="str">
        <f t="shared" si="1"/>
        <v>1.1.1.2.23.61</v>
      </c>
      <c r="B105" s="63">
        <v>1</v>
      </c>
      <c r="C105" s="63">
        <v>1</v>
      </c>
      <c r="D105" s="63">
        <v>1</v>
      </c>
      <c r="E105" s="63">
        <v>2</v>
      </c>
      <c r="F105" s="63">
        <v>23</v>
      </c>
      <c r="G105" s="64">
        <v>61</v>
      </c>
      <c r="H105" s="63"/>
      <c r="I105" s="63"/>
      <c r="J105" s="90"/>
      <c r="K105" s="91" t="s">
        <v>172</v>
      </c>
      <c r="L105" s="64" t="s">
        <v>72</v>
      </c>
      <c r="M105" s="64" t="s">
        <v>166</v>
      </c>
      <c r="N105" s="68" t="s">
        <v>167</v>
      </c>
      <c r="O105" s="64" t="s">
        <v>168</v>
      </c>
      <c r="P105" s="69">
        <v>44571</v>
      </c>
      <c r="Q105" s="69">
        <v>44925</v>
      </c>
      <c r="R105" s="64"/>
      <c r="S105" s="74" t="s">
        <v>166</v>
      </c>
      <c r="T105" s="74"/>
      <c r="U105" s="87"/>
      <c r="V105" s="671">
        <f t="shared" si="13"/>
        <v>0</v>
      </c>
      <c r="W105" s="87"/>
      <c r="X105" s="87"/>
      <c r="Y105" s="87"/>
      <c r="Z105" s="87"/>
      <c r="AA105" s="87"/>
      <c r="AB105" s="87"/>
      <c r="AC105" s="87"/>
      <c r="AD105" s="87"/>
      <c r="AE105" s="93"/>
      <c r="AF105" s="339"/>
      <c r="AG105" s="529">
        <v>0</v>
      </c>
      <c r="AH105" s="371">
        <v>0</v>
      </c>
      <c r="AI105" s="78"/>
      <c r="AJ105" s="78"/>
      <c r="AK105" s="78"/>
      <c r="AL105" s="78"/>
      <c r="AM105" s="78"/>
      <c r="AN105" s="89" t="s">
        <v>39</v>
      </c>
      <c r="AO105" s="89"/>
      <c r="AP105" s="89"/>
      <c r="AQ105" s="407"/>
      <c r="AR105" s="89"/>
      <c r="AS105" s="469"/>
      <c r="AT105" s="89"/>
      <c r="AU105" s="661"/>
      <c r="AV105" s="185" t="s">
        <v>127</v>
      </c>
    </row>
    <row r="106" spans="1:48" ht="72.75" customHeight="1" outlineLevel="3" x14ac:dyDescent="0.25">
      <c r="A106" s="63" t="str">
        <f t="shared" si="1"/>
        <v>1.1.1.2.23.62</v>
      </c>
      <c r="B106" s="63">
        <v>1</v>
      </c>
      <c r="C106" s="63">
        <v>1</v>
      </c>
      <c r="D106" s="63">
        <v>1</v>
      </c>
      <c r="E106" s="63">
        <v>2</v>
      </c>
      <c r="F106" s="63">
        <v>23</v>
      </c>
      <c r="G106" s="64">
        <v>62</v>
      </c>
      <c r="H106" s="63"/>
      <c r="I106" s="63"/>
      <c r="J106" s="90"/>
      <c r="K106" s="91" t="s">
        <v>173</v>
      </c>
      <c r="L106" s="64" t="s">
        <v>72</v>
      </c>
      <c r="M106" s="64" t="s">
        <v>166</v>
      </c>
      <c r="N106" s="68" t="s">
        <v>167</v>
      </c>
      <c r="O106" s="64" t="s">
        <v>168</v>
      </c>
      <c r="P106" s="69">
        <v>44571</v>
      </c>
      <c r="Q106" s="69">
        <v>44925</v>
      </c>
      <c r="R106" s="64"/>
      <c r="S106" s="74" t="s">
        <v>166</v>
      </c>
      <c r="T106" s="74"/>
      <c r="U106" s="87"/>
      <c r="V106" s="671">
        <f t="shared" si="13"/>
        <v>0</v>
      </c>
      <c r="W106" s="87"/>
      <c r="X106" s="87"/>
      <c r="Y106" s="87"/>
      <c r="Z106" s="87"/>
      <c r="AA106" s="87"/>
      <c r="AB106" s="87"/>
      <c r="AC106" s="87"/>
      <c r="AD106" s="87"/>
      <c r="AE106" s="93"/>
      <c r="AF106" s="339"/>
      <c r="AG106" s="529">
        <v>0</v>
      </c>
      <c r="AH106" s="371">
        <v>0</v>
      </c>
      <c r="AI106" s="78"/>
      <c r="AJ106" s="78"/>
      <c r="AK106" s="78"/>
      <c r="AL106" s="78"/>
      <c r="AM106" s="78"/>
      <c r="AN106" s="89" t="s">
        <v>39</v>
      </c>
      <c r="AO106" s="89"/>
      <c r="AP106" s="89"/>
      <c r="AQ106" s="407"/>
      <c r="AR106" s="89"/>
      <c r="AS106" s="469"/>
      <c r="AT106" s="89"/>
      <c r="AU106" s="661"/>
      <c r="AV106" s="185" t="s">
        <v>127</v>
      </c>
    </row>
    <row r="107" spans="1:48" ht="72.75" customHeight="1" outlineLevel="3" x14ac:dyDescent="0.25">
      <c r="A107" s="63" t="str">
        <f t="shared" si="1"/>
        <v>1.1.1.2.23.63</v>
      </c>
      <c r="B107" s="63">
        <v>1</v>
      </c>
      <c r="C107" s="63">
        <v>1</v>
      </c>
      <c r="D107" s="63">
        <v>1</v>
      </c>
      <c r="E107" s="63">
        <v>2</v>
      </c>
      <c r="F107" s="63">
        <v>23</v>
      </c>
      <c r="G107" s="64">
        <v>63</v>
      </c>
      <c r="H107" s="63"/>
      <c r="I107" s="63"/>
      <c r="J107" s="90"/>
      <c r="K107" s="91" t="s">
        <v>174</v>
      </c>
      <c r="L107" s="64" t="s">
        <v>72</v>
      </c>
      <c r="M107" s="64" t="s">
        <v>166</v>
      </c>
      <c r="N107" s="68" t="s">
        <v>167</v>
      </c>
      <c r="O107" s="64" t="s">
        <v>168</v>
      </c>
      <c r="P107" s="69">
        <v>44571</v>
      </c>
      <c r="Q107" s="69">
        <v>44925</v>
      </c>
      <c r="R107" s="64"/>
      <c r="S107" s="74" t="s">
        <v>166</v>
      </c>
      <c r="T107" s="74"/>
      <c r="U107" s="87"/>
      <c r="V107" s="671">
        <f t="shared" si="13"/>
        <v>0</v>
      </c>
      <c r="W107" s="87"/>
      <c r="X107" s="87"/>
      <c r="Y107" s="87"/>
      <c r="Z107" s="87"/>
      <c r="AA107" s="87"/>
      <c r="AB107" s="87"/>
      <c r="AC107" s="87"/>
      <c r="AD107" s="87"/>
      <c r="AE107" s="93"/>
      <c r="AF107" s="339"/>
      <c r="AG107" s="529">
        <v>0</v>
      </c>
      <c r="AH107" s="371">
        <v>0</v>
      </c>
      <c r="AI107" s="78"/>
      <c r="AJ107" s="78"/>
      <c r="AK107" s="78"/>
      <c r="AL107" s="78"/>
      <c r="AM107" s="78"/>
      <c r="AN107" s="89" t="s">
        <v>39</v>
      </c>
      <c r="AO107" s="89"/>
      <c r="AP107" s="89"/>
      <c r="AQ107" s="407"/>
      <c r="AR107" s="89"/>
      <c r="AS107" s="469"/>
      <c r="AT107" s="89"/>
      <c r="AU107" s="661"/>
      <c r="AV107" s="185" t="s">
        <v>127</v>
      </c>
    </row>
    <row r="108" spans="1:48" outlineLevel="3" x14ac:dyDescent="0.25">
      <c r="A108" s="63" t="str">
        <f t="shared" si="1"/>
        <v>1.1.1.2.23.64</v>
      </c>
      <c r="B108" s="63">
        <v>1</v>
      </c>
      <c r="C108" s="63">
        <v>1</v>
      </c>
      <c r="D108" s="63">
        <v>1</v>
      </c>
      <c r="E108" s="63">
        <v>2</v>
      </c>
      <c r="F108" s="63">
        <v>23</v>
      </c>
      <c r="G108" s="64">
        <v>64</v>
      </c>
      <c r="H108" s="63"/>
      <c r="I108" s="63"/>
      <c r="J108" s="90"/>
      <c r="K108" s="91" t="s">
        <v>175</v>
      </c>
      <c r="L108" s="64" t="s">
        <v>72</v>
      </c>
      <c r="M108" s="64" t="s">
        <v>166</v>
      </c>
      <c r="N108" s="68" t="s">
        <v>167</v>
      </c>
      <c r="O108" s="64" t="s">
        <v>168</v>
      </c>
      <c r="P108" s="69">
        <v>44571</v>
      </c>
      <c r="Q108" s="69">
        <v>44925</v>
      </c>
      <c r="R108" s="64"/>
      <c r="S108" s="74" t="s">
        <v>166</v>
      </c>
      <c r="T108" s="74"/>
      <c r="U108" s="87"/>
      <c r="V108" s="671">
        <f t="shared" si="13"/>
        <v>0</v>
      </c>
      <c r="W108" s="87"/>
      <c r="X108" s="87"/>
      <c r="Y108" s="87"/>
      <c r="Z108" s="87"/>
      <c r="AA108" s="87"/>
      <c r="AB108" s="87"/>
      <c r="AC108" s="87"/>
      <c r="AD108" s="87"/>
      <c r="AE108" s="93"/>
      <c r="AF108" s="339"/>
      <c r="AG108" s="529">
        <v>0</v>
      </c>
      <c r="AH108" s="371">
        <v>0</v>
      </c>
      <c r="AI108" s="78"/>
      <c r="AJ108" s="78"/>
      <c r="AK108" s="78"/>
      <c r="AL108" s="78"/>
      <c r="AM108" s="78"/>
      <c r="AN108" s="89" t="s">
        <v>39</v>
      </c>
      <c r="AO108" s="89"/>
      <c r="AP108" s="89"/>
      <c r="AQ108" s="407"/>
      <c r="AR108" s="89"/>
      <c r="AS108" s="469"/>
      <c r="AT108" s="89"/>
      <c r="AU108" s="661"/>
      <c r="AV108" s="185" t="s">
        <v>127</v>
      </c>
    </row>
    <row r="109" spans="1:48" ht="33" customHeight="1" outlineLevel="1" x14ac:dyDescent="0.25">
      <c r="A109" s="80" t="str">
        <f t="shared" si="1"/>
        <v>1.1.1.3.0.0</v>
      </c>
      <c r="B109" s="80">
        <v>1</v>
      </c>
      <c r="C109" s="80">
        <v>1</v>
      </c>
      <c r="D109" s="80">
        <v>1</v>
      </c>
      <c r="E109" s="80">
        <v>3</v>
      </c>
      <c r="F109" s="80">
        <v>0</v>
      </c>
      <c r="G109" s="81">
        <v>0</v>
      </c>
      <c r="H109" s="80"/>
      <c r="I109" s="80"/>
      <c r="J109" s="1347" t="s">
        <v>176</v>
      </c>
      <c r="K109" s="1347"/>
      <c r="L109" s="82" t="s">
        <v>72</v>
      </c>
      <c r="M109" s="83" t="s">
        <v>177</v>
      </c>
      <c r="N109" s="82" t="s">
        <v>74</v>
      </c>
      <c r="O109" s="82" t="s">
        <v>75</v>
      </c>
      <c r="P109" s="84">
        <v>44571</v>
      </c>
      <c r="Q109" s="84">
        <v>44925</v>
      </c>
      <c r="R109" s="82"/>
      <c r="S109" s="54"/>
      <c r="T109" s="54" t="e">
        <f>+SUM(#REF!)</f>
        <v>#REF!</v>
      </c>
      <c r="U109" s="96">
        <v>0</v>
      </c>
      <c r="V109" s="673">
        <v>0</v>
      </c>
      <c r="W109" s="96">
        <v>0</v>
      </c>
      <c r="X109" s="96">
        <v>0</v>
      </c>
      <c r="Y109" s="96"/>
      <c r="Z109" s="96" t="e">
        <f>+SUM(#REF!)</f>
        <v>#REF!</v>
      </c>
      <c r="AA109" s="96">
        <v>0</v>
      </c>
      <c r="AB109" s="96"/>
      <c r="AC109" s="96" t="e">
        <f>+SUM(#REF!)</f>
        <v>#REF!</v>
      </c>
      <c r="AD109" s="96">
        <v>0</v>
      </c>
      <c r="AE109" s="590"/>
      <c r="AF109" s="338"/>
      <c r="AG109" s="369">
        <v>0</v>
      </c>
      <c r="AH109" s="369">
        <v>0</v>
      </c>
      <c r="AI109" s="369">
        <v>0</v>
      </c>
      <c r="AJ109" s="369">
        <v>0</v>
      </c>
      <c r="AK109" s="61"/>
      <c r="AL109" s="61"/>
      <c r="AM109" s="61"/>
      <c r="AN109" s="62" t="s">
        <v>39</v>
      </c>
      <c r="AO109" s="62"/>
      <c r="AP109" s="62"/>
      <c r="AQ109" s="404"/>
      <c r="AR109" s="62"/>
      <c r="AS109" s="466"/>
      <c r="AT109" s="62"/>
      <c r="AU109" s="660"/>
      <c r="AV109" s="427"/>
    </row>
    <row r="110" spans="1:48" ht="36.75" customHeight="1" outlineLevel="1" x14ac:dyDescent="0.25">
      <c r="A110" s="80" t="str">
        <f t="shared" si="1"/>
        <v>1.1.1.4.0.0</v>
      </c>
      <c r="B110" s="80">
        <v>1</v>
      </c>
      <c r="C110" s="80">
        <v>1</v>
      </c>
      <c r="D110" s="80">
        <v>1</v>
      </c>
      <c r="E110" s="80">
        <v>4</v>
      </c>
      <c r="F110" s="80">
        <v>0</v>
      </c>
      <c r="G110" s="81">
        <v>0</v>
      </c>
      <c r="H110" s="80"/>
      <c r="I110" s="80"/>
      <c r="J110" s="1347" t="s">
        <v>178</v>
      </c>
      <c r="K110" s="1347"/>
      <c r="L110" s="82" t="s">
        <v>179</v>
      </c>
      <c r="M110" s="82" t="s">
        <v>76</v>
      </c>
      <c r="N110" s="82" t="s">
        <v>180</v>
      </c>
      <c r="O110" s="82" t="s">
        <v>75</v>
      </c>
      <c r="P110" s="84">
        <v>44571</v>
      </c>
      <c r="Q110" s="84">
        <v>44925</v>
      </c>
      <c r="R110" s="82"/>
      <c r="S110" s="54"/>
      <c r="T110" s="54">
        <f>+SUM(T111:T129)</f>
        <v>28</v>
      </c>
      <c r="U110" s="96">
        <v>0</v>
      </c>
      <c r="V110" s="673">
        <v>0</v>
      </c>
      <c r="W110" s="96">
        <f t="shared" ref="W110:AC110" si="21">+SUM(W111:W129)</f>
        <v>30</v>
      </c>
      <c r="X110" s="96">
        <v>0</v>
      </c>
      <c r="Y110" s="96"/>
      <c r="Z110" s="96">
        <f t="shared" si="21"/>
        <v>32</v>
      </c>
      <c r="AA110" s="96">
        <v>0</v>
      </c>
      <c r="AB110" s="96"/>
      <c r="AC110" s="96">
        <f t="shared" si="21"/>
        <v>28</v>
      </c>
      <c r="AD110" s="96">
        <v>0</v>
      </c>
      <c r="AE110" s="590"/>
      <c r="AF110" s="338"/>
      <c r="AG110" s="369">
        <f>+SUM(AG111:AG129)</f>
        <v>0</v>
      </c>
      <c r="AH110" s="369">
        <f>+SUM(AH111:AH129)</f>
        <v>0</v>
      </c>
      <c r="AI110" s="369">
        <f t="shared" ref="AI110:AJ110" si="22">+SUM(AI111:AI129)</f>
        <v>0</v>
      </c>
      <c r="AJ110" s="369">
        <f t="shared" si="22"/>
        <v>0</v>
      </c>
      <c r="AK110" s="61"/>
      <c r="AL110" s="61"/>
      <c r="AM110" s="61"/>
      <c r="AN110" s="62" t="s">
        <v>181</v>
      </c>
      <c r="AO110" s="62"/>
      <c r="AP110" s="62"/>
      <c r="AQ110" s="404"/>
      <c r="AR110" s="62"/>
      <c r="AS110" s="466"/>
      <c r="AT110" s="62"/>
      <c r="AU110" s="660"/>
      <c r="AV110" s="428" t="s">
        <v>182</v>
      </c>
    </row>
    <row r="111" spans="1:48" ht="30.75" customHeight="1" outlineLevel="3" x14ac:dyDescent="0.25">
      <c r="A111" s="63" t="str">
        <f t="shared" si="1"/>
        <v>1.1.1.4.1.0</v>
      </c>
      <c r="B111" s="64">
        <v>1</v>
      </c>
      <c r="C111" s="64">
        <v>1</v>
      </c>
      <c r="D111" s="64">
        <v>1</v>
      </c>
      <c r="E111" s="64">
        <v>4</v>
      </c>
      <c r="F111" s="64">
        <v>1</v>
      </c>
      <c r="G111" s="64">
        <v>0</v>
      </c>
      <c r="H111" s="65"/>
      <c r="I111" s="65"/>
      <c r="J111" s="66"/>
      <c r="K111" s="65" t="s">
        <v>183</v>
      </c>
      <c r="L111" s="64" t="s">
        <v>179</v>
      </c>
      <c r="M111" s="64" t="s">
        <v>184</v>
      </c>
      <c r="N111" s="64" t="s">
        <v>185</v>
      </c>
      <c r="O111" s="64" t="s">
        <v>75</v>
      </c>
      <c r="P111" s="69"/>
      <c r="Q111" s="69"/>
      <c r="R111" s="68"/>
      <c r="S111" s="65"/>
      <c r="T111" s="64"/>
      <c r="U111" s="75"/>
      <c r="V111" s="671">
        <f>+AJ111</f>
        <v>0</v>
      </c>
      <c r="W111" s="75"/>
      <c r="X111" s="75"/>
      <c r="Y111" s="75"/>
      <c r="Z111" s="75"/>
      <c r="AA111" s="75"/>
      <c r="AB111" s="75"/>
      <c r="AC111" s="97"/>
      <c r="AD111" s="97"/>
      <c r="AE111" s="591"/>
      <c r="AF111" s="343" t="s">
        <v>186</v>
      </c>
      <c r="AG111" s="505">
        <v>0</v>
      </c>
      <c r="AH111" s="370">
        <v>0</v>
      </c>
      <c r="AI111" s="75"/>
      <c r="AJ111" s="75"/>
      <c r="AK111" s="75"/>
      <c r="AL111" s="75"/>
      <c r="AM111" s="75"/>
      <c r="AN111" s="98" t="s">
        <v>181</v>
      </c>
      <c r="AO111" s="314"/>
      <c r="AP111" s="314"/>
      <c r="AQ111" s="409"/>
      <c r="AR111" s="98"/>
      <c r="AS111" s="471"/>
      <c r="AT111" s="98"/>
      <c r="AU111" s="646"/>
      <c r="AV111" s="1274" t="s">
        <v>187</v>
      </c>
    </row>
    <row r="112" spans="1:48" ht="31.5" customHeight="1" outlineLevel="3" x14ac:dyDescent="0.25">
      <c r="A112" s="63" t="str">
        <f t="shared" si="1"/>
        <v>1.1.1.4.2.0</v>
      </c>
      <c r="B112" s="64">
        <v>1</v>
      </c>
      <c r="C112" s="64">
        <v>1</v>
      </c>
      <c r="D112" s="64">
        <v>1</v>
      </c>
      <c r="E112" s="64">
        <v>4</v>
      </c>
      <c r="F112" s="64">
        <v>2</v>
      </c>
      <c r="G112" s="64">
        <v>0</v>
      </c>
      <c r="H112" s="65"/>
      <c r="I112" s="65"/>
      <c r="J112" s="66"/>
      <c r="K112" s="65" t="s">
        <v>188</v>
      </c>
      <c r="L112" s="64" t="s">
        <v>189</v>
      </c>
      <c r="M112" s="68" t="s">
        <v>190</v>
      </c>
      <c r="N112" s="64" t="s">
        <v>191</v>
      </c>
      <c r="O112" s="64" t="s">
        <v>192</v>
      </c>
      <c r="P112" s="69">
        <v>44612</v>
      </c>
      <c r="Q112" s="69">
        <v>44895</v>
      </c>
      <c r="R112" s="64">
        <v>8</v>
      </c>
      <c r="S112" s="65" t="s">
        <v>193</v>
      </c>
      <c r="T112" s="64">
        <v>2</v>
      </c>
      <c r="U112" s="75"/>
      <c r="V112" s="671">
        <f t="shared" ref="V112:V129" si="23">+AJ112</f>
        <v>0</v>
      </c>
      <c r="W112" s="75">
        <v>2</v>
      </c>
      <c r="X112" s="75"/>
      <c r="Y112" s="75"/>
      <c r="Z112" s="75">
        <v>2</v>
      </c>
      <c r="AA112" s="75"/>
      <c r="AB112" s="75"/>
      <c r="AC112" s="97">
        <v>2</v>
      </c>
      <c r="AD112" s="97"/>
      <c r="AE112" s="591"/>
      <c r="AF112" s="343" t="s">
        <v>186</v>
      </c>
      <c r="AG112" s="505">
        <v>0</v>
      </c>
      <c r="AH112" s="370">
        <v>0</v>
      </c>
      <c r="AI112" s="75"/>
      <c r="AJ112" s="75"/>
      <c r="AK112" s="75"/>
      <c r="AL112" s="75"/>
      <c r="AM112" s="75"/>
      <c r="AN112" s="98" t="s">
        <v>181</v>
      </c>
      <c r="AO112" s="314"/>
      <c r="AP112" s="314"/>
      <c r="AQ112" s="409"/>
      <c r="AR112" s="98"/>
      <c r="AS112" s="471"/>
      <c r="AT112" s="98"/>
      <c r="AU112" s="646"/>
      <c r="AV112" s="1274"/>
    </row>
    <row r="113" spans="1:48" ht="30.75" customHeight="1" outlineLevel="3" x14ac:dyDescent="0.25">
      <c r="A113" s="63" t="str">
        <f t="shared" si="1"/>
        <v>1.1.1.4.3.0</v>
      </c>
      <c r="B113" s="64">
        <v>1</v>
      </c>
      <c r="C113" s="64">
        <v>1</v>
      </c>
      <c r="D113" s="64">
        <v>1</v>
      </c>
      <c r="E113" s="64">
        <v>4</v>
      </c>
      <c r="F113" s="64">
        <v>3</v>
      </c>
      <c r="G113" s="64">
        <v>0</v>
      </c>
      <c r="H113" s="65"/>
      <c r="I113" s="65"/>
      <c r="J113" s="66"/>
      <c r="K113" s="67" t="s">
        <v>194</v>
      </c>
      <c r="L113" s="64" t="s">
        <v>195</v>
      </c>
      <c r="M113" s="68" t="s">
        <v>190</v>
      </c>
      <c r="N113" s="64" t="s">
        <v>191</v>
      </c>
      <c r="O113" s="64" t="s">
        <v>192</v>
      </c>
      <c r="P113" s="69">
        <v>44612</v>
      </c>
      <c r="Q113" s="69">
        <v>44864</v>
      </c>
      <c r="R113" s="64">
        <v>4</v>
      </c>
      <c r="S113" s="65" t="s">
        <v>193</v>
      </c>
      <c r="T113" s="64">
        <v>1</v>
      </c>
      <c r="U113" s="75"/>
      <c r="V113" s="671">
        <f t="shared" si="23"/>
        <v>0</v>
      </c>
      <c r="W113" s="75">
        <v>1</v>
      </c>
      <c r="X113" s="75"/>
      <c r="Y113" s="75"/>
      <c r="Z113" s="75">
        <v>1</v>
      </c>
      <c r="AA113" s="75"/>
      <c r="AB113" s="75"/>
      <c r="AC113" s="75">
        <v>1</v>
      </c>
      <c r="AD113" s="75"/>
      <c r="AE113" s="592"/>
      <c r="AF113" s="343" t="s">
        <v>186</v>
      </c>
      <c r="AG113" s="505">
        <v>0</v>
      </c>
      <c r="AH113" s="370">
        <v>0</v>
      </c>
      <c r="AI113" s="75"/>
      <c r="AJ113" s="75"/>
      <c r="AK113" s="75"/>
      <c r="AL113" s="75"/>
      <c r="AM113" s="75"/>
      <c r="AN113" s="98" t="s">
        <v>181</v>
      </c>
      <c r="AO113" s="314"/>
      <c r="AP113" s="314"/>
      <c r="AQ113" s="409"/>
      <c r="AR113" s="98"/>
      <c r="AS113" s="471"/>
      <c r="AT113" s="98"/>
      <c r="AU113" s="646"/>
      <c r="AV113" s="1274"/>
    </row>
    <row r="114" spans="1:48" ht="34.5" customHeight="1" outlineLevel="3" x14ac:dyDescent="0.25">
      <c r="A114" s="63" t="str">
        <f t="shared" si="1"/>
        <v>1.1.1.4.4.0</v>
      </c>
      <c r="B114" s="64">
        <v>1</v>
      </c>
      <c r="C114" s="64">
        <v>1</v>
      </c>
      <c r="D114" s="64">
        <v>1</v>
      </c>
      <c r="E114" s="64">
        <v>4</v>
      </c>
      <c r="F114" s="64">
        <v>4</v>
      </c>
      <c r="G114" s="64">
        <v>0</v>
      </c>
      <c r="H114" s="65"/>
      <c r="I114" s="65"/>
      <c r="J114" s="65"/>
      <c r="K114" s="65" t="s">
        <v>196</v>
      </c>
      <c r="L114" s="64" t="s">
        <v>195</v>
      </c>
      <c r="M114" s="68" t="s">
        <v>197</v>
      </c>
      <c r="N114" s="64" t="s">
        <v>198</v>
      </c>
      <c r="O114" s="64" t="s">
        <v>192</v>
      </c>
      <c r="P114" s="69">
        <v>44805</v>
      </c>
      <c r="Q114" s="69">
        <v>44814</v>
      </c>
      <c r="R114" s="64">
        <v>1</v>
      </c>
      <c r="S114" s="65" t="s">
        <v>193</v>
      </c>
      <c r="T114" s="64"/>
      <c r="U114" s="75"/>
      <c r="V114" s="671">
        <f t="shared" si="23"/>
        <v>0</v>
      </c>
      <c r="W114" s="75"/>
      <c r="X114" s="75"/>
      <c r="Y114" s="75"/>
      <c r="Z114" s="75">
        <v>1</v>
      </c>
      <c r="AA114" s="75"/>
      <c r="AB114" s="75"/>
      <c r="AC114" s="75"/>
      <c r="AD114" s="75"/>
      <c r="AE114" s="592"/>
      <c r="AF114" s="343" t="s">
        <v>186</v>
      </c>
      <c r="AG114" s="505">
        <v>0</v>
      </c>
      <c r="AH114" s="370">
        <v>0</v>
      </c>
      <c r="AI114" s="75"/>
      <c r="AJ114" s="75"/>
      <c r="AK114" s="75"/>
      <c r="AL114" s="75"/>
      <c r="AM114" s="75"/>
      <c r="AN114" s="98" t="s">
        <v>181</v>
      </c>
      <c r="AO114" s="314"/>
      <c r="AP114" s="314"/>
      <c r="AQ114" s="409"/>
      <c r="AR114" s="98"/>
      <c r="AS114" s="471"/>
      <c r="AT114" s="98"/>
      <c r="AU114" s="646"/>
      <c r="AV114" s="1274"/>
    </row>
    <row r="115" spans="1:48" ht="34.5" customHeight="1" outlineLevel="3" x14ac:dyDescent="0.25">
      <c r="A115" s="63" t="str">
        <f t="shared" si="1"/>
        <v>1.1.1.4.5.0</v>
      </c>
      <c r="B115" s="64">
        <v>1</v>
      </c>
      <c r="C115" s="64">
        <v>1</v>
      </c>
      <c r="D115" s="64">
        <v>1</v>
      </c>
      <c r="E115" s="64">
        <v>4</v>
      </c>
      <c r="F115" s="64">
        <v>5</v>
      </c>
      <c r="G115" s="64">
        <v>0</v>
      </c>
      <c r="H115" s="65"/>
      <c r="I115" s="65"/>
      <c r="J115" s="66"/>
      <c r="K115" s="67" t="s">
        <v>199</v>
      </c>
      <c r="L115" s="64" t="s">
        <v>195</v>
      </c>
      <c r="M115" s="64" t="s">
        <v>200</v>
      </c>
      <c r="N115" s="64" t="s">
        <v>201</v>
      </c>
      <c r="O115" s="64" t="s">
        <v>202</v>
      </c>
      <c r="P115" s="69">
        <v>44571</v>
      </c>
      <c r="Q115" s="69">
        <v>44925</v>
      </c>
      <c r="R115" s="64"/>
      <c r="S115" s="65" t="s">
        <v>203</v>
      </c>
      <c r="T115" s="64"/>
      <c r="U115" s="75"/>
      <c r="V115" s="671">
        <f t="shared" si="23"/>
        <v>0</v>
      </c>
      <c r="W115" s="75"/>
      <c r="X115" s="75"/>
      <c r="Y115" s="75"/>
      <c r="Z115" s="75"/>
      <c r="AA115" s="75"/>
      <c r="AB115" s="75"/>
      <c r="AC115" s="75"/>
      <c r="AD115" s="75"/>
      <c r="AE115" s="592"/>
      <c r="AF115" s="259" t="s">
        <v>204</v>
      </c>
      <c r="AG115" s="506">
        <v>0</v>
      </c>
      <c r="AH115" s="370">
        <v>0</v>
      </c>
      <c r="AI115" s="75"/>
      <c r="AJ115" s="75"/>
      <c r="AK115" s="75"/>
      <c r="AL115" s="75"/>
      <c r="AM115" s="75"/>
      <c r="AN115" s="98" t="s">
        <v>181</v>
      </c>
      <c r="AO115" s="314"/>
      <c r="AP115" s="314"/>
      <c r="AQ115" s="409"/>
      <c r="AR115" s="98"/>
      <c r="AS115" s="471"/>
      <c r="AT115" s="98"/>
      <c r="AU115" s="646"/>
      <c r="AV115" s="1274"/>
    </row>
    <row r="116" spans="1:48" ht="38.25" customHeight="1" outlineLevel="3" x14ac:dyDescent="0.25">
      <c r="A116" s="63" t="str">
        <f t="shared" si="1"/>
        <v>1.1.1.4.6.0</v>
      </c>
      <c r="B116" s="64">
        <v>1</v>
      </c>
      <c r="C116" s="64">
        <v>1</v>
      </c>
      <c r="D116" s="64">
        <v>1</v>
      </c>
      <c r="E116" s="64">
        <v>4</v>
      </c>
      <c r="F116" s="64">
        <v>6</v>
      </c>
      <c r="G116" s="64">
        <v>0</v>
      </c>
      <c r="H116" s="65"/>
      <c r="I116" s="65"/>
      <c r="J116" s="66"/>
      <c r="K116" s="65" t="s">
        <v>205</v>
      </c>
      <c r="L116" s="64" t="s">
        <v>195</v>
      </c>
      <c r="M116" s="64" t="s">
        <v>206</v>
      </c>
      <c r="N116" s="64" t="s">
        <v>201</v>
      </c>
      <c r="O116" s="64" t="s">
        <v>202</v>
      </c>
      <c r="P116" s="69">
        <v>44722</v>
      </c>
      <c r="Q116" s="69">
        <v>44732</v>
      </c>
      <c r="R116" s="64">
        <v>1</v>
      </c>
      <c r="S116" s="65" t="s">
        <v>203</v>
      </c>
      <c r="T116" s="64"/>
      <c r="U116" s="75"/>
      <c r="V116" s="671">
        <f t="shared" si="23"/>
        <v>0</v>
      </c>
      <c r="W116" s="75"/>
      <c r="X116" s="75"/>
      <c r="Y116" s="75"/>
      <c r="Z116" s="75">
        <v>1</v>
      </c>
      <c r="AA116" s="75"/>
      <c r="AB116" s="75"/>
      <c r="AC116" s="75"/>
      <c r="AD116" s="75"/>
      <c r="AE116" s="592"/>
      <c r="AF116" s="259" t="s">
        <v>204</v>
      </c>
      <c r="AG116" s="506">
        <v>0</v>
      </c>
      <c r="AH116" s="370">
        <v>0</v>
      </c>
      <c r="AI116" s="75"/>
      <c r="AJ116" s="75"/>
      <c r="AK116" s="75"/>
      <c r="AL116" s="75"/>
      <c r="AM116" s="75"/>
      <c r="AN116" s="98" t="s">
        <v>181</v>
      </c>
      <c r="AO116" s="314"/>
      <c r="AP116" s="314"/>
      <c r="AQ116" s="409"/>
      <c r="AR116" s="98"/>
      <c r="AS116" s="471"/>
      <c r="AT116" s="98"/>
      <c r="AU116" s="646"/>
      <c r="AV116" s="1274"/>
    </row>
    <row r="117" spans="1:48" ht="47.1" customHeight="1" outlineLevel="3" x14ac:dyDescent="0.25">
      <c r="A117" s="63" t="str">
        <f t="shared" si="1"/>
        <v>1.1.1.4.7.0</v>
      </c>
      <c r="B117" s="64">
        <v>1</v>
      </c>
      <c r="C117" s="64">
        <v>1</v>
      </c>
      <c r="D117" s="64">
        <v>1</v>
      </c>
      <c r="E117" s="64">
        <v>4</v>
      </c>
      <c r="F117" s="64">
        <v>7</v>
      </c>
      <c r="G117" s="64">
        <v>0</v>
      </c>
      <c r="H117" s="65"/>
      <c r="I117" s="65"/>
      <c r="J117" s="65"/>
      <c r="K117" s="67" t="s">
        <v>207</v>
      </c>
      <c r="L117" s="64" t="s">
        <v>208</v>
      </c>
      <c r="M117" s="68" t="s">
        <v>197</v>
      </c>
      <c r="N117" s="64" t="s">
        <v>198</v>
      </c>
      <c r="O117" s="64" t="s">
        <v>209</v>
      </c>
      <c r="P117" s="69">
        <v>44612</v>
      </c>
      <c r="Q117" s="69">
        <v>44895</v>
      </c>
      <c r="R117" s="64">
        <v>12</v>
      </c>
      <c r="S117" s="65" t="s">
        <v>193</v>
      </c>
      <c r="T117" s="64">
        <v>3</v>
      </c>
      <c r="U117" s="75"/>
      <c r="V117" s="671">
        <f t="shared" si="23"/>
        <v>0</v>
      </c>
      <c r="W117" s="75">
        <v>3</v>
      </c>
      <c r="X117" s="75"/>
      <c r="Y117" s="75"/>
      <c r="Z117" s="75">
        <v>3</v>
      </c>
      <c r="AA117" s="75"/>
      <c r="AB117" s="75"/>
      <c r="AC117" s="75">
        <v>3</v>
      </c>
      <c r="AD117" s="75"/>
      <c r="AE117" s="592"/>
      <c r="AF117" s="343" t="s">
        <v>186</v>
      </c>
      <c r="AG117" s="505">
        <v>0</v>
      </c>
      <c r="AH117" s="370">
        <v>0</v>
      </c>
      <c r="AI117" s="75"/>
      <c r="AJ117" s="75"/>
      <c r="AK117" s="75"/>
      <c r="AL117" s="75"/>
      <c r="AM117" s="75"/>
      <c r="AN117" s="98" t="s">
        <v>181</v>
      </c>
      <c r="AO117" s="314"/>
      <c r="AP117" s="314"/>
      <c r="AQ117" s="409"/>
      <c r="AR117" s="98"/>
      <c r="AS117" s="471"/>
      <c r="AT117" s="98"/>
      <c r="AU117" s="646"/>
      <c r="AV117" s="1274"/>
    </row>
    <row r="118" spans="1:48" ht="40.5" customHeight="1" outlineLevel="3" x14ac:dyDescent="0.25">
      <c r="A118" s="63" t="str">
        <f t="shared" si="1"/>
        <v>1.1.0.4.8.0</v>
      </c>
      <c r="B118" s="64">
        <v>1</v>
      </c>
      <c r="C118" s="64">
        <v>1</v>
      </c>
      <c r="D118" s="64">
        <v>0</v>
      </c>
      <c r="E118" s="64">
        <v>4</v>
      </c>
      <c r="F118" s="64">
        <v>8</v>
      </c>
      <c r="G118" s="64">
        <v>0</v>
      </c>
      <c r="H118" s="65"/>
      <c r="I118" s="65"/>
      <c r="J118" s="66"/>
      <c r="K118" s="65" t="s">
        <v>210</v>
      </c>
      <c r="L118" s="64" t="s">
        <v>179</v>
      </c>
      <c r="M118" s="68" t="s">
        <v>211</v>
      </c>
      <c r="N118" s="65" t="s">
        <v>185</v>
      </c>
      <c r="O118" s="64" t="s">
        <v>75</v>
      </c>
      <c r="P118" s="69">
        <v>44612</v>
      </c>
      <c r="Q118" s="69">
        <v>44895</v>
      </c>
      <c r="R118" s="64">
        <v>8</v>
      </c>
      <c r="S118" s="65" t="s">
        <v>212</v>
      </c>
      <c r="T118" s="64">
        <v>2</v>
      </c>
      <c r="U118" s="75"/>
      <c r="V118" s="671">
        <f t="shared" si="23"/>
        <v>0</v>
      </c>
      <c r="W118" s="75">
        <v>2</v>
      </c>
      <c r="X118" s="75"/>
      <c r="Y118" s="75"/>
      <c r="Z118" s="75">
        <v>2</v>
      </c>
      <c r="AA118" s="75"/>
      <c r="AB118" s="75"/>
      <c r="AC118" s="97">
        <v>2</v>
      </c>
      <c r="AD118" s="97"/>
      <c r="AE118" s="591"/>
      <c r="AF118" s="343" t="s">
        <v>213</v>
      </c>
      <c r="AG118" s="505">
        <v>0</v>
      </c>
      <c r="AH118" s="370">
        <v>0</v>
      </c>
      <c r="AI118" s="75"/>
      <c r="AJ118" s="75"/>
      <c r="AK118" s="75"/>
      <c r="AL118" s="75"/>
      <c r="AM118" s="75"/>
      <c r="AN118" s="98" t="s">
        <v>181</v>
      </c>
      <c r="AO118" s="314"/>
      <c r="AP118" s="314"/>
      <c r="AQ118" s="409"/>
      <c r="AR118" s="98"/>
      <c r="AS118" s="471"/>
      <c r="AT118" s="98"/>
      <c r="AU118" s="646"/>
      <c r="AV118" s="1274"/>
    </row>
    <row r="119" spans="1:48" outlineLevel="3" x14ac:dyDescent="0.25">
      <c r="A119" s="63" t="str">
        <f t="shared" si="1"/>
        <v>1.1.0.4.9.0</v>
      </c>
      <c r="B119" s="64">
        <v>1</v>
      </c>
      <c r="C119" s="64">
        <v>1</v>
      </c>
      <c r="D119" s="64">
        <v>0</v>
      </c>
      <c r="E119" s="64">
        <v>4</v>
      </c>
      <c r="F119" s="64">
        <v>9</v>
      </c>
      <c r="G119" s="64">
        <v>0</v>
      </c>
      <c r="H119" s="65"/>
      <c r="I119" s="65"/>
      <c r="J119" s="66"/>
      <c r="K119" s="65" t="s">
        <v>214</v>
      </c>
      <c r="L119" s="64" t="s">
        <v>179</v>
      </c>
      <c r="M119" s="68" t="s">
        <v>211</v>
      </c>
      <c r="N119" s="65" t="s">
        <v>185</v>
      </c>
      <c r="O119" s="64" t="s">
        <v>75</v>
      </c>
      <c r="P119" s="69">
        <v>44612</v>
      </c>
      <c r="Q119" s="69">
        <v>44895</v>
      </c>
      <c r="R119" s="64">
        <v>8</v>
      </c>
      <c r="S119" s="65" t="s">
        <v>212</v>
      </c>
      <c r="T119" s="64">
        <v>2</v>
      </c>
      <c r="U119" s="75"/>
      <c r="V119" s="671">
        <f t="shared" si="23"/>
        <v>0</v>
      </c>
      <c r="W119" s="75">
        <v>2</v>
      </c>
      <c r="X119" s="75"/>
      <c r="Y119" s="75"/>
      <c r="Z119" s="75">
        <v>2</v>
      </c>
      <c r="AA119" s="75"/>
      <c r="AB119" s="75"/>
      <c r="AC119" s="97">
        <v>2</v>
      </c>
      <c r="AD119" s="97"/>
      <c r="AE119" s="591"/>
      <c r="AF119" s="343" t="s">
        <v>213</v>
      </c>
      <c r="AG119" s="505">
        <v>0</v>
      </c>
      <c r="AH119" s="370">
        <v>0</v>
      </c>
      <c r="AI119" s="75"/>
      <c r="AJ119" s="75"/>
      <c r="AK119" s="75"/>
      <c r="AL119" s="75"/>
      <c r="AM119" s="75"/>
      <c r="AN119" s="98" t="s">
        <v>181</v>
      </c>
      <c r="AO119" s="314"/>
      <c r="AP119" s="314"/>
      <c r="AQ119" s="409"/>
      <c r="AR119" s="98"/>
      <c r="AS119" s="471"/>
      <c r="AT119" s="98"/>
      <c r="AU119" s="646"/>
      <c r="AV119" s="1274"/>
    </row>
    <row r="120" spans="1:48" ht="29.25" customHeight="1" outlineLevel="3" x14ac:dyDescent="0.25">
      <c r="A120" s="63" t="str">
        <f t="shared" si="1"/>
        <v>1.1.0.4.10.0</v>
      </c>
      <c r="B120" s="64">
        <v>1</v>
      </c>
      <c r="C120" s="64">
        <v>1</v>
      </c>
      <c r="D120" s="64">
        <v>0</v>
      </c>
      <c r="E120" s="64">
        <v>4</v>
      </c>
      <c r="F120" s="64">
        <v>10</v>
      </c>
      <c r="G120" s="64">
        <v>0</v>
      </c>
      <c r="H120" s="65"/>
      <c r="I120" s="65"/>
      <c r="J120" s="66"/>
      <c r="K120" s="65" t="s">
        <v>215</v>
      </c>
      <c r="L120" s="64" t="s">
        <v>179</v>
      </c>
      <c r="M120" s="68" t="s">
        <v>211</v>
      </c>
      <c r="N120" s="65" t="s">
        <v>185</v>
      </c>
      <c r="O120" s="64" t="s">
        <v>75</v>
      </c>
      <c r="P120" s="69">
        <v>44612</v>
      </c>
      <c r="Q120" s="69">
        <v>44895</v>
      </c>
      <c r="R120" s="64">
        <v>8</v>
      </c>
      <c r="S120" s="65" t="s">
        <v>212</v>
      </c>
      <c r="T120" s="64">
        <v>2</v>
      </c>
      <c r="U120" s="75"/>
      <c r="V120" s="671">
        <f t="shared" si="23"/>
        <v>0</v>
      </c>
      <c r="W120" s="75">
        <v>2</v>
      </c>
      <c r="X120" s="75"/>
      <c r="Y120" s="75"/>
      <c r="Z120" s="75">
        <v>2</v>
      </c>
      <c r="AA120" s="75"/>
      <c r="AB120" s="75"/>
      <c r="AC120" s="97">
        <v>2</v>
      </c>
      <c r="AD120" s="97"/>
      <c r="AE120" s="591"/>
      <c r="AF120" s="343" t="s">
        <v>213</v>
      </c>
      <c r="AG120" s="505">
        <v>0</v>
      </c>
      <c r="AH120" s="370">
        <v>0</v>
      </c>
      <c r="AI120" s="75"/>
      <c r="AJ120" s="75"/>
      <c r="AK120" s="75"/>
      <c r="AL120" s="75"/>
      <c r="AM120" s="75"/>
      <c r="AN120" s="98" t="s">
        <v>181</v>
      </c>
      <c r="AO120" s="314"/>
      <c r="AP120" s="314"/>
      <c r="AQ120" s="409"/>
      <c r="AR120" s="98"/>
      <c r="AS120" s="471"/>
      <c r="AT120" s="98"/>
      <c r="AU120" s="646"/>
      <c r="AV120" s="1274"/>
    </row>
    <row r="121" spans="1:48" ht="29.25" customHeight="1" outlineLevel="3" x14ac:dyDescent="0.25">
      <c r="A121" s="63" t="str">
        <f t="shared" si="1"/>
        <v>1.1.0.4.11.0</v>
      </c>
      <c r="B121" s="64">
        <v>1</v>
      </c>
      <c r="C121" s="64">
        <v>1</v>
      </c>
      <c r="D121" s="64">
        <v>0</v>
      </c>
      <c r="E121" s="64">
        <v>4</v>
      </c>
      <c r="F121" s="64">
        <v>11</v>
      </c>
      <c r="G121" s="64">
        <v>0</v>
      </c>
      <c r="H121" s="65"/>
      <c r="I121" s="65"/>
      <c r="J121" s="66"/>
      <c r="K121" s="65" t="s">
        <v>216</v>
      </c>
      <c r="L121" s="64" t="s">
        <v>179</v>
      </c>
      <c r="M121" s="68" t="s">
        <v>211</v>
      </c>
      <c r="N121" s="65" t="s">
        <v>185</v>
      </c>
      <c r="O121" s="64" t="s">
        <v>75</v>
      </c>
      <c r="P121" s="69">
        <v>44612</v>
      </c>
      <c r="Q121" s="69">
        <v>44895</v>
      </c>
      <c r="R121" s="64">
        <v>8</v>
      </c>
      <c r="S121" s="65" t="s">
        <v>212</v>
      </c>
      <c r="T121" s="64">
        <v>2</v>
      </c>
      <c r="U121" s="75"/>
      <c r="V121" s="671">
        <f t="shared" si="23"/>
        <v>0</v>
      </c>
      <c r="W121" s="75">
        <v>2</v>
      </c>
      <c r="X121" s="75"/>
      <c r="Y121" s="75"/>
      <c r="Z121" s="75">
        <v>2</v>
      </c>
      <c r="AA121" s="75"/>
      <c r="AB121" s="75"/>
      <c r="AC121" s="97">
        <v>2</v>
      </c>
      <c r="AD121" s="97"/>
      <c r="AE121" s="591"/>
      <c r="AF121" s="343" t="s">
        <v>213</v>
      </c>
      <c r="AG121" s="505">
        <v>0</v>
      </c>
      <c r="AH121" s="370">
        <v>0</v>
      </c>
      <c r="AI121" s="75"/>
      <c r="AJ121" s="75"/>
      <c r="AK121" s="75"/>
      <c r="AL121" s="75"/>
      <c r="AM121" s="75"/>
      <c r="AN121" s="98" t="s">
        <v>181</v>
      </c>
      <c r="AO121" s="314"/>
      <c r="AP121" s="314"/>
      <c r="AQ121" s="409"/>
      <c r="AR121" s="98"/>
      <c r="AS121" s="471"/>
      <c r="AT121" s="98"/>
      <c r="AU121" s="646"/>
      <c r="AV121" s="1274"/>
    </row>
    <row r="122" spans="1:48" ht="29.25" customHeight="1" outlineLevel="3" x14ac:dyDescent="0.25">
      <c r="A122" s="63" t="str">
        <f t="shared" si="1"/>
        <v>1.1.0.4.12.0</v>
      </c>
      <c r="B122" s="64">
        <v>1</v>
      </c>
      <c r="C122" s="64">
        <v>1</v>
      </c>
      <c r="D122" s="64">
        <v>0</v>
      </c>
      <c r="E122" s="64">
        <v>4</v>
      </c>
      <c r="F122" s="64">
        <v>12</v>
      </c>
      <c r="G122" s="64">
        <v>0</v>
      </c>
      <c r="H122" s="65"/>
      <c r="I122" s="65"/>
      <c r="J122" s="66"/>
      <c r="K122" s="65" t="s">
        <v>217</v>
      </c>
      <c r="L122" s="64" t="s">
        <v>179</v>
      </c>
      <c r="M122" s="68" t="s">
        <v>211</v>
      </c>
      <c r="N122" s="65" t="s">
        <v>185</v>
      </c>
      <c r="O122" s="64" t="s">
        <v>75</v>
      </c>
      <c r="P122" s="69">
        <v>44612</v>
      </c>
      <c r="Q122" s="69">
        <v>44895</v>
      </c>
      <c r="R122" s="64">
        <v>8</v>
      </c>
      <c r="S122" s="65" t="s">
        <v>212</v>
      </c>
      <c r="T122" s="64">
        <v>2</v>
      </c>
      <c r="U122" s="75"/>
      <c r="V122" s="671">
        <f t="shared" si="23"/>
        <v>0</v>
      </c>
      <c r="W122" s="75">
        <v>2</v>
      </c>
      <c r="X122" s="75"/>
      <c r="Y122" s="75"/>
      <c r="Z122" s="75">
        <v>2</v>
      </c>
      <c r="AA122" s="75"/>
      <c r="AB122" s="75"/>
      <c r="AC122" s="97">
        <v>2</v>
      </c>
      <c r="AD122" s="97"/>
      <c r="AE122" s="591"/>
      <c r="AF122" s="343" t="s">
        <v>213</v>
      </c>
      <c r="AG122" s="505">
        <v>0</v>
      </c>
      <c r="AH122" s="370">
        <v>0</v>
      </c>
      <c r="AI122" s="75"/>
      <c r="AJ122" s="75"/>
      <c r="AK122" s="75"/>
      <c r="AL122" s="75"/>
      <c r="AM122" s="75"/>
      <c r="AN122" s="98" t="s">
        <v>181</v>
      </c>
      <c r="AO122" s="314"/>
      <c r="AP122" s="314"/>
      <c r="AQ122" s="409"/>
      <c r="AR122" s="98"/>
      <c r="AS122" s="471"/>
      <c r="AT122" s="98"/>
      <c r="AU122" s="646"/>
      <c r="AV122" s="1274"/>
    </row>
    <row r="123" spans="1:48" ht="29.25" customHeight="1" outlineLevel="3" x14ac:dyDescent="0.25">
      <c r="A123" s="63" t="str">
        <f t="shared" si="1"/>
        <v>1.1.0.4.13.0</v>
      </c>
      <c r="B123" s="64">
        <v>1</v>
      </c>
      <c r="C123" s="64">
        <v>1</v>
      </c>
      <c r="D123" s="64">
        <v>0</v>
      </c>
      <c r="E123" s="64">
        <v>4</v>
      </c>
      <c r="F123" s="64">
        <v>13</v>
      </c>
      <c r="G123" s="64">
        <v>0</v>
      </c>
      <c r="H123" s="65"/>
      <c r="I123" s="65"/>
      <c r="J123" s="66"/>
      <c r="K123" s="65" t="s">
        <v>218</v>
      </c>
      <c r="L123" s="64" t="s">
        <v>179</v>
      </c>
      <c r="M123" s="68" t="s">
        <v>211</v>
      </c>
      <c r="N123" s="65" t="s">
        <v>185</v>
      </c>
      <c r="O123" s="64" t="s">
        <v>75</v>
      </c>
      <c r="P123" s="69">
        <v>44612</v>
      </c>
      <c r="Q123" s="69">
        <v>44895</v>
      </c>
      <c r="R123" s="64">
        <v>8</v>
      </c>
      <c r="S123" s="65" t="s">
        <v>212</v>
      </c>
      <c r="T123" s="64">
        <v>2</v>
      </c>
      <c r="U123" s="75"/>
      <c r="V123" s="671">
        <f t="shared" si="23"/>
        <v>0</v>
      </c>
      <c r="W123" s="75">
        <v>2</v>
      </c>
      <c r="X123" s="75"/>
      <c r="Y123" s="75"/>
      <c r="Z123" s="75">
        <v>2</v>
      </c>
      <c r="AA123" s="75"/>
      <c r="AB123" s="75"/>
      <c r="AC123" s="97">
        <v>2</v>
      </c>
      <c r="AD123" s="97"/>
      <c r="AE123" s="591"/>
      <c r="AF123" s="343" t="s">
        <v>213</v>
      </c>
      <c r="AG123" s="505">
        <v>0</v>
      </c>
      <c r="AH123" s="370">
        <v>0</v>
      </c>
      <c r="AI123" s="75"/>
      <c r="AJ123" s="75"/>
      <c r="AK123" s="75"/>
      <c r="AL123" s="75"/>
      <c r="AM123" s="75"/>
      <c r="AN123" s="98" t="s">
        <v>181</v>
      </c>
      <c r="AO123" s="314"/>
      <c r="AP123" s="314"/>
      <c r="AQ123" s="409"/>
      <c r="AR123" s="98"/>
      <c r="AS123" s="471"/>
      <c r="AT123" s="98"/>
      <c r="AU123" s="646"/>
      <c r="AV123" s="1274"/>
    </row>
    <row r="124" spans="1:48" ht="32.25" customHeight="1" outlineLevel="3" x14ac:dyDescent="0.25">
      <c r="A124" s="63" t="str">
        <f t="shared" si="1"/>
        <v>1.1.0.4.14.0</v>
      </c>
      <c r="B124" s="64">
        <v>1</v>
      </c>
      <c r="C124" s="64">
        <v>1</v>
      </c>
      <c r="D124" s="64">
        <v>0</v>
      </c>
      <c r="E124" s="64">
        <v>4</v>
      </c>
      <c r="F124" s="64">
        <v>14</v>
      </c>
      <c r="G124" s="64">
        <v>0</v>
      </c>
      <c r="H124" s="65"/>
      <c r="I124" s="65"/>
      <c r="J124" s="66"/>
      <c r="K124" s="65" t="s">
        <v>219</v>
      </c>
      <c r="L124" s="64" t="s">
        <v>179</v>
      </c>
      <c r="M124" s="68" t="s">
        <v>211</v>
      </c>
      <c r="N124" s="65" t="s">
        <v>185</v>
      </c>
      <c r="O124" s="64" t="s">
        <v>75</v>
      </c>
      <c r="P124" s="69">
        <v>44612</v>
      </c>
      <c r="Q124" s="69">
        <v>44895</v>
      </c>
      <c r="R124" s="64">
        <v>8</v>
      </c>
      <c r="S124" s="65" t="s">
        <v>212</v>
      </c>
      <c r="T124" s="64">
        <v>2</v>
      </c>
      <c r="U124" s="75"/>
      <c r="V124" s="671">
        <f t="shared" si="23"/>
        <v>0</v>
      </c>
      <c r="W124" s="75">
        <v>2</v>
      </c>
      <c r="X124" s="75"/>
      <c r="Y124" s="75"/>
      <c r="Z124" s="75">
        <v>2</v>
      </c>
      <c r="AA124" s="75"/>
      <c r="AB124" s="75"/>
      <c r="AC124" s="97">
        <v>2</v>
      </c>
      <c r="AD124" s="97"/>
      <c r="AE124" s="591"/>
      <c r="AF124" s="343" t="s">
        <v>213</v>
      </c>
      <c r="AG124" s="505">
        <v>0</v>
      </c>
      <c r="AH124" s="370">
        <v>0</v>
      </c>
      <c r="AI124" s="75"/>
      <c r="AJ124" s="75"/>
      <c r="AK124" s="75"/>
      <c r="AL124" s="75"/>
      <c r="AM124" s="75"/>
      <c r="AN124" s="98" t="s">
        <v>181</v>
      </c>
      <c r="AO124" s="314"/>
      <c r="AP124" s="314"/>
      <c r="AQ124" s="409"/>
      <c r="AR124" s="98"/>
      <c r="AS124" s="471"/>
      <c r="AT124" s="98"/>
      <c r="AU124" s="646"/>
      <c r="AV124" s="1274"/>
    </row>
    <row r="125" spans="1:48" ht="32.25" customHeight="1" outlineLevel="3" x14ac:dyDescent="0.25">
      <c r="A125" s="63" t="str">
        <f t="shared" si="1"/>
        <v>1.1.0.4.15.0</v>
      </c>
      <c r="B125" s="64">
        <v>1</v>
      </c>
      <c r="C125" s="64">
        <v>1</v>
      </c>
      <c r="D125" s="64">
        <v>0</v>
      </c>
      <c r="E125" s="64">
        <v>4</v>
      </c>
      <c r="F125" s="64">
        <v>15</v>
      </c>
      <c r="G125" s="64">
        <v>0</v>
      </c>
      <c r="H125" s="65"/>
      <c r="I125" s="65"/>
      <c r="J125" s="66"/>
      <c r="K125" s="65" t="s">
        <v>1808</v>
      </c>
      <c r="L125" s="64" t="s">
        <v>179</v>
      </c>
      <c r="M125" s="68" t="s">
        <v>211</v>
      </c>
      <c r="N125" s="65" t="s">
        <v>185</v>
      </c>
      <c r="O125" s="64" t="s">
        <v>75</v>
      </c>
      <c r="P125" s="69">
        <v>44612</v>
      </c>
      <c r="Q125" s="69">
        <v>44895</v>
      </c>
      <c r="R125" s="64">
        <v>8</v>
      </c>
      <c r="S125" s="65" t="s">
        <v>212</v>
      </c>
      <c r="T125" s="64">
        <v>2</v>
      </c>
      <c r="U125" s="75"/>
      <c r="V125" s="671">
        <f t="shared" si="23"/>
        <v>0</v>
      </c>
      <c r="W125" s="75">
        <v>2</v>
      </c>
      <c r="X125" s="75"/>
      <c r="Y125" s="75"/>
      <c r="Z125" s="75">
        <v>2</v>
      </c>
      <c r="AA125" s="75"/>
      <c r="AB125" s="75"/>
      <c r="AC125" s="97">
        <v>2</v>
      </c>
      <c r="AD125" s="97"/>
      <c r="AE125" s="591"/>
      <c r="AF125" s="343" t="s">
        <v>213</v>
      </c>
      <c r="AG125" s="505">
        <v>0</v>
      </c>
      <c r="AH125" s="370">
        <v>0</v>
      </c>
      <c r="AI125" s="75"/>
      <c r="AJ125" s="75"/>
      <c r="AK125" s="75"/>
      <c r="AL125" s="75"/>
      <c r="AM125" s="75"/>
      <c r="AN125" s="98" t="s">
        <v>181</v>
      </c>
      <c r="AO125" s="314"/>
      <c r="AP125" s="314"/>
      <c r="AQ125" s="409"/>
      <c r="AR125" s="98"/>
      <c r="AS125" s="471"/>
      <c r="AT125" s="98"/>
      <c r="AU125" s="646"/>
      <c r="AV125" s="1274"/>
    </row>
    <row r="126" spans="1:48" ht="32.25" customHeight="1" outlineLevel="3" x14ac:dyDescent="0.25">
      <c r="A126" s="63" t="str">
        <f t="shared" si="1"/>
        <v>1.1.0.4.16.0</v>
      </c>
      <c r="B126" s="64">
        <v>1</v>
      </c>
      <c r="C126" s="64">
        <v>1</v>
      </c>
      <c r="D126" s="64">
        <v>0</v>
      </c>
      <c r="E126" s="64">
        <v>4</v>
      </c>
      <c r="F126" s="64">
        <v>16</v>
      </c>
      <c r="G126" s="64">
        <v>0</v>
      </c>
      <c r="H126" s="65"/>
      <c r="I126" s="65"/>
      <c r="J126" s="66"/>
      <c r="K126" s="65" t="s">
        <v>1805</v>
      </c>
      <c r="L126" s="64" t="s">
        <v>179</v>
      </c>
      <c r="M126" s="68" t="s">
        <v>211</v>
      </c>
      <c r="N126" s="65" t="s">
        <v>185</v>
      </c>
      <c r="O126" s="64" t="s">
        <v>75</v>
      </c>
      <c r="P126" s="69">
        <v>44612</v>
      </c>
      <c r="Q126" s="69">
        <v>44895</v>
      </c>
      <c r="R126" s="64">
        <v>8</v>
      </c>
      <c r="S126" s="65" t="s">
        <v>212</v>
      </c>
      <c r="T126" s="64">
        <v>2</v>
      </c>
      <c r="U126" s="75"/>
      <c r="V126" s="671">
        <f t="shared" si="23"/>
        <v>0</v>
      </c>
      <c r="W126" s="75">
        <v>2</v>
      </c>
      <c r="X126" s="75"/>
      <c r="Y126" s="75"/>
      <c r="Z126" s="75">
        <v>2</v>
      </c>
      <c r="AA126" s="75"/>
      <c r="AB126" s="75"/>
      <c r="AC126" s="97">
        <v>2</v>
      </c>
      <c r="AD126" s="97"/>
      <c r="AE126" s="591"/>
      <c r="AF126" s="343" t="s">
        <v>213</v>
      </c>
      <c r="AG126" s="505">
        <v>0</v>
      </c>
      <c r="AH126" s="370">
        <v>0</v>
      </c>
      <c r="AI126" s="75"/>
      <c r="AJ126" s="75"/>
      <c r="AK126" s="75"/>
      <c r="AL126" s="75"/>
      <c r="AM126" s="75"/>
      <c r="AN126" s="98" t="s">
        <v>181</v>
      </c>
      <c r="AO126" s="314"/>
      <c r="AP126" s="314"/>
      <c r="AQ126" s="409"/>
      <c r="AR126" s="98"/>
      <c r="AS126" s="471"/>
      <c r="AT126" s="98"/>
      <c r="AU126" s="646"/>
      <c r="AV126" s="1274"/>
    </row>
    <row r="127" spans="1:48" ht="32.25" customHeight="1" outlineLevel="3" x14ac:dyDescent="0.25">
      <c r="A127" s="63" t="str">
        <f t="shared" si="1"/>
        <v>1.1.0.4.17.0</v>
      </c>
      <c r="B127" s="64">
        <v>1</v>
      </c>
      <c r="C127" s="64">
        <v>1</v>
      </c>
      <c r="D127" s="64">
        <v>0</v>
      </c>
      <c r="E127" s="64">
        <v>4</v>
      </c>
      <c r="F127" s="64">
        <v>17</v>
      </c>
      <c r="G127" s="64">
        <v>0</v>
      </c>
      <c r="H127" s="65"/>
      <c r="I127" s="65"/>
      <c r="J127" s="66"/>
      <c r="K127" s="65" t="s">
        <v>1807</v>
      </c>
      <c r="L127" s="64" t="s">
        <v>179</v>
      </c>
      <c r="M127" s="68" t="s">
        <v>211</v>
      </c>
      <c r="N127" s="65" t="s">
        <v>185</v>
      </c>
      <c r="O127" s="64" t="s">
        <v>75</v>
      </c>
      <c r="P127" s="69">
        <v>44612</v>
      </c>
      <c r="Q127" s="69">
        <v>44895</v>
      </c>
      <c r="R127" s="64">
        <v>8</v>
      </c>
      <c r="S127" s="65" t="s">
        <v>212</v>
      </c>
      <c r="T127" s="64">
        <v>2</v>
      </c>
      <c r="U127" s="75"/>
      <c r="V127" s="671">
        <f t="shared" si="23"/>
        <v>0</v>
      </c>
      <c r="W127" s="75">
        <v>2</v>
      </c>
      <c r="X127" s="75"/>
      <c r="Y127" s="75"/>
      <c r="Z127" s="75">
        <v>2</v>
      </c>
      <c r="AA127" s="75"/>
      <c r="AB127" s="75"/>
      <c r="AC127" s="97">
        <v>2</v>
      </c>
      <c r="AD127" s="97"/>
      <c r="AE127" s="591"/>
      <c r="AF127" s="343" t="s">
        <v>1789</v>
      </c>
      <c r="AG127" s="505">
        <v>0</v>
      </c>
      <c r="AH127" s="370">
        <v>0</v>
      </c>
      <c r="AI127" s="75"/>
      <c r="AJ127" s="75"/>
      <c r="AK127" s="75"/>
      <c r="AL127" s="75"/>
      <c r="AM127" s="75"/>
      <c r="AN127" s="98" t="s">
        <v>181</v>
      </c>
      <c r="AO127" s="314"/>
      <c r="AP127" s="314"/>
      <c r="AQ127" s="409"/>
      <c r="AR127" s="98"/>
      <c r="AS127" s="471"/>
      <c r="AT127" s="98"/>
      <c r="AU127" s="646"/>
      <c r="AV127" s="1274"/>
    </row>
    <row r="128" spans="1:48" ht="54.75" customHeight="1" outlineLevel="3" x14ac:dyDescent="0.25">
      <c r="A128" s="63" t="str">
        <f t="shared" si="1"/>
        <v>1.1.0.4.18.0</v>
      </c>
      <c r="B128" s="64">
        <v>1</v>
      </c>
      <c r="C128" s="64">
        <v>1</v>
      </c>
      <c r="D128" s="64">
        <v>0</v>
      </c>
      <c r="E128" s="64">
        <v>4</v>
      </c>
      <c r="F128" s="64">
        <v>18</v>
      </c>
      <c r="G128" s="64">
        <v>0</v>
      </c>
      <c r="H128" s="65"/>
      <c r="I128" s="65"/>
      <c r="J128" s="66"/>
      <c r="K128" s="67" t="s">
        <v>1813</v>
      </c>
      <c r="L128" s="64" t="s">
        <v>75</v>
      </c>
      <c r="M128" s="64" t="s">
        <v>220</v>
      </c>
      <c r="N128" s="64" t="s">
        <v>221</v>
      </c>
      <c r="O128" s="64" t="s">
        <v>75</v>
      </c>
      <c r="P128" s="69"/>
      <c r="Q128" s="69"/>
      <c r="R128" s="64">
        <v>10</v>
      </c>
      <c r="S128" s="65" t="s">
        <v>212</v>
      </c>
      <c r="T128" s="64">
        <v>2</v>
      </c>
      <c r="U128" s="75"/>
      <c r="V128" s="671">
        <f t="shared" si="23"/>
        <v>0</v>
      </c>
      <c r="W128" s="75">
        <v>3</v>
      </c>
      <c r="X128" s="75"/>
      <c r="Y128" s="75"/>
      <c r="Z128" s="75">
        <v>3</v>
      </c>
      <c r="AA128" s="75"/>
      <c r="AB128" s="75"/>
      <c r="AC128" s="75">
        <v>2</v>
      </c>
      <c r="AD128" s="75"/>
      <c r="AE128" s="592"/>
      <c r="AF128" s="343" t="s">
        <v>1789</v>
      </c>
      <c r="AG128" s="505">
        <v>0</v>
      </c>
      <c r="AH128" s="370">
        <v>0</v>
      </c>
      <c r="AI128" s="75"/>
      <c r="AJ128" s="75"/>
      <c r="AK128" s="75"/>
      <c r="AL128" s="75"/>
      <c r="AM128" s="75"/>
      <c r="AN128" s="98" t="s">
        <v>181</v>
      </c>
      <c r="AO128" s="314"/>
      <c r="AP128" s="314"/>
      <c r="AQ128" s="409"/>
      <c r="AR128" s="98"/>
      <c r="AS128" s="471"/>
      <c r="AT128" s="98"/>
      <c r="AU128" s="646"/>
      <c r="AV128" s="1274"/>
    </row>
    <row r="129" spans="1:48" s="107" customFormat="1" ht="44.25" customHeight="1" outlineLevel="3" x14ac:dyDescent="0.25">
      <c r="A129" s="99" t="str">
        <f t="shared" si="1"/>
        <v>1.1.0.4.19.0</v>
      </c>
      <c r="B129" s="100">
        <v>1</v>
      </c>
      <c r="C129" s="100">
        <v>1</v>
      </c>
      <c r="D129" s="100">
        <v>0</v>
      </c>
      <c r="E129" s="100">
        <v>4</v>
      </c>
      <c r="F129" s="100">
        <v>19</v>
      </c>
      <c r="G129" s="100">
        <v>0</v>
      </c>
      <c r="H129" s="101"/>
      <c r="I129" s="101"/>
      <c r="J129" s="102"/>
      <c r="K129" s="103" t="s">
        <v>1806</v>
      </c>
      <c r="L129" s="100" t="s">
        <v>75</v>
      </c>
      <c r="M129" s="100" t="s">
        <v>184</v>
      </c>
      <c r="N129" s="100" t="s">
        <v>221</v>
      </c>
      <c r="O129" s="100" t="s">
        <v>75</v>
      </c>
      <c r="P129" s="104"/>
      <c r="Q129" s="104"/>
      <c r="R129" s="100">
        <v>2</v>
      </c>
      <c r="S129" s="101" t="s">
        <v>222</v>
      </c>
      <c r="T129" s="100"/>
      <c r="U129" s="78"/>
      <c r="V129" s="671">
        <f t="shared" si="23"/>
        <v>0</v>
      </c>
      <c r="W129" s="78">
        <v>1</v>
      </c>
      <c r="X129" s="78"/>
      <c r="Y129" s="78"/>
      <c r="Z129" s="78">
        <v>1</v>
      </c>
      <c r="AA129" s="78"/>
      <c r="AB129" s="78"/>
      <c r="AC129" s="78"/>
      <c r="AD129" s="78"/>
      <c r="AE129" s="593"/>
      <c r="AF129" s="344" t="s">
        <v>1789</v>
      </c>
      <c r="AG129" s="507">
        <v>0</v>
      </c>
      <c r="AH129" s="373">
        <v>0</v>
      </c>
      <c r="AI129" s="105"/>
      <c r="AJ129" s="105"/>
      <c r="AK129" s="105"/>
      <c r="AL129" s="105"/>
      <c r="AM129" s="105"/>
      <c r="AN129" s="106" t="s">
        <v>181</v>
      </c>
      <c r="AO129" s="315"/>
      <c r="AP129" s="315"/>
      <c r="AQ129" s="410"/>
      <c r="AR129" s="106"/>
      <c r="AS129" s="472"/>
      <c r="AT129" s="106"/>
      <c r="AU129" s="662"/>
      <c r="AV129" s="1274"/>
    </row>
    <row r="130" spans="1:48" ht="33" customHeight="1" outlineLevel="1" x14ac:dyDescent="0.25">
      <c r="A130" s="108" t="str">
        <f t="shared" si="1"/>
        <v>1.2.1.2.0.0</v>
      </c>
      <c r="B130" s="109">
        <v>1</v>
      </c>
      <c r="C130" s="109">
        <v>2</v>
      </c>
      <c r="D130" s="109">
        <v>1</v>
      </c>
      <c r="E130" s="109">
        <v>2</v>
      </c>
      <c r="F130" s="109">
        <v>0</v>
      </c>
      <c r="G130" s="109">
        <v>0</v>
      </c>
      <c r="H130" s="110"/>
      <c r="I130" s="1258" t="s">
        <v>223</v>
      </c>
      <c r="J130" s="1258"/>
      <c r="K130" s="1258"/>
      <c r="L130" s="109" t="s">
        <v>224</v>
      </c>
      <c r="M130" s="109" t="s">
        <v>225</v>
      </c>
      <c r="N130" s="109" t="s">
        <v>226</v>
      </c>
      <c r="O130" s="109" t="s">
        <v>72</v>
      </c>
      <c r="P130" s="111" t="s">
        <v>227</v>
      </c>
      <c r="Q130" s="111" t="s">
        <v>227</v>
      </c>
      <c r="R130" s="109"/>
      <c r="S130" s="110"/>
      <c r="T130" s="109">
        <f>+T131</f>
        <v>0</v>
      </c>
      <c r="U130" s="112">
        <f t="shared" ref="U130:AG130" si="24">+U131</f>
        <v>0</v>
      </c>
      <c r="V130" s="686">
        <f t="shared" si="24"/>
        <v>0</v>
      </c>
      <c r="W130" s="374">
        <f t="shared" si="24"/>
        <v>0</v>
      </c>
      <c r="X130" s="374">
        <f t="shared" si="24"/>
        <v>0</v>
      </c>
      <c r="Y130" s="374">
        <f t="shared" si="24"/>
        <v>0</v>
      </c>
      <c r="Z130" s="374">
        <f t="shared" si="24"/>
        <v>750</v>
      </c>
      <c r="AA130" s="374">
        <f t="shared" si="24"/>
        <v>1025000</v>
      </c>
      <c r="AB130" s="374">
        <f t="shared" si="24"/>
        <v>0</v>
      </c>
      <c r="AC130" s="374">
        <f t="shared" si="24"/>
        <v>0</v>
      </c>
      <c r="AD130" s="374">
        <f t="shared" si="24"/>
        <v>0</v>
      </c>
      <c r="AE130" s="374">
        <f t="shared" si="24"/>
        <v>0</v>
      </c>
      <c r="AF130" s="374">
        <f t="shared" si="24"/>
        <v>0</v>
      </c>
      <c r="AG130" s="374">
        <f t="shared" si="24"/>
        <v>1000000</v>
      </c>
      <c r="AH130" s="374">
        <f>+AH131</f>
        <v>1025000</v>
      </c>
      <c r="AI130" s="374">
        <f t="shared" ref="AI130:AJ130" si="25">+AI131</f>
        <v>0</v>
      </c>
      <c r="AJ130" s="374">
        <f t="shared" si="25"/>
        <v>0</v>
      </c>
      <c r="AK130" s="112"/>
      <c r="AL130" s="112"/>
      <c r="AM130" s="112"/>
      <c r="AN130" s="109" t="s">
        <v>39</v>
      </c>
      <c r="AO130" s="109"/>
      <c r="AP130" s="109"/>
      <c r="AQ130" s="411"/>
      <c r="AR130" s="109"/>
      <c r="AS130" s="473"/>
      <c r="AT130" s="109"/>
      <c r="AU130" s="659"/>
      <c r="AV130" s="429"/>
    </row>
    <row r="131" spans="1:48" ht="30" customHeight="1" outlineLevel="1" x14ac:dyDescent="0.25">
      <c r="A131" s="80" t="str">
        <f t="shared" si="1"/>
        <v>1.2.1.3.0.0</v>
      </c>
      <c r="B131" s="81">
        <v>1</v>
      </c>
      <c r="C131" s="81">
        <v>2</v>
      </c>
      <c r="D131" s="81">
        <v>1</v>
      </c>
      <c r="E131" s="81">
        <v>3</v>
      </c>
      <c r="F131" s="81">
        <v>0</v>
      </c>
      <c r="G131" s="81">
        <v>0</v>
      </c>
      <c r="H131" s="114"/>
      <c r="I131" s="114"/>
      <c r="J131" s="1346" t="s">
        <v>228</v>
      </c>
      <c r="K131" s="1346"/>
      <c r="L131" s="81" t="s">
        <v>224</v>
      </c>
      <c r="M131" s="81" t="s">
        <v>225</v>
      </c>
      <c r="N131" s="81" t="s">
        <v>226</v>
      </c>
      <c r="O131" s="81" t="s">
        <v>72</v>
      </c>
      <c r="P131" s="115" t="s">
        <v>227</v>
      </c>
      <c r="Q131" s="115" t="s">
        <v>227</v>
      </c>
      <c r="R131" s="81">
        <f>SUM(R132:R135)</f>
        <v>750</v>
      </c>
      <c r="S131" s="114" t="s">
        <v>229</v>
      </c>
      <c r="T131" s="81">
        <f t="shared" ref="T131" si="26">SUM(T132:T135)</f>
        <v>0</v>
      </c>
      <c r="U131" s="61">
        <f>SUM(U132:U135)</f>
        <v>0</v>
      </c>
      <c r="V131" s="675">
        <f t="shared" ref="V131:AI131" si="27">SUM(V132:V135)</f>
        <v>0</v>
      </c>
      <c r="W131" s="61">
        <f t="shared" si="27"/>
        <v>0</v>
      </c>
      <c r="X131" s="61">
        <f t="shared" si="27"/>
        <v>0</v>
      </c>
      <c r="Y131" s="61">
        <f t="shared" si="27"/>
        <v>0</v>
      </c>
      <c r="Z131" s="61">
        <f t="shared" si="27"/>
        <v>750</v>
      </c>
      <c r="AA131" s="61">
        <f t="shared" si="27"/>
        <v>1025000</v>
      </c>
      <c r="AB131" s="61">
        <f t="shared" si="27"/>
        <v>0</v>
      </c>
      <c r="AC131" s="61">
        <f t="shared" si="27"/>
        <v>0</v>
      </c>
      <c r="AD131" s="61">
        <f t="shared" si="27"/>
        <v>0</v>
      </c>
      <c r="AE131" s="61">
        <f t="shared" si="27"/>
        <v>0</v>
      </c>
      <c r="AF131" s="61">
        <f t="shared" si="27"/>
        <v>0</v>
      </c>
      <c r="AG131" s="61">
        <f t="shared" si="27"/>
        <v>1000000</v>
      </c>
      <c r="AH131" s="61">
        <f t="shared" si="27"/>
        <v>1025000</v>
      </c>
      <c r="AI131" s="61">
        <f t="shared" si="27"/>
        <v>0</v>
      </c>
      <c r="AJ131" s="61">
        <f>SUM(AJ132:AJ135)</f>
        <v>0</v>
      </c>
      <c r="AK131" s="61"/>
      <c r="AL131" s="61"/>
      <c r="AM131" s="61"/>
      <c r="AN131" s="81" t="s">
        <v>39</v>
      </c>
      <c r="AO131" s="81"/>
      <c r="AP131" s="81"/>
      <c r="AQ131" s="412"/>
      <c r="AR131" s="81"/>
      <c r="AS131" s="474"/>
      <c r="AT131" s="81"/>
      <c r="AU131" s="663"/>
      <c r="AV131" s="430"/>
    </row>
    <row r="132" spans="1:48" ht="51" customHeight="1" outlineLevel="2" x14ac:dyDescent="0.25">
      <c r="A132" s="63" t="str">
        <f t="shared" si="1"/>
        <v>1.2.1.3.1.58</v>
      </c>
      <c r="B132" s="64">
        <v>1</v>
      </c>
      <c r="C132" s="64">
        <v>2</v>
      </c>
      <c r="D132" s="64">
        <v>1</v>
      </c>
      <c r="E132" s="64">
        <v>3</v>
      </c>
      <c r="F132" s="64">
        <v>1</v>
      </c>
      <c r="G132" s="64">
        <v>58</v>
      </c>
      <c r="H132" s="65"/>
      <c r="I132" s="65"/>
      <c r="J132" s="66"/>
      <c r="K132" s="65" t="s">
        <v>230</v>
      </c>
      <c r="L132" s="64" t="s">
        <v>224</v>
      </c>
      <c r="M132" s="64" t="s">
        <v>231</v>
      </c>
      <c r="N132" s="64" t="s">
        <v>226</v>
      </c>
      <c r="O132" s="64" t="s">
        <v>232</v>
      </c>
      <c r="P132" s="69">
        <v>44650</v>
      </c>
      <c r="Q132" s="69">
        <v>44864</v>
      </c>
      <c r="R132" s="64">
        <v>200</v>
      </c>
      <c r="S132" s="65" t="s">
        <v>229</v>
      </c>
      <c r="T132" s="64"/>
      <c r="U132" s="75">
        <v>0</v>
      </c>
      <c r="V132" s="674">
        <v>0</v>
      </c>
      <c r="W132" s="75"/>
      <c r="X132" s="75"/>
      <c r="Y132" s="75"/>
      <c r="Z132" s="75">
        <v>200</v>
      </c>
      <c r="AA132" s="75">
        <f>+AH132</f>
        <v>256250</v>
      </c>
      <c r="AB132" s="75"/>
      <c r="AC132" s="75"/>
      <c r="AD132" s="75"/>
      <c r="AE132" s="595"/>
      <c r="AF132" s="1348" t="s">
        <v>233</v>
      </c>
      <c r="AG132" s="503">
        <v>250000</v>
      </c>
      <c r="AH132" s="372">
        <v>256250</v>
      </c>
      <c r="AI132" s="79"/>
      <c r="AJ132" s="79"/>
      <c r="AK132" s="79"/>
      <c r="AL132" s="79"/>
      <c r="AM132" s="79"/>
      <c r="AN132" s="64" t="s">
        <v>39</v>
      </c>
      <c r="AO132" s="165"/>
      <c r="AP132" s="165"/>
      <c r="AQ132" s="413"/>
      <c r="AR132" s="64"/>
      <c r="AS132" s="475"/>
      <c r="AT132" s="64"/>
      <c r="AU132" s="646"/>
      <c r="AV132" s="1274" t="s">
        <v>234</v>
      </c>
    </row>
    <row r="133" spans="1:48" ht="34.5" customHeight="1" outlineLevel="2" x14ac:dyDescent="0.25">
      <c r="A133" s="63" t="str">
        <f t="shared" si="1"/>
        <v>1.2.1.3.1.59</v>
      </c>
      <c r="B133" s="64">
        <v>1</v>
      </c>
      <c r="C133" s="64">
        <v>2</v>
      </c>
      <c r="D133" s="64">
        <v>1</v>
      </c>
      <c r="E133" s="64">
        <v>3</v>
      </c>
      <c r="F133" s="64">
        <v>1</v>
      </c>
      <c r="G133" s="64">
        <v>59</v>
      </c>
      <c r="H133" s="65"/>
      <c r="I133" s="65"/>
      <c r="J133" s="66"/>
      <c r="K133" s="65" t="s">
        <v>230</v>
      </c>
      <c r="L133" s="64" t="s">
        <v>224</v>
      </c>
      <c r="M133" s="64" t="s">
        <v>231</v>
      </c>
      <c r="N133" s="64" t="s">
        <v>226</v>
      </c>
      <c r="O133" s="64" t="s">
        <v>232</v>
      </c>
      <c r="P133" s="69">
        <v>44650</v>
      </c>
      <c r="Q133" s="69">
        <v>44864</v>
      </c>
      <c r="R133" s="64">
        <v>200</v>
      </c>
      <c r="S133" s="65" t="s">
        <v>229</v>
      </c>
      <c r="T133" s="64"/>
      <c r="U133" s="75">
        <v>0</v>
      </c>
      <c r="V133" s="674">
        <v>0</v>
      </c>
      <c r="W133" s="75"/>
      <c r="X133" s="75"/>
      <c r="Y133" s="75"/>
      <c r="Z133" s="75">
        <v>200</v>
      </c>
      <c r="AA133" s="75">
        <f>+AH133</f>
        <v>256250</v>
      </c>
      <c r="AB133" s="75"/>
      <c r="AC133" s="75"/>
      <c r="AD133" s="75"/>
      <c r="AE133" s="595"/>
      <c r="AF133" s="1348"/>
      <c r="AG133" s="503">
        <v>250000</v>
      </c>
      <c r="AH133" s="372">
        <v>256250</v>
      </c>
      <c r="AI133" s="79"/>
      <c r="AJ133" s="79"/>
      <c r="AK133" s="79"/>
      <c r="AL133" s="79"/>
      <c r="AM133" s="79"/>
      <c r="AN133" s="64" t="s">
        <v>39</v>
      </c>
      <c r="AO133" s="165"/>
      <c r="AP133" s="165"/>
      <c r="AQ133" s="413"/>
      <c r="AR133" s="64"/>
      <c r="AS133" s="475"/>
      <c r="AT133" s="64"/>
      <c r="AU133" s="646"/>
      <c r="AV133" s="1274"/>
    </row>
    <row r="134" spans="1:48" ht="40.5" customHeight="1" outlineLevel="2" x14ac:dyDescent="0.25">
      <c r="A134" s="63" t="str">
        <f t="shared" si="1"/>
        <v>1.2.1.3.1.62</v>
      </c>
      <c r="B134" s="64">
        <v>1</v>
      </c>
      <c r="C134" s="64">
        <v>2</v>
      </c>
      <c r="D134" s="64">
        <v>1</v>
      </c>
      <c r="E134" s="64">
        <v>3</v>
      </c>
      <c r="F134" s="64">
        <v>1</v>
      </c>
      <c r="G134" s="64">
        <v>62</v>
      </c>
      <c r="H134" s="65"/>
      <c r="I134" s="65"/>
      <c r="J134" s="66"/>
      <c r="K134" s="65" t="s">
        <v>230</v>
      </c>
      <c r="L134" s="64" t="s">
        <v>224</v>
      </c>
      <c r="M134" s="64" t="s">
        <v>231</v>
      </c>
      <c r="N134" s="64" t="s">
        <v>226</v>
      </c>
      <c r="O134" s="64" t="s">
        <v>232</v>
      </c>
      <c r="P134" s="69">
        <v>44650</v>
      </c>
      <c r="Q134" s="69">
        <v>44864</v>
      </c>
      <c r="R134" s="64">
        <v>200</v>
      </c>
      <c r="S134" s="65" t="s">
        <v>229</v>
      </c>
      <c r="T134" s="64"/>
      <c r="U134" s="75">
        <v>0</v>
      </c>
      <c r="V134" s="674">
        <v>0</v>
      </c>
      <c r="W134" s="75"/>
      <c r="X134" s="75"/>
      <c r="Y134" s="75"/>
      <c r="Z134" s="75">
        <v>200</v>
      </c>
      <c r="AA134" s="75">
        <f>+AH134</f>
        <v>256250</v>
      </c>
      <c r="AB134" s="75"/>
      <c r="AC134" s="75"/>
      <c r="AD134" s="75"/>
      <c r="AE134" s="595"/>
      <c r="AF134" s="1348"/>
      <c r="AG134" s="503">
        <v>250000</v>
      </c>
      <c r="AH134" s="372">
        <v>256250</v>
      </c>
      <c r="AI134" s="79"/>
      <c r="AJ134" s="79"/>
      <c r="AK134" s="79"/>
      <c r="AL134" s="79"/>
      <c r="AM134" s="79"/>
      <c r="AN134" s="64" t="s">
        <v>39</v>
      </c>
      <c r="AO134" s="165"/>
      <c r="AP134" s="165"/>
      <c r="AQ134" s="413"/>
      <c r="AR134" s="64"/>
      <c r="AS134" s="475"/>
      <c r="AT134" s="64"/>
      <c r="AU134" s="646"/>
      <c r="AV134" s="1274"/>
    </row>
    <row r="135" spans="1:48" ht="36.75" customHeight="1" outlineLevel="2" x14ac:dyDescent="0.25">
      <c r="A135" s="63" t="str">
        <f t="shared" si="1"/>
        <v>1.2.1.3.1.63</v>
      </c>
      <c r="B135" s="64">
        <v>1</v>
      </c>
      <c r="C135" s="64">
        <v>2</v>
      </c>
      <c r="D135" s="64">
        <v>1</v>
      </c>
      <c r="E135" s="64">
        <v>3</v>
      </c>
      <c r="F135" s="64">
        <v>1</v>
      </c>
      <c r="G135" s="64">
        <v>63</v>
      </c>
      <c r="H135" s="65"/>
      <c r="I135" s="65"/>
      <c r="J135" s="66"/>
      <c r="K135" s="65" t="s">
        <v>230</v>
      </c>
      <c r="L135" s="64" t="s">
        <v>224</v>
      </c>
      <c r="M135" s="64" t="s">
        <v>231</v>
      </c>
      <c r="N135" s="64" t="s">
        <v>226</v>
      </c>
      <c r="O135" s="64" t="s">
        <v>232</v>
      </c>
      <c r="P135" s="69">
        <v>44650</v>
      </c>
      <c r="Q135" s="69">
        <v>44864</v>
      </c>
      <c r="R135" s="64">
        <v>150</v>
      </c>
      <c r="S135" s="65" t="s">
        <v>229</v>
      </c>
      <c r="T135" s="64"/>
      <c r="U135" s="75">
        <v>0</v>
      </c>
      <c r="V135" s="674">
        <v>0</v>
      </c>
      <c r="W135" s="75"/>
      <c r="X135" s="75"/>
      <c r="Y135" s="75"/>
      <c r="Z135" s="75">
        <v>150</v>
      </c>
      <c r="AA135" s="75">
        <f>+AH135</f>
        <v>256250</v>
      </c>
      <c r="AB135" s="75"/>
      <c r="AC135" s="75"/>
      <c r="AD135" s="75"/>
      <c r="AE135" s="595"/>
      <c r="AF135" s="1348"/>
      <c r="AG135" s="503">
        <v>250000</v>
      </c>
      <c r="AH135" s="372">
        <v>256250</v>
      </c>
      <c r="AI135" s="79"/>
      <c r="AJ135" s="79"/>
      <c r="AK135" s="79"/>
      <c r="AL135" s="79"/>
      <c r="AM135" s="79"/>
      <c r="AN135" s="64" t="s">
        <v>39</v>
      </c>
      <c r="AO135" s="165"/>
      <c r="AP135" s="165"/>
      <c r="AQ135" s="413"/>
      <c r="AR135" s="64"/>
      <c r="AS135" s="475"/>
      <c r="AT135" s="64"/>
      <c r="AU135" s="646"/>
      <c r="AV135" s="1274"/>
    </row>
    <row r="136" spans="1:48" ht="30.75" customHeight="1" outlineLevel="1" x14ac:dyDescent="0.25">
      <c r="A136" s="108" t="str">
        <f t="shared" si="1"/>
        <v>1.3.1.0.0.0</v>
      </c>
      <c r="B136" s="109">
        <v>1</v>
      </c>
      <c r="C136" s="109">
        <v>3</v>
      </c>
      <c r="D136" s="109">
        <v>1</v>
      </c>
      <c r="E136" s="109">
        <v>0</v>
      </c>
      <c r="F136" s="109">
        <v>0</v>
      </c>
      <c r="G136" s="109">
        <v>0</v>
      </c>
      <c r="H136" s="110"/>
      <c r="I136" s="1258" t="s">
        <v>235</v>
      </c>
      <c r="J136" s="1258"/>
      <c r="K136" s="1258"/>
      <c r="L136" s="109" t="s">
        <v>236</v>
      </c>
      <c r="M136" s="113" t="s">
        <v>237</v>
      </c>
      <c r="N136" s="109" t="s">
        <v>226</v>
      </c>
      <c r="O136" s="109" t="s">
        <v>238</v>
      </c>
      <c r="P136" s="111" t="s">
        <v>227</v>
      </c>
      <c r="Q136" s="111" t="s">
        <v>227</v>
      </c>
      <c r="R136" s="109">
        <v>0</v>
      </c>
      <c r="S136" s="110">
        <v>0</v>
      </c>
      <c r="T136" s="109"/>
      <c r="U136" s="112">
        <f>+U137+U158+U179+U199+U224+U251+U279+U302+U304+U560+U567+U579+U587+U593+U599+U605+U611+U621+U626</f>
        <v>128582009.84057136</v>
      </c>
      <c r="V136" s="680">
        <f t="shared" ref="V136:AI136" si="28">+V137+V158+V179+V199+V224+V251+V279+V302+V304+V560+V567+V579+V587+V593+V599+V605+V611+V621+V626</f>
        <v>183071505.83000004</v>
      </c>
      <c r="W136" s="112">
        <f t="shared" si="28"/>
        <v>3279713.75</v>
      </c>
      <c r="X136" s="112">
        <f t="shared" si="28"/>
        <v>267847768.03757131</v>
      </c>
      <c r="Y136" s="112">
        <f t="shared" si="28"/>
        <v>20834550</v>
      </c>
      <c r="Z136" s="112">
        <f t="shared" si="28"/>
        <v>40727857.75</v>
      </c>
      <c r="AA136" s="112">
        <f t="shared" si="28"/>
        <v>279957192.20757133</v>
      </c>
      <c r="AB136" s="112">
        <f t="shared" si="28"/>
        <v>10621454.955</v>
      </c>
      <c r="AC136" s="112">
        <f t="shared" si="28"/>
        <v>69275794.840000004</v>
      </c>
      <c r="AD136" s="112">
        <f t="shared" si="28"/>
        <v>95408266.080857158</v>
      </c>
      <c r="AE136" s="112">
        <f t="shared" si="28"/>
        <v>3801450</v>
      </c>
      <c r="AF136" s="112" t="e">
        <f t="shared" si="28"/>
        <v>#VALUE!</v>
      </c>
      <c r="AG136" s="112">
        <f t="shared" si="28"/>
        <v>634494911.30333304</v>
      </c>
      <c r="AH136" s="112">
        <f t="shared" si="28"/>
        <v>751246033.15857124</v>
      </c>
      <c r="AI136" s="112">
        <f t="shared" si="28"/>
        <v>0</v>
      </c>
      <c r="AJ136" s="374">
        <f>+AJ137+AJ158+AJ179+AJ199+AJ224+AJ251+AJ279+AJ304+AJ560+AJ567+AJ579+AJ587+AJ593+AJ599+AJ605+AJ302+AJ611+AJ616+AJ621+AJ626</f>
        <v>183071505.83000004</v>
      </c>
      <c r="AK136" s="112"/>
      <c r="AL136" s="112"/>
      <c r="AM136" s="112"/>
      <c r="AN136" s="109" t="s">
        <v>39</v>
      </c>
      <c r="AO136" s="109"/>
      <c r="AP136" s="109"/>
      <c r="AQ136" s="411"/>
      <c r="AR136" s="109"/>
      <c r="AS136" s="473"/>
      <c r="AT136" s="109"/>
      <c r="AU136" s="659"/>
      <c r="AV136" s="431"/>
    </row>
    <row r="137" spans="1:48" s="107" customFormat="1" ht="135" customHeight="1" outlineLevel="1" x14ac:dyDescent="0.25">
      <c r="A137" s="80" t="str">
        <f t="shared" si="1"/>
        <v>1.3.1.1.0.58</v>
      </c>
      <c r="B137" s="81">
        <v>1</v>
      </c>
      <c r="C137" s="81">
        <v>3</v>
      </c>
      <c r="D137" s="81">
        <v>1</v>
      </c>
      <c r="E137" s="81">
        <v>1</v>
      </c>
      <c r="F137" s="81">
        <v>0</v>
      </c>
      <c r="G137" s="81">
        <v>58</v>
      </c>
      <c r="H137" s="114"/>
      <c r="I137" s="114"/>
      <c r="J137" s="1346" t="s">
        <v>239</v>
      </c>
      <c r="K137" s="1346"/>
      <c r="L137" s="81" t="s">
        <v>236</v>
      </c>
      <c r="M137" s="81" t="s">
        <v>240</v>
      </c>
      <c r="N137" s="81" t="s">
        <v>226</v>
      </c>
      <c r="O137" s="81" t="s">
        <v>241</v>
      </c>
      <c r="P137" s="118">
        <v>44571</v>
      </c>
      <c r="Q137" s="118">
        <v>44925</v>
      </c>
      <c r="R137" s="119">
        <f>+R138+R139</f>
        <v>425081</v>
      </c>
      <c r="S137" s="114" t="s">
        <v>242</v>
      </c>
      <c r="T137" s="119">
        <f>+T138+T139</f>
        <v>106270.25</v>
      </c>
      <c r="U137" s="369">
        <f t="shared" ref="U137:AI137" si="29">SUM(U138:U157)</f>
        <v>8187433.71</v>
      </c>
      <c r="V137" s="677">
        <f t="shared" si="29"/>
        <v>9299902.0100000016</v>
      </c>
      <c r="W137" s="369">
        <f t="shared" si="29"/>
        <v>115577.25</v>
      </c>
      <c r="X137" s="369">
        <f t="shared" si="29"/>
        <v>8169984.6200000001</v>
      </c>
      <c r="Y137" s="369">
        <f t="shared" si="29"/>
        <v>3801450</v>
      </c>
      <c r="Z137" s="369">
        <f t="shared" si="29"/>
        <v>3917024.25</v>
      </c>
      <c r="AA137" s="369">
        <f t="shared" si="29"/>
        <v>19749984.620000001</v>
      </c>
      <c r="AB137" s="369">
        <f t="shared" si="29"/>
        <v>-6411645.0449999999</v>
      </c>
      <c r="AC137" s="369">
        <f t="shared" si="29"/>
        <v>5606633.3399999999</v>
      </c>
      <c r="AD137" s="369">
        <f t="shared" si="29"/>
        <v>20951484.620000001</v>
      </c>
      <c r="AE137" s="369">
        <f t="shared" si="29"/>
        <v>3801450</v>
      </c>
      <c r="AF137" s="369">
        <f t="shared" si="29"/>
        <v>3801450</v>
      </c>
      <c r="AG137" s="369">
        <f t="shared" si="29"/>
        <v>16818625</v>
      </c>
      <c r="AH137" s="369">
        <f t="shared" si="29"/>
        <v>55946150</v>
      </c>
      <c r="AI137" s="369">
        <f t="shared" si="29"/>
        <v>0</v>
      </c>
      <c r="AJ137" s="369">
        <f>SUM(AJ138:AJ157)</f>
        <v>9299902.0100000016</v>
      </c>
      <c r="AK137" s="369">
        <f t="shared" ref="AK137:AM137" si="30">SUM(AK138:AK156)</f>
        <v>0</v>
      </c>
      <c r="AL137" s="369">
        <f t="shared" si="30"/>
        <v>0</v>
      </c>
      <c r="AM137" s="369">
        <f t="shared" si="30"/>
        <v>0</v>
      </c>
      <c r="AN137" s="81" t="s">
        <v>243</v>
      </c>
      <c r="AO137" s="81"/>
      <c r="AP137" s="81"/>
      <c r="AQ137" s="412"/>
      <c r="AR137" s="81"/>
      <c r="AS137" s="474"/>
      <c r="AT137" s="81"/>
      <c r="AU137" s="663"/>
      <c r="AV137" s="428" t="s">
        <v>244</v>
      </c>
    </row>
    <row r="138" spans="1:48" ht="140.1" customHeight="1" outlineLevel="3" x14ac:dyDescent="0.25">
      <c r="A138" s="63" t="str">
        <f t="shared" si="1"/>
        <v>1.3.1.1.1.58</v>
      </c>
      <c r="B138" s="64">
        <v>1</v>
      </c>
      <c r="C138" s="64">
        <v>3</v>
      </c>
      <c r="D138" s="64">
        <v>1</v>
      </c>
      <c r="E138" s="64">
        <v>1</v>
      </c>
      <c r="F138" s="64">
        <v>1</v>
      </c>
      <c r="G138" s="64">
        <v>58</v>
      </c>
      <c r="H138" s="65"/>
      <c r="I138" s="65"/>
      <c r="J138" s="66"/>
      <c r="K138" s="121" t="s">
        <v>245</v>
      </c>
      <c r="L138" s="64" t="s">
        <v>246</v>
      </c>
      <c r="M138" s="64" t="s">
        <v>240</v>
      </c>
      <c r="N138" s="64" t="s">
        <v>247</v>
      </c>
      <c r="O138" s="64" t="s">
        <v>241</v>
      </c>
      <c r="P138" s="69">
        <v>44571</v>
      </c>
      <c r="Q138" s="69">
        <v>44925</v>
      </c>
      <c r="R138" s="122">
        <v>32000</v>
      </c>
      <c r="S138" s="123" t="s">
        <v>248</v>
      </c>
      <c r="T138" s="124">
        <f>+R138/4</f>
        <v>8000</v>
      </c>
      <c r="U138" s="75">
        <v>0</v>
      </c>
      <c r="V138" s="674">
        <f>+AJ138</f>
        <v>0</v>
      </c>
      <c r="W138" s="75">
        <f>+R138/4</f>
        <v>8000</v>
      </c>
      <c r="X138" s="75">
        <v>0</v>
      </c>
      <c r="Y138" s="75"/>
      <c r="Z138" s="75">
        <v>8000</v>
      </c>
      <c r="AA138" s="75">
        <v>0</v>
      </c>
      <c r="AB138" s="75"/>
      <c r="AC138" s="75">
        <f>32000/4</f>
        <v>8000</v>
      </c>
      <c r="AD138" s="75">
        <v>0</v>
      </c>
      <c r="AE138" s="592"/>
      <c r="AF138" s="347" t="s">
        <v>249</v>
      </c>
      <c r="AG138" s="510">
        <v>0</v>
      </c>
      <c r="AH138" s="370">
        <v>0</v>
      </c>
      <c r="AI138" s="75"/>
      <c r="AJ138" s="75"/>
      <c r="AK138" s="75"/>
      <c r="AL138" s="75"/>
      <c r="AM138" s="75"/>
      <c r="AN138" s="64" t="s">
        <v>39</v>
      </c>
      <c r="AO138" s="64"/>
      <c r="AP138" s="64"/>
      <c r="AQ138" s="189"/>
      <c r="AR138" s="64"/>
      <c r="AS138" s="476"/>
      <c r="AT138" s="64"/>
      <c r="AU138" s="646"/>
      <c r="AV138" s="335" t="s">
        <v>250</v>
      </c>
    </row>
    <row r="139" spans="1:48" ht="76.349999999999994" customHeight="1" outlineLevel="3" x14ac:dyDescent="0.25">
      <c r="A139" s="63" t="str">
        <f t="shared" si="1"/>
        <v>1.3.1.1.2.58</v>
      </c>
      <c r="B139" s="64">
        <v>1</v>
      </c>
      <c r="C139" s="64">
        <v>3</v>
      </c>
      <c r="D139" s="64">
        <v>1</v>
      </c>
      <c r="E139" s="64">
        <v>1</v>
      </c>
      <c r="F139" s="64">
        <v>2</v>
      </c>
      <c r="G139" s="64">
        <v>58</v>
      </c>
      <c r="H139" s="65"/>
      <c r="I139" s="65"/>
      <c r="J139" s="66"/>
      <c r="K139" s="125" t="s">
        <v>251</v>
      </c>
      <c r="L139" s="64" t="s">
        <v>246</v>
      </c>
      <c r="M139" s="64" t="s">
        <v>240</v>
      </c>
      <c r="N139" s="64" t="s">
        <v>252</v>
      </c>
      <c r="O139" s="64" t="s">
        <v>241</v>
      </c>
      <c r="P139" s="69">
        <v>44571</v>
      </c>
      <c r="Q139" s="69">
        <v>44925</v>
      </c>
      <c r="R139" s="126">
        <v>393081</v>
      </c>
      <c r="S139" s="123" t="s">
        <v>248</v>
      </c>
      <c r="T139" s="124">
        <f>+R139/4</f>
        <v>98270.25</v>
      </c>
      <c r="U139" s="75">
        <v>0</v>
      </c>
      <c r="V139" s="674">
        <f t="shared" ref="V139:V157" si="31">+AJ139</f>
        <v>0</v>
      </c>
      <c r="W139" s="75">
        <f>+R139/4</f>
        <v>98270.25</v>
      </c>
      <c r="X139" s="75">
        <v>0</v>
      </c>
      <c r="Y139" s="75"/>
      <c r="Z139" s="75">
        <f>+R139/4</f>
        <v>98270.25</v>
      </c>
      <c r="AA139" s="75">
        <v>0</v>
      </c>
      <c r="AB139" s="75"/>
      <c r="AC139" s="75">
        <f>+R139/4</f>
        <v>98270.25</v>
      </c>
      <c r="AD139" s="75">
        <v>0</v>
      </c>
      <c r="AE139" s="592"/>
      <c r="AF139" s="347" t="s">
        <v>253</v>
      </c>
      <c r="AG139" s="510">
        <v>0</v>
      </c>
      <c r="AH139" s="370">
        <v>0</v>
      </c>
      <c r="AI139" s="75"/>
      <c r="AJ139" s="75"/>
      <c r="AK139" s="75"/>
      <c r="AL139" s="75"/>
      <c r="AM139" s="75"/>
      <c r="AN139" s="64" t="s">
        <v>39</v>
      </c>
      <c r="AO139" s="64"/>
      <c r="AP139" s="64"/>
      <c r="AQ139" s="189"/>
      <c r="AR139" s="64"/>
      <c r="AS139" s="476"/>
      <c r="AT139" s="64"/>
      <c r="AU139" s="646"/>
      <c r="AV139" s="335" t="s">
        <v>254</v>
      </c>
    </row>
    <row r="140" spans="1:48" ht="43.35" customHeight="1" outlineLevel="3" x14ac:dyDescent="0.25">
      <c r="A140" s="63" t="str">
        <f t="shared" si="1"/>
        <v>1.3.1.1.3.58</v>
      </c>
      <c r="B140" s="64">
        <v>1</v>
      </c>
      <c r="C140" s="64">
        <v>3</v>
      </c>
      <c r="D140" s="64">
        <v>1</v>
      </c>
      <c r="E140" s="64">
        <v>1</v>
      </c>
      <c r="F140" s="64">
        <v>3</v>
      </c>
      <c r="G140" s="100">
        <v>58</v>
      </c>
      <c r="H140" s="65"/>
      <c r="I140" s="65"/>
      <c r="J140" s="66"/>
      <c r="K140" s="65" t="s">
        <v>1908</v>
      </c>
      <c r="L140" s="64" t="s">
        <v>246</v>
      </c>
      <c r="M140" s="64" t="s">
        <v>256</v>
      </c>
      <c r="N140" s="64" t="s">
        <v>257</v>
      </c>
      <c r="O140" s="64" t="s">
        <v>241</v>
      </c>
      <c r="P140" s="69">
        <v>44571</v>
      </c>
      <c r="Q140" s="69">
        <v>44925</v>
      </c>
      <c r="R140" s="124">
        <v>145</v>
      </c>
      <c r="S140" s="123" t="s">
        <v>258</v>
      </c>
      <c r="T140" s="124">
        <v>3</v>
      </c>
      <c r="U140" s="132">
        <v>1801450</v>
      </c>
      <c r="V140" s="702">
        <f t="shared" si="31"/>
        <v>3260100</v>
      </c>
      <c r="W140" s="75">
        <v>3</v>
      </c>
      <c r="X140" s="132">
        <v>3801450</v>
      </c>
      <c r="Y140" s="127">
        <v>3801450</v>
      </c>
      <c r="Z140" s="127">
        <v>3801450</v>
      </c>
      <c r="AA140" s="132">
        <f>+(AH140-U140-X140)/2</f>
        <v>15301450</v>
      </c>
      <c r="AB140" s="127">
        <f t="shared" ref="AB140:AC140" si="32">+(AI140-V140-Y140)/2</f>
        <v>-3530775</v>
      </c>
      <c r="AC140" s="127">
        <f t="shared" si="32"/>
        <v>-270676.5</v>
      </c>
      <c r="AD140" s="132">
        <f>+AH140-U140-X140-AA140</f>
        <v>15301450</v>
      </c>
      <c r="AE140" s="127">
        <v>3801450</v>
      </c>
      <c r="AF140" s="127">
        <v>3801450</v>
      </c>
      <c r="AG140" s="127">
        <v>3801450</v>
      </c>
      <c r="AH140" s="371">
        <v>36205800</v>
      </c>
      <c r="AI140" s="78"/>
      <c r="AJ140" s="78">
        <f>1095300+850050+608200+706550</f>
        <v>3260100</v>
      </c>
      <c r="AK140" s="78"/>
      <c r="AL140" s="78"/>
      <c r="AM140" s="78"/>
      <c r="AN140" s="64" t="s">
        <v>39</v>
      </c>
      <c r="AO140" s="64" t="s">
        <v>1839</v>
      </c>
      <c r="AP140" s="64" t="s">
        <v>649</v>
      </c>
      <c r="AQ140" s="533" t="s">
        <v>649</v>
      </c>
      <c r="AR140" s="554">
        <v>44562</v>
      </c>
      <c r="AS140" s="554">
        <v>44561</v>
      </c>
      <c r="AT140" s="64" t="s">
        <v>1814</v>
      </c>
      <c r="AU140" s="646" t="s">
        <v>1985</v>
      </c>
      <c r="AV140" s="560" t="s">
        <v>1938</v>
      </c>
    </row>
    <row r="141" spans="1:48" ht="48.6" customHeight="1" outlineLevel="3" x14ac:dyDescent="0.25">
      <c r="A141" s="63" t="str">
        <f t="shared" si="1"/>
        <v>1.3.1.1.4.58</v>
      </c>
      <c r="B141" s="64">
        <v>1</v>
      </c>
      <c r="C141" s="64">
        <v>3</v>
      </c>
      <c r="D141" s="64">
        <v>1</v>
      </c>
      <c r="E141" s="64">
        <v>1</v>
      </c>
      <c r="F141" s="64">
        <v>4</v>
      </c>
      <c r="G141" s="64">
        <v>58</v>
      </c>
      <c r="H141" s="65"/>
      <c r="I141" s="65"/>
      <c r="J141" s="66"/>
      <c r="K141" s="65" t="s">
        <v>259</v>
      </c>
      <c r="L141" s="64" t="s">
        <v>246</v>
      </c>
      <c r="M141" s="64" t="s">
        <v>240</v>
      </c>
      <c r="N141" s="64" t="s">
        <v>247</v>
      </c>
      <c r="O141" s="64" t="s">
        <v>241</v>
      </c>
      <c r="P141" s="69">
        <v>44571</v>
      </c>
      <c r="Q141" s="69">
        <v>44925</v>
      </c>
      <c r="R141" s="126">
        <v>32000</v>
      </c>
      <c r="S141" s="123" t="s">
        <v>248</v>
      </c>
      <c r="T141" s="124">
        <f>+R141/4</f>
        <v>8000</v>
      </c>
      <c r="U141" s="75">
        <v>0</v>
      </c>
      <c r="V141" s="674">
        <f t="shared" si="31"/>
        <v>0</v>
      </c>
      <c r="W141" s="75">
        <v>5100</v>
      </c>
      <c r="X141" s="75">
        <v>0</v>
      </c>
      <c r="Y141" s="75"/>
      <c r="Z141" s="75">
        <v>5100</v>
      </c>
      <c r="AA141" s="75">
        <v>0</v>
      </c>
      <c r="AB141" s="75"/>
      <c r="AC141" s="75">
        <v>5100</v>
      </c>
      <c r="AD141" s="75">
        <v>0</v>
      </c>
      <c r="AE141" s="592"/>
      <c r="AF141" s="348" t="s">
        <v>260</v>
      </c>
      <c r="AG141" s="510">
        <v>0</v>
      </c>
      <c r="AH141" s="370">
        <v>0</v>
      </c>
      <c r="AI141" s="75"/>
      <c r="AJ141" s="75"/>
      <c r="AK141" s="75"/>
      <c r="AL141" s="75"/>
      <c r="AM141" s="75"/>
      <c r="AN141" s="64" t="s">
        <v>39</v>
      </c>
      <c r="AO141" s="64"/>
      <c r="AP141" s="64"/>
      <c r="AQ141" s="189"/>
      <c r="AR141" s="64"/>
      <c r="AS141" s="476"/>
      <c r="AT141" s="64"/>
      <c r="AU141" s="646"/>
      <c r="AV141" s="335" t="s">
        <v>261</v>
      </c>
    </row>
    <row r="142" spans="1:48" ht="40.35" customHeight="1" outlineLevel="3" x14ac:dyDescent="0.25">
      <c r="A142" s="63" t="str">
        <f t="shared" si="1"/>
        <v>1.3.1.1.5.58</v>
      </c>
      <c r="B142" s="64">
        <v>1</v>
      </c>
      <c r="C142" s="64">
        <v>3</v>
      </c>
      <c r="D142" s="64">
        <v>1</v>
      </c>
      <c r="E142" s="64">
        <v>1</v>
      </c>
      <c r="F142" s="64">
        <v>5</v>
      </c>
      <c r="G142" s="64">
        <v>58</v>
      </c>
      <c r="H142" s="65"/>
      <c r="I142" s="65"/>
      <c r="J142" s="66"/>
      <c r="K142" s="65" t="s">
        <v>262</v>
      </c>
      <c r="L142" s="64" t="s">
        <v>246</v>
      </c>
      <c r="M142" s="64" t="s">
        <v>240</v>
      </c>
      <c r="N142" s="64" t="s">
        <v>252</v>
      </c>
      <c r="O142" s="64" t="s">
        <v>241</v>
      </c>
      <c r="P142" s="69">
        <v>44571</v>
      </c>
      <c r="Q142" s="69">
        <v>44925</v>
      </c>
      <c r="R142" s="126">
        <v>393081</v>
      </c>
      <c r="S142" s="123" t="s">
        <v>248</v>
      </c>
      <c r="T142" s="124">
        <f>+R142/4</f>
        <v>98270.25</v>
      </c>
      <c r="U142" s="75">
        <v>0</v>
      </c>
      <c r="V142" s="674">
        <f t="shared" si="31"/>
        <v>0</v>
      </c>
      <c r="W142" s="75">
        <v>4200</v>
      </c>
      <c r="X142" s="75">
        <v>0</v>
      </c>
      <c r="Y142" s="75"/>
      <c r="Z142" s="75">
        <v>4200</v>
      </c>
      <c r="AA142" s="75">
        <v>0</v>
      </c>
      <c r="AB142" s="75"/>
      <c r="AC142" s="75">
        <v>4200</v>
      </c>
      <c r="AD142" s="75">
        <v>0</v>
      </c>
      <c r="AE142" s="592"/>
      <c r="AF142" s="348" t="s">
        <v>260</v>
      </c>
      <c r="AG142" s="510">
        <v>0</v>
      </c>
      <c r="AH142" s="370">
        <v>0</v>
      </c>
      <c r="AI142" s="75"/>
      <c r="AJ142" s="75"/>
      <c r="AK142" s="75"/>
      <c r="AL142" s="75"/>
      <c r="AM142" s="75"/>
      <c r="AN142" s="64" t="s">
        <v>39</v>
      </c>
      <c r="AO142" s="64"/>
      <c r="AP142" s="64"/>
      <c r="AQ142" s="189"/>
      <c r="AR142" s="64"/>
      <c r="AS142" s="476"/>
      <c r="AT142" s="64"/>
      <c r="AU142" s="646"/>
      <c r="AV142" s="335" t="s">
        <v>261</v>
      </c>
    </row>
    <row r="143" spans="1:48" ht="23.45" customHeight="1" outlineLevel="3" x14ac:dyDescent="0.25">
      <c r="A143" s="63" t="str">
        <f t="shared" si="1"/>
        <v>1.3.1.1.6.58</v>
      </c>
      <c r="B143" s="64">
        <v>1</v>
      </c>
      <c r="C143" s="64">
        <v>3</v>
      </c>
      <c r="D143" s="64">
        <v>1</v>
      </c>
      <c r="E143" s="64">
        <v>1</v>
      </c>
      <c r="F143" s="64">
        <v>6</v>
      </c>
      <c r="G143" s="64">
        <v>58</v>
      </c>
      <c r="H143" s="65"/>
      <c r="I143" s="65"/>
      <c r="J143" s="66"/>
      <c r="K143" s="65" t="s">
        <v>263</v>
      </c>
      <c r="L143" s="64" t="s">
        <v>264</v>
      </c>
      <c r="M143" s="64" t="s">
        <v>76</v>
      </c>
      <c r="N143" s="64" t="s">
        <v>265</v>
      </c>
      <c r="O143" s="64" t="s">
        <v>266</v>
      </c>
      <c r="P143" s="69">
        <v>44571</v>
      </c>
      <c r="Q143" s="69">
        <v>44925</v>
      </c>
      <c r="R143" s="124">
        <v>145</v>
      </c>
      <c r="S143" s="123" t="s">
        <v>258</v>
      </c>
      <c r="T143" s="124"/>
      <c r="U143" s="75">
        <v>0</v>
      </c>
      <c r="V143" s="674">
        <f t="shared" si="31"/>
        <v>0</v>
      </c>
      <c r="W143" s="75"/>
      <c r="X143" s="75">
        <v>0</v>
      </c>
      <c r="Y143" s="75"/>
      <c r="Z143" s="75"/>
      <c r="AA143" s="75">
        <v>0</v>
      </c>
      <c r="AB143" s="75"/>
      <c r="AC143" s="75">
        <v>1</v>
      </c>
      <c r="AD143" s="75">
        <f>+AH143</f>
        <v>1446500</v>
      </c>
      <c r="AE143" s="592"/>
      <c r="AF143" s="347" t="s">
        <v>267</v>
      </c>
      <c r="AG143" s="508">
        <v>1446500</v>
      </c>
      <c r="AH143" s="370">
        <f>((135*450)+(500*10))*22</f>
        <v>1446500</v>
      </c>
      <c r="AI143" s="75"/>
      <c r="AJ143" s="75"/>
      <c r="AK143" s="75"/>
      <c r="AL143" s="75"/>
      <c r="AM143" s="75"/>
      <c r="AN143" s="64" t="s">
        <v>181</v>
      </c>
      <c r="AO143" s="165"/>
      <c r="AP143" s="165"/>
      <c r="AQ143" s="413"/>
      <c r="AR143" s="64"/>
      <c r="AS143" s="475"/>
      <c r="AT143" s="64"/>
      <c r="AU143" s="646"/>
      <c r="AV143" s="432" t="s">
        <v>268</v>
      </c>
    </row>
    <row r="144" spans="1:48" ht="53.1" customHeight="1" outlineLevel="3" x14ac:dyDescent="0.25">
      <c r="A144" s="63" t="str">
        <f>CONCATENATE(B144,".",C144,".",D144,".",E144,".",F144,".",G144)</f>
        <v>1.3.1.1.9.58</v>
      </c>
      <c r="B144" s="64">
        <v>1</v>
      </c>
      <c r="C144" s="64">
        <v>3</v>
      </c>
      <c r="D144" s="64">
        <v>1</v>
      </c>
      <c r="E144" s="64">
        <v>1</v>
      </c>
      <c r="F144" s="64">
        <v>9</v>
      </c>
      <c r="G144" s="64">
        <v>58</v>
      </c>
      <c r="H144" s="65"/>
      <c r="I144" s="65"/>
      <c r="J144" s="66"/>
      <c r="K144" s="67" t="s">
        <v>269</v>
      </c>
      <c r="L144" s="68" t="s">
        <v>270</v>
      </c>
      <c r="M144" s="64" t="s">
        <v>271</v>
      </c>
      <c r="N144" s="64" t="s">
        <v>74</v>
      </c>
      <c r="O144" s="64" t="s">
        <v>72</v>
      </c>
      <c r="P144" s="69">
        <v>44571</v>
      </c>
      <c r="Q144" s="69">
        <v>44925</v>
      </c>
      <c r="R144" s="124"/>
      <c r="S144" s="123"/>
      <c r="T144" s="124"/>
      <c r="U144" s="75">
        <f>+AH144</f>
        <v>437500</v>
      </c>
      <c r="V144" s="674">
        <f t="shared" si="31"/>
        <v>0</v>
      </c>
      <c r="W144" s="75"/>
      <c r="X144" s="75">
        <v>0</v>
      </c>
      <c r="Y144" s="75"/>
      <c r="Z144" s="75"/>
      <c r="AA144" s="75">
        <v>0</v>
      </c>
      <c r="AB144" s="75"/>
      <c r="AC144" s="75"/>
      <c r="AD144" s="75">
        <v>0</v>
      </c>
      <c r="AE144" s="592"/>
      <c r="AF144" s="347" t="s">
        <v>272</v>
      </c>
      <c r="AG144" s="508">
        <v>437500</v>
      </c>
      <c r="AH144" s="370">
        <v>437500</v>
      </c>
      <c r="AI144" s="75"/>
      <c r="AJ144" s="75"/>
      <c r="AK144" s="75"/>
      <c r="AL144" s="75"/>
      <c r="AM144" s="75"/>
      <c r="AN144" s="64" t="s">
        <v>39</v>
      </c>
      <c r="AO144" s="64"/>
      <c r="AP144" s="64"/>
      <c r="AQ144" s="189"/>
      <c r="AR144" s="64"/>
      <c r="AS144" s="476"/>
      <c r="AT144" s="64"/>
      <c r="AU144" s="646"/>
      <c r="AV144" s="335" t="s">
        <v>273</v>
      </c>
    </row>
    <row r="145" spans="1:48" ht="14.45" customHeight="1" outlineLevel="3" x14ac:dyDescent="0.25">
      <c r="A145" s="63" t="str">
        <f t="shared" ref="A145:A156" si="33">CONCATENATE(B145,".",C145,".",D145,".",E145,".",F145,".",G145)</f>
        <v>1.3.1.1.11.58</v>
      </c>
      <c r="B145" s="64">
        <v>1</v>
      </c>
      <c r="C145" s="64">
        <v>3</v>
      </c>
      <c r="D145" s="64">
        <v>1</v>
      </c>
      <c r="E145" s="64">
        <v>1</v>
      </c>
      <c r="F145" s="64">
        <v>11</v>
      </c>
      <c r="G145" s="64">
        <v>58</v>
      </c>
      <c r="H145" s="65"/>
      <c r="I145" s="65"/>
      <c r="J145" s="66"/>
      <c r="K145" s="67" t="s">
        <v>274</v>
      </c>
      <c r="L145" s="64" t="s">
        <v>72</v>
      </c>
      <c r="M145" s="64" t="s">
        <v>267</v>
      </c>
      <c r="N145" s="64" t="s">
        <v>265</v>
      </c>
      <c r="O145" s="68" t="s">
        <v>275</v>
      </c>
      <c r="P145" s="69">
        <v>44571</v>
      </c>
      <c r="Q145" s="69">
        <v>44925</v>
      </c>
      <c r="R145" s="124">
        <v>12</v>
      </c>
      <c r="S145" s="123" t="s">
        <v>144</v>
      </c>
      <c r="T145" s="124">
        <v>3</v>
      </c>
      <c r="U145" s="75">
        <v>5633483.71</v>
      </c>
      <c r="V145" s="702">
        <f t="shared" si="31"/>
        <v>5761740.0899999999</v>
      </c>
      <c r="W145" s="75">
        <v>3</v>
      </c>
      <c r="X145" s="78">
        <v>4078534.62</v>
      </c>
      <c r="Y145" s="75"/>
      <c r="Z145" s="75">
        <v>3</v>
      </c>
      <c r="AA145" s="78">
        <v>4078534.62</v>
      </c>
      <c r="AB145" s="78">
        <f t="shared" ref="AB145:AC145" si="34">+AI145-V145/2</f>
        <v>-2880870.0449999999</v>
      </c>
      <c r="AC145" s="78">
        <f t="shared" si="34"/>
        <v>5761738.5899999999</v>
      </c>
      <c r="AD145" s="78">
        <v>4078534.62</v>
      </c>
      <c r="AE145" s="592"/>
      <c r="AF145" s="259" t="s">
        <v>267</v>
      </c>
      <c r="AG145" s="508">
        <v>8333175</v>
      </c>
      <c r="AH145" s="375">
        <f>16666350</f>
        <v>16666350</v>
      </c>
      <c r="AI145" s="129"/>
      <c r="AJ145" s="129">
        <f>132583.5+1663099.03+121054.5+1882150.03+40351.5+1922501.53</f>
        <v>5761740.0899999999</v>
      </c>
      <c r="AK145" s="129"/>
      <c r="AL145" s="129"/>
      <c r="AM145" s="129"/>
      <c r="AN145" s="64" t="s">
        <v>39</v>
      </c>
      <c r="AO145" s="165" t="s">
        <v>144</v>
      </c>
      <c r="AP145" s="165" t="s">
        <v>649</v>
      </c>
      <c r="AQ145" s="557" t="s">
        <v>649</v>
      </c>
      <c r="AR145" s="169">
        <v>44562</v>
      </c>
      <c r="AS145" s="562">
        <v>44926</v>
      </c>
      <c r="AT145" s="64" t="s">
        <v>1814</v>
      </c>
      <c r="AU145" s="646" t="s">
        <v>1924</v>
      </c>
      <c r="AV145" s="438" t="s">
        <v>1925</v>
      </c>
    </row>
    <row r="146" spans="1:48" ht="14.45" customHeight="1" outlineLevel="3" x14ac:dyDescent="0.25">
      <c r="A146" s="63" t="str">
        <f t="shared" si="33"/>
        <v>1.3.1.1.14.58</v>
      </c>
      <c r="B146" s="64">
        <v>1</v>
      </c>
      <c r="C146" s="64">
        <v>3</v>
      </c>
      <c r="D146" s="64">
        <v>1</v>
      </c>
      <c r="E146" s="64">
        <v>1</v>
      </c>
      <c r="F146" s="64">
        <v>14</v>
      </c>
      <c r="G146" s="64">
        <v>58</v>
      </c>
      <c r="H146" s="65"/>
      <c r="I146" s="65"/>
      <c r="J146" s="66"/>
      <c r="K146" s="67" t="s">
        <v>276</v>
      </c>
      <c r="L146" s="64" t="s">
        <v>72</v>
      </c>
      <c r="M146" s="64" t="s">
        <v>271</v>
      </c>
      <c r="N146" s="64" t="s">
        <v>74</v>
      </c>
      <c r="O146" s="68" t="s">
        <v>277</v>
      </c>
      <c r="P146" s="69">
        <v>44571</v>
      </c>
      <c r="Q146" s="69">
        <v>44925</v>
      </c>
      <c r="R146" s="124"/>
      <c r="S146" s="123"/>
      <c r="T146" s="124"/>
      <c r="U146" s="75">
        <v>125000</v>
      </c>
      <c r="V146" s="702">
        <f t="shared" si="31"/>
        <v>186385.71000000002</v>
      </c>
      <c r="W146" s="75"/>
      <c r="X146" s="75"/>
      <c r="Y146" s="75"/>
      <c r="Z146" s="75"/>
      <c r="AA146" s="75">
        <v>125000</v>
      </c>
      <c r="AB146" s="75"/>
      <c r="AC146" s="75"/>
      <c r="AD146" s="75"/>
      <c r="AE146" s="592"/>
      <c r="AF146" s="259" t="s">
        <v>278</v>
      </c>
      <c r="AG146" s="508">
        <v>250000</v>
      </c>
      <c r="AH146" s="375">
        <v>340000</v>
      </c>
      <c r="AI146" s="129"/>
      <c r="AJ146" s="129">
        <f>79186.72+107198.99</f>
        <v>186385.71000000002</v>
      </c>
      <c r="AK146" s="129"/>
      <c r="AL146" s="129"/>
      <c r="AM146" s="129"/>
      <c r="AN146" s="189" t="s">
        <v>39</v>
      </c>
      <c r="AO146" s="64" t="s">
        <v>1819</v>
      </c>
      <c r="AP146" s="68" t="s">
        <v>1835</v>
      </c>
      <c r="AQ146" s="68" t="s">
        <v>1834</v>
      </c>
      <c r="AR146" s="64"/>
      <c r="AS146" s="64"/>
      <c r="AT146" s="544" t="s">
        <v>1833</v>
      </c>
      <c r="AU146" s="648" t="s">
        <v>1828</v>
      </c>
      <c r="AV146" s="68" t="s">
        <v>1829</v>
      </c>
    </row>
    <row r="147" spans="1:48" ht="14.45" customHeight="1" outlineLevel="3" x14ac:dyDescent="0.25">
      <c r="A147" s="63" t="str">
        <f t="shared" si="33"/>
        <v>1.3.1.1.15.58</v>
      </c>
      <c r="B147" s="64">
        <v>1</v>
      </c>
      <c r="C147" s="64">
        <v>3</v>
      </c>
      <c r="D147" s="64">
        <v>1</v>
      </c>
      <c r="E147" s="64">
        <v>1</v>
      </c>
      <c r="F147" s="64">
        <v>15</v>
      </c>
      <c r="G147" s="64">
        <v>58</v>
      </c>
      <c r="H147" s="65"/>
      <c r="I147" s="65"/>
      <c r="J147" s="66"/>
      <c r="K147" s="67" t="s">
        <v>1889</v>
      </c>
      <c r="L147" s="64" t="s">
        <v>72</v>
      </c>
      <c r="M147" s="64" t="s">
        <v>279</v>
      </c>
      <c r="N147" s="64" t="s">
        <v>74</v>
      </c>
      <c r="O147" s="68" t="s">
        <v>277</v>
      </c>
      <c r="P147" s="69">
        <v>44571</v>
      </c>
      <c r="Q147" s="69">
        <v>44925</v>
      </c>
      <c r="R147" s="124">
        <v>2</v>
      </c>
      <c r="S147" s="123"/>
      <c r="T147" s="124"/>
      <c r="U147" s="75"/>
      <c r="V147" s="702">
        <f t="shared" si="31"/>
        <v>51202.14</v>
      </c>
      <c r="W147" s="75">
        <v>1</v>
      </c>
      <c r="X147" s="75">
        <v>100000</v>
      </c>
      <c r="Y147" s="75"/>
      <c r="Z147" s="75">
        <v>1</v>
      </c>
      <c r="AA147" s="75">
        <v>100000</v>
      </c>
      <c r="AB147" s="75"/>
      <c r="AC147" s="75"/>
      <c r="AD147" s="75"/>
      <c r="AE147" s="592"/>
      <c r="AF147" s="259" t="s">
        <v>279</v>
      </c>
      <c r="AG147" s="508">
        <v>200000</v>
      </c>
      <c r="AH147" s="376">
        <v>200000</v>
      </c>
      <c r="AI147" s="130"/>
      <c r="AJ147" s="130">
        <f>8084.72+8344.26+7349.71+27423.45</f>
        <v>51202.14</v>
      </c>
      <c r="AK147" s="130"/>
      <c r="AL147" s="130"/>
      <c r="AM147" s="130"/>
      <c r="AN147" s="189" t="s">
        <v>39</v>
      </c>
      <c r="AO147" s="64"/>
      <c r="AP147" s="68" t="s">
        <v>1816</v>
      </c>
      <c r="AQ147" s="68" t="s">
        <v>1817</v>
      </c>
      <c r="AR147" s="64"/>
      <c r="AS147" s="64"/>
      <c r="AT147" s="460"/>
      <c r="AU147" s="648" t="s">
        <v>1896</v>
      </c>
      <c r="AV147" s="538" t="s">
        <v>1897</v>
      </c>
    </row>
    <row r="148" spans="1:48" ht="14.45" customHeight="1" outlineLevel="3" x14ac:dyDescent="0.25">
      <c r="A148" s="63" t="str">
        <f t="shared" si="33"/>
        <v>1.3.1.1.19.58</v>
      </c>
      <c r="B148" s="64">
        <v>1</v>
      </c>
      <c r="C148" s="64">
        <v>3</v>
      </c>
      <c r="D148" s="64">
        <v>1</v>
      </c>
      <c r="E148" s="64">
        <v>1</v>
      </c>
      <c r="F148" s="64">
        <v>19</v>
      </c>
      <c r="G148" s="64">
        <v>58</v>
      </c>
      <c r="H148" s="65"/>
      <c r="I148" s="65"/>
      <c r="J148" s="66"/>
      <c r="K148" s="67" t="s">
        <v>280</v>
      </c>
      <c r="L148" s="64" t="s">
        <v>72</v>
      </c>
      <c r="M148" s="64" t="s">
        <v>271</v>
      </c>
      <c r="N148" s="64" t="s">
        <v>74</v>
      </c>
      <c r="O148" s="68" t="s">
        <v>281</v>
      </c>
      <c r="P148" s="69">
        <v>44571</v>
      </c>
      <c r="Q148" s="131">
        <v>44925</v>
      </c>
      <c r="R148" s="124"/>
      <c r="S148" s="123"/>
      <c r="T148" s="124"/>
      <c r="U148" s="75">
        <f>+AH148</f>
        <v>30000</v>
      </c>
      <c r="V148" s="674">
        <f t="shared" si="31"/>
        <v>0</v>
      </c>
      <c r="W148" s="75"/>
      <c r="X148" s="75"/>
      <c r="Y148" s="75"/>
      <c r="Z148" s="75"/>
      <c r="AA148" s="75"/>
      <c r="AB148" s="75"/>
      <c r="AC148" s="75"/>
      <c r="AD148" s="75"/>
      <c r="AE148" s="592"/>
      <c r="AF148" s="259" t="s">
        <v>166</v>
      </c>
      <c r="AG148" s="508">
        <v>30000</v>
      </c>
      <c r="AH148" s="377">
        <v>30000</v>
      </c>
      <c r="AI148" s="132"/>
      <c r="AJ148" s="132"/>
      <c r="AK148" s="132"/>
      <c r="AL148" s="132"/>
      <c r="AM148" s="132"/>
      <c r="AN148" s="64" t="s">
        <v>282</v>
      </c>
      <c r="AO148" s="64"/>
      <c r="AP148" s="64"/>
      <c r="AQ148" s="64"/>
      <c r="AR148" s="245"/>
      <c r="AS148" s="64"/>
      <c r="AT148" s="64"/>
      <c r="AU148" s="646"/>
      <c r="AV148" s="434"/>
    </row>
    <row r="149" spans="1:48" ht="14.25" customHeight="1" outlineLevel="3" x14ac:dyDescent="0.25">
      <c r="A149" s="63" t="str">
        <f t="shared" si="33"/>
        <v>1.3.1.1.20.58</v>
      </c>
      <c r="B149" s="64">
        <v>1</v>
      </c>
      <c r="C149" s="64">
        <v>3</v>
      </c>
      <c r="D149" s="64">
        <v>1</v>
      </c>
      <c r="E149" s="64">
        <v>1</v>
      </c>
      <c r="F149" s="64">
        <v>20</v>
      </c>
      <c r="G149" s="64">
        <v>58</v>
      </c>
      <c r="H149" s="65"/>
      <c r="I149" s="65"/>
      <c r="J149" s="66"/>
      <c r="K149" s="67" t="s">
        <v>283</v>
      </c>
      <c r="L149" s="64" t="s">
        <v>72</v>
      </c>
      <c r="M149" s="64" t="s">
        <v>271</v>
      </c>
      <c r="N149" s="64" t="s">
        <v>74</v>
      </c>
      <c r="O149" s="68" t="s">
        <v>281</v>
      </c>
      <c r="P149" s="69">
        <v>44571</v>
      </c>
      <c r="Q149" s="131">
        <v>44925</v>
      </c>
      <c r="R149" s="124"/>
      <c r="S149" s="123"/>
      <c r="T149" s="124"/>
      <c r="U149" s="75"/>
      <c r="V149" s="674">
        <f t="shared" si="31"/>
        <v>0</v>
      </c>
      <c r="W149" s="75"/>
      <c r="X149" s="75">
        <v>30000</v>
      </c>
      <c r="Y149" s="75"/>
      <c r="Z149" s="75"/>
      <c r="AA149" s="75"/>
      <c r="AB149" s="75"/>
      <c r="AC149" s="75"/>
      <c r="AD149" s="75"/>
      <c r="AE149" s="592"/>
      <c r="AF149" s="259" t="s">
        <v>166</v>
      </c>
      <c r="AG149" s="508">
        <v>30000</v>
      </c>
      <c r="AH149" s="370">
        <v>30000</v>
      </c>
      <c r="AI149" s="75"/>
      <c r="AJ149" s="75"/>
      <c r="AK149" s="75"/>
      <c r="AL149" s="75"/>
      <c r="AM149" s="75"/>
      <c r="AN149" s="64" t="s">
        <v>282</v>
      </c>
      <c r="AO149" s="64"/>
      <c r="AP149" s="64"/>
      <c r="AQ149" s="64"/>
      <c r="AR149" s="64"/>
      <c r="AS149" s="64"/>
      <c r="AT149" s="64"/>
      <c r="AU149" s="646"/>
      <c r="AV149" s="434"/>
    </row>
    <row r="150" spans="1:48" ht="14.45" customHeight="1" outlineLevel="3" x14ac:dyDescent="0.25">
      <c r="A150" s="63" t="str">
        <f t="shared" si="33"/>
        <v>1.3.1.1.21.58</v>
      </c>
      <c r="B150" s="64">
        <v>1</v>
      </c>
      <c r="C150" s="64">
        <v>3</v>
      </c>
      <c r="D150" s="64">
        <v>1</v>
      </c>
      <c r="E150" s="64">
        <v>1</v>
      </c>
      <c r="F150" s="64">
        <v>21</v>
      </c>
      <c r="G150" s="64">
        <v>58</v>
      </c>
      <c r="H150" s="65"/>
      <c r="I150" s="65"/>
      <c r="J150" s="66"/>
      <c r="K150" s="67" t="s">
        <v>284</v>
      </c>
      <c r="L150" s="64" t="s">
        <v>72</v>
      </c>
      <c r="M150" s="64" t="s">
        <v>271</v>
      </c>
      <c r="N150" s="64" t="s">
        <v>74</v>
      </c>
      <c r="O150" s="68" t="s">
        <v>281</v>
      </c>
      <c r="P150" s="69">
        <v>44571</v>
      </c>
      <c r="Q150" s="131">
        <v>44925</v>
      </c>
      <c r="R150" s="124"/>
      <c r="S150" s="123"/>
      <c r="T150" s="124"/>
      <c r="U150" s="75">
        <f>+AH150</f>
        <v>0</v>
      </c>
      <c r="V150" s="674">
        <f t="shared" si="31"/>
        <v>0</v>
      </c>
      <c r="W150" s="75"/>
      <c r="X150" s="75"/>
      <c r="Y150" s="75"/>
      <c r="Z150" s="75"/>
      <c r="AA150" s="75"/>
      <c r="AB150" s="75"/>
      <c r="AC150" s="75"/>
      <c r="AD150" s="75"/>
      <c r="AE150" s="592"/>
      <c r="AF150" s="259" t="s">
        <v>166</v>
      </c>
      <c r="AG150" s="508">
        <v>30000</v>
      </c>
      <c r="AH150" s="370">
        <v>0</v>
      </c>
      <c r="AI150" s="75"/>
      <c r="AJ150" s="75"/>
      <c r="AK150" s="75"/>
      <c r="AL150" s="75"/>
      <c r="AM150" s="75"/>
      <c r="AN150" s="64" t="s">
        <v>282</v>
      </c>
      <c r="AO150" s="64"/>
      <c r="AP150" s="64"/>
      <c r="AQ150" s="64"/>
      <c r="AR150" s="64"/>
      <c r="AS150" s="64"/>
      <c r="AT150" s="64"/>
      <c r="AU150" s="646"/>
      <c r="AV150" s="434"/>
    </row>
    <row r="151" spans="1:48" ht="14.45" customHeight="1" outlineLevel="3" x14ac:dyDescent="0.25">
      <c r="A151" s="63" t="str">
        <f t="shared" si="33"/>
        <v>1.3.1.1.23.58</v>
      </c>
      <c r="B151" s="64">
        <v>1</v>
      </c>
      <c r="C151" s="64">
        <v>3</v>
      </c>
      <c r="D151" s="64">
        <v>1</v>
      </c>
      <c r="E151" s="64">
        <v>1</v>
      </c>
      <c r="F151" s="64">
        <v>23</v>
      </c>
      <c r="G151" s="64">
        <v>58</v>
      </c>
      <c r="H151" s="65"/>
      <c r="I151" s="65"/>
      <c r="J151" s="66"/>
      <c r="K151" s="67" t="s">
        <v>285</v>
      </c>
      <c r="L151" s="64" t="s">
        <v>72</v>
      </c>
      <c r="M151" s="64" t="s">
        <v>279</v>
      </c>
      <c r="N151" s="64" t="s">
        <v>74</v>
      </c>
      <c r="O151" s="68" t="s">
        <v>281</v>
      </c>
      <c r="P151" s="69">
        <v>44571</v>
      </c>
      <c r="Q151" s="131">
        <v>44925</v>
      </c>
      <c r="R151" s="124"/>
      <c r="S151" s="123"/>
      <c r="T151" s="124"/>
      <c r="U151" s="75">
        <v>5000</v>
      </c>
      <c r="V151" s="674">
        <f t="shared" si="31"/>
        <v>0</v>
      </c>
      <c r="W151" s="75"/>
      <c r="X151" s="75">
        <v>5000</v>
      </c>
      <c r="Y151" s="75"/>
      <c r="Z151" s="75"/>
      <c r="AA151" s="75"/>
      <c r="AB151" s="75"/>
      <c r="AC151" s="75"/>
      <c r="AD151" s="75"/>
      <c r="AE151" s="592"/>
      <c r="AF151" s="259" t="s">
        <v>279</v>
      </c>
      <c r="AG151" s="508">
        <v>10000</v>
      </c>
      <c r="AH151" s="370">
        <v>10000</v>
      </c>
      <c r="AI151" s="75"/>
      <c r="AJ151" s="75"/>
      <c r="AK151" s="75"/>
      <c r="AL151" s="75"/>
      <c r="AM151" s="75"/>
      <c r="AN151" s="64" t="s">
        <v>282</v>
      </c>
      <c r="AO151" s="64"/>
      <c r="AP151" s="64"/>
      <c r="AQ151" s="64"/>
      <c r="AR151" s="64"/>
      <c r="AS151" s="64"/>
      <c r="AT151" s="64"/>
      <c r="AU151" s="646"/>
      <c r="AV151" s="434"/>
    </row>
    <row r="152" spans="1:48" ht="14.45" customHeight="1" outlineLevel="3" x14ac:dyDescent="0.25">
      <c r="A152" s="63" t="str">
        <f t="shared" si="33"/>
        <v>1.3.1.1.24.58</v>
      </c>
      <c r="B152" s="64">
        <v>1</v>
      </c>
      <c r="C152" s="64">
        <v>3</v>
      </c>
      <c r="D152" s="64">
        <v>1</v>
      </c>
      <c r="E152" s="64">
        <v>1</v>
      </c>
      <c r="F152" s="64">
        <v>24</v>
      </c>
      <c r="G152" s="64">
        <v>58</v>
      </c>
      <c r="H152" s="65"/>
      <c r="I152" s="65"/>
      <c r="J152" s="66"/>
      <c r="K152" s="67" t="s">
        <v>286</v>
      </c>
      <c r="L152" s="64" t="s">
        <v>72</v>
      </c>
      <c r="M152" s="64" t="s">
        <v>73</v>
      </c>
      <c r="N152" s="64" t="s">
        <v>74</v>
      </c>
      <c r="O152" s="68" t="s">
        <v>281</v>
      </c>
      <c r="P152" s="69">
        <v>44571</v>
      </c>
      <c r="Q152" s="131">
        <v>44925</v>
      </c>
      <c r="R152" s="124"/>
      <c r="S152" s="123"/>
      <c r="T152" s="124"/>
      <c r="U152" s="75"/>
      <c r="V152" s="674">
        <f t="shared" si="31"/>
        <v>0</v>
      </c>
      <c r="W152" s="75"/>
      <c r="X152" s="75"/>
      <c r="Y152" s="75"/>
      <c r="Z152" s="75"/>
      <c r="AA152" s="75"/>
      <c r="AB152" s="75"/>
      <c r="AC152" s="75"/>
      <c r="AD152" s="75"/>
      <c r="AE152" s="592"/>
      <c r="AF152" s="259" t="s">
        <v>73</v>
      </c>
      <c r="AG152" s="510">
        <v>0</v>
      </c>
      <c r="AH152" s="370">
        <v>0</v>
      </c>
      <c r="AI152" s="75"/>
      <c r="AJ152" s="75"/>
      <c r="AK152" s="75"/>
      <c r="AL152" s="75"/>
      <c r="AM152" s="75"/>
      <c r="AN152" s="64" t="s">
        <v>282</v>
      </c>
      <c r="AO152" s="64"/>
      <c r="AP152" s="64"/>
      <c r="AQ152" s="64"/>
      <c r="AR152" s="64"/>
      <c r="AS152" s="64"/>
      <c r="AT152" s="64"/>
      <c r="AU152" s="646"/>
      <c r="AV152" s="434"/>
    </row>
    <row r="153" spans="1:48" ht="14.45" customHeight="1" outlineLevel="3" x14ac:dyDescent="0.25">
      <c r="A153" s="63" t="str">
        <f t="shared" si="33"/>
        <v>1.3.1.1.25.58</v>
      </c>
      <c r="B153" s="64">
        <v>1</v>
      </c>
      <c r="C153" s="64">
        <v>3</v>
      </c>
      <c r="D153" s="64">
        <v>1</v>
      </c>
      <c r="E153" s="64">
        <v>1</v>
      </c>
      <c r="F153" s="64">
        <v>25</v>
      </c>
      <c r="G153" s="64">
        <v>58</v>
      </c>
      <c r="H153" s="65"/>
      <c r="I153" s="65"/>
      <c r="J153" s="66"/>
      <c r="K153" s="67" t="s">
        <v>287</v>
      </c>
      <c r="L153" s="64" t="s">
        <v>72</v>
      </c>
      <c r="M153" s="64" t="s">
        <v>73</v>
      </c>
      <c r="N153" s="64" t="s">
        <v>288</v>
      </c>
      <c r="O153" s="68" t="s">
        <v>281</v>
      </c>
      <c r="P153" s="69">
        <v>44571</v>
      </c>
      <c r="Q153" s="131">
        <v>44925</v>
      </c>
      <c r="R153" s="124"/>
      <c r="S153" s="123"/>
      <c r="T153" s="124"/>
      <c r="U153" s="75"/>
      <c r="V153" s="674">
        <f t="shared" si="31"/>
        <v>0</v>
      </c>
      <c r="W153" s="75"/>
      <c r="X153" s="75"/>
      <c r="Y153" s="75"/>
      <c r="Z153" s="75"/>
      <c r="AA153" s="75"/>
      <c r="AB153" s="75"/>
      <c r="AC153" s="75"/>
      <c r="AD153" s="75"/>
      <c r="AE153" s="592"/>
      <c r="AF153" s="259" t="s">
        <v>289</v>
      </c>
      <c r="AG153" s="510">
        <v>0</v>
      </c>
      <c r="AH153" s="377">
        <v>0</v>
      </c>
      <c r="AI153" s="132"/>
      <c r="AJ153" s="132"/>
      <c r="AK153" s="132"/>
      <c r="AL153" s="132"/>
      <c r="AM153" s="132"/>
      <c r="AN153" s="64" t="s">
        <v>282</v>
      </c>
      <c r="AO153" s="64"/>
      <c r="AP153" s="64"/>
      <c r="AQ153" s="64"/>
      <c r="AR153" s="64"/>
      <c r="AS153" s="64"/>
      <c r="AT153" s="64"/>
      <c r="AU153" s="646"/>
      <c r="AV153" s="434"/>
    </row>
    <row r="154" spans="1:48" ht="14.45" customHeight="1" outlineLevel="3" x14ac:dyDescent="0.25">
      <c r="A154" s="63" t="str">
        <f t="shared" si="33"/>
        <v>1.3.1.1.26.58</v>
      </c>
      <c r="B154" s="64">
        <v>1</v>
      </c>
      <c r="C154" s="64">
        <v>3</v>
      </c>
      <c r="D154" s="64">
        <v>1</v>
      </c>
      <c r="E154" s="64">
        <v>1</v>
      </c>
      <c r="F154" s="64">
        <v>26</v>
      </c>
      <c r="G154" s="64">
        <v>58</v>
      </c>
      <c r="H154" s="65"/>
      <c r="I154" s="65"/>
      <c r="J154" s="66"/>
      <c r="K154" s="67" t="s">
        <v>290</v>
      </c>
      <c r="L154" s="64" t="s">
        <v>72</v>
      </c>
      <c r="M154" s="64" t="s">
        <v>279</v>
      </c>
      <c r="N154" s="64" t="s">
        <v>291</v>
      </c>
      <c r="O154" s="68" t="s">
        <v>281</v>
      </c>
      <c r="P154" s="69">
        <v>44571</v>
      </c>
      <c r="Q154" s="131">
        <v>44925</v>
      </c>
      <c r="R154" s="124"/>
      <c r="S154" s="123"/>
      <c r="T154" s="124"/>
      <c r="U154" s="75">
        <v>75000</v>
      </c>
      <c r="V154" s="702">
        <f t="shared" si="31"/>
        <v>20474.07</v>
      </c>
      <c r="W154" s="75"/>
      <c r="X154" s="75">
        <v>75000</v>
      </c>
      <c r="Y154" s="75"/>
      <c r="Z154" s="75"/>
      <c r="AA154" s="75">
        <v>75000</v>
      </c>
      <c r="AB154" s="75"/>
      <c r="AC154" s="75"/>
      <c r="AD154" s="75">
        <v>75000</v>
      </c>
      <c r="AE154" s="592"/>
      <c r="AF154" s="259" t="s">
        <v>292</v>
      </c>
      <c r="AG154" s="508">
        <v>300000</v>
      </c>
      <c r="AH154" s="376">
        <v>300000</v>
      </c>
      <c r="AI154" s="130"/>
      <c r="AJ154" s="130">
        <v>20474.07</v>
      </c>
      <c r="AK154" s="130"/>
      <c r="AL154" s="130"/>
      <c r="AM154" s="130"/>
      <c r="AN154" s="64" t="s">
        <v>282</v>
      </c>
      <c r="AO154" s="64" t="s">
        <v>1819</v>
      </c>
      <c r="AP154" s="68" t="s">
        <v>1821</v>
      </c>
      <c r="AQ154" s="68" t="s">
        <v>1822</v>
      </c>
      <c r="AR154" s="64"/>
      <c r="AS154" s="64"/>
      <c r="AT154" s="544" t="s">
        <v>1823</v>
      </c>
      <c r="AU154" s="646">
        <v>42</v>
      </c>
      <c r="AV154" s="434" t="s">
        <v>1820</v>
      </c>
    </row>
    <row r="155" spans="1:48" ht="78" customHeight="1" outlineLevel="3" x14ac:dyDescent="0.25">
      <c r="A155" s="63" t="str">
        <f t="shared" si="33"/>
        <v>1.3.1.1.28.58</v>
      </c>
      <c r="B155" s="64">
        <v>1</v>
      </c>
      <c r="C155" s="64">
        <v>3</v>
      </c>
      <c r="D155" s="64">
        <v>1</v>
      </c>
      <c r="E155" s="64">
        <v>1</v>
      </c>
      <c r="F155" s="64">
        <v>28</v>
      </c>
      <c r="G155" s="100">
        <v>58</v>
      </c>
      <c r="H155" s="65"/>
      <c r="I155" s="65"/>
      <c r="J155" s="66"/>
      <c r="K155" s="67" t="s">
        <v>293</v>
      </c>
      <c r="L155" s="64" t="s">
        <v>72</v>
      </c>
      <c r="M155" s="64" t="s">
        <v>279</v>
      </c>
      <c r="N155" s="64" t="s">
        <v>291</v>
      </c>
      <c r="O155" s="68" t="s">
        <v>281</v>
      </c>
      <c r="P155" s="69">
        <v>44571</v>
      </c>
      <c r="Q155" s="69">
        <v>44925</v>
      </c>
      <c r="R155" s="124"/>
      <c r="S155" s="123" t="s">
        <v>294</v>
      </c>
      <c r="T155" s="124"/>
      <c r="U155" s="75">
        <v>0</v>
      </c>
      <c r="V155" s="674">
        <f t="shared" si="31"/>
        <v>0</v>
      </c>
      <c r="W155" s="75"/>
      <c r="X155" s="75">
        <v>0</v>
      </c>
      <c r="Y155" s="75"/>
      <c r="Z155" s="75"/>
      <c r="AA155" s="75">
        <v>0</v>
      </c>
      <c r="AB155" s="75"/>
      <c r="AC155" s="75"/>
      <c r="AD155" s="75">
        <v>0</v>
      </c>
      <c r="AE155" s="592"/>
      <c r="AF155" s="347" t="s">
        <v>272</v>
      </c>
      <c r="AG155" s="508">
        <v>1750000</v>
      </c>
      <c r="AH155" s="377">
        <v>0</v>
      </c>
      <c r="AI155" s="132"/>
      <c r="AJ155" s="132"/>
      <c r="AK155" s="132"/>
      <c r="AL155" s="132"/>
      <c r="AM155" s="132"/>
      <c r="AN155" s="64" t="s">
        <v>282</v>
      </c>
      <c r="AO155" s="64"/>
      <c r="AP155" s="64"/>
      <c r="AQ155" s="189"/>
      <c r="AR155" s="64"/>
      <c r="AS155" s="476"/>
      <c r="AT155" s="64"/>
      <c r="AU155" s="646"/>
      <c r="AV155" s="335" t="s">
        <v>295</v>
      </c>
    </row>
    <row r="156" spans="1:48" ht="14.45" customHeight="1" outlineLevel="3" x14ac:dyDescent="0.25">
      <c r="A156" s="63" t="str">
        <f t="shared" si="33"/>
        <v>1.3.1.1.29.58</v>
      </c>
      <c r="B156" s="64">
        <v>1</v>
      </c>
      <c r="C156" s="64">
        <v>3</v>
      </c>
      <c r="D156" s="64">
        <v>1</v>
      </c>
      <c r="E156" s="64">
        <v>1</v>
      </c>
      <c r="F156" s="64">
        <v>29</v>
      </c>
      <c r="G156" s="64">
        <v>58</v>
      </c>
      <c r="H156" s="65"/>
      <c r="I156" s="65"/>
      <c r="J156" s="66"/>
      <c r="K156" s="67" t="s">
        <v>296</v>
      </c>
      <c r="L156" s="64" t="s">
        <v>72</v>
      </c>
      <c r="M156" s="64" t="s">
        <v>279</v>
      </c>
      <c r="N156" s="64" t="s">
        <v>291</v>
      </c>
      <c r="O156" s="68" t="s">
        <v>281</v>
      </c>
      <c r="P156" s="69">
        <v>44571</v>
      </c>
      <c r="Q156" s="69">
        <v>44925</v>
      </c>
      <c r="R156" s="124"/>
      <c r="S156" s="123"/>
      <c r="T156" s="124"/>
      <c r="U156" s="75">
        <v>50000</v>
      </c>
      <c r="V156" s="674">
        <f t="shared" si="31"/>
        <v>0</v>
      </c>
      <c r="W156" s="75"/>
      <c r="X156" s="75">
        <v>50000</v>
      </c>
      <c r="Y156" s="75"/>
      <c r="Z156" s="75"/>
      <c r="AA156" s="75">
        <v>50000</v>
      </c>
      <c r="AB156" s="75"/>
      <c r="AC156" s="75"/>
      <c r="AD156" s="75">
        <v>50000</v>
      </c>
      <c r="AE156" s="592"/>
      <c r="AF156" s="347" t="s">
        <v>297</v>
      </c>
      <c r="AG156" s="508">
        <v>200000</v>
      </c>
      <c r="AH156" s="377">
        <v>200000</v>
      </c>
      <c r="AI156" s="132"/>
      <c r="AJ156" s="132"/>
      <c r="AK156" s="132"/>
      <c r="AL156" s="132"/>
      <c r="AM156" s="132"/>
      <c r="AN156" s="64" t="s">
        <v>282</v>
      </c>
      <c r="AO156" s="64"/>
      <c r="AP156" s="64"/>
      <c r="AQ156" s="64"/>
      <c r="AR156" s="64"/>
      <c r="AS156" s="64"/>
      <c r="AT156" s="64"/>
      <c r="AU156" s="646"/>
      <c r="AV156" s="434"/>
    </row>
    <row r="157" spans="1:48" ht="14.45" customHeight="1" outlineLevel="3" x14ac:dyDescent="0.25">
      <c r="A157" s="99" t="str">
        <f>CONCATENATE(B157,".",C157,".",D157,".",E157,".",F157,".",G157)</f>
        <v>1.3.1.1.31.58</v>
      </c>
      <c r="B157" s="100">
        <v>1</v>
      </c>
      <c r="C157" s="100">
        <v>3</v>
      </c>
      <c r="D157" s="100">
        <v>1</v>
      </c>
      <c r="E157" s="100">
        <v>1</v>
      </c>
      <c r="F157" s="100">
        <v>31</v>
      </c>
      <c r="G157" s="100">
        <v>58</v>
      </c>
      <c r="H157" s="65"/>
      <c r="I157" s="65"/>
      <c r="J157" s="66"/>
      <c r="K157" s="67" t="s">
        <v>298</v>
      </c>
      <c r="L157" s="64"/>
      <c r="M157" s="64" t="s">
        <v>299</v>
      </c>
      <c r="N157" s="64"/>
      <c r="O157" s="68"/>
      <c r="P157" s="69"/>
      <c r="Q157" s="69"/>
      <c r="R157" s="124"/>
      <c r="S157" s="123"/>
      <c r="T157" s="124"/>
      <c r="U157" s="75">
        <v>30000</v>
      </c>
      <c r="V157" s="674">
        <f t="shared" si="31"/>
        <v>20000</v>
      </c>
      <c r="W157" s="75"/>
      <c r="X157" s="75">
        <v>30000</v>
      </c>
      <c r="Y157" s="75"/>
      <c r="Z157" s="75"/>
      <c r="AA157" s="75">
        <v>20000</v>
      </c>
      <c r="AB157" s="75"/>
      <c r="AC157" s="75"/>
      <c r="AD157" s="75"/>
      <c r="AE157" s="592"/>
      <c r="AF157" s="347"/>
      <c r="AG157" s="377">
        <v>0</v>
      </c>
      <c r="AH157" s="377">
        <v>80000</v>
      </c>
      <c r="AI157" s="132"/>
      <c r="AJ157" s="132">
        <v>20000</v>
      </c>
      <c r="AK157" s="132"/>
      <c r="AL157" s="132"/>
      <c r="AM157" s="132"/>
      <c r="AN157" s="64" t="s">
        <v>282</v>
      </c>
      <c r="AO157" s="64"/>
      <c r="AP157" s="64"/>
      <c r="AQ157" s="64"/>
      <c r="AR157" s="64"/>
      <c r="AS157" s="64"/>
      <c r="AT157" s="64"/>
      <c r="AU157" s="646"/>
      <c r="AV157" s="434"/>
    </row>
    <row r="158" spans="1:48" ht="68.25" customHeight="1" outlineLevel="1" x14ac:dyDescent="0.25">
      <c r="A158" s="80" t="str">
        <f t="shared" si="1"/>
        <v>1.3.1.2.0.0</v>
      </c>
      <c r="B158" s="81">
        <v>1</v>
      </c>
      <c r="C158" s="81">
        <v>3</v>
      </c>
      <c r="D158" s="81">
        <v>1</v>
      </c>
      <c r="E158" s="81">
        <v>2</v>
      </c>
      <c r="F158" s="81">
        <v>0</v>
      </c>
      <c r="G158" s="81">
        <v>0</v>
      </c>
      <c r="H158" s="114"/>
      <c r="I158" s="114"/>
      <c r="J158" s="1346" t="s">
        <v>300</v>
      </c>
      <c r="K158" s="1346"/>
      <c r="L158" s="81" t="s">
        <v>236</v>
      </c>
      <c r="M158" s="81" t="s">
        <v>240</v>
      </c>
      <c r="N158" s="81" t="s">
        <v>226</v>
      </c>
      <c r="O158" s="81" t="s">
        <v>241</v>
      </c>
      <c r="P158" s="118">
        <v>44571</v>
      </c>
      <c r="Q158" s="118">
        <v>44925</v>
      </c>
      <c r="R158" s="119">
        <f>R164+R163+R162+R161+R160+R159</f>
        <v>638830</v>
      </c>
      <c r="S158" s="114" t="s">
        <v>242</v>
      </c>
      <c r="T158" s="119">
        <f>+T159+T160</f>
        <v>79850</v>
      </c>
      <c r="U158" s="116">
        <f t="shared" ref="U158:AG158" si="35">SUM(U159:U178)</f>
        <v>7205352.1200000001</v>
      </c>
      <c r="V158" s="676">
        <f t="shared" si="35"/>
        <v>6022931.7899999991</v>
      </c>
      <c r="W158" s="116">
        <f t="shared" si="35"/>
        <v>88006</v>
      </c>
      <c r="X158" s="116">
        <f t="shared" si="35"/>
        <v>7302672.6899999995</v>
      </c>
      <c r="Y158" s="116">
        <f t="shared" si="35"/>
        <v>2791200</v>
      </c>
      <c r="Z158" s="116">
        <f t="shared" si="35"/>
        <v>2879206</v>
      </c>
      <c r="AA158" s="116">
        <f t="shared" si="35"/>
        <v>10052672.689999999</v>
      </c>
      <c r="AB158" s="116">
        <f t="shared" si="35"/>
        <v>2791200</v>
      </c>
      <c r="AC158" s="116">
        <f t="shared" si="35"/>
        <v>2879221</v>
      </c>
      <c r="AD158" s="116">
        <f t="shared" si="35"/>
        <v>10271772.689999999</v>
      </c>
      <c r="AE158" s="116">
        <f t="shared" si="35"/>
        <v>0</v>
      </c>
      <c r="AF158" s="116">
        <f t="shared" si="35"/>
        <v>0</v>
      </c>
      <c r="AG158" s="116">
        <f t="shared" si="35"/>
        <v>12606041.060000001</v>
      </c>
      <c r="AH158" s="116">
        <f>SUM(AH159:AH178)</f>
        <v>32107150</v>
      </c>
      <c r="AI158" s="116">
        <f t="shared" ref="AI158:AJ158" si="36">SUM(AI159:AI178)</f>
        <v>0</v>
      </c>
      <c r="AJ158" s="116">
        <f t="shared" si="36"/>
        <v>6022931.7899999991</v>
      </c>
      <c r="AK158" s="61"/>
      <c r="AL158" s="61"/>
      <c r="AM158" s="61"/>
      <c r="AN158" s="81" t="s">
        <v>243</v>
      </c>
      <c r="AO158" s="81"/>
      <c r="AP158" s="81"/>
      <c r="AQ158" s="412"/>
      <c r="AR158" s="81"/>
      <c r="AS158" s="474"/>
      <c r="AT158" s="81"/>
      <c r="AU158" s="663"/>
      <c r="AV158" s="433"/>
    </row>
    <row r="159" spans="1:48" ht="134.1" customHeight="1" outlineLevel="4" x14ac:dyDescent="0.25">
      <c r="A159" s="63" t="str">
        <f t="shared" si="1"/>
        <v>1.3.1.2.1.59</v>
      </c>
      <c r="B159" s="64">
        <v>1</v>
      </c>
      <c r="C159" s="64">
        <v>3</v>
      </c>
      <c r="D159" s="64">
        <v>1</v>
      </c>
      <c r="E159" s="64">
        <v>2</v>
      </c>
      <c r="F159" s="64">
        <v>1</v>
      </c>
      <c r="G159" s="64">
        <v>59</v>
      </c>
      <c r="H159" s="65"/>
      <c r="I159" s="65"/>
      <c r="J159" s="66"/>
      <c r="K159" s="65" t="s">
        <v>245</v>
      </c>
      <c r="L159" s="64" t="s">
        <v>246</v>
      </c>
      <c r="M159" s="64" t="s">
        <v>240</v>
      </c>
      <c r="N159" s="64" t="s">
        <v>247</v>
      </c>
      <c r="O159" s="64" t="s">
        <v>241</v>
      </c>
      <c r="P159" s="69">
        <v>44571</v>
      </c>
      <c r="Q159" s="69">
        <v>44925</v>
      </c>
      <c r="R159" s="126">
        <v>130000</v>
      </c>
      <c r="S159" s="123" t="s">
        <v>248</v>
      </c>
      <c r="T159" s="124">
        <f>+R159/4</f>
        <v>32500</v>
      </c>
      <c r="U159" s="75">
        <v>0</v>
      </c>
      <c r="V159" s="674">
        <f>+AJ159</f>
        <v>0</v>
      </c>
      <c r="W159" s="75">
        <f>+R159/4</f>
        <v>32500</v>
      </c>
      <c r="X159" s="75">
        <v>0</v>
      </c>
      <c r="Y159" s="75"/>
      <c r="Z159" s="75">
        <f>+R159/4</f>
        <v>32500</v>
      </c>
      <c r="AA159" s="75">
        <v>0</v>
      </c>
      <c r="AB159" s="75"/>
      <c r="AC159" s="75">
        <f>+R159/4</f>
        <v>32500</v>
      </c>
      <c r="AD159" s="75">
        <v>0</v>
      </c>
      <c r="AE159" s="592"/>
      <c r="AF159" s="347" t="s">
        <v>301</v>
      </c>
      <c r="AG159" s="506">
        <v>0</v>
      </c>
      <c r="AH159" s="370">
        <v>0</v>
      </c>
      <c r="AI159" s="75"/>
      <c r="AJ159" s="75"/>
      <c r="AK159" s="75"/>
      <c r="AL159" s="75"/>
      <c r="AM159" s="75"/>
      <c r="AN159" s="64" t="s">
        <v>39</v>
      </c>
      <c r="AO159" s="64"/>
      <c r="AP159" s="64"/>
      <c r="AQ159" s="189"/>
      <c r="AR159" s="64"/>
      <c r="AS159" s="476"/>
      <c r="AT159" s="64"/>
      <c r="AU159" s="646"/>
      <c r="AV159" s="335" t="s">
        <v>250</v>
      </c>
    </row>
    <row r="160" spans="1:48" ht="68.099999999999994" customHeight="1" outlineLevel="4" x14ac:dyDescent="0.25">
      <c r="A160" s="63" t="str">
        <f t="shared" si="1"/>
        <v>1.3.1.2.2.59</v>
      </c>
      <c r="B160" s="64">
        <v>1</v>
      </c>
      <c r="C160" s="64">
        <v>3</v>
      </c>
      <c r="D160" s="64">
        <v>1</v>
      </c>
      <c r="E160" s="64">
        <v>2</v>
      </c>
      <c r="F160" s="64">
        <v>2</v>
      </c>
      <c r="G160" s="64">
        <v>59</v>
      </c>
      <c r="H160" s="65"/>
      <c r="I160" s="65"/>
      <c r="J160" s="66"/>
      <c r="K160" s="65" t="s">
        <v>251</v>
      </c>
      <c r="L160" s="64" t="s">
        <v>246</v>
      </c>
      <c r="M160" s="64" t="s">
        <v>240</v>
      </c>
      <c r="N160" s="64" t="s">
        <v>252</v>
      </c>
      <c r="O160" s="64" t="s">
        <v>241</v>
      </c>
      <c r="P160" s="69">
        <v>44571</v>
      </c>
      <c r="Q160" s="69">
        <v>44925</v>
      </c>
      <c r="R160" s="126">
        <v>189400</v>
      </c>
      <c r="S160" s="123" t="s">
        <v>248</v>
      </c>
      <c r="T160" s="124">
        <f>+R160/4</f>
        <v>47350</v>
      </c>
      <c r="U160" s="75">
        <v>0</v>
      </c>
      <c r="V160" s="674">
        <f t="shared" ref="V160:V178" si="37">+AJ160</f>
        <v>0</v>
      </c>
      <c r="W160" s="75">
        <f>+R160/4</f>
        <v>47350</v>
      </c>
      <c r="X160" s="75">
        <v>0</v>
      </c>
      <c r="Y160" s="75"/>
      <c r="Z160" s="75">
        <f>+R160/4</f>
        <v>47350</v>
      </c>
      <c r="AA160" s="75">
        <v>0</v>
      </c>
      <c r="AB160" s="75"/>
      <c r="AC160" s="75">
        <f>+R160/4</f>
        <v>47350</v>
      </c>
      <c r="AD160" s="75">
        <v>0</v>
      </c>
      <c r="AE160" s="592"/>
      <c r="AF160" s="347" t="s">
        <v>302</v>
      </c>
      <c r="AG160" s="506">
        <v>0</v>
      </c>
      <c r="AH160" s="370">
        <v>0</v>
      </c>
      <c r="AI160" s="75"/>
      <c r="AJ160" s="75"/>
      <c r="AK160" s="75"/>
      <c r="AL160" s="75"/>
      <c r="AM160" s="75"/>
      <c r="AN160" s="64" t="s">
        <v>39</v>
      </c>
      <c r="AO160" s="64"/>
      <c r="AP160" s="64"/>
      <c r="AQ160" s="189"/>
      <c r="AR160" s="64"/>
      <c r="AS160" s="476"/>
      <c r="AT160" s="64"/>
      <c r="AU160" s="646"/>
      <c r="AV160" s="335" t="s">
        <v>254</v>
      </c>
    </row>
    <row r="161" spans="1:48" ht="14.45" customHeight="1" outlineLevel="4" x14ac:dyDescent="0.25">
      <c r="A161" s="63" t="str">
        <f t="shared" si="1"/>
        <v>1.3.1.2.3.59</v>
      </c>
      <c r="B161" s="64">
        <v>1</v>
      </c>
      <c r="C161" s="64">
        <v>3</v>
      </c>
      <c r="D161" s="64">
        <v>1</v>
      </c>
      <c r="E161" s="64">
        <v>2</v>
      </c>
      <c r="F161" s="64">
        <v>3</v>
      </c>
      <c r="G161" s="64">
        <v>59</v>
      </c>
      <c r="H161" s="65"/>
      <c r="I161" s="65"/>
      <c r="J161" s="66"/>
      <c r="K161" s="65" t="s">
        <v>1909</v>
      </c>
      <c r="L161" s="64" t="s">
        <v>246</v>
      </c>
      <c r="M161" s="64" t="s">
        <v>256</v>
      </c>
      <c r="N161" s="64" t="s">
        <v>257</v>
      </c>
      <c r="O161" s="64" t="s">
        <v>241</v>
      </c>
      <c r="P161" s="69">
        <v>44571</v>
      </c>
      <c r="Q161" s="69">
        <v>44925</v>
      </c>
      <c r="R161" s="126">
        <v>15</v>
      </c>
      <c r="S161" s="123" t="s">
        <v>258</v>
      </c>
      <c r="T161" s="124"/>
      <c r="U161" s="132">
        <v>1341200</v>
      </c>
      <c r="V161" s="702">
        <f t="shared" si="37"/>
        <v>832850</v>
      </c>
      <c r="W161" s="127"/>
      <c r="X161" s="132">
        <v>2791200</v>
      </c>
      <c r="Y161" s="127">
        <v>2791200</v>
      </c>
      <c r="Z161" s="127">
        <v>2791200</v>
      </c>
      <c r="AA161" s="132">
        <f>+(AH161-U161-X161)/2</f>
        <v>5766200</v>
      </c>
      <c r="AB161" s="127">
        <v>2791200</v>
      </c>
      <c r="AC161" s="127">
        <v>2791200</v>
      </c>
      <c r="AD161" s="132">
        <f>+AH161-U161-X161-AA161</f>
        <v>5766200</v>
      </c>
      <c r="AE161" s="596"/>
      <c r="AF161" s="347" t="s">
        <v>303</v>
      </c>
      <c r="AG161" s="506">
        <v>831850</v>
      </c>
      <c r="AH161" s="371">
        <v>15664800</v>
      </c>
      <c r="AI161" s="78"/>
      <c r="AJ161" s="78">
        <f>287650+268800+276400</f>
        <v>832850</v>
      </c>
      <c r="AK161" s="78"/>
      <c r="AL161" s="78"/>
      <c r="AM161" s="78"/>
      <c r="AN161" s="64" t="s">
        <v>39</v>
      </c>
      <c r="AO161" s="64" t="s">
        <v>1839</v>
      </c>
      <c r="AP161" s="64" t="s">
        <v>649</v>
      </c>
      <c r="AQ161" s="533" t="s">
        <v>649</v>
      </c>
      <c r="AR161" s="554">
        <v>44562</v>
      </c>
      <c r="AS161" s="554">
        <v>44561</v>
      </c>
      <c r="AT161" s="64" t="s">
        <v>1814</v>
      </c>
      <c r="AU161" s="646" t="s">
        <v>1987</v>
      </c>
      <c r="AV161" s="561" t="s">
        <v>1986</v>
      </c>
    </row>
    <row r="162" spans="1:48" ht="38.1" customHeight="1" outlineLevel="4" x14ac:dyDescent="0.25">
      <c r="A162" s="63" t="str">
        <f t="shared" si="1"/>
        <v>1.3.1.2.4.59</v>
      </c>
      <c r="B162" s="64">
        <v>1</v>
      </c>
      <c r="C162" s="64">
        <v>3</v>
      </c>
      <c r="D162" s="64">
        <v>1</v>
      </c>
      <c r="E162" s="64">
        <v>2</v>
      </c>
      <c r="F162" s="64">
        <v>4</v>
      </c>
      <c r="G162" s="64">
        <v>59</v>
      </c>
      <c r="H162" s="65"/>
      <c r="I162" s="65"/>
      <c r="J162" s="66"/>
      <c r="K162" s="65" t="s">
        <v>304</v>
      </c>
      <c r="L162" s="64" t="s">
        <v>246</v>
      </c>
      <c r="M162" s="64" t="s">
        <v>240</v>
      </c>
      <c r="N162" s="64" t="s">
        <v>247</v>
      </c>
      <c r="O162" s="64" t="s">
        <v>241</v>
      </c>
      <c r="P162" s="69">
        <v>44571</v>
      </c>
      <c r="Q162" s="69">
        <v>44925</v>
      </c>
      <c r="R162" s="126">
        <v>130000</v>
      </c>
      <c r="S162" s="123" t="s">
        <v>248</v>
      </c>
      <c r="T162" s="124">
        <f>+R162/4</f>
        <v>32500</v>
      </c>
      <c r="U162" s="75">
        <v>0</v>
      </c>
      <c r="V162" s="674">
        <f t="shared" si="37"/>
        <v>0</v>
      </c>
      <c r="W162" s="75">
        <v>2186</v>
      </c>
      <c r="X162" s="75">
        <v>0</v>
      </c>
      <c r="Y162" s="75"/>
      <c r="Z162" s="75">
        <v>2186</v>
      </c>
      <c r="AA162" s="75">
        <v>0</v>
      </c>
      <c r="AB162" s="75"/>
      <c r="AC162" s="75">
        <v>2186</v>
      </c>
      <c r="AD162" s="75">
        <v>0</v>
      </c>
      <c r="AE162" s="592"/>
      <c r="AF162" s="348" t="s">
        <v>260</v>
      </c>
      <c r="AG162" s="505">
        <v>0</v>
      </c>
      <c r="AH162" s="370">
        <v>0</v>
      </c>
      <c r="AI162" s="75"/>
      <c r="AJ162" s="75"/>
      <c r="AK162" s="75"/>
      <c r="AL162" s="75"/>
      <c r="AM162" s="75"/>
      <c r="AN162" s="64" t="s">
        <v>39</v>
      </c>
      <c r="AO162" s="64"/>
      <c r="AP162" s="64"/>
      <c r="AQ162" s="189"/>
      <c r="AR162" s="64"/>
      <c r="AS162" s="476"/>
      <c r="AT162" s="64"/>
      <c r="AU162" s="646"/>
      <c r="AV162" s="335" t="s">
        <v>261</v>
      </c>
    </row>
    <row r="163" spans="1:48" ht="35.450000000000003" customHeight="1" outlineLevel="4" x14ac:dyDescent="0.25">
      <c r="A163" s="63" t="str">
        <f t="shared" si="1"/>
        <v>1.3.1.2.5.59</v>
      </c>
      <c r="B163" s="64">
        <v>1</v>
      </c>
      <c r="C163" s="64">
        <v>3</v>
      </c>
      <c r="D163" s="64">
        <v>1</v>
      </c>
      <c r="E163" s="64">
        <v>2</v>
      </c>
      <c r="F163" s="64">
        <v>5</v>
      </c>
      <c r="G163" s="64">
        <v>59</v>
      </c>
      <c r="H163" s="65"/>
      <c r="I163" s="65"/>
      <c r="J163" s="66"/>
      <c r="K163" s="65" t="s">
        <v>305</v>
      </c>
      <c r="L163" s="64" t="s">
        <v>246</v>
      </c>
      <c r="M163" s="64" t="s">
        <v>240</v>
      </c>
      <c r="N163" s="64" t="s">
        <v>252</v>
      </c>
      <c r="O163" s="64" t="s">
        <v>241</v>
      </c>
      <c r="P163" s="69">
        <v>44571</v>
      </c>
      <c r="Q163" s="69">
        <v>44925</v>
      </c>
      <c r="R163" s="126">
        <v>189400</v>
      </c>
      <c r="S163" s="123" t="s">
        <v>248</v>
      </c>
      <c r="T163" s="124">
        <f>+R163/4</f>
        <v>47350</v>
      </c>
      <c r="U163" s="75">
        <v>0</v>
      </c>
      <c r="V163" s="674">
        <f t="shared" si="37"/>
        <v>0</v>
      </c>
      <c r="W163" s="75">
        <v>5967</v>
      </c>
      <c r="X163" s="75">
        <v>0</v>
      </c>
      <c r="Y163" s="75"/>
      <c r="Z163" s="75">
        <v>5967</v>
      </c>
      <c r="AA163" s="75">
        <v>0</v>
      </c>
      <c r="AB163" s="75"/>
      <c r="AC163" s="75">
        <v>5967</v>
      </c>
      <c r="AD163" s="75">
        <v>0</v>
      </c>
      <c r="AE163" s="592"/>
      <c r="AF163" s="348" t="s">
        <v>260</v>
      </c>
      <c r="AG163" s="505">
        <v>0</v>
      </c>
      <c r="AH163" s="370">
        <v>0</v>
      </c>
      <c r="AI163" s="75"/>
      <c r="AJ163" s="75"/>
      <c r="AK163" s="75"/>
      <c r="AL163" s="75"/>
      <c r="AM163" s="75"/>
      <c r="AN163" s="64" t="s">
        <v>39</v>
      </c>
      <c r="AO163" s="64"/>
      <c r="AP163" s="64"/>
      <c r="AQ163" s="189"/>
      <c r="AR163" s="64"/>
      <c r="AS163" s="476"/>
      <c r="AT163" s="64"/>
      <c r="AU163" s="646"/>
      <c r="AV163" s="335" t="s">
        <v>261</v>
      </c>
    </row>
    <row r="164" spans="1:48" ht="33" customHeight="1" outlineLevel="4" x14ac:dyDescent="0.25">
      <c r="A164" s="63" t="str">
        <f t="shared" si="1"/>
        <v>1.3.1.2.6.59</v>
      </c>
      <c r="B164" s="64">
        <v>1</v>
      </c>
      <c r="C164" s="64">
        <v>3</v>
      </c>
      <c r="D164" s="64">
        <v>1</v>
      </c>
      <c r="E164" s="64">
        <v>2</v>
      </c>
      <c r="F164" s="64">
        <v>6</v>
      </c>
      <c r="G164" s="64">
        <v>59</v>
      </c>
      <c r="H164" s="65"/>
      <c r="I164" s="65"/>
      <c r="J164" s="66"/>
      <c r="K164" s="65" t="s">
        <v>263</v>
      </c>
      <c r="L164" s="64" t="s">
        <v>264</v>
      </c>
      <c r="M164" s="64" t="s">
        <v>144</v>
      </c>
      <c r="N164" s="64" t="s">
        <v>265</v>
      </c>
      <c r="O164" s="64" t="s">
        <v>266</v>
      </c>
      <c r="P164" s="69">
        <v>44571</v>
      </c>
      <c r="Q164" s="69">
        <v>44925</v>
      </c>
      <c r="R164" s="124">
        <v>15</v>
      </c>
      <c r="S164" s="123" t="s">
        <v>258</v>
      </c>
      <c r="T164" s="124"/>
      <c r="U164" s="75">
        <v>0</v>
      </c>
      <c r="V164" s="674">
        <f t="shared" si="37"/>
        <v>0</v>
      </c>
      <c r="W164" s="75"/>
      <c r="X164" s="75">
        <v>0</v>
      </c>
      <c r="Y164" s="75"/>
      <c r="Z164" s="75"/>
      <c r="AA164" s="75">
        <v>0</v>
      </c>
      <c r="AB164" s="75"/>
      <c r="AC164" s="75">
        <v>15</v>
      </c>
      <c r="AD164" s="75">
        <f>+AH164</f>
        <v>139100</v>
      </c>
      <c r="AE164" s="592"/>
      <c r="AF164" s="347" t="s">
        <v>144</v>
      </c>
      <c r="AG164" s="506">
        <v>139100</v>
      </c>
      <c r="AH164" s="370">
        <f>+((1*500)+(14*450)*22)</f>
        <v>139100</v>
      </c>
      <c r="AI164" s="75"/>
      <c r="AJ164" s="75"/>
      <c r="AK164" s="75"/>
      <c r="AL164" s="75"/>
      <c r="AM164" s="75"/>
      <c r="AN164" s="64" t="s">
        <v>181</v>
      </c>
      <c r="AO164" s="165"/>
      <c r="AP164" s="165"/>
      <c r="AQ164" s="413"/>
      <c r="AR164" s="64"/>
      <c r="AS164" s="475"/>
      <c r="AT164" s="64"/>
      <c r="AU164" s="646"/>
      <c r="AV164" s="432" t="s">
        <v>268</v>
      </c>
    </row>
    <row r="165" spans="1:48" ht="53.1" customHeight="1" outlineLevel="4" x14ac:dyDescent="0.25">
      <c r="A165" s="63" t="str">
        <f t="shared" si="1"/>
        <v>1.3.1.2.9.59</v>
      </c>
      <c r="B165" s="64">
        <v>1</v>
      </c>
      <c r="C165" s="64">
        <v>3</v>
      </c>
      <c r="D165" s="64">
        <v>1</v>
      </c>
      <c r="E165" s="64">
        <v>2</v>
      </c>
      <c r="F165" s="64">
        <v>9</v>
      </c>
      <c r="G165" s="64">
        <v>59</v>
      </c>
      <c r="H165" s="65"/>
      <c r="I165" s="65"/>
      <c r="J165" s="66"/>
      <c r="K165" s="67" t="s">
        <v>306</v>
      </c>
      <c r="L165" s="68" t="s">
        <v>270</v>
      </c>
      <c r="M165" s="64" t="s">
        <v>271</v>
      </c>
      <c r="N165" s="64" t="s">
        <v>307</v>
      </c>
      <c r="O165" s="64" t="s">
        <v>72</v>
      </c>
      <c r="P165" s="69">
        <v>44571</v>
      </c>
      <c r="Q165" s="69">
        <v>44925</v>
      </c>
      <c r="R165" s="124"/>
      <c r="S165" s="123"/>
      <c r="T165" s="124"/>
      <c r="U165" s="75">
        <f>$AH$165</f>
        <v>437500</v>
      </c>
      <c r="V165" s="674">
        <f t="shared" si="37"/>
        <v>0</v>
      </c>
      <c r="W165" s="75"/>
      <c r="X165" s="75">
        <v>0</v>
      </c>
      <c r="Y165" s="75"/>
      <c r="Z165" s="75"/>
      <c r="AA165" s="75">
        <v>0</v>
      </c>
      <c r="AB165" s="75"/>
      <c r="AC165" s="75"/>
      <c r="AD165" s="75">
        <v>0</v>
      </c>
      <c r="AE165" s="592"/>
      <c r="AF165" s="347" t="s">
        <v>73</v>
      </c>
      <c r="AG165" s="506">
        <v>437500</v>
      </c>
      <c r="AH165" s="370">
        <v>437500</v>
      </c>
      <c r="AI165" s="75"/>
      <c r="AJ165" s="75"/>
      <c r="AK165" s="75"/>
      <c r="AL165" s="75"/>
      <c r="AM165" s="75"/>
      <c r="AN165" s="64" t="s">
        <v>39</v>
      </c>
      <c r="AO165" s="64"/>
      <c r="AP165" s="64"/>
      <c r="AQ165" s="189"/>
      <c r="AR165" s="64"/>
      <c r="AS165" s="476"/>
      <c r="AT165" s="64"/>
      <c r="AU165" s="646"/>
      <c r="AV165" s="335" t="s">
        <v>273</v>
      </c>
    </row>
    <row r="166" spans="1:48" ht="14.45" customHeight="1" outlineLevel="4" x14ac:dyDescent="0.25">
      <c r="A166" s="63" t="str">
        <f t="shared" si="1"/>
        <v>1.3.1.2.11.59</v>
      </c>
      <c r="B166" s="64">
        <v>1</v>
      </c>
      <c r="C166" s="64">
        <v>3</v>
      </c>
      <c r="D166" s="64">
        <v>1</v>
      </c>
      <c r="E166" s="64">
        <v>2</v>
      </c>
      <c r="F166" s="64">
        <v>11</v>
      </c>
      <c r="G166" s="64">
        <v>59</v>
      </c>
      <c r="H166" s="65"/>
      <c r="I166" s="65"/>
      <c r="J166" s="66"/>
      <c r="K166" s="125" t="s">
        <v>308</v>
      </c>
      <c r="L166" s="68" t="s">
        <v>72</v>
      </c>
      <c r="M166" s="64" t="s">
        <v>267</v>
      </c>
      <c r="N166" s="64" t="s">
        <v>265</v>
      </c>
      <c r="O166" s="64" t="s">
        <v>275</v>
      </c>
      <c r="P166" s="69">
        <v>44571</v>
      </c>
      <c r="Q166" s="69">
        <v>44925</v>
      </c>
      <c r="R166" s="124">
        <v>12</v>
      </c>
      <c r="S166" s="123"/>
      <c r="T166" s="124">
        <v>3</v>
      </c>
      <c r="U166" s="75">
        <v>4936652.12</v>
      </c>
      <c r="V166" s="702">
        <f t="shared" si="37"/>
        <v>4972500.6899999995</v>
      </c>
      <c r="W166" s="75">
        <v>3</v>
      </c>
      <c r="X166" s="78">
        <v>4156472.69</v>
      </c>
      <c r="Y166" s="75"/>
      <c r="Z166" s="75">
        <v>3</v>
      </c>
      <c r="AA166" s="78">
        <v>4056472.69</v>
      </c>
      <c r="AB166" s="75"/>
      <c r="AC166" s="75">
        <v>3</v>
      </c>
      <c r="AD166" s="78">
        <v>4156472.69</v>
      </c>
      <c r="AE166" s="592"/>
      <c r="AF166" s="259" t="s">
        <v>309</v>
      </c>
      <c r="AG166" s="506">
        <v>8670375</v>
      </c>
      <c r="AH166" s="370">
        <v>14580750</v>
      </c>
      <c r="AI166" s="75"/>
      <c r="AJ166" s="75">
        <f>155641.5+1465350.23+17293.5+1638285.23+28822.5+1667107.73</f>
        <v>4972500.6899999995</v>
      </c>
      <c r="AK166" s="75"/>
      <c r="AL166" s="75"/>
      <c r="AM166" s="75"/>
      <c r="AN166" s="64" t="s">
        <v>39</v>
      </c>
      <c r="AO166" s="165" t="s">
        <v>144</v>
      </c>
      <c r="AP166" s="165" t="s">
        <v>649</v>
      </c>
      <c r="AQ166" s="557" t="s">
        <v>649</v>
      </c>
      <c r="AR166" s="558">
        <v>44562</v>
      </c>
      <c r="AS166" s="559">
        <v>44926</v>
      </c>
      <c r="AT166" s="64" t="s">
        <v>1814</v>
      </c>
      <c r="AU166" s="646" t="s">
        <v>1926</v>
      </c>
      <c r="AV166" s="438" t="s">
        <v>1927</v>
      </c>
    </row>
    <row r="167" spans="1:48" ht="14.45" customHeight="1" outlineLevel="4" x14ac:dyDescent="0.25">
      <c r="A167" s="63" t="str">
        <f t="shared" si="1"/>
        <v>1.3.1.2.14.59</v>
      </c>
      <c r="B167" s="64">
        <v>1</v>
      </c>
      <c r="C167" s="64">
        <v>3</v>
      </c>
      <c r="D167" s="64">
        <v>1</v>
      </c>
      <c r="E167" s="64">
        <v>2</v>
      </c>
      <c r="F167" s="64">
        <v>14</v>
      </c>
      <c r="G167" s="64">
        <v>59</v>
      </c>
      <c r="H167" s="65"/>
      <c r="I167" s="65"/>
      <c r="J167" s="66"/>
      <c r="K167" s="67" t="s">
        <v>276</v>
      </c>
      <c r="L167" s="68" t="s">
        <v>72</v>
      </c>
      <c r="M167" s="64" t="s">
        <v>271</v>
      </c>
      <c r="N167" s="64" t="s">
        <v>74</v>
      </c>
      <c r="O167" s="64" t="s">
        <v>277</v>
      </c>
      <c r="P167" s="69">
        <v>44571</v>
      </c>
      <c r="Q167" s="69">
        <v>44925</v>
      </c>
      <c r="R167" s="124"/>
      <c r="S167" s="123"/>
      <c r="T167" s="124"/>
      <c r="U167" s="75">
        <f>$AH$167/4</f>
        <v>85000</v>
      </c>
      <c r="V167" s="702">
        <f t="shared" si="37"/>
        <v>125904.92</v>
      </c>
      <c r="W167" s="75"/>
      <c r="X167" s="75">
        <f>$AH$167/4</f>
        <v>85000</v>
      </c>
      <c r="Y167" s="75"/>
      <c r="Z167" s="75"/>
      <c r="AA167" s="75">
        <f>$AH$167/4</f>
        <v>85000</v>
      </c>
      <c r="AB167" s="75"/>
      <c r="AC167" s="75"/>
      <c r="AD167" s="75">
        <f>$AH$167/4</f>
        <v>85000</v>
      </c>
      <c r="AE167" s="592"/>
      <c r="AF167" s="347" t="s">
        <v>278</v>
      </c>
      <c r="AG167" s="506">
        <v>250000</v>
      </c>
      <c r="AH167" s="375">
        <v>340000</v>
      </c>
      <c r="AI167" s="129"/>
      <c r="AJ167" s="129">
        <v>125904.92</v>
      </c>
      <c r="AK167" s="129"/>
      <c r="AL167" s="129"/>
      <c r="AM167" s="129"/>
      <c r="AN167" s="189" t="s">
        <v>39</v>
      </c>
      <c r="AO167" s="64" t="s">
        <v>1819</v>
      </c>
      <c r="AP167" s="68" t="s">
        <v>1831</v>
      </c>
      <c r="AQ167" s="68" t="s">
        <v>1830</v>
      </c>
      <c r="AR167" s="64"/>
      <c r="AS167" s="64"/>
      <c r="AT167" s="544" t="s">
        <v>1832</v>
      </c>
      <c r="AU167" s="648">
        <v>125</v>
      </c>
      <c r="AV167" s="68" t="s">
        <v>1827</v>
      </c>
    </row>
    <row r="168" spans="1:48" ht="14.45" customHeight="1" outlineLevel="4" x14ac:dyDescent="0.25">
      <c r="A168" s="63" t="str">
        <f t="shared" si="1"/>
        <v>1.3.1.2.15.59</v>
      </c>
      <c r="B168" s="64">
        <v>1</v>
      </c>
      <c r="C168" s="64">
        <v>3</v>
      </c>
      <c r="D168" s="64">
        <v>1</v>
      </c>
      <c r="E168" s="64">
        <v>2</v>
      </c>
      <c r="F168" s="64">
        <v>15</v>
      </c>
      <c r="G168" s="64">
        <v>59</v>
      </c>
      <c r="H168" s="65"/>
      <c r="I168" s="65"/>
      <c r="J168" s="66"/>
      <c r="K168" s="67" t="s">
        <v>1890</v>
      </c>
      <c r="L168" s="64" t="s">
        <v>72</v>
      </c>
      <c r="M168" s="64" t="s">
        <v>279</v>
      </c>
      <c r="N168" s="64" t="s">
        <v>74</v>
      </c>
      <c r="O168" s="68" t="s">
        <v>277</v>
      </c>
      <c r="P168" s="69">
        <v>44571</v>
      </c>
      <c r="Q168" s="69">
        <v>44925</v>
      </c>
      <c r="R168" s="124"/>
      <c r="S168" s="123"/>
      <c r="T168" s="124"/>
      <c r="U168" s="75">
        <v>100000</v>
      </c>
      <c r="V168" s="702">
        <f t="shared" si="37"/>
        <v>51202.130000000005</v>
      </c>
      <c r="W168" s="75"/>
      <c r="X168" s="75">
        <v>100000</v>
      </c>
      <c r="Y168" s="75"/>
      <c r="Z168" s="75"/>
      <c r="AA168" s="75"/>
      <c r="AB168" s="75"/>
      <c r="AC168" s="75"/>
      <c r="AD168" s="75"/>
      <c r="AE168" s="592"/>
      <c r="AF168" s="259" t="s">
        <v>279</v>
      </c>
      <c r="AG168" s="506">
        <v>200000</v>
      </c>
      <c r="AH168" s="377">
        <v>200000</v>
      </c>
      <c r="AI168" s="132"/>
      <c r="AJ168" s="536">
        <f>8084.68+8344.29+7349.71+27423.45</f>
        <v>51202.130000000005</v>
      </c>
      <c r="AK168" s="132"/>
      <c r="AL168" s="132"/>
      <c r="AM168" s="132"/>
      <c r="AN168" s="189" t="s">
        <v>39</v>
      </c>
      <c r="AO168" s="165"/>
      <c r="AP168" s="413" t="s">
        <v>1917</v>
      </c>
      <c r="AQ168" s="165"/>
      <c r="AR168" s="64"/>
      <c r="AS168" s="64"/>
      <c r="AT168" s="460"/>
      <c r="AU168" s="648" t="s">
        <v>1896</v>
      </c>
      <c r="AV168" s="538" t="s">
        <v>1897</v>
      </c>
    </row>
    <row r="169" spans="1:48" ht="14.45" customHeight="1" outlineLevel="4" x14ac:dyDescent="0.25">
      <c r="A169" s="63" t="str">
        <f t="shared" si="1"/>
        <v>1.3.1.2.20.59</v>
      </c>
      <c r="B169" s="64">
        <v>1</v>
      </c>
      <c r="C169" s="64">
        <v>3</v>
      </c>
      <c r="D169" s="64">
        <v>1</v>
      </c>
      <c r="E169" s="64">
        <v>2</v>
      </c>
      <c r="F169" s="64">
        <v>20</v>
      </c>
      <c r="G169" s="64">
        <v>59</v>
      </c>
      <c r="H169" s="65"/>
      <c r="I169" s="65"/>
      <c r="J169" s="66"/>
      <c r="K169" s="65" t="s">
        <v>280</v>
      </c>
      <c r="L169" s="68" t="s">
        <v>72</v>
      </c>
      <c r="M169" s="64" t="s">
        <v>271</v>
      </c>
      <c r="N169" s="64" t="s">
        <v>74</v>
      </c>
      <c r="O169" s="64" t="s">
        <v>281</v>
      </c>
      <c r="P169" s="69">
        <v>44571</v>
      </c>
      <c r="Q169" s="131">
        <v>44925</v>
      </c>
      <c r="R169" s="124"/>
      <c r="S169" s="123"/>
      <c r="T169" s="124"/>
      <c r="U169" s="75">
        <v>30000</v>
      </c>
      <c r="V169" s="674">
        <f t="shared" si="37"/>
        <v>0</v>
      </c>
      <c r="W169" s="75"/>
      <c r="X169" s="75"/>
      <c r="Y169" s="75"/>
      <c r="Z169" s="75"/>
      <c r="AA169" s="75"/>
      <c r="AB169" s="75"/>
      <c r="AC169" s="75"/>
      <c r="AD169" s="75"/>
      <c r="AE169" s="592"/>
      <c r="AF169" s="347" t="s">
        <v>166</v>
      </c>
      <c r="AG169" s="506">
        <v>30000</v>
      </c>
      <c r="AH169" s="377">
        <v>30000</v>
      </c>
      <c r="AI169" s="132"/>
      <c r="AJ169" s="132"/>
      <c r="AK169" s="132"/>
      <c r="AL169" s="132"/>
      <c r="AM169" s="132"/>
      <c r="AN169" s="64" t="s">
        <v>39</v>
      </c>
      <c r="AO169" s="64"/>
      <c r="AP169" s="64"/>
      <c r="AQ169" s="64"/>
      <c r="AR169" s="245"/>
      <c r="AS169" s="64"/>
      <c r="AT169" s="64"/>
      <c r="AU169" s="646"/>
      <c r="AV169" s="434"/>
    </row>
    <row r="170" spans="1:48" ht="14.45" customHeight="1" outlineLevel="4" x14ac:dyDescent="0.25">
      <c r="A170" s="63" t="str">
        <f t="shared" si="1"/>
        <v>1.3.1.2.21.59</v>
      </c>
      <c r="B170" s="64">
        <v>1</v>
      </c>
      <c r="C170" s="64">
        <v>3</v>
      </c>
      <c r="D170" s="64">
        <v>1</v>
      </c>
      <c r="E170" s="64">
        <v>2</v>
      </c>
      <c r="F170" s="64">
        <v>21</v>
      </c>
      <c r="G170" s="64">
        <v>59</v>
      </c>
      <c r="H170" s="65"/>
      <c r="I170" s="65"/>
      <c r="J170" s="66"/>
      <c r="K170" s="67" t="s">
        <v>310</v>
      </c>
      <c r="L170" s="68" t="s">
        <v>72</v>
      </c>
      <c r="M170" s="64" t="s">
        <v>271</v>
      </c>
      <c r="N170" s="64" t="s">
        <v>74</v>
      </c>
      <c r="O170" s="64" t="s">
        <v>281</v>
      </c>
      <c r="P170" s="69">
        <v>44571</v>
      </c>
      <c r="Q170" s="131">
        <v>44925</v>
      </c>
      <c r="R170" s="124"/>
      <c r="S170" s="123"/>
      <c r="T170" s="124"/>
      <c r="U170" s="75"/>
      <c r="V170" s="674">
        <f t="shared" si="37"/>
        <v>0</v>
      </c>
      <c r="W170" s="75"/>
      <c r="X170" s="75">
        <v>10000</v>
      </c>
      <c r="Y170" s="75"/>
      <c r="Z170" s="75"/>
      <c r="AA170" s="75"/>
      <c r="AB170" s="75"/>
      <c r="AC170" s="75"/>
      <c r="AD170" s="75"/>
      <c r="AE170" s="592"/>
      <c r="AF170" s="347" t="s">
        <v>166</v>
      </c>
      <c r="AG170" s="506">
        <v>10000</v>
      </c>
      <c r="AH170" s="377">
        <v>10000</v>
      </c>
      <c r="AI170" s="132"/>
      <c r="AJ170" s="132"/>
      <c r="AK170" s="132"/>
      <c r="AL170" s="132"/>
      <c r="AM170" s="132"/>
      <c r="AN170" s="64" t="s">
        <v>39</v>
      </c>
      <c r="AO170" s="64"/>
      <c r="AP170" s="64"/>
      <c r="AQ170" s="64"/>
      <c r="AR170" s="64"/>
      <c r="AS170" s="64"/>
      <c r="AT170" s="64"/>
      <c r="AU170" s="646"/>
      <c r="AV170" s="434"/>
    </row>
    <row r="171" spans="1:48" ht="21.75" customHeight="1" outlineLevel="4" x14ac:dyDescent="0.25">
      <c r="A171" s="63" t="str">
        <f t="shared" si="1"/>
        <v>1.3.1.2.22.59</v>
      </c>
      <c r="B171" s="64">
        <v>1</v>
      </c>
      <c r="C171" s="64">
        <v>3</v>
      </c>
      <c r="D171" s="64">
        <v>1</v>
      </c>
      <c r="E171" s="64">
        <v>2</v>
      </c>
      <c r="F171" s="64">
        <v>22</v>
      </c>
      <c r="G171" s="64">
        <v>59</v>
      </c>
      <c r="H171" s="65"/>
      <c r="I171" s="65"/>
      <c r="J171" s="66"/>
      <c r="K171" s="65" t="s">
        <v>284</v>
      </c>
      <c r="L171" s="68" t="s">
        <v>72</v>
      </c>
      <c r="M171" s="64" t="s">
        <v>271</v>
      </c>
      <c r="N171" s="64" t="s">
        <v>74</v>
      </c>
      <c r="O171" s="64" t="s">
        <v>281</v>
      </c>
      <c r="P171" s="69">
        <v>44571</v>
      </c>
      <c r="Q171" s="69">
        <v>44925</v>
      </c>
      <c r="R171" s="124"/>
      <c r="S171" s="123"/>
      <c r="T171" s="124"/>
      <c r="U171" s="75">
        <f>+AH171</f>
        <v>115000</v>
      </c>
      <c r="V171" s="674">
        <f t="shared" si="37"/>
        <v>0</v>
      </c>
      <c r="W171" s="75"/>
      <c r="X171" s="75"/>
      <c r="Y171" s="75"/>
      <c r="Z171" s="75"/>
      <c r="AA171" s="75"/>
      <c r="AB171" s="75"/>
      <c r="AC171" s="75"/>
      <c r="AD171" s="75"/>
      <c r="AE171" s="592"/>
      <c r="AF171" s="347" t="s">
        <v>166</v>
      </c>
      <c r="AG171" s="506">
        <v>30000</v>
      </c>
      <c r="AH171" s="377">
        <v>115000</v>
      </c>
      <c r="AI171" s="132"/>
      <c r="AJ171" s="132"/>
      <c r="AK171" s="132"/>
      <c r="AL171" s="132"/>
      <c r="AM171" s="132"/>
      <c r="AN171" s="64" t="s">
        <v>39</v>
      </c>
      <c r="AO171" s="64"/>
      <c r="AP171" s="64"/>
      <c r="AQ171" s="64"/>
      <c r="AR171" s="64"/>
      <c r="AS171" s="64"/>
      <c r="AT171" s="64"/>
      <c r="AU171" s="646"/>
      <c r="AV171" s="434"/>
    </row>
    <row r="172" spans="1:48" ht="21.75" customHeight="1" outlineLevel="4" x14ac:dyDescent="0.25">
      <c r="A172" s="63" t="str">
        <f t="shared" si="1"/>
        <v>1.3.1.2.24.59</v>
      </c>
      <c r="B172" s="64">
        <v>1</v>
      </c>
      <c r="C172" s="64">
        <v>3</v>
      </c>
      <c r="D172" s="64">
        <v>1</v>
      </c>
      <c r="E172" s="64">
        <v>2</v>
      </c>
      <c r="F172" s="64">
        <v>24</v>
      </c>
      <c r="G172" s="64">
        <v>59</v>
      </c>
      <c r="H172" s="65"/>
      <c r="I172" s="65"/>
      <c r="J172" s="66"/>
      <c r="K172" s="65" t="s">
        <v>285</v>
      </c>
      <c r="L172" s="68" t="s">
        <v>72</v>
      </c>
      <c r="M172" s="64" t="s">
        <v>279</v>
      </c>
      <c r="N172" s="64" t="s">
        <v>74</v>
      </c>
      <c r="O172" s="64" t="s">
        <v>281</v>
      </c>
      <c r="P172" s="69">
        <v>44571</v>
      </c>
      <c r="Q172" s="131">
        <v>44925</v>
      </c>
      <c r="R172" s="124"/>
      <c r="S172" s="123"/>
      <c r="T172" s="124"/>
      <c r="U172" s="75">
        <v>5000</v>
      </c>
      <c r="V172" s="674">
        <f t="shared" si="37"/>
        <v>0</v>
      </c>
      <c r="W172" s="75"/>
      <c r="X172" s="75">
        <v>5000</v>
      </c>
      <c r="Y172" s="75"/>
      <c r="Z172" s="75"/>
      <c r="AA172" s="75"/>
      <c r="AB172" s="75"/>
      <c r="AC172" s="75"/>
      <c r="AD172" s="75"/>
      <c r="AE172" s="592"/>
      <c r="AF172" s="259" t="s">
        <v>279</v>
      </c>
      <c r="AG172" s="506">
        <v>10000</v>
      </c>
      <c r="AH172" s="377">
        <v>10000</v>
      </c>
      <c r="AI172" s="132"/>
      <c r="AJ172" s="132"/>
      <c r="AK172" s="132"/>
      <c r="AL172" s="132"/>
      <c r="AM172" s="132"/>
      <c r="AN172" s="64" t="s">
        <v>39</v>
      </c>
      <c r="AO172" s="64"/>
      <c r="AP172" s="64"/>
      <c r="AQ172" s="64"/>
      <c r="AR172" s="64"/>
      <c r="AS172" s="64"/>
      <c r="AT172" s="64"/>
      <c r="AU172" s="646"/>
      <c r="AV172" s="434"/>
    </row>
    <row r="173" spans="1:48" ht="21.75" customHeight="1" outlineLevel="4" x14ac:dyDescent="0.25">
      <c r="A173" s="63" t="str">
        <f t="shared" si="1"/>
        <v>1.3.1.2.25.59</v>
      </c>
      <c r="B173" s="64">
        <v>1</v>
      </c>
      <c r="C173" s="64">
        <v>3</v>
      </c>
      <c r="D173" s="64">
        <v>1</v>
      </c>
      <c r="E173" s="64">
        <v>2</v>
      </c>
      <c r="F173" s="64">
        <v>25</v>
      </c>
      <c r="G173" s="64">
        <v>59</v>
      </c>
      <c r="H173" s="65"/>
      <c r="I173" s="65"/>
      <c r="J173" s="66"/>
      <c r="K173" s="65" t="s">
        <v>286</v>
      </c>
      <c r="L173" s="68" t="s">
        <v>72</v>
      </c>
      <c r="M173" s="64" t="s">
        <v>73</v>
      </c>
      <c r="N173" s="64" t="s">
        <v>74</v>
      </c>
      <c r="O173" s="64" t="s">
        <v>281</v>
      </c>
      <c r="P173" s="69">
        <v>44571</v>
      </c>
      <c r="Q173" s="131">
        <v>44925</v>
      </c>
      <c r="R173" s="124"/>
      <c r="S173" s="123"/>
      <c r="T173" s="124"/>
      <c r="U173" s="75"/>
      <c r="V173" s="674">
        <f t="shared" si="37"/>
        <v>0</v>
      </c>
      <c r="W173" s="75"/>
      <c r="X173" s="75"/>
      <c r="Y173" s="75"/>
      <c r="Z173" s="75"/>
      <c r="AA173" s="75"/>
      <c r="AB173" s="75"/>
      <c r="AC173" s="75"/>
      <c r="AD173" s="75"/>
      <c r="AE173" s="592"/>
      <c r="AF173" s="347" t="s">
        <v>73</v>
      </c>
      <c r="AG173" s="506">
        <v>0</v>
      </c>
      <c r="AH173" s="377">
        <v>0</v>
      </c>
      <c r="AI173" s="132"/>
      <c r="AJ173" s="132"/>
      <c r="AK173" s="132"/>
      <c r="AL173" s="132"/>
      <c r="AM173" s="132"/>
      <c r="AN173" s="64" t="s">
        <v>39</v>
      </c>
      <c r="AO173" s="64"/>
      <c r="AP173" s="64"/>
      <c r="AQ173" s="64"/>
      <c r="AR173" s="64"/>
      <c r="AS173" s="64"/>
      <c r="AT173" s="64"/>
      <c r="AU173" s="646"/>
      <c r="AV173" s="434"/>
    </row>
    <row r="174" spans="1:48" ht="21.75" customHeight="1" outlineLevel="4" x14ac:dyDescent="0.25">
      <c r="A174" s="63" t="str">
        <f t="shared" si="1"/>
        <v>1.3.1.2.26.59</v>
      </c>
      <c r="B174" s="64">
        <v>1</v>
      </c>
      <c r="C174" s="64">
        <v>3</v>
      </c>
      <c r="D174" s="64">
        <v>1</v>
      </c>
      <c r="E174" s="64">
        <v>2</v>
      </c>
      <c r="F174" s="64">
        <v>26</v>
      </c>
      <c r="G174" s="64">
        <v>59</v>
      </c>
      <c r="H174" s="65"/>
      <c r="I174" s="65"/>
      <c r="J174" s="66"/>
      <c r="K174" s="65" t="s">
        <v>287</v>
      </c>
      <c r="L174" s="68" t="s">
        <v>72</v>
      </c>
      <c r="M174" s="64" t="s">
        <v>73</v>
      </c>
      <c r="N174" s="64" t="s">
        <v>74</v>
      </c>
      <c r="O174" s="64" t="s">
        <v>281</v>
      </c>
      <c r="P174" s="69">
        <v>44571</v>
      </c>
      <c r="Q174" s="131">
        <v>44925</v>
      </c>
      <c r="R174" s="134"/>
      <c r="S174" s="123"/>
      <c r="T174" s="124"/>
      <c r="U174" s="75"/>
      <c r="V174" s="674">
        <f t="shared" si="37"/>
        <v>0</v>
      </c>
      <c r="W174" s="75"/>
      <c r="X174" s="75"/>
      <c r="Y174" s="75"/>
      <c r="Z174" s="75"/>
      <c r="AA174" s="75"/>
      <c r="AB174" s="75"/>
      <c r="AC174" s="75"/>
      <c r="AD174" s="75"/>
      <c r="AE174" s="592"/>
      <c r="AF174" s="347" t="s">
        <v>73</v>
      </c>
      <c r="AG174" s="506">
        <v>0</v>
      </c>
      <c r="AH174" s="377">
        <v>0</v>
      </c>
      <c r="AI174" s="132"/>
      <c r="AJ174" s="132"/>
      <c r="AK174" s="132"/>
      <c r="AL174" s="132"/>
      <c r="AM174" s="132"/>
      <c r="AN174" s="64" t="s">
        <v>39</v>
      </c>
      <c r="AO174" s="64"/>
      <c r="AP174" s="64"/>
      <c r="AQ174" s="64"/>
      <c r="AR174" s="64"/>
      <c r="AS174" s="64"/>
      <c r="AT174" s="64"/>
      <c r="AU174" s="646"/>
      <c r="AV174" s="434"/>
    </row>
    <row r="175" spans="1:48" ht="14.45" customHeight="1" outlineLevel="4" x14ac:dyDescent="0.25">
      <c r="A175" s="63" t="str">
        <f t="shared" si="1"/>
        <v>1.3.1.2.27.59</v>
      </c>
      <c r="B175" s="64">
        <v>1</v>
      </c>
      <c r="C175" s="64">
        <v>3</v>
      </c>
      <c r="D175" s="64">
        <v>1</v>
      </c>
      <c r="E175" s="64">
        <v>2</v>
      </c>
      <c r="F175" s="64">
        <v>27</v>
      </c>
      <c r="G175" s="64">
        <v>59</v>
      </c>
      <c r="H175" s="65"/>
      <c r="I175" s="65"/>
      <c r="J175" s="66"/>
      <c r="K175" s="65" t="s">
        <v>311</v>
      </c>
      <c r="L175" s="68" t="s">
        <v>72</v>
      </c>
      <c r="M175" s="64" t="s">
        <v>279</v>
      </c>
      <c r="N175" s="64" t="s">
        <v>291</v>
      </c>
      <c r="O175" s="64" t="s">
        <v>281</v>
      </c>
      <c r="P175" s="69">
        <v>44571</v>
      </c>
      <c r="Q175" s="131">
        <v>44925</v>
      </c>
      <c r="R175" s="124"/>
      <c r="S175" s="123"/>
      <c r="T175" s="124"/>
      <c r="U175" s="75">
        <v>75000</v>
      </c>
      <c r="V175" s="702">
        <f t="shared" si="37"/>
        <v>20474.05</v>
      </c>
      <c r="W175" s="75"/>
      <c r="X175" s="75">
        <v>75000</v>
      </c>
      <c r="Y175" s="75"/>
      <c r="Z175" s="75"/>
      <c r="AA175" s="75">
        <v>75000</v>
      </c>
      <c r="AB175" s="75"/>
      <c r="AC175" s="75"/>
      <c r="AD175" s="75">
        <v>75000</v>
      </c>
      <c r="AE175" s="592"/>
      <c r="AF175" s="259" t="s">
        <v>279</v>
      </c>
      <c r="AG175" s="506">
        <v>300000</v>
      </c>
      <c r="AH175" s="377">
        <v>300000</v>
      </c>
      <c r="AI175" s="132"/>
      <c r="AJ175" s="536">
        <v>20474.05</v>
      </c>
      <c r="AK175" s="132"/>
      <c r="AL175" s="132"/>
      <c r="AM175" s="132"/>
      <c r="AN175" s="64" t="s">
        <v>39</v>
      </c>
      <c r="AO175" s="64" t="s">
        <v>1819</v>
      </c>
      <c r="AP175" s="538" t="s">
        <v>1821</v>
      </c>
      <c r="AQ175" s="538" t="s">
        <v>1822</v>
      </c>
      <c r="AR175" s="64"/>
      <c r="AS175" s="165"/>
      <c r="AT175" s="546" t="s">
        <v>1823</v>
      </c>
      <c r="AU175" s="646">
        <v>42</v>
      </c>
      <c r="AV175" s="434" t="s">
        <v>1820</v>
      </c>
    </row>
    <row r="176" spans="1:48" ht="67.349999999999994" customHeight="1" outlineLevel="4" x14ac:dyDescent="0.25">
      <c r="A176" s="63" t="str">
        <f t="shared" si="1"/>
        <v>1.3.1.2.28.59</v>
      </c>
      <c r="B176" s="64">
        <v>1</v>
      </c>
      <c r="C176" s="64">
        <v>3</v>
      </c>
      <c r="D176" s="64">
        <v>1</v>
      </c>
      <c r="E176" s="64">
        <v>2</v>
      </c>
      <c r="F176" s="64">
        <v>28</v>
      </c>
      <c r="G176" s="100">
        <v>59</v>
      </c>
      <c r="H176" s="65"/>
      <c r="I176" s="65"/>
      <c r="J176" s="66"/>
      <c r="K176" s="67" t="s">
        <v>293</v>
      </c>
      <c r="L176" s="64" t="s">
        <v>72</v>
      </c>
      <c r="M176" s="64" t="s">
        <v>279</v>
      </c>
      <c r="N176" s="64" t="s">
        <v>74</v>
      </c>
      <c r="O176" s="64" t="s">
        <v>281</v>
      </c>
      <c r="P176" s="69">
        <v>44571</v>
      </c>
      <c r="Q176" s="69">
        <v>44925</v>
      </c>
      <c r="R176" s="124"/>
      <c r="S176" s="123"/>
      <c r="T176" s="124"/>
      <c r="U176" s="75">
        <v>0</v>
      </c>
      <c r="V176" s="674">
        <f t="shared" si="37"/>
        <v>0</v>
      </c>
      <c r="W176" s="75"/>
      <c r="X176" s="75">
        <v>0</v>
      </c>
      <c r="Y176" s="75"/>
      <c r="Z176" s="75"/>
      <c r="AA176" s="75">
        <v>0</v>
      </c>
      <c r="AB176" s="75"/>
      <c r="AC176" s="75"/>
      <c r="AD176" s="75">
        <v>0</v>
      </c>
      <c r="AE176" s="592"/>
      <c r="AF176" s="259" t="s">
        <v>272</v>
      </c>
      <c r="AG176" s="506">
        <v>1497216.06</v>
      </c>
      <c r="AH176" s="377">
        <v>0</v>
      </c>
      <c r="AI176" s="132"/>
      <c r="AJ176" s="132"/>
      <c r="AK176" s="132"/>
      <c r="AL176" s="132"/>
      <c r="AM176" s="132"/>
      <c r="AN176" s="64" t="s">
        <v>39</v>
      </c>
      <c r="AO176" s="64"/>
      <c r="AP176" s="64"/>
      <c r="AQ176" s="64"/>
      <c r="AR176" s="64"/>
      <c r="AS176" s="64"/>
      <c r="AT176" s="64"/>
      <c r="AU176" s="646"/>
      <c r="AV176" s="335" t="s">
        <v>295</v>
      </c>
    </row>
    <row r="177" spans="1:48" ht="14.45" customHeight="1" outlineLevel="4" x14ac:dyDescent="0.25">
      <c r="A177" s="63" t="str">
        <f t="shared" si="1"/>
        <v>1.3.1.2.29.59</v>
      </c>
      <c r="B177" s="64">
        <v>1</v>
      </c>
      <c r="C177" s="64">
        <v>3</v>
      </c>
      <c r="D177" s="64">
        <v>1</v>
      </c>
      <c r="E177" s="64">
        <v>2</v>
      </c>
      <c r="F177" s="64">
        <v>29</v>
      </c>
      <c r="G177" s="64">
        <v>59</v>
      </c>
      <c r="H177" s="65"/>
      <c r="I177" s="65"/>
      <c r="J177" s="66"/>
      <c r="K177" s="67" t="s">
        <v>296</v>
      </c>
      <c r="L177" s="64" t="s">
        <v>72</v>
      </c>
      <c r="M177" s="64" t="s">
        <v>279</v>
      </c>
      <c r="N177" s="64" t="s">
        <v>74</v>
      </c>
      <c r="O177" s="64" t="s">
        <v>281</v>
      </c>
      <c r="P177" s="69">
        <v>44571</v>
      </c>
      <c r="Q177" s="69">
        <v>44925</v>
      </c>
      <c r="R177" s="124"/>
      <c r="S177" s="123"/>
      <c r="T177" s="124"/>
      <c r="U177" s="75">
        <v>50000</v>
      </c>
      <c r="V177" s="674">
        <f t="shared" si="37"/>
        <v>0</v>
      </c>
      <c r="W177" s="75"/>
      <c r="X177" s="75">
        <v>50000</v>
      </c>
      <c r="Y177" s="75"/>
      <c r="Z177" s="75"/>
      <c r="AA177" s="75">
        <v>50000</v>
      </c>
      <c r="AB177" s="75"/>
      <c r="AC177" s="75"/>
      <c r="AD177" s="75">
        <v>50000</v>
      </c>
      <c r="AE177" s="592"/>
      <c r="AF177" s="259" t="s">
        <v>279</v>
      </c>
      <c r="AG177" s="506">
        <v>200000</v>
      </c>
      <c r="AH177" s="377">
        <v>200000</v>
      </c>
      <c r="AI177" s="132"/>
      <c r="AJ177" s="132"/>
      <c r="AK177" s="132"/>
      <c r="AL177" s="132"/>
      <c r="AM177" s="132"/>
      <c r="AN177" s="64" t="s">
        <v>39</v>
      </c>
      <c r="AO177" s="64"/>
      <c r="AP177" s="64"/>
      <c r="AQ177" s="64"/>
      <c r="AR177" s="64"/>
      <c r="AS177" s="64"/>
      <c r="AT177" s="64"/>
      <c r="AU177" s="646"/>
      <c r="AV177" s="434"/>
    </row>
    <row r="178" spans="1:48" ht="14.45" customHeight="1" outlineLevel="4" x14ac:dyDescent="0.25">
      <c r="A178" s="99" t="str">
        <f>CONCATENATE(B178,".",C178,".",D178,".",E178,".",F178,".",G178)</f>
        <v>1.3.1.2.31.59</v>
      </c>
      <c r="B178" s="100">
        <v>1</v>
      </c>
      <c r="C178" s="100">
        <v>3</v>
      </c>
      <c r="D178" s="100">
        <v>1</v>
      </c>
      <c r="E178" s="100">
        <v>2</v>
      </c>
      <c r="F178" s="100">
        <v>31</v>
      </c>
      <c r="G178" s="100">
        <v>59</v>
      </c>
      <c r="H178" s="65"/>
      <c r="I178" s="65"/>
      <c r="J178" s="66"/>
      <c r="K178" s="67" t="s">
        <v>298</v>
      </c>
      <c r="L178" s="64"/>
      <c r="M178" s="64" t="s">
        <v>299</v>
      </c>
      <c r="N178" s="64"/>
      <c r="O178" s="64"/>
      <c r="P178" s="69"/>
      <c r="Q178" s="69"/>
      <c r="R178" s="124"/>
      <c r="S178" s="123"/>
      <c r="T178" s="124"/>
      <c r="U178" s="75">
        <v>30000</v>
      </c>
      <c r="V178" s="674">
        <f t="shared" si="37"/>
        <v>20000</v>
      </c>
      <c r="W178" s="75"/>
      <c r="X178" s="75">
        <v>30000</v>
      </c>
      <c r="Y178" s="75"/>
      <c r="Z178" s="75"/>
      <c r="AA178" s="75">
        <v>20000</v>
      </c>
      <c r="AB178" s="75"/>
      <c r="AC178" s="75"/>
      <c r="AD178" s="75"/>
      <c r="AE178" s="592"/>
      <c r="AF178" s="259"/>
      <c r="AG178" s="377">
        <v>0</v>
      </c>
      <c r="AH178" s="377">
        <v>80000</v>
      </c>
      <c r="AI178" s="132"/>
      <c r="AJ178" s="132">
        <v>20000</v>
      </c>
      <c r="AK178" s="132"/>
      <c r="AL178" s="132"/>
      <c r="AM178" s="132"/>
      <c r="AN178" s="64"/>
      <c r="AO178" s="64"/>
      <c r="AP178" s="64"/>
      <c r="AQ178" s="64"/>
      <c r="AR178" s="64"/>
      <c r="AS178" s="64"/>
      <c r="AT178" s="64"/>
      <c r="AU178" s="646"/>
      <c r="AV178" s="434"/>
    </row>
    <row r="179" spans="1:48" ht="44.1" customHeight="1" outlineLevel="1" x14ac:dyDescent="0.25">
      <c r="A179" s="80" t="str">
        <f t="shared" si="1"/>
        <v>1.3.1.3.0.0</v>
      </c>
      <c r="B179" s="81">
        <v>1</v>
      </c>
      <c r="C179" s="81">
        <v>3</v>
      </c>
      <c r="D179" s="81">
        <v>1</v>
      </c>
      <c r="E179" s="81">
        <v>3</v>
      </c>
      <c r="F179" s="81">
        <v>0</v>
      </c>
      <c r="G179" s="81">
        <v>0</v>
      </c>
      <c r="H179" s="114"/>
      <c r="I179" s="114"/>
      <c r="J179" s="1346" t="s">
        <v>312</v>
      </c>
      <c r="K179" s="1346"/>
      <c r="L179" s="81" t="s">
        <v>236</v>
      </c>
      <c r="M179" s="81" t="s">
        <v>240</v>
      </c>
      <c r="N179" s="81" t="s">
        <v>226</v>
      </c>
      <c r="O179" s="81" t="s">
        <v>241</v>
      </c>
      <c r="P179" s="118">
        <v>44571</v>
      </c>
      <c r="Q179" s="118">
        <v>44925</v>
      </c>
      <c r="R179" s="119">
        <f>+R180+R181</f>
        <v>730000</v>
      </c>
      <c r="S179" s="114" t="s">
        <v>242</v>
      </c>
      <c r="T179" s="119">
        <f>+T180+T181</f>
        <v>182500</v>
      </c>
      <c r="U179" s="369">
        <f t="shared" ref="U179:AG179" si="38">SUM(U180:U198)</f>
        <v>8536397.5</v>
      </c>
      <c r="V179" s="677">
        <f t="shared" si="38"/>
        <v>7777318.8999999994</v>
      </c>
      <c r="W179" s="369">
        <f t="shared" si="38"/>
        <v>365003</v>
      </c>
      <c r="X179" s="369">
        <f t="shared" si="38"/>
        <v>8127133.2699999996</v>
      </c>
      <c r="Y179" s="369">
        <f t="shared" si="38"/>
        <v>2974420</v>
      </c>
      <c r="Z179" s="369">
        <f t="shared" si="38"/>
        <v>3339423</v>
      </c>
      <c r="AA179" s="369">
        <f t="shared" si="38"/>
        <v>10224228.27</v>
      </c>
      <c r="AB179" s="369">
        <f t="shared" si="38"/>
        <v>2974420</v>
      </c>
      <c r="AC179" s="369">
        <f t="shared" si="38"/>
        <v>3339423</v>
      </c>
      <c r="AD179" s="369">
        <f t="shared" si="38"/>
        <v>10909794.940000001</v>
      </c>
      <c r="AE179" s="369">
        <f t="shared" si="38"/>
        <v>0</v>
      </c>
      <c r="AF179" s="369">
        <f t="shared" si="38"/>
        <v>181852000</v>
      </c>
      <c r="AG179" s="369">
        <f t="shared" si="38"/>
        <v>18568600</v>
      </c>
      <c r="AH179" s="369">
        <f>SUM(AH180:AH198)</f>
        <v>33783900</v>
      </c>
      <c r="AI179" s="369">
        <f t="shared" ref="AI179:AJ179" si="39">SUM(AI180:AI198)</f>
        <v>0</v>
      </c>
      <c r="AJ179" s="369">
        <f t="shared" si="39"/>
        <v>7777318.8999999994</v>
      </c>
      <c r="AK179" s="61"/>
      <c r="AL179" s="61"/>
      <c r="AM179" s="61"/>
      <c r="AN179" s="81" t="s">
        <v>243</v>
      </c>
      <c r="AO179" s="570"/>
      <c r="AP179" s="570"/>
      <c r="AQ179" s="569"/>
      <c r="AR179" s="81"/>
      <c r="AS179" s="568"/>
      <c r="AT179" s="81"/>
      <c r="AU179" s="663"/>
      <c r="AV179" s="433"/>
    </row>
    <row r="180" spans="1:48" ht="135" customHeight="1" outlineLevel="3" x14ac:dyDescent="0.25">
      <c r="A180" s="63" t="str">
        <f t="shared" si="1"/>
        <v>1.3.1.3.1.63</v>
      </c>
      <c r="B180" s="64">
        <v>1</v>
      </c>
      <c r="C180" s="64">
        <v>3</v>
      </c>
      <c r="D180" s="64">
        <v>1</v>
      </c>
      <c r="E180" s="64">
        <v>3</v>
      </c>
      <c r="F180" s="64">
        <v>1</v>
      </c>
      <c r="G180" s="64">
        <v>63</v>
      </c>
      <c r="H180" s="65"/>
      <c r="I180" s="65"/>
      <c r="J180" s="66"/>
      <c r="K180" s="65" t="s">
        <v>245</v>
      </c>
      <c r="L180" s="64" t="s">
        <v>246</v>
      </c>
      <c r="M180" s="64" t="s">
        <v>240</v>
      </c>
      <c r="N180" s="64" t="s">
        <v>247</v>
      </c>
      <c r="O180" s="64" t="s">
        <v>241</v>
      </c>
      <c r="P180" s="69"/>
      <c r="Q180" s="69"/>
      <c r="R180" s="126">
        <v>80000</v>
      </c>
      <c r="S180" s="123" t="s">
        <v>248</v>
      </c>
      <c r="T180" s="124">
        <f>+R180/4</f>
        <v>20000</v>
      </c>
      <c r="U180" s="75">
        <v>0</v>
      </c>
      <c r="V180" s="674">
        <f>+AJ180</f>
        <v>0</v>
      </c>
      <c r="W180" s="75">
        <f>+R180/4</f>
        <v>20000</v>
      </c>
      <c r="X180" s="75">
        <v>0</v>
      </c>
      <c r="Y180" s="75"/>
      <c r="Z180" s="75">
        <f>+R180/4</f>
        <v>20000</v>
      </c>
      <c r="AA180" s="75">
        <v>0</v>
      </c>
      <c r="AB180" s="75"/>
      <c r="AC180" s="75">
        <f>+R180/4</f>
        <v>20000</v>
      </c>
      <c r="AD180" s="75">
        <v>0</v>
      </c>
      <c r="AE180" s="592"/>
      <c r="AF180" s="347">
        <f>R180*19*1.1</f>
        <v>1672000.0000000002</v>
      </c>
      <c r="AG180" s="75">
        <v>0</v>
      </c>
      <c r="AH180" s="370">
        <v>0</v>
      </c>
      <c r="AI180" s="75"/>
      <c r="AJ180" s="75"/>
      <c r="AK180" s="75"/>
      <c r="AL180" s="75"/>
      <c r="AM180" s="75"/>
      <c r="AN180" s="64" t="s">
        <v>39</v>
      </c>
      <c r="AO180" s="64"/>
      <c r="AP180" s="64"/>
      <c r="AQ180" s="189"/>
      <c r="AR180" s="64"/>
      <c r="AS180" s="476"/>
      <c r="AT180" s="64"/>
      <c r="AU180" s="646"/>
      <c r="AV180" s="335" t="s">
        <v>250</v>
      </c>
    </row>
    <row r="181" spans="1:48" ht="69.599999999999994" customHeight="1" outlineLevel="3" x14ac:dyDescent="0.25">
      <c r="A181" s="63" t="str">
        <f t="shared" si="1"/>
        <v>1.3.1.3.2.63</v>
      </c>
      <c r="B181" s="64">
        <v>1</v>
      </c>
      <c r="C181" s="64">
        <v>3</v>
      </c>
      <c r="D181" s="64">
        <v>1</v>
      </c>
      <c r="E181" s="64">
        <v>3</v>
      </c>
      <c r="F181" s="64">
        <v>2</v>
      </c>
      <c r="G181" s="64">
        <v>63</v>
      </c>
      <c r="H181" s="65"/>
      <c r="I181" s="65"/>
      <c r="J181" s="66"/>
      <c r="K181" s="65" t="s">
        <v>251</v>
      </c>
      <c r="L181" s="64" t="s">
        <v>246</v>
      </c>
      <c r="M181" s="64" t="s">
        <v>240</v>
      </c>
      <c r="N181" s="64" t="s">
        <v>252</v>
      </c>
      <c r="O181" s="64" t="s">
        <v>241</v>
      </c>
      <c r="P181" s="69"/>
      <c r="Q181" s="69"/>
      <c r="R181" s="126">
        <v>650000</v>
      </c>
      <c r="S181" s="123" t="s">
        <v>248</v>
      </c>
      <c r="T181" s="124">
        <f>+R181/4</f>
        <v>162500</v>
      </c>
      <c r="U181" s="75">
        <v>0</v>
      </c>
      <c r="V181" s="674">
        <f t="shared" ref="V181:V198" si="40">+AJ181</f>
        <v>0</v>
      </c>
      <c r="W181" s="75">
        <f>+R181/4</f>
        <v>162500</v>
      </c>
      <c r="X181" s="75">
        <v>0</v>
      </c>
      <c r="Y181" s="75"/>
      <c r="Z181" s="75">
        <f>+R181/4</f>
        <v>162500</v>
      </c>
      <c r="AA181" s="75">
        <v>0</v>
      </c>
      <c r="AB181" s="75"/>
      <c r="AC181" s="75">
        <f>+R181/4</f>
        <v>162500</v>
      </c>
      <c r="AD181" s="75">
        <v>0</v>
      </c>
      <c r="AE181" s="592"/>
      <c r="AF181" s="347">
        <f>R181*252*1.1</f>
        <v>180180000</v>
      </c>
      <c r="AG181" s="75">
        <v>0</v>
      </c>
      <c r="AH181" s="370">
        <v>0</v>
      </c>
      <c r="AI181" s="75"/>
      <c r="AJ181" s="75"/>
      <c r="AK181" s="75"/>
      <c r="AL181" s="75"/>
      <c r="AM181" s="75"/>
      <c r="AN181" s="64" t="s">
        <v>39</v>
      </c>
      <c r="AO181" s="64"/>
      <c r="AP181" s="64"/>
      <c r="AQ181" s="189"/>
      <c r="AR181" s="64"/>
      <c r="AS181" s="476"/>
      <c r="AT181" s="64"/>
      <c r="AU181" s="646"/>
      <c r="AV181" s="335" t="s">
        <v>254</v>
      </c>
    </row>
    <row r="182" spans="1:48" ht="16.350000000000001" customHeight="1" outlineLevel="3" x14ac:dyDescent="0.25">
      <c r="A182" s="63" t="str">
        <f t="shared" si="1"/>
        <v>1.3.1.3.3.63</v>
      </c>
      <c r="B182" s="64">
        <v>1</v>
      </c>
      <c r="C182" s="64">
        <v>3</v>
      </c>
      <c r="D182" s="64">
        <v>1</v>
      </c>
      <c r="E182" s="64">
        <v>3</v>
      </c>
      <c r="F182" s="64">
        <v>3</v>
      </c>
      <c r="G182" s="100">
        <v>63</v>
      </c>
      <c r="H182" s="65"/>
      <c r="I182" s="65"/>
      <c r="J182" s="66"/>
      <c r="K182" s="125" t="s">
        <v>1910</v>
      </c>
      <c r="L182" s="64" t="s">
        <v>246</v>
      </c>
      <c r="M182" s="64" t="s">
        <v>256</v>
      </c>
      <c r="N182" s="64" t="s">
        <v>257</v>
      </c>
      <c r="O182" s="64" t="s">
        <v>241</v>
      </c>
      <c r="P182" s="69"/>
      <c r="Q182" s="69"/>
      <c r="R182" s="124">
        <v>71</v>
      </c>
      <c r="S182" s="123" t="s">
        <v>258</v>
      </c>
      <c r="T182" s="124"/>
      <c r="U182" s="132">
        <v>1604150</v>
      </c>
      <c r="V182" s="702">
        <f t="shared" si="40"/>
        <v>1304100</v>
      </c>
      <c r="W182" s="75"/>
      <c r="X182" s="132">
        <v>2974420</v>
      </c>
      <c r="Y182" s="127">
        <v>2974420</v>
      </c>
      <c r="Z182" s="127">
        <v>2974420</v>
      </c>
      <c r="AA182" s="132">
        <f>+(AH182-U182-X182)/2</f>
        <v>5619015</v>
      </c>
      <c r="AB182" s="127">
        <v>2974420</v>
      </c>
      <c r="AC182" s="127">
        <v>2974420</v>
      </c>
      <c r="AD182" s="132">
        <f>+AH182-U182-X182-AA182</f>
        <v>5619015</v>
      </c>
      <c r="AE182" s="596"/>
      <c r="AF182" s="347" t="s">
        <v>313</v>
      </c>
      <c r="AG182" s="75">
        <v>4221900</v>
      </c>
      <c r="AH182" s="370">
        <v>15816600</v>
      </c>
      <c r="AI182" s="75"/>
      <c r="AJ182" s="75">
        <f>445050+221400+282150+355500</f>
        <v>1304100</v>
      </c>
      <c r="AK182" s="75"/>
      <c r="AL182" s="75"/>
      <c r="AM182" s="75"/>
      <c r="AN182" s="64" t="s">
        <v>39</v>
      </c>
      <c r="AO182" s="64" t="s">
        <v>1839</v>
      </c>
      <c r="AP182" s="64" t="s">
        <v>649</v>
      </c>
      <c r="AQ182" s="533" t="s">
        <v>649</v>
      </c>
      <c r="AR182" s="554">
        <v>44562</v>
      </c>
      <c r="AS182" s="554">
        <v>44561</v>
      </c>
      <c r="AT182" s="64" t="s">
        <v>1814</v>
      </c>
      <c r="AU182" s="646" t="s">
        <v>1937</v>
      </c>
      <c r="AV182" s="561" t="s">
        <v>1938</v>
      </c>
    </row>
    <row r="183" spans="1:48" ht="33.6" customHeight="1" outlineLevel="3" x14ac:dyDescent="0.25">
      <c r="A183" s="63" t="str">
        <f t="shared" si="1"/>
        <v>1.3.1.3.4.63</v>
      </c>
      <c r="B183" s="64">
        <v>1</v>
      </c>
      <c r="C183" s="64">
        <v>3</v>
      </c>
      <c r="D183" s="64">
        <v>1</v>
      </c>
      <c r="E183" s="64">
        <v>3</v>
      </c>
      <c r="F183" s="64">
        <v>4</v>
      </c>
      <c r="G183" s="64">
        <v>63</v>
      </c>
      <c r="H183" s="65"/>
      <c r="I183" s="65"/>
      <c r="J183" s="66"/>
      <c r="K183" s="65" t="s">
        <v>259</v>
      </c>
      <c r="L183" s="64" t="s">
        <v>246</v>
      </c>
      <c r="M183" s="64" t="s">
        <v>240</v>
      </c>
      <c r="N183" s="64" t="s">
        <v>247</v>
      </c>
      <c r="O183" s="64" t="s">
        <v>241</v>
      </c>
      <c r="P183" s="69"/>
      <c r="Q183" s="69"/>
      <c r="R183" s="126">
        <v>80000</v>
      </c>
      <c r="S183" s="123" t="s">
        <v>248</v>
      </c>
      <c r="T183" s="124">
        <f t="shared" ref="T183:AC184" si="41">+$R183/4</f>
        <v>20000</v>
      </c>
      <c r="U183" s="75"/>
      <c r="V183" s="674">
        <f t="shared" si="40"/>
        <v>0</v>
      </c>
      <c r="W183" s="75">
        <f t="shared" si="41"/>
        <v>20000</v>
      </c>
      <c r="X183" s="75"/>
      <c r="Y183" s="75"/>
      <c r="Z183" s="75">
        <f t="shared" si="41"/>
        <v>20000</v>
      </c>
      <c r="AA183" s="75"/>
      <c r="AB183" s="75"/>
      <c r="AC183" s="75">
        <f t="shared" si="41"/>
        <v>20000</v>
      </c>
      <c r="AD183" s="75"/>
      <c r="AE183" s="592"/>
      <c r="AF183" s="348" t="s">
        <v>260</v>
      </c>
      <c r="AG183" s="129">
        <v>0</v>
      </c>
      <c r="AH183" s="370">
        <v>0</v>
      </c>
      <c r="AI183" s="75"/>
      <c r="AJ183" s="75"/>
      <c r="AK183" s="75"/>
      <c r="AL183" s="75"/>
      <c r="AM183" s="75"/>
      <c r="AN183" s="64" t="s">
        <v>39</v>
      </c>
      <c r="AO183" s="64"/>
      <c r="AP183" s="64"/>
      <c r="AQ183" s="189"/>
      <c r="AR183" s="64"/>
      <c r="AS183" s="476"/>
      <c r="AT183" s="64"/>
      <c r="AU183" s="646"/>
      <c r="AV183" s="335" t="s">
        <v>261</v>
      </c>
    </row>
    <row r="184" spans="1:48" ht="33.6" customHeight="1" outlineLevel="3" x14ac:dyDescent="0.25">
      <c r="A184" s="63" t="str">
        <f t="shared" si="1"/>
        <v>1.3.1.3.5.63</v>
      </c>
      <c r="B184" s="64">
        <v>1</v>
      </c>
      <c r="C184" s="64">
        <v>3</v>
      </c>
      <c r="D184" s="64">
        <v>1</v>
      </c>
      <c r="E184" s="64">
        <v>3</v>
      </c>
      <c r="F184" s="64">
        <v>5</v>
      </c>
      <c r="G184" s="64">
        <v>63</v>
      </c>
      <c r="H184" s="65"/>
      <c r="I184" s="65"/>
      <c r="J184" s="66"/>
      <c r="K184" s="65" t="s">
        <v>305</v>
      </c>
      <c r="L184" s="64" t="s">
        <v>246</v>
      </c>
      <c r="M184" s="64" t="s">
        <v>240</v>
      </c>
      <c r="N184" s="64" t="s">
        <v>252</v>
      </c>
      <c r="O184" s="64" t="s">
        <v>241</v>
      </c>
      <c r="P184" s="69"/>
      <c r="Q184" s="69"/>
      <c r="R184" s="126">
        <v>650000</v>
      </c>
      <c r="S184" s="123" t="s">
        <v>248</v>
      </c>
      <c r="T184" s="124">
        <f t="shared" si="41"/>
        <v>162500</v>
      </c>
      <c r="U184" s="75"/>
      <c r="V184" s="674">
        <f t="shared" si="40"/>
        <v>0</v>
      </c>
      <c r="W184" s="75">
        <f t="shared" si="41"/>
        <v>162500</v>
      </c>
      <c r="X184" s="75"/>
      <c r="Y184" s="75"/>
      <c r="Z184" s="75">
        <f t="shared" si="41"/>
        <v>162500</v>
      </c>
      <c r="AA184" s="75"/>
      <c r="AB184" s="75"/>
      <c r="AC184" s="75">
        <f t="shared" si="41"/>
        <v>162500</v>
      </c>
      <c r="AD184" s="75"/>
      <c r="AE184" s="592"/>
      <c r="AF184" s="348" t="s">
        <v>260</v>
      </c>
      <c r="AG184" s="129">
        <v>0</v>
      </c>
      <c r="AH184" s="370">
        <v>0</v>
      </c>
      <c r="AI184" s="75"/>
      <c r="AJ184" s="75"/>
      <c r="AK184" s="75"/>
      <c r="AL184" s="75"/>
      <c r="AM184" s="75"/>
      <c r="AN184" s="64" t="s">
        <v>39</v>
      </c>
      <c r="AO184" s="64"/>
      <c r="AP184" s="64"/>
      <c r="AQ184" s="189"/>
      <c r="AR184" s="64"/>
      <c r="AS184" s="476"/>
      <c r="AT184" s="64"/>
      <c r="AU184" s="646"/>
      <c r="AV184" s="335" t="s">
        <v>261</v>
      </c>
    </row>
    <row r="185" spans="1:48" ht="23.45" customHeight="1" outlineLevel="3" x14ac:dyDescent="0.25">
      <c r="A185" s="63" t="str">
        <f t="shared" si="1"/>
        <v>1.3.1.3.6.63</v>
      </c>
      <c r="B185" s="64">
        <v>1</v>
      </c>
      <c r="C185" s="64">
        <v>3</v>
      </c>
      <c r="D185" s="64">
        <v>1</v>
      </c>
      <c r="E185" s="64">
        <v>3</v>
      </c>
      <c r="F185" s="64">
        <v>6</v>
      </c>
      <c r="G185" s="64">
        <v>63</v>
      </c>
      <c r="H185" s="65"/>
      <c r="I185" s="65"/>
      <c r="J185" s="66"/>
      <c r="K185" s="65" t="s">
        <v>263</v>
      </c>
      <c r="L185" s="64" t="s">
        <v>264</v>
      </c>
      <c r="M185" s="64" t="s">
        <v>144</v>
      </c>
      <c r="N185" s="64" t="s">
        <v>265</v>
      </c>
      <c r="O185" s="64" t="s">
        <v>266</v>
      </c>
      <c r="P185" s="69"/>
      <c r="Q185" s="69"/>
      <c r="R185" s="124"/>
      <c r="S185" s="123" t="s">
        <v>258</v>
      </c>
      <c r="T185" s="124"/>
      <c r="U185" s="75"/>
      <c r="V185" s="674">
        <f t="shared" si="40"/>
        <v>0</v>
      </c>
      <c r="W185" s="75"/>
      <c r="X185" s="75"/>
      <c r="Y185" s="75"/>
      <c r="Z185" s="75"/>
      <c r="AA185" s="75"/>
      <c r="AB185" s="75"/>
      <c r="AC185" s="75"/>
      <c r="AD185" s="75">
        <f>+AH185</f>
        <v>711900</v>
      </c>
      <c r="AE185" s="592"/>
      <c r="AF185" s="347" t="s">
        <v>144</v>
      </c>
      <c r="AG185" s="75">
        <v>711900</v>
      </c>
      <c r="AH185" s="370">
        <f>+((18*500)+(71*450)*22)</f>
        <v>711900</v>
      </c>
      <c r="AI185" s="75"/>
      <c r="AJ185" s="75"/>
      <c r="AK185" s="75"/>
      <c r="AL185" s="75"/>
      <c r="AM185" s="75"/>
      <c r="AN185" s="64" t="s">
        <v>181</v>
      </c>
      <c r="AO185" s="165"/>
      <c r="AP185" s="165"/>
      <c r="AQ185" s="413"/>
      <c r="AR185" s="64"/>
      <c r="AS185" s="475"/>
      <c r="AT185" s="64"/>
      <c r="AU185" s="646"/>
      <c r="AV185" s="432" t="s">
        <v>268</v>
      </c>
    </row>
    <row r="186" spans="1:48" ht="51.6" customHeight="1" outlineLevel="3" x14ac:dyDescent="0.25">
      <c r="A186" s="63" t="str">
        <f t="shared" si="1"/>
        <v>1.3.1.3.9.63</v>
      </c>
      <c r="B186" s="64">
        <v>1</v>
      </c>
      <c r="C186" s="64">
        <v>3</v>
      </c>
      <c r="D186" s="64">
        <v>1</v>
      </c>
      <c r="E186" s="64">
        <v>3</v>
      </c>
      <c r="F186" s="64">
        <v>9</v>
      </c>
      <c r="G186" s="64">
        <v>63</v>
      </c>
      <c r="H186" s="65"/>
      <c r="I186" s="65"/>
      <c r="J186" s="66"/>
      <c r="K186" s="67" t="s">
        <v>314</v>
      </c>
      <c r="L186" s="68" t="s">
        <v>270</v>
      </c>
      <c r="M186" s="64" t="s">
        <v>279</v>
      </c>
      <c r="N186" s="64"/>
      <c r="O186" s="64"/>
      <c r="P186" s="69"/>
      <c r="Q186" s="69"/>
      <c r="R186" s="124"/>
      <c r="S186" s="123"/>
      <c r="T186" s="124"/>
      <c r="U186" s="75">
        <v>0</v>
      </c>
      <c r="V186" s="674">
        <f t="shared" si="40"/>
        <v>0</v>
      </c>
      <c r="W186" s="75"/>
      <c r="X186" s="75">
        <f>+AH186</f>
        <v>437500</v>
      </c>
      <c r="Y186" s="75"/>
      <c r="Z186" s="75"/>
      <c r="AA186" s="75">
        <v>0</v>
      </c>
      <c r="AB186" s="75"/>
      <c r="AC186" s="75"/>
      <c r="AD186" s="75">
        <v>0</v>
      </c>
      <c r="AE186" s="592"/>
      <c r="AF186" s="347" t="s">
        <v>272</v>
      </c>
      <c r="AG186" s="75">
        <v>437500</v>
      </c>
      <c r="AH186" s="370">
        <v>437500</v>
      </c>
      <c r="AI186" s="75"/>
      <c r="AJ186" s="75"/>
      <c r="AK186" s="75"/>
      <c r="AL186" s="75"/>
      <c r="AM186" s="75"/>
      <c r="AN186" s="64" t="s">
        <v>39</v>
      </c>
      <c r="AO186" s="64"/>
      <c r="AP186" s="64"/>
      <c r="AQ186" s="189"/>
      <c r="AR186" s="64"/>
      <c r="AS186" s="476"/>
      <c r="AT186" s="64"/>
      <c r="AU186" s="646"/>
      <c r="AV186" s="335" t="s">
        <v>273</v>
      </c>
    </row>
    <row r="187" spans="1:48" ht="14.45" customHeight="1" outlineLevel="3" x14ac:dyDescent="0.25">
      <c r="A187" s="63" t="str">
        <f t="shared" si="1"/>
        <v>1.3.1.3.11.63</v>
      </c>
      <c r="B187" s="64">
        <v>1</v>
      </c>
      <c r="C187" s="64">
        <v>3</v>
      </c>
      <c r="D187" s="64">
        <v>1</v>
      </c>
      <c r="E187" s="64">
        <v>3</v>
      </c>
      <c r="F187" s="64">
        <v>11</v>
      </c>
      <c r="G187" s="100">
        <v>63</v>
      </c>
      <c r="H187" s="65"/>
      <c r="I187" s="65"/>
      <c r="J187" s="66"/>
      <c r="K187" s="86" t="s">
        <v>315</v>
      </c>
      <c r="L187" s="68" t="s">
        <v>72</v>
      </c>
      <c r="M187" s="64" t="s">
        <v>267</v>
      </c>
      <c r="N187" s="64" t="s">
        <v>265</v>
      </c>
      <c r="O187" s="64" t="s">
        <v>275</v>
      </c>
      <c r="P187" s="69"/>
      <c r="Q187" s="69"/>
      <c r="R187" s="124">
        <v>12</v>
      </c>
      <c r="S187" s="123"/>
      <c r="T187" s="124">
        <v>3</v>
      </c>
      <c r="U187" s="75">
        <v>6732247.5</v>
      </c>
      <c r="V187" s="702">
        <f t="shared" si="40"/>
        <v>6255637.7999999998</v>
      </c>
      <c r="W187" s="75">
        <v>3</v>
      </c>
      <c r="X187" s="78">
        <v>4385213.2699999996</v>
      </c>
      <c r="Y187" s="75"/>
      <c r="Z187" s="75">
        <v>3</v>
      </c>
      <c r="AA187" s="78">
        <v>4285213.2699999996</v>
      </c>
      <c r="AB187" s="75"/>
      <c r="AC187" s="75">
        <v>3</v>
      </c>
      <c r="AD187" s="78">
        <v>4428879.9400000004</v>
      </c>
      <c r="AE187" s="592"/>
      <c r="AF187" s="259" t="s">
        <v>309</v>
      </c>
      <c r="AG187" s="75">
        <v>10527300</v>
      </c>
      <c r="AH187" s="370">
        <v>15642900</v>
      </c>
      <c r="AI187" s="75"/>
      <c r="AJ187" s="75">
        <f>125666.65+1918810.15+23058+2038712.3+55339.2+2094051.5</f>
        <v>6255637.7999999998</v>
      </c>
      <c r="AK187" s="75"/>
      <c r="AL187" s="75"/>
      <c r="AM187" s="75"/>
      <c r="AN187" s="64" t="s">
        <v>39</v>
      </c>
      <c r="AO187" s="165" t="s">
        <v>144</v>
      </c>
      <c r="AP187" s="165" t="s">
        <v>649</v>
      </c>
      <c r="AQ187" s="557" t="s">
        <v>649</v>
      </c>
      <c r="AR187" s="558">
        <v>44562</v>
      </c>
      <c r="AS187" s="559">
        <v>44926</v>
      </c>
      <c r="AT187" s="64" t="s">
        <v>1814</v>
      </c>
      <c r="AU187" s="646" t="s">
        <v>1949</v>
      </c>
      <c r="AV187" s="438" t="s">
        <v>1928</v>
      </c>
    </row>
    <row r="188" spans="1:48" ht="14.45" customHeight="1" outlineLevel="3" x14ac:dyDescent="0.25">
      <c r="A188" s="63" t="str">
        <f t="shared" si="1"/>
        <v>1.3.1.3.14.63</v>
      </c>
      <c r="B188" s="64">
        <v>1</v>
      </c>
      <c r="C188" s="64">
        <v>3</v>
      </c>
      <c r="D188" s="64">
        <v>1</v>
      </c>
      <c r="E188" s="64">
        <v>3</v>
      </c>
      <c r="F188" s="64">
        <v>14</v>
      </c>
      <c r="G188" s="64">
        <v>63</v>
      </c>
      <c r="H188" s="65"/>
      <c r="I188" s="65"/>
      <c r="J188" s="66"/>
      <c r="K188" s="67" t="s">
        <v>276</v>
      </c>
      <c r="L188" s="68" t="s">
        <v>72</v>
      </c>
      <c r="M188" s="64" t="s">
        <v>271</v>
      </c>
      <c r="N188" s="64" t="s">
        <v>307</v>
      </c>
      <c r="O188" s="64" t="s">
        <v>277</v>
      </c>
      <c r="P188" s="69"/>
      <c r="Q188" s="69"/>
      <c r="R188" s="124"/>
      <c r="S188" s="123"/>
      <c r="T188" s="124"/>
      <c r="U188" s="75"/>
      <c r="V188" s="702">
        <f t="shared" si="40"/>
        <v>125904.92</v>
      </c>
      <c r="W188" s="75"/>
      <c r="X188" s="75">
        <v>100000</v>
      </c>
      <c r="Y188" s="75"/>
      <c r="Z188" s="75"/>
      <c r="AA188" s="75">
        <v>100000</v>
      </c>
      <c r="AB188" s="75"/>
      <c r="AC188" s="75"/>
      <c r="AD188" s="75">
        <v>50000</v>
      </c>
      <c r="AE188" s="592"/>
      <c r="AF188" s="347" t="s">
        <v>278</v>
      </c>
      <c r="AG188" s="75">
        <v>250000</v>
      </c>
      <c r="AH188" s="375">
        <v>340000</v>
      </c>
      <c r="AI188" s="129"/>
      <c r="AJ188" s="129">
        <v>125904.92</v>
      </c>
      <c r="AK188" s="129"/>
      <c r="AL188" s="129"/>
      <c r="AM188" s="129"/>
      <c r="AN188" s="189" t="s">
        <v>39</v>
      </c>
      <c r="AO188" s="64" t="s">
        <v>1819</v>
      </c>
      <c r="AP188" s="538" t="s">
        <v>1831</v>
      </c>
      <c r="AQ188" s="538" t="s">
        <v>1830</v>
      </c>
      <c r="AR188" s="64"/>
      <c r="AS188" s="64"/>
      <c r="AT188" s="546" t="s">
        <v>1832</v>
      </c>
      <c r="AU188" s="648">
        <v>125</v>
      </c>
      <c r="AV188" s="68" t="s">
        <v>1827</v>
      </c>
    </row>
    <row r="189" spans="1:48" ht="14.45" customHeight="1" outlineLevel="3" x14ac:dyDescent="0.25">
      <c r="A189" s="63" t="str">
        <f t="shared" si="1"/>
        <v>1.3.1.3.15.63</v>
      </c>
      <c r="B189" s="64">
        <v>1</v>
      </c>
      <c r="C189" s="64">
        <v>3</v>
      </c>
      <c r="D189" s="64">
        <v>1</v>
      </c>
      <c r="E189" s="64">
        <v>3</v>
      </c>
      <c r="F189" s="64">
        <v>15</v>
      </c>
      <c r="G189" s="64">
        <v>63</v>
      </c>
      <c r="H189" s="65"/>
      <c r="I189" s="65"/>
      <c r="J189" s="66"/>
      <c r="K189" s="67" t="s">
        <v>1891</v>
      </c>
      <c r="L189" s="64" t="s">
        <v>72</v>
      </c>
      <c r="M189" s="64" t="s">
        <v>279</v>
      </c>
      <c r="N189" s="64" t="s">
        <v>307</v>
      </c>
      <c r="O189" s="68" t="s">
        <v>277</v>
      </c>
      <c r="P189" s="69"/>
      <c r="Q189" s="69"/>
      <c r="R189" s="124"/>
      <c r="S189" s="123"/>
      <c r="T189" s="124"/>
      <c r="U189" s="75"/>
      <c r="V189" s="702">
        <f t="shared" si="40"/>
        <v>51202.130000000005</v>
      </c>
      <c r="W189" s="75"/>
      <c r="X189" s="75">
        <v>100000</v>
      </c>
      <c r="Y189" s="75"/>
      <c r="Z189" s="75"/>
      <c r="AA189" s="75">
        <v>100000</v>
      </c>
      <c r="AB189" s="75"/>
      <c r="AC189" s="75"/>
      <c r="AD189" s="75"/>
      <c r="AE189" s="592"/>
      <c r="AF189" s="259" t="s">
        <v>279</v>
      </c>
      <c r="AG189" s="75">
        <v>200000</v>
      </c>
      <c r="AH189" s="370">
        <v>200000</v>
      </c>
      <c r="AI189" s="75"/>
      <c r="AJ189" s="536">
        <f>8084.68+8344.29+7349.71+27423.45</f>
        <v>51202.130000000005</v>
      </c>
      <c r="AK189" s="75"/>
      <c r="AL189" s="75"/>
      <c r="AM189" s="75"/>
      <c r="AN189" s="189" t="s">
        <v>39</v>
      </c>
      <c r="AO189" s="64"/>
      <c r="AP189" s="189" t="s">
        <v>1917</v>
      </c>
      <c r="AQ189" s="64"/>
      <c r="AR189" s="64"/>
      <c r="AS189" s="64"/>
      <c r="AT189" s="460"/>
      <c r="AU189" s="648" t="s">
        <v>1896</v>
      </c>
      <c r="AV189" s="538" t="s">
        <v>1897</v>
      </c>
    </row>
    <row r="190" spans="1:48" ht="14.45" customHeight="1" outlineLevel="3" x14ac:dyDescent="0.25">
      <c r="A190" s="63" t="str">
        <f t="shared" si="1"/>
        <v>1.3.1.3.19.63</v>
      </c>
      <c r="B190" s="64">
        <v>1</v>
      </c>
      <c r="C190" s="64">
        <v>3</v>
      </c>
      <c r="D190" s="64">
        <v>1</v>
      </c>
      <c r="E190" s="64">
        <v>3</v>
      </c>
      <c r="F190" s="64">
        <v>19</v>
      </c>
      <c r="G190" s="64">
        <v>63</v>
      </c>
      <c r="H190" s="65"/>
      <c r="I190" s="65"/>
      <c r="J190" s="66"/>
      <c r="K190" s="67" t="s">
        <v>280</v>
      </c>
      <c r="L190" s="68" t="s">
        <v>72</v>
      </c>
      <c r="M190" s="64" t="s">
        <v>271</v>
      </c>
      <c r="N190" s="64" t="s">
        <v>307</v>
      </c>
      <c r="O190" s="64" t="s">
        <v>281</v>
      </c>
      <c r="P190" s="69"/>
      <c r="Q190" s="131"/>
      <c r="R190" s="124"/>
      <c r="S190" s="123"/>
      <c r="T190" s="124"/>
      <c r="U190" s="75">
        <v>30000</v>
      </c>
      <c r="V190" s="674">
        <f t="shared" si="40"/>
        <v>0</v>
      </c>
      <c r="W190" s="75"/>
      <c r="X190" s="75"/>
      <c r="Y190" s="75"/>
      <c r="Z190" s="75"/>
      <c r="AA190" s="75"/>
      <c r="AB190" s="75"/>
      <c r="AC190" s="75"/>
      <c r="AD190" s="75"/>
      <c r="AE190" s="592"/>
      <c r="AF190" s="347" t="s">
        <v>166</v>
      </c>
      <c r="AG190" s="75">
        <v>30000</v>
      </c>
      <c r="AH190" s="377">
        <v>30000</v>
      </c>
      <c r="AI190" s="132"/>
      <c r="AJ190" s="132"/>
      <c r="AK190" s="132"/>
      <c r="AL190" s="132"/>
      <c r="AM190" s="132"/>
      <c r="AN190" s="64" t="s">
        <v>39</v>
      </c>
      <c r="AO190" s="64"/>
      <c r="AP190" s="64"/>
      <c r="AQ190" s="64"/>
      <c r="AR190" s="245"/>
      <c r="AS190" s="64"/>
      <c r="AT190" s="64"/>
      <c r="AU190" s="646"/>
      <c r="AV190" s="434"/>
    </row>
    <row r="191" spans="1:48" ht="14.45" customHeight="1" outlineLevel="3" x14ac:dyDescent="0.25">
      <c r="A191" s="63" t="str">
        <f t="shared" si="1"/>
        <v>1.3.1.3.20.63</v>
      </c>
      <c r="B191" s="64">
        <v>1</v>
      </c>
      <c r="C191" s="64">
        <v>3</v>
      </c>
      <c r="D191" s="64">
        <v>1</v>
      </c>
      <c r="E191" s="64">
        <v>3</v>
      </c>
      <c r="F191" s="64">
        <v>20</v>
      </c>
      <c r="G191" s="64">
        <v>63</v>
      </c>
      <c r="H191" s="65"/>
      <c r="I191" s="65"/>
      <c r="J191" s="66"/>
      <c r="K191" s="67" t="s">
        <v>283</v>
      </c>
      <c r="L191" s="68" t="s">
        <v>72</v>
      </c>
      <c r="M191" s="64" t="s">
        <v>271</v>
      </c>
      <c r="N191" s="64" t="s">
        <v>307</v>
      </c>
      <c r="O191" s="64" t="s">
        <v>281</v>
      </c>
      <c r="P191" s="69"/>
      <c r="Q191" s="131"/>
      <c r="R191" s="124"/>
      <c r="S191" s="123"/>
      <c r="T191" s="124"/>
      <c r="U191" s="75">
        <v>10000</v>
      </c>
      <c r="V191" s="674">
        <f t="shared" si="40"/>
        <v>0</v>
      </c>
      <c r="W191" s="75"/>
      <c r="X191" s="75"/>
      <c r="Y191" s="75"/>
      <c r="Z191" s="75"/>
      <c r="AA191" s="75"/>
      <c r="AB191" s="75"/>
      <c r="AC191" s="75"/>
      <c r="AD191" s="75"/>
      <c r="AE191" s="592"/>
      <c r="AF191" s="347" t="s">
        <v>166</v>
      </c>
      <c r="AG191" s="75">
        <v>10000</v>
      </c>
      <c r="AH191" s="370">
        <v>10000</v>
      </c>
      <c r="AI191" s="75"/>
      <c r="AJ191" s="75"/>
      <c r="AK191" s="75"/>
      <c r="AL191" s="75"/>
      <c r="AM191" s="75"/>
      <c r="AN191" s="64" t="s">
        <v>39</v>
      </c>
      <c r="AO191" s="64"/>
      <c r="AP191" s="64"/>
      <c r="AQ191" s="64"/>
      <c r="AR191" s="64"/>
      <c r="AS191" s="64"/>
      <c r="AT191" s="64"/>
      <c r="AU191" s="646"/>
      <c r="AV191" s="434"/>
    </row>
    <row r="192" spans="1:48" ht="14.45" customHeight="1" outlineLevel="3" x14ac:dyDescent="0.25">
      <c r="A192" s="63" t="str">
        <f t="shared" si="1"/>
        <v>1.3.1.3.21.63</v>
      </c>
      <c r="B192" s="64">
        <v>1</v>
      </c>
      <c r="C192" s="64">
        <v>3</v>
      </c>
      <c r="D192" s="64">
        <v>1</v>
      </c>
      <c r="E192" s="64">
        <v>3</v>
      </c>
      <c r="F192" s="64">
        <v>21</v>
      </c>
      <c r="G192" s="64">
        <v>63</v>
      </c>
      <c r="H192" s="65"/>
      <c r="I192" s="65"/>
      <c r="J192" s="66"/>
      <c r="K192" s="67" t="s">
        <v>284</v>
      </c>
      <c r="L192" s="68" t="s">
        <v>72</v>
      </c>
      <c r="M192" s="64" t="s">
        <v>271</v>
      </c>
      <c r="N192" s="64" t="s">
        <v>307</v>
      </c>
      <c r="O192" s="64" t="s">
        <v>281</v>
      </c>
      <c r="P192" s="69"/>
      <c r="Q192" s="131"/>
      <c r="R192" s="124"/>
      <c r="S192" s="123"/>
      <c r="T192" s="124"/>
      <c r="U192" s="75">
        <v>30000</v>
      </c>
      <c r="V192" s="674">
        <f t="shared" si="40"/>
        <v>0</v>
      </c>
      <c r="W192" s="75"/>
      <c r="X192" s="75"/>
      <c r="Y192" s="75"/>
      <c r="Z192" s="75"/>
      <c r="AA192" s="75"/>
      <c r="AB192" s="75"/>
      <c r="AC192" s="75"/>
      <c r="AD192" s="75"/>
      <c r="AE192" s="592"/>
      <c r="AF192" s="347" t="s">
        <v>166</v>
      </c>
      <c r="AG192" s="75">
        <v>30000</v>
      </c>
      <c r="AH192" s="370">
        <v>115000</v>
      </c>
      <c r="AI192" s="75"/>
      <c r="AJ192" s="75"/>
      <c r="AK192" s="75"/>
      <c r="AL192" s="75"/>
      <c r="AM192" s="75"/>
      <c r="AN192" s="64" t="s">
        <v>39</v>
      </c>
      <c r="AO192" s="64"/>
      <c r="AP192" s="64"/>
      <c r="AQ192" s="64"/>
      <c r="AR192" s="64"/>
      <c r="AS192" s="64"/>
      <c r="AT192" s="64"/>
      <c r="AU192" s="646"/>
      <c r="AV192" s="434"/>
    </row>
    <row r="193" spans="1:48" ht="14.45" customHeight="1" outlineLevel="3" x14ac:dyDescent="0.25">
      <c r="A193" s="63" t="str">
        <f t="shared" si="1"/>
        <v>1.3.1.3.24.63</v>
      </c>
      <c r="B193" s="64">
        <v>1</v>
      </c>
      <c r="C193" s="64">
        <v>3</v>
      </c>
      <c r="D193" s="64">
        <v>1</v>
      </c>
      <c r="E193" s="64">
        <v>3</v>
      </c>
      <c r="F193" s="64">
        <v>24</v>
      </c>
      <c r="G193" s="64">
        <v>63</v>
      </c>
      <c r="H193" s="65"/>
      <c r="I193" s="65"/>
      <c r="J193" s="66"/>
      <c r="K193" s="67" t="s">
        <v>286</v>
      </c>
      <c r="L193" s="68" t="s">
        <v>72</v>
      </c>
      <c r="M193" s="64" t="s">
        <v>73</v>
      </c>
      <c r="N193" s="64" t="s">
        <v>307</v>
      </c>
      <c r="O193" s="64" t="s">
        <v>281</v>
      </c>
      <c r="P193" s="69"/>
      <c r="Q193" s="131"/>
      <c r="R193" s="124"/>
      <c r="S193" s="123"/>
      <c r="T193" s="124"/>
      <c r="U193" s="75"/>
      <c r="V193" s="674">
        <f t="shared" si="40"/>
        <v>0</v>
      </c>
      <c r="W193" s="75"/>
      <c r="X193" s="75"/>
      <c r="Y193" s="75"/>
      <c r="Z193" s="75"/>
      <c r="AA193" s="75"/>
      <c r="AB193" s="75"/>
      <c r="AC193" s="75"/>
      <c r="AD193" s="75"/>
      <c r="AE193" s="592"/>
      <c r="AF193" s="347" t="s">
        <v>73</v>
      </c>
      <c r="AG193" s="75">
        <v>0</v>
      </c>
      <c r="AH193" s="370">
        <v>0</v>
      </c>
      <c r="AI193" s="75"/>
      <c r="AJ193" s="75"/>
      <c r="AK193" s="75"/>
      <c r="AL193" s="75"/>
      <c r="AM193" s="75"/>
      <c r="AN193" s="64" t="s">
        <v>39</v>
      </c>
      <c r="AO193" s="64"/>
      <c r="AP193" s="64"/>
      <c r="AQ193" s="64"/>
      <c r="AR193" s="64"/>
      <c r="AS193" s="64"/>
      <c r="AT193" s="64"/>
      <c r="AU193" s="646"/>
      <c r="AV193" s="434"/>
    </row>
    <row r="194" spans="1:48" ht="14.45" customHeight="1" outlineLevel="3" x14ac:dyDescent="0.25">
      <c r="A194" s="63" t="str">
        <f t="shared" si="1"/>
        <v>1.3.1.3.25.63</v>
      </c>
      <c r="B194" s="64">
        <v>1</v>
      </c>
      <c r="C194" s="64">
        <v>3</v>
      </c>
      <c r="D194" s="64">
        <v>1</v>
      </c>
      <c r="E194" s="64">
        <v>3</v>
      </c>
      <c r="F194" s="64">
        <v>25</v>
      </c>
      <c r="G194" s="64">
        <v>63</v>
      </c>
      <c r="H194" s="65"/>
      <c r="I194" s="65"/>
      <c r="J194" s="66"/>
      <c r="K194" s="67" t="s">
        <v>287</v>
      </c>
      <c r="L194" s="68" t="s">
        <v>72</v>
      </c>
      <c r="M194" s="64" t="s">
        <v>73</v>
      </c>
      <c r="N194" s="64"/>
      <c r="O194" s="64"/>
      <c r="P194" s="69"/>
      <c r="Q194" s="131"/>
      <c r="R194" s="124"/>
      <c r="S194" s="123"/>
      <c r="T194" s="124"/>
      <c r="U194" s="75"/>
      <c r="V194" s="674">
        <f t="shared" si="40"/>
        <v>0</v>
      </c>
      <c r="W194" s="75"/>
      <c r="X194" s="75"/>
      <c r="Y194" s="75"/>
      <c r="Z194" s="75"/>
      <c r="AA194" s="75"/>
      <c r="AB194" s="75"/>
      <c r="AC194" s="75"/>
      <c r="AD194" s="75"/>
      <c r="AE194" s="592"/>
      <c r="AF194" s="347" t="s">
        <v>73</v>
      </c>
      <c r="AG194" s="75">
        <v>0</v>
      </c>
      <c r="AH194" s="370">
        <v>0</v>
      </c>
      <c r="AI194" s="75"/>
      <c r="AJ194" s="75"/>
      <c r="AK194" s="75"/>
      <c r="AL194" s="75"/>
      <c r="AM194" s="75"/>
      <c r="AN194" s="64" t="s">
        <v>39</v>
      </c>
      <c r="AO194" s="64"/>
      <c r="AP194" s="64"/>
      <c r="AQ194" s="64"/>
      <c r="AR194" s="64"/>
      <c r="AS194" s="64"/>
      <c r="AT194" s="64"/>
      <c r="AU194" s="646"/>
      <c r="AV194" s="434"/>
    </row>
    <row r="195" spans="1:48" ht="14.45" customHeight="1" outlineLevel="3" x14ac:dyDescent="0.25">
      <c r="A195" s="63" t="str">
        <f t="shared" si="1"/>
        <v>1.3.1.3.26.63</v>
      </c>
      <c r="B195" s="64">
        <v>1</v>
      </c>
      <c r="C195" s="64">
        <v>3</v>
      </c>
      <c r="D195" s="64">
        <v>1</v>
      </c>
      <c r="E195" s="64">
        <v>3</v>
      </c>
      <c r="F195" s="64">
        <v>26</v>
      </c>
      <c r="G195" s="64">
        <v>63</v>
      </c>
      <c r="H195" s="65"/>
      <c r="I195" s="65"/>
      <c r="J195" s="66"/>
      <c r="K195" s="67" t="s">
        <v>311</v>
      </c>
      <c r="L195" s="68" t="s">
        <v>72</v>
      </c>
      <c r="M195" s="64" t="s">
        <v>279</v>
      </c>
      <c r="N195" s="64"/>
      <c r="O195" s="64"/>
      <c r="P195" s="69"/>
      <c r="Q195" s="131"/>
      <c r="R195" s="124"/>
      <c r="S195" s="123"/>
      <c r="T195" s="124"/>
      <c r="U195" s="75">
        <v>50000</v>
      </c>
      <c r="V195" s="702">
        <f t="shared" si="40"/>
        <v>20474.05</v>
      </c>
      <c r="W195" s="75"/>
      <c r="X195" s="75">
        <v>50000</v>
      </c>
      <c r="Y195" s="75"/>
      <c r="Z195" s="75"/>
      <c r="AA195" s="75">
        <v>50000</v>
      </c>
      <c r="AB195" s="75"/>
      <c r="AC195" s="75"/>
      <c r="AD195" s="75">
        <v>50000</v>
      </c>
      <c r="AE195" s="592"/>
      <c r="AF195" s="347" t="s">
        <v>73</v>
      </c>
      <c r="AG195" s="75">
        <v>200000</v>
      </c>
      <c r="AH195" s="370">
        <v>200000</v>
      </c>
      <c r="AI195" s="75"/>
      <c r="AJ195" s="536">
        <v>20474.05</v>
      </c>
      <c r="AK195" s="75"/>
      <c r="AL195" s="75"/>
      <c r="AM195" s="75"/>
      <c r="AN195" s="64" t="s">
        <v>39</v>
      </c>
      <c r="AO195" s="64" t="s">
        <v>1819</v>
      </c>
      <c r="AP195" s="538" t="s">
        <v>1821</v>
      </c>
      <c r="AQ195" s="538" t="s">
        <v>1822</v>
      </c>
      <c r="AR195" s="64"/>
      <c r="AS195" s="64"/>
      <c r="AT195" s="546" t="s">
        <v>1823</v>
      </c>
      <c r="AU195" s="646">
        <v>42</v>
      </c>
      <c r="AV195" s="434" t="s">
        <v>1820</v>
      </c>
    </row>
    <row r="196" spans="1:48" ht="72" customHeight="1" outlineLevel="3" x14ac:dyDescent="0.25">
      <c r="A196" s="63" t="str">
        <f t="shared" si="1"/>
        <v>1.3.1.3.28.63</v>
      </c>
      <c r="B196" s="64">
        <v>1</v>
      </c>
      <c r="C196" s="64">
        <v>3</v>
      </c>
      <c r="D196" s="64">
        <v>1</v>
      </c>
      <c r="E196" s="64">
        <v>3</v>
      </c>
      <c r="F196" s="64">
        <v>28</v>
      </c>
      <c r="G196" s="100">
        <v>63</v>
      </c>
      <c r="H196" s="65"/>
      <c r="I196" s="65"/>
      <c r="J196" s="66"/>
      <c r="K196" s="67" t="s">
        <v>293</v>
      </c>
      <c r="L196" s="64" t="s">
        <v>72</v>
      </c>
      <c r="M196" s="64" t="s">
        <v>279</v>
      </c>
      <c r="N196" s="64"/>
      <c r="O196" s="64"/>
      <c r="P196" s="69"/>
      <c r="Q196" s="69"/>
      <c r="R196" s="124"/>
      <c r="S196" s="123"/>
      <c r="T196" s="124"/>
      <c r="U196" s="75">
        <v>0</v>
      </c>
      <c r="V196" s="674">
        <f t="shared" si="40"/>
        <v>0</v>
      </c>
      <c r="W196" s="75"/>
      <c r="X196" s="75">
        <v>0</v>
      </c>
      <c r="Y196" s="75"/>
      <c r="Z196" s="75"/>
      <c r="AA196" s="75">
        <v>0</v>
      </c>
      <c r="AB196" s="75"/>
      <c r="AC196" s="75"/>
      <c r="AD196" s="75">
        <v>0</v>
      </c>
      <c r="AE196" s="592"/>
      <c r="AF196" s="347" t="s">
        <v>73</v>
      </c>
      <c r="AG196" s="75">
        <v>1750000</v>
      </c>
      <c r="AH196" s="377">
        <v>0</v>
      </c>
      <c r="AI196" s="132"/>
      <c r="AJ196" s="132"/>
      <c r="AK196" s="132"/>
      <c r="AL196" s="132"/>
      <c r="AM196" s="132"/>
      <c r="AN196" s="64" t="s">
        <v>39</v>
      </c>
      <c r="AO196" s="64"/>
      <c r="AP196" s="64"/>
      <c r="AQ196" s="64"/>
      <c r="AR196" s="64"/>
      <c r="AS196" s="64"/>
      <c r="AT196" s="64"/>
      <c r="AU196" s="646"/>
      <c r="AV196" s="335" t="s">
        <v>295</v>
      </c>
    </row>
    <row r="197" spans="1:48" ht="14.45" customHeight="1" outlineLevel="3" x14ac:dyDescent="0.25">
      <c r="A197" s="63" t="str">
        <f t="shared" si="1"/>
        <v>1.3.1.3.29.63</v>
      </c>
      <c r="B197" s="64">
        <v>1</v>
      </c>
      <c r="C197" s="64">
        <v>3</v>
      </c>
      <c r="D197" s="64">
        <v>1</v>
      </c>
      <c r="E197" s="64">
        <v>3</v>
      </c>
      <c r="F197" s="64">
        <v>29</v>
      </c>
      <c r="G197" s="64">
        <v>63</v>
      </c>
      <c r="H197" s="65"/>
      <c r="I197" s="65"/>
      <c r="J197" s="66"/>
      <c r="K197" s="67" t="s">
        <v>296</v>
      </c>
      <c r="L197" s="64"/>
      <c r="M197" s="64"/>
      <c r="N197" s="64"/>
      <c r="O197" s="64"/>
      <c r="P197" s="69"/>
      <c r="Q197" s="69"/>
      <c r="R197" s="124"/>
      <c r="S197" s="123"/>
      <c r="T197" s="124"/>
      <c r="U197" s="75">
        <v>50000</v>
      </c>
      <c r="V197" s="674">
        <f t="shared" si="40"/>
        <v>0</v>
      </c>
      <c r="W197" s="75"/>
      <c r="X197" s="75">
        <v>50000</v>
      </c>
      <c r="Y197" s="75"/>
      <c r="Z197" s="75"/>
      <c r="AA197" s="75">
        <v>50000</v>
      </c>
      <c r="AB197" s="75"/>
      <c r="AC197" s="75"/>
      <c r="AD197" s="75">
        <v>50000</v>
      </c>
      <c r="AE197" s="592"/>
      <c r="AF197" s="347" t="s">
        <v>73</v>
      </c>
      <c r="AG197" s="75">
        <v>200000</v>
      </c>
      <c r="AH197" s="370">
        <v>200000</v>
      </c>
      <c r="AI197" s="75"/>
      <c r="AJ197" s="75"/>
      <c r="AK197" s="75"/>
      <c r="AL197" s="75"/>
      <c r="AM197" s="75"/>
      <c r="AN197" s="64" t="s">
        <v>39</v>
      </c>
      <c r="AO197" s="64"/>
      <c r="AP197" s="64"/>
      <c r="AQ197" s="64"/>
      <c r="AR197" s="64"/>
      <c r="AS197" s="64"/>
      <c r="AT197" s="64"/>
      <c r="AU197" s="646"/>
      <c r="AV197" s="434"/>
    </row>
    <row r="198" spans="1:48" ht="14.45" customHeight="1" outlineLevel="3" x14ac:dyDescent="0.25">
      <c r="A198" s="63" t="str">
        <f>CONCATENATE(B198,".",C198,".",D198,".",E198,".",F198,".",G198)</f>
        <v>1.3.1.3.31.63</v>
      </c>
      <c r="B198" s="100">
        <v>1</v>
      </c>
      <c r="C198" s="100">
        <v>3</v>
      </c>
      <c r="D198" s="100">
        <v>1</v>
      </c>
      <c r="E198" s="100">
        <v>3</v>
      </c>
      <c r="F198" s="100">
        <v>31</v>
      </c>
      <c r="G198" s="100">
        <v>63</v>
      </c>
      <c r="H198" s="65"/>
      <c r="I198" s="65"/>
      <c r="J198" s="66"/>
      <c r="K198" s="67" t="s">
        <v>298</v>
      </c>
      <c r="L198" s="64"/>
      <c r="M198" s="64" t="s">
        <v>299</v>
      </c>
      <c r="N198" s="64"/>
      <c r="O198" s="64"/>
      <c r="P198" s="69"/>
      <c r="Q198" s="69"/>
      <c r="R198" s="124"/>
      <c r="S198" s="123"/>
      <c r="T198" s="124"/>
      <c r="U198" s="75">
        <v>30000</v>
      </c>
      <c r="V198" s="674">
        <f t="shared" si="40"/>
        <v>20000</v>
      </c>
      <c r="W198" s="75"/>
      <c r="X198" s="75">
        <v>30000</v>
      </c>
      <c r="Y198" s="75"/>
      <c r="Z198" s="75"/>
      <c r="AA198" s="75">
        <v>20000</v>
      </c>
      <c r="AB198" s="75"/>
      <c r="AC198" s="75"/>
      <c r="AD198" s="75"/>
      <c r="AE198" s="592"/>
      <c r="AF198" s="347"/>
      <c r="AG198" s="377">
        <v>0</v>
      </c>
      <c r="AH198" s="377">
        <v>80000</v>
      </c>
      <c r="AI198" s="75"/>
      <c r="AJ198" s="132">
        <v>20000</v>
      </c>
      <c r="AK198" s="75"/>
      <c r="AL198" s="75"/>
      <c r="AM198" s="75"/>
      <c r="AN198" s="64"/>
      <c r="AO198" s="64"/>
      <c r="AP198" s="64"/>
      <c r="AQ198" s="64"/>
      <c r="AR198" s="64"/>
      <c r="AS198" s="64"/>
      <c r="AT198" s="64"/>
      <c r="AU198" s="646"/>
      <c r="AV198" s="434"/>
    </row>
    <row r="199" spans="1:48" s="135" customFormat="1" ht="72" customHeight="1" outlineLevel="1" x14ac:dyDescent="0.25">
      <c r="A199" s="80" t="str">
        <f t="shared" si="1"/>
        <v>1.3.1.4.0.0</v>
      </c>
      <c r="B199" s="81">
        <v>1</v>
      </c>
      <c r="C199" s="81">
        <v>3</v>
      </c>
      <c r="D199" s="81">
        <v>1</v>
      </c>
      <c r="E199" s="81">
        <v>4</v>
      </c>
      <c r="F199" s="81">
        <v>0</v>
      </c>
      <c r="G199" s="81">
        <v>0</v>
      </c>
      <c r="H199" s="114"/>
      <c r="I199" s="114"/>
      <c r="J199" s="1346" t="s">
        <v>316</v>
      </c>
      <c r="K199" s="1346"/>
      <c r="L199" s="81" t="s">
        <v>236</v>
      </c>
      <c r="M199" s="81" t="s">
        <v>240</v>
      </c>
      <c r="N199" s="81" t="s">
        <v>226</v>
      </c>
      <c r="O199" s="81" t="s">
        <v>241</v>
      </c>
      <c r="P199" s="115">
        <v>44571</v>
      </c>
      <c r="Q199" s="115">
        <v>44925</v>
      </c>
      <c r="R199" s="119">
        <f>+R200+R201</f>
        <v>1211196</v>
      </c>
      <c r="S199" s="114" t="s">
        <v>242</v>
      </c>
      <c r="T199" s="119">
        <f>T207+T206+T205+T204+T203+T202+T201+T200</f>
        <v>605598</v>
      </c>
      <c r="U199" s="116">
        <f t="shared" ref="U199:AG199" si="42">SUM(U200:U223)</f>
        <v>8557304.3000000007</v>
      </c>
      <c r="V199" s="676">
        <f>SUM(V200:V223)</f>
        <v>7026685.0999999996</v>
      </c>
      <c r="W199" s="116">
        <f t="shared" si="42"/>
        <v>605601</v>
      </c>
      <c r="X199" s="116">
        <f t="shared" si="42"/>
        <v>8813496.9699999988</v>
      </c>
      <c r="Y199" s="116">
        <f t="shared" si="42"/>
        <v>2968580</v>
      </c>
      <c r="Z199" s="116">
        <f t="shared" si="42"/>
        <v>3624181</v>
      </c>
      <c r="AA199" s="116">
        <f t="shared" si="42"/>
        <v>6701643.6399999997</v>
      </c>
      <c r="AB199" s="116">
        <f t="shared" si="42"/>
        <v>2968580</v>
      </c>
      <c r="AC199" s="116">
        <f t="shared" si="42"/>
        <v>3624181</v>
      </c>
      <c r="AD199" s="116">
        <f t="shared" si="42"/>
        <v>7006676.9699999997</v>
      </c>
      <c r="AE199" s="116">
        <f t="shared" si="42"/>
        <v>0</v>
      </c>
      <c r="AF199" s="116">
        <f t="shared" si="42"/>
        <v>0</v>
      </c>
      <c r="AG199" s="116">
        <f t="shared" si="42"/>
        <v>14837633.333333334</v>
      </c>
      <c r="AH199" s="116">
        <f>SUM(AH200:AH223)</f>
        <v>21902300</v>
      </c>
      <c r="AI199" s="116">
        <f t="shared" ref="AI199:AJ199" si="43">SUM(AI200:AI223)</f>
        <v>0</v>
      </c>
      <c r="AJ199" s="116">
        <f t="shared" si="43"/>
        <v>7026685.0999999996</v>
      </c>
      <c r="AK199" s="61"/>
      <c r="AL199" s="61"/>
      <c r="AM199" s="61"/>
      <c r="AN199" s="81" t="s">
        <v>243</v>
      </c>
      <c r="AO199" s="81"/>
      <c r="AP199" s="81"/>
      <c r="AQ199" s="412"/>
      <c r="AR199" s="81"/>
      <c r="AS199" s="474"/>
      <c r="AT199" s="81"/>
      <c r="AU199" s="663"/>
      <c r="AV199" s="433"/>
    </row>
    <row r="200" spans="1:48" ht="139.35" customHeight="1" outlineLevel="3" x14ac:dyDescent="0.25">
      <c r="A200" s="63" t="str">
        <f t="shared" si="1"/>
        <v>1.3.1.4.1.64</v>
      </c>
      <c r="B200" s="64">
        <v>1</v>
      </c>
      <c r="C200" s="64">
        <v>3</v>
      </c>
      <c r="D200" s="64">
        <v>1</v>
      </c>
      <c r="E200" s="64">
        <v>4</v>
      </c>
      <c r="F200" s="64">
        <v>1</v>
      </c>
      <c r="G200" s="64">
        <v>64</v>
      </c>
      <c r="H200" s="65"/>
      <c r="I200" s="65"/>
      <c r="J200" s="66"/>
      <c r="K200" s="65" t="s">
        <v>245</v>
      </c>
      <c r="L200" s="64" t="s">
        <v>246</v>
      </c>
      <c r="M200" s="64" t="s">
        <v>240</v>
      </c>
      <c r="N200" s="64" t="s">
        <v>247</v>
      </c>
      <c r="O200" s="64" t="s">
        <v>241</v>
      </c>
      <c r="P200" s="69">
        <v>44571</v>
      </c>
      <c r="Q200" s="69">
        <v>44925</v>
      </c>
      <c r="R200" s="126">
        <v>86646</v>
      </c>
      <c r="S200" s="123" t="s">
        <v>248</v>
      </c>
      <c r="T200" s="124">
        <f>+R200/4</f>
        <v>21661.5</v>
      </c>
      <c r="U200" s="75">
        <v>0</v>
      </c>
      <c r="V200" s="674">
        <f>+AJ200</f>
        <v>0</v>
      </c>
      <c r="W200" s="75">
        <f>+R200/4</f>
        <v>21661.5</v>
      </c>
      <c r="X200" s="75">
        <v>0</v>
      </c>
      <c r="Y200" s="75"/>
      <c r="Z200" s="75">
        <f>+R200/4</f>
        <v>21661.5</v>
      </c>
      <c r="AA200" s="75">
        <v>0</v>
      </c>
      <c r="AB200" s="75"/>
      <c r="AC200" s="75">
        <f>+R200/4</f>
        <v>21661.5</v>
      </c>
      <c r="AD200" s="75">
        <v>0</v>
      </c>
      <c r="AE200" s="592"/>
      <c r="AF200" s="347"/>
      <c r="AG200" s="510">
        <v>0</v>
      </c>
      <c r="AH200" s="370">
        <v>0</v>
      </c>
      <c r="AI200" s="75"/>
      <c r="AJ200" s="75"/>
      <c r="AK200" s="75"/>
      <c r="AL200" s="75"/>
      <c r="AM200" s="75"/>
      <c r="AN200" s="64" t="s">
        <v>39</v>
      </c>
      <c r="AO200" s="64"/>
      <c r="AP200" s="64"/>
      <c r="AQ200" s="189"/>
      <c r="AR200" s="64"/>
      <c r="AS200" s="476"/>
      <c r="AT200" s="64"/>
      <c r="AU200" s="646"/>
      <c r="AV200" s="335" t="s">
        <v>250</v>
      </c>
    </row>
    <row r="201" spans="1:48" ht="68.45" customHeight="1" outlineLevel="3" x14ac:dyDescent="0.25">
      <c r="A201" s="63" t="str">
        <f t="shared" si="1"/>
        <v>1.3.1.4.2.64</v>
      </c>
      <c r="B201" s="64">
        <v>1</v>
      </c>
      <c r="C201" s="64">
        <v>3</v>
      </c>
      <c r="D201" s="64">
        <v>1</v>
      </c>
      <c r="E201" s="64">
        <v>4</v>
      </c>
      <c r="F201" s="64">
        <v>2</v>
      </c>
      <c r="G201" s="64">
        <v>64</v>
      </c>
      <c r="H201" s="65"/>
      <c r="I201" s="65"/>
      <c r="J201" s="66"/>
      <c r="K201" s="65" t="s">
        <v>251</v>
      </c>
      <c r="L201" s="64" t="s">
        <v>246</v>
      </c>
      <c r="M201" s="64" t="s">
        <v>240</v>
      </c>
      <c r="N201" s="64" t="s">
        <v>252</v>
      </c>
      <c r="O201" s="64" t="s">
        <v>241</v>
      </c>
      <c r="P201" s="69">
        <v>44571</v>
      </c>
      <c r="Q201" s="69">
        <v>44925</v>
      </c>
      <c r="R201" s="126">
        <v>1124550</v>
      </c>
      <c r="S201" s="123" t="s">
        <v>248</v>
      </c>
      <c r="T201" s="124">
        <f>+R201/4</f>
        <v>281137.5</v>
      </c>
      <c r="U201" s="75">
        <v>0</v>
      </c>
      <c r="V201" s="674">
        <f t="shared" ref="V201:V223" si="44">+AJ201</f>
        <v>0</v>
      </c>
      <c r="W201" s="75">
        <f>+R201/4</f>
        <v>281137.5</v>
      </c>
      <c r="X201" s="75">
        <v>0</v>
      </c>
      <c r="Y201" s="75"/>
      <c r="Z201" s="75">
        <f>+R201/4</f>
        <v>281137.5</v>
      </c>
      <c r="AA201" s="75">
        <v>0</v>
      </c>
      <c r="AB201" s="75"/>
      <c r="AC201" s="75">
        <f>+R201/4</f>
        <v>281137.5</v>
      </c>
      <c r="AD201" s="75">
        <v>0</v>
      </c>
      <c r="AE201" s="592"/>
      <c r="AF201" s="347"/>
      <c r="AG201" s="510">
        <v>0</v>
      </c>
      <c r="AH201" s="370">
        <v>0</v>
      </c>
      <c r="AI201" s="75"/>
      <c r="AJ201" s="75"/>
      <c r="AK201" s="75"/>
      <c r="AL201" s="75"/>
      <c r="AM201" s="75"/>
      <c r="AN201" s="64" t="s">
        <v>39</v>
      </c>
      <c r="AO201" s="64"/>
      <c r="AP201" s="64"/>
      <c r="AQ201" s="189"/>
      <c r="AR201" s="64"/>
      <c r="AS201" s="476"/>
      <c r="AT201" s="64"/>
      <c r="AU201" s="646"/>
      <c r="AV201" s="335" t="s">
        <v>254</v>
      </c>
    </row>
    <row r="202" spans="1:48" ht="14.45" customHeight="1" outlineLevel="3" x14ac:dyDescent="0.25">
      <c r="A202" s="63" t="str">
        <f t="shared" si="1"/>
        <v>1.3.1.4.3.64</v>
      </c>
      <c r="B202" s="64">
        <v>1</v>
      </c>
      <c r="C202" s="64">
        <v>3</v>
      </c>
      <c r="D202" s="64">
        <v>1</v>
      </c>
      <c r="E202" s="64">
        <v>4</v>
      </c>
      <c r="F202" s="64">
        <v>3</v>
      </c>
      <c r="G202" s="64">
        <v>64</v>
      </c>
      <c r="H202" s="65"/>
      <c r="I202" s="65"/>
      <c r="J202" s="66"/>
      <c r="K202" s="125" t="s">
        <v>317</v>
      </c>
      <c r="L202" s="64" t="s">
        <v>246</v>
      </c>
      <c r="M202" s="64" t="s">
        <v>240</v>
      </c>
      <c r="N202" s="64" t="s">
        <v>257</v>
      </c>
      <c r="O202" s="64" t="s">
        <v>241</v>
      </c>
      <c r="P202" s="69">
        <v>44571</v>
      </c>
      <c r="Q202" s="69">
        <v>44925</v>
      </c>
      <c r="R202" s="126">
        <v>0</v>
      </c>
      <c r="S202" s="123" t="s">
        <v>248</v>
      </c>
      <c r="T202" s="124"/>
      <c r="U202" s="75"/>
      <c r="V202" s="674">
        <f t="shared" si="44"/>
        <v>0</v>
      </c>
      <c r="W202" s="75"/>
      <c r="X202" s="75"/>
      <c r="Y202" s="75"/>
      <c r="Z202" s="75"/>
      <c r="AA202" s="75"/>
      <c r="AB202" s="75"/>
      <c r="AC202" s="75"/>
      <c r="AD202" s="75"/>
      <c r="AE202" s="592"/>
      <c r="AF202" s="349"/>
      <c r="AG202" s="510">
        <v>0</v>
      </c>
      <c r="AH202" s="370">
        <v>0</v>
      </c>
      <c r="AI202" s="75"/>
      <c r="AJ202" s="75"/>
      <c r="AK202" s="75"/>
      <c r="AL202" s="75"/>
      <c r="AM202" s="75"/>
      <c r="AN202" s="136" t="s">
        <v>39</v>
      </c>
      <c r="AO202" s="136"/>
      <c r="AP202" s="136"/>
      <c r="AQ202" s="414"/>
      <c r="AR202" s="136"/>
      <c r="AS202" s="477"/>
      <c r="AT202" s="136"/>
      <c r="AU202" s="646"/>
      <c r="AV202" s="433"/>
    </row>
    <row r="203" spans="1:48" ht="14.45" customHeight="1" outlineLevel="3" x14ac:dyDescent="0.25">
      <c r="A203" s="63" t="str">
        <f t="shared" si="1"/>
        <v>1.3.1.4.4.64</v>
      </c>
      <c r="B203" s="64">
        <v>1</v>
      </c>
      <c r="C203" s="64">
        <v>3</v>
      </c>
      <c r="D203" s="64">
        <v>1</v>
      </c>
      <c r="E203" s="64">
        <v>4</v>
      </c>
      <c r="F203" s="64">
        <v>4</v>
      </c>
      <c r="G203" s="100">
        <v>64</v>
      </c>
      <c r="H203" s="65"/>
      <c r="I203" s="65"/>
      <c r="J203" s="66"/>
      <c r="K203" s="125" t="s">
        <v>1911</v>
      </c>
      <c r="L203" s="64" t="s">
        <v>246</v>
      </c>
      <c r="M203" s="64" t="s">
        <v>256</v>
      </c>
      <c r="N203" s="64" t="s">
        <v>257</v>
      </c>
      <c r="O203" s="64" t="s">
        <v>241</v>
      </c>
      <c r="P203" s="69">
        <v>44571</v>
      </c>
      <c r="Q203" s="69">
        <v>44925</v>
      </c>
      <c r="R203" s="126">
        <v>25</v>
      </c>
      <c r="S203" s="123" t="s">
        <v>258</v>
      </c>
      <c r="T203" s="124"/>
      <c r="U203" s="132">
        <v>1885000</v>
      </c>
      <c r="V203" s="702">
        <f t="shared" si="44"/>
        <v>381850</v>
      </c>
      <c r="W203" s="75"/>
      <c r="X203" s="132">
        <v>2968580</v>
      </c>
      <c r="Y203" s="127">
        <f t="shared" ref="Y203:AC203" si="45">2885212.5+83367.5</f>
        <v>2968580</v>
      </c>
      <c r="Z203" s="127">
        <f t="shared" si="45"/>
        <v>2968580</v>
      </c>
      <c r="AA203" s="132">
        <f>+(AH203-U203-X203)/2</f>
        <v>1281810</v>
      </c>
      <c r="AB203" s="127">
        <f t="shared" si="45"/>
        <v>2968580</v>
      </c>
      <c r="AC203" s="127">
        <f t="shared" si="45"/>
        <v>2968580</v>
      </c>
      <c r="AD203" s="132">
        <f>+AH203-U203-X203-AA203</f>
        <v>1281810</v>
      </c>
      <c r="AE203" s="596"/>
      <c r="AF203" s="349" t="s">
        <v>318</v>
      </c>
      <c r="AG203" s="510">
        <v>911133.33333333337</v>
      </c>
      <c r="AH203" s="370">
        <v>7417200</v>
      </c>
      <c r="AI203" s="75"/>
      <c r="AJ203" s="75">
        <f>101500+87150+89600+103600</f>
        <v>381850</v>
      </c>
      <c r="AK203" s="75"/>
      <c r="AL203" s="75"/>
      <c r="AM203" s="75"/>
      <c r="AN203" s="136" t="s">
        <v>39</v>
      </c>
      <c r="AO203" s="533" t="s">
        <v>1839</v>
      </c>
      <c r="AP203" s="533" t="s">
        <v>649</v>
      </c>
      <c r="AQ203" s="533" t="s">
        <v>649</v>
      </c>
      <c r="AR203" s="554">
        <v>44562</v>
      </c>
      <c r="AS203" s="554">
        <v>44561</v>
      </c>
      <c r="AT203" s="533" t="s">
        <v>1814</v>
      </c>
      <c r="AU203" s="646" t="s">
        <v>2000</v>
      </c>
      <c r="AV203" s="561" t="s">
        <v>1938</v>
      </c>
    </row>
    <row r="204" spans="1:48" ht="29.1" customHeight="1" outlineLevel="3" x14ac:dyDescent="0.25">
      <c r="A204" s="63" t="str">
        <f t="shared" si="1"/>
        <v>1.3.1.4.5.64</v>
      </c>
      <c r="B204" s="64">
        <v>1</v>
      </c>
      <c r="C204" s="64">
        <v>3</v>
      </c>
      <c r="D204" s="64">
        <v>1</v>
      </c>
      <c r="E204" s="64">
        <v>4</v>
      </c>
      <c r="F204" s="64">
        <v>5</v>
      </c>
      <c r="G204" s="64">
        <v>64</v>
      </c>
      <c r="H204" s="65"/>
      <c r="I204" s="65"/>
      <c r="J204" s="66"/>
      <c r="K204" s="65" t="s">
        <v>259</v>
      </c>
      <c r="L204" s="64" t="s">
        <v>246</v>
      </c>
      <c r="M204" s="64" t="s">
        <v>240</v>
      </c>
      <c r="N204" s="64" t="s">
        <v>247</v>
      </c>
      <c r="O204" s="64" t="s">
        <v>241</v>
      </c>
      <c r="P204" s="69">
        <v>44571</v>
      </c>
      <c r="Q204" s="69">
        <v>44925</v>
      </c>
      <c r="R204" s="126">
        <v>86646</v>
      </c>
      <c r="S204" s="123" t="s">
        <v>248</v>
      </c>
      <c r="T204" s="124">
        <f>+$R204/4</f>
        <v>21661.5</v>
      </c>
      <c r="U204" s="75"/>
      <c r="V204" s="674">
        <f t="shared" si="44"/>
        <v>0</v>
      </c>
      <c r="W204" s="75">
        <f>+$R204/4</f>
        <v>21661.5</v>
      </c>
      <c r="X204" s="75"/>
      <c r="Y204" s="75"/>
      <c r="Z204" s="75">
        <f>+$R204/4</f>
        <v>21661.5</v>
      </c>
      <c r="AA204" s="75"/>
      <c r="AB204" s="75"/>
      <c r="AC204" s="75">
        <f>+$R204/4</f>
        <v>21661.5</v>
      </c>
      <c r="AD204" s="75"/>
      <c r="AE204" s="592"/>
      <c r="AF204" s="350" t="s">
        <v>260</v>
      </c>
      <c r="AG204" s="510">
        <v>0</v>
      </c>
      <c r="AH204" s="370">
        <v>0</v>
      </c>
      <c r="AI204" s="75"/>
      <c r="AJ204" s="75"/>
      <c r="AK204" s="75"/>
      <c r="AL204" s="75"/>
      <c r="AM204" s="75"/>
      <c r="AN204" s="136" t="s">
        <v>39</v>
      </c>
      <c r="AO204" s="136"/>
      <c r="AP204" s="136"/>
      <c r="AQ204" s="414"/>
      <c r="AR204" s="136"/>
      <c r="AS204" s="477"/>
      <c r="AT204" s="136"/>
      <c r="AU204" s="646"/>
      <c r="AV204" s="335" t="s">
        <v>261</v>
      </c>
    </row>
    <row r="205" spans="1:48" ht="29.1" customHeight="1" outlineLevel="3" x14ac:dyDescent="0.25">
      <c r="A205" s="63" t="str">
        <f t="shared" si="1"/>
        <v>1.3.1.4.6.64</v>
      </c>
      <c r="B205" s="64">
        <v>1</v>
      </c>
      <c r="C205" s="64">
        <v>3</v>
      </c>
      <c r="D205" s="64">
        <v>1</v>
      </c>
      <c r="E205" s="64">
        <v>4</v>
      </c>
      <c r="F205" s="64">
        <v>6</v>
      </c>
      <c r="G205" s="64">
        <v>64</v>
      </c>
      <c r="H205" s="65"/>
      <c r="I205" s="65"/>
      <c r="J205" s="66"/>
      <c r="K205" s="65" t="s">
        <v>305</v>
      </c>
      <c r="L205" s="64" t="s">
        <v>246</v>
      </c>
      <c r="M205" s="64" t="s">
        <v>240</v>
      </c>
      <c r="N205" s="64" t="s">
        <v>252</v>
      </c>
      <c r="O205" s="64" t="s">
        <v>241</v>
      </c>
      <c r="P205" s="69">
        <v>44571</v>
      </c>
      <c r="Q205" s="69">
        <v>44925</v>
      </c>
      <c r="R205" s="126">
        <v>1124550</v>
      </c>
      <c r="S205" s="123" t="s">
        <v>248</v>
      </c>
      <c r="T205" s="124">
        <f>$R205/4</f>
        <v>281137.5</v>
      </c>
      <c r="U205" s="75"/>
      <c r="V205" s="674">
        <f t="shared" si="44"/>
        <v>0</v>
      </c>
      <c r="W205" s="75">
        <f>$R205/4</f>
        <v>281137.5</v>
      </c>
      <c r="X205" s="75"/>
      <c r="Y205" s="75"/>
      <c r="Z205" s="75">
        <f>$R205/4</f>
        <v>281137.5</v>
      </c>
      <c r="AA205" s="75"/>
      <c r="AB205" s="75"/>
      <c r="AC205" s="75">
        <f>$R205/4</f>
        <v>281137.5</v>
      </c>
      <c r="AD205" s="75"/>
      <c r="AE205" s="592"/>
      <c r="AF205" s="350" t="s">
        <v>260</v>
      </c>
      <c r="AG205" s="510">
        <v>0</v>
      </c>
      <c r="AH205" s="370">
        <v>0</v>
      </c>
      <c r="AI205" s="75"/>
      <c r="AJ205" s="75"/>
      <c r="AK205" s="75"/>
      <c r="AL205" s="75"/>
      <c r="AM205" s="75"/>
      <c r="AN205" s="136" t="s">
        <v>39</v>
      </c>
      <c r="AO205" s="136"/>
      <c r="AP205" s="136"/>
      <c r="AQ205" s="414"/>
      <c r="AR205" s="136"/>
      <c r="AS205" s="477"/>
      <c r="AT205" s="136"/>
      <c r="AU205" s="646"/>
      <c r="AV205" s="335" t="s">
        <v>261</v>
      </c>
    </row>
    <row r="206" spans="1:48" ht="29.1" customHeight="1" outlineLevel="3" x14ac:dyDescent="0.25">
      <c r="A206" s="63" t="str">
        <f t="shared" si="1"/>
        <v>1.3.1.4.7.64</v>
      </c>
      <c r="B206" s="64">
        <v>1</v>
      </c>
      <c r="C206" s="64">
        <v>3</v>
      </c>
      <c r="D206" s="64">
        <v>1</v>
      </c>
      <c r="E206" s="64">
        <v>4</v>
      </c>
      <c r="F206" s="64">
        <v>7</v>
      </c>
      <c r="G206" s="64">
        <v>64</v>
      </c>
      <c r="H206" s="65"/>
      <c r="I206" s="65"/>
      <c r="J206" s="66"/>
      <c r="K206" s="65" t="s">
        <v>319</v>
      </c>
      <c r="L206" s="64" t="s">
        <v>246</v>
      </c>
      <c r="M206" s="64" t="s">
        <v>240</v>
      </c>
      <c r="N206" s="64" t="s">
        <v>257</v>
      </c>
      <c r="O206" s="64" t="s">
        <v>241</v>
      </c>
      <c r="P206" s="69">
        <v>44571</v>
      </c>
      <c r="Q206" s="69">
        <v>44925</v>
      </c>
      <c r="R206" s="126">
        <v>0</v>
      </c>
      <c r="S206" s="123" t="s">
        <v>248</v>
      </c>
      <c r="T206" s="124"/>
      <c r="U206" s="75"/>
      <c r="V206" s="674">
        <f t="shared" si="44"/>
        <v>0</v>
      </c>
      <c r="W206" s="75"/>
      <c r="X206" s="75"/>
      <c r="Y206" s="75"/>
      <c r="Z206" s="75"/>
      <c r="AA206" s="75"/>
      <c r="AB206" s="75"/>
      <c r="AC206" s="75"/>
      <c r="AD206" s="75"/>
      <c r="AE206" s="592"/>
      <c r="AF206" s="350" t="s">
        <v>260</v>
      </c>
      <c r="AG206" s="510">
        <v>0</v>
      </c>
      <c r="AH206" s="370">
        <v>0</v>
      </c>
      <c r="AI206" s="75"/>
      <c r="AJ206" s="75"/>
      <c r="AK206" s="75"/>
      <c r="AL206" s="75"/>
      <c r="AM206" s="75"/>
      <c r="AN206" s="136" t="s">
        <v>39</v>
      </c>
      <c r="AO206" s="136"/>
      <c r="AP206" s="136"/>
      <c r="AQ206" s="414"/>
      <c r="AR206" s="136"/>
      <c r="AS206" s="477"/>
      <c r="AT206" s="136"/>
      <c r="AU206" s="646"/>
      <c r="AV206" s="433"/>
    </row>
    <row r="207" spans="1:48" ht="26.1" customHeight="1" outlineLevel="3" x14ac:dyDescent="0.25">
      <c r="A207" s="63" t="str">
        <f t="shared" si="1"/>
        <v>1.3.1.4.8.64</v>
      </c>
      <c r="B207" s="64">
        <v>1</v>
      </c>
      <c r="C207" s="64">
        <v>3</v>
      </c>
      <c r="D207" s="64">
        <v>1</v>
      </c>
      <c r="E207" s="64">
        <v>4</v>
      </c>
      <c r="F207" s="64">
        <v>8</v>
      </c>
      <c r="G207" s="64">
        <v>64</v>
      </c>
      <c r="H207" s="65"/>
      <c r="I207" s="65"/>
      <c r="J207" s="66"/>
      <c r="K207" s="65" t="s">
        <v>263</v>
      </c>
      <c r="L207" s="64" t="s">
        <v>264</v>
      </c>
      <c r="M207" s="64" t="s">
        <v>144</v>
      </c>
      <c r="N207" s="64" t="s">
        <v>265</v>
      </c>
      <c r="O207" s="64" t="s">
        <v>266</v>
      </c>
      <c r="P207" s="69">
        <v>44571</v>
      </c>
      <c r="Q207" s="69">
        <v>44925</v>
      </c>
      <c r="R207" s="124">
        <v>25</v>
      </c>
      <c r="S207" s="123" t="s">
        <v>258</v>
      </c>
      <c r="T207" s="124"/>
      <c r="U207" s="75"/>
      <c r="V207" s="674">
        <f t="shared" si="44"/>
        <v>0</v>
      </c>
      <c r="W207" s="75"/>
      <c r="X207" s="75"/>
      <c r="Y207" s="75"/>
      <c r="Z207" s="75"/>
      <c r="AA207" s="75"/>
      <c r="AB207" s="75"/>
      <c r="AC207" s="75"/>
      <c r="AD207" s="75">
        <f>+AH207</f>
        <v>228700</v>
      </c>
      <c r="AE207" s="592"/>
      <c r="AF207" s="349"/>
      <c r="AG207" s="510">
        <v>228700</v>
      </c>
      <c r="AH207" s="370">
        <f>+((2*500)+(23*450)*22)</f>
        <v>228700</v>
      </c>
      <c r="AI207" s="75"/>
      <c r="AJ207" s="75"/>
      <c r="AK207" s="75"/>
      <c r="AL207" s="75"/>
      <c r="AM207" s="75"/>
      <c r="AN207" s="136" t="s">
        <v>181</v>
      </c>
      <c r="AO207" s="136"/>
      <c r="AP207" s="136"/>
      <c r="AQ207" s="414"/>
      <c r="AR207" s="136"/>
      <c r="AS207" s="477"/>
      <c r="AT207" s="136"/>
      <c r="AU207" s="646"/>
      <c r="AV207" s="335" t="s">
        <v>268</v>
      </c>
    </row>
    <row r="208" spans="1:48" ht="29.45" customHeight="1" outlineLevel="3" x14ac:dyDescent="0.25">
      <c r="A208" s="63" t="str">
        <f t="shared" si="1"/>
        <v>1.3.1.4.9.64</v>
      </c>
      <c r="B208" s="64">
        <v>1</v>
      </c>
      <c r="C208" s="64">
        <v>3</v>
      </c>
      <c r="D208" s="64">
        <v>1</v>
      </c>
      <c r="E208" s="64">
        <v>4</v>
      </c>
      <c r="F208" s="64">
        <v>9</v>
      </c>
      <c r="G208" s="64">
        <v>64</v>
      </c>
      <c r="H208" s="65"/>
      <c r="I208" s="65"/>
      <c r="J208" s="66"/>
      <c r="K208" s="137" t="s">
        <v>320</v>
      </c>
      <c r="L208" s="64"/>
      <c r="M208" s="64" t="s">
        <v>240</v>
      </c>
      <c r="N208" s="64"/>
      <c r="O208" s="64"/>
      <c r="P208" s="69">
        <v>44571</v>
      </c>
      <c r="Q208" s="69">
        <v>44925</v>
      </c>
      <c r="R208" s="124"/>
      <c r="S208" s="123"/>
      <c r="T208" s="124"/>
      <c r="U208" s="75"/>
      <c r="V208" s="674">
        <f t="shared" si="44"/>
        <v>0</v>
      </c>
      <c r="W208" s="75"/>
      <c r="X208" s="75"/>
      <c r="Y208" s="75"/>
      <c r="Z208" s="75"/>
      <c r="AA208" s="75"/>
      <c r="AB208" s="75"/>
      <c r="AC208" s="75"/>
      <c r="AD208" s="75"/>
      <c r="AE208" s="592"/>
      <c r="AF208" s="349"/>
      <c r="AG208" s="510">
        <v>0</v>
      </c>
      <c r="AH208" s="370">
        <v>0</v>
      </c>
      <c r="AI208" s="75"/>
      <c r="AJ208" s="75"/>
      <c r="AK208" s="75"/>
      <c r="AL208" s="75"/>
      <c r="AM208" s="75"/>
      <c r="AN208" s="136" t="s">
        <v>39</v>
      </c>
      <c r="AO208" s="136"/>
      <c r="AP208" s="136"/>
      <c r="AQ208" s="136"/>
      <c r="AR208" s="136"/>
      <c r="AS208" s="136"/>
      <c r="AT208" s="136"/>
      <c r="AU208" s="646"/>
      <c r="AV208" s="435"/>
    </row>
    <row r="209" spans="1:48" ht="14.45" customHeight="1" outlineLevel="3" x14ac:dyDescent="0.25">
      <c r="A209" s="63" t="str">
        <f t="shared" si="1"/>
        <v>1.3.1.4.10.64</v>
      </c>
      <c r="B209" s="64">
        <v>1</v>
      </c>
      <c r="C209" s="64">
        <v>3</v>
      </c>
      <c r="D209" s="64">
        <v>1</v>
      </c>
      <c r="E209" s="64">
        <v>4</v>
      </c>
      <c r="F209" s="64">
        <v>10</v>
      </c>
      <c r="G209" s="64">
        <v>64</v>
      </c>
      <c r="H209" s="65"/>
      <c r="I209" s="65"/>
      <c r="J209" s="66"/>
      <c r="K209" s="137" t="s">
        <v>321</v>
      </c>
      <c r="L209" s="64"/>
      <c r="M209" s="64"/>
      <c r="N209" s="64"/>
      <c r="O209" s="64"/>
      <c r="P209" s="69">
        <v>44571</v>
      </c>
      <c r="Q209" s="69">
        <v>44925</v>
      </c>
      <c r="R209" s="124"/>
      <c r="S209" s="123"/>
      <c r="T209" s="124"/>
      <c r="U209" s="75"/>
      <c r="V209" s="674">
        <f t="shared" si="44"/>
        <v>0</v>
      </c>
      <c r="W209" s="75"/>
      <c r="X209" s="75"/>
      <c r="Y209" s="75"/>
      <c r="Z209" s="75"/>
      <c r="AA209" s="75"/>
      <c r="AB209" s="75"/>
      <c r="AC209" s="75"/>
      <c r="AD209" s="75"/>
      <c r="AE209" s="592"/>
      <c r="AF209" s="349"/>
      <c r="AG209" s="510">
        <v>0</v>
      </c>
      <c r="AH209" s="370">
        <v>0</v>
      </c>
      <c r="AI209" s="75"/>
      <c r="AJ209" s="75"/>
      <c r="AK209" s="75"/>
      <c r="AL209" s="75"/>
      <c r="AM209" s="75"/>
      <c r="AN209" s="136" t="s">
        <v>39</v>
      </c>
      <c r="AO209" s="136"/>
      <c r="AP209" s="136"/>
      <c r="AQ209" s="136"/>
      <c r="AR209" s="136"/>
      <c r="AS209" s="136"/>
      <c r="AT209" s="136"/>
      <c r="AU209" s="646"/>
      <c r="AV209" s="434"/>
    </row>
    <row r="210" spans="1:48" ht="48" customHeight="1" outlineLevel="3" x14ac:dyDescent="0.25">
      <c r="A210" s="63" t="str">
        <f t="shared" si="1"/>
        <v>1.3.1.4.11.64</v>
      </c>
      <c r="B210" s="64">
        <v>1</v>
      </c>
      <c r="C210" s="64">
        <v>3</v>
      </c>
      <c r="D210" s="64">
        <v>1</v>
      </c>
      <c r="E210" s="64">
        <v>4</v>
      </c>
      <c r="F210" s="64">
        <v>11</v>
      </c>
      <c r="G210" s="64">
        <v>64</v>
      </c>
      <c r="H210" s="65"/>
      <c r="I210" s="65"/>
      <c r="J210" s="66"/>
      <c r="K210" s="67" t="s">
        <v>322</v>
      </c>
      <c r="L210" s="68" t="s">
        <v>270</v>
      </c>
      <c r="M210" s="64" t="s">
        <v>323</v>
      </c>
      <c r="N210" s="64"/>
      <c r="O210" s="64"/>
      <c r="P210" s="69">
        <v>44571</v>
      </c>
      <c r="Q210" s="69">
        <v>44925</v>
      </c>
      <c r="R210" s="124">
        <v>1</v>
      </c>
      <c r="S210" s="123"/>
      <c r="T210" s="124"/>
      <c r="U210" s="75">
        <v>0</v>
      </c>
      <c r="V210" s="674">
        <f t="shared" si="44"/>
        <v>0</v>
      </c>
      <c r="W210" s="75"/>
      <c r="X210" s="75">
        <f>$AH$210/2</f>
        <v>218750</v>
      </c>
      <c r="Y210" s="75"/>
      <c r="Z210" s="75"/>
      <c r="AA210" s="75">
        <f>$AH$210/2</f>
        <v>218750</v>
      </c>
      <c r="AB210" s="75"/>
      <c r="AC210" s="75"/>
      <c r="AD210" s="75">
        <v>0</v>
      </c>
      <c r="AE210" s="592"/>
      <c r="AF210" s="349" t="s">
        <v>272</v>
      </c>
      <c r="AG210" s="510">
        <v>437500</v>
      </c>
      <c r="AH210" s="370">
        <v>437500</v>
      </c>
      <c r="AI210" s="75"/>
      <c r="AJ210" s="75"/>
      <c r="AK210" s="75"/>
      <c r="AL210" s="75"/>
      <c r="AM210" s="75"/>
      <c r="AN210" s="136" t="s">
        <v>39</v>
      </c>
      <c r="AO210" s="136"/>
      <c r="AP210" s="136"/>
      <c r="AQ210" s="136"/>
      <c r="AR210" s="136"/>
      <c r="AS210" s="136"/>
      <c r="AT210" s="136"/>
      <c r="AU210" s="646"/>
      <c r="AV210" s="335" t="s">
        <v>273</v>
      </c>
    </row>
    <row r="211" spans="1:48" ht="14.45" customHeight="1" outlineLevel="3" x14ac:dyDescent="0.25">
      <c r="A211" s="63" t="str">
        <f t="shared" si="1"/>
        <v>1.3.1.4.13.64</v>
      </c>
      <c r="B211" s="64">
        <v>1</v>
      </c>
      <c r="C211" s="64">
        <v>3</v>
      </c>
      <c r="D211" s="64">
        <v>1</v>
      </c>
      <c r="E211" s="64">
        <v>4</v>
      </c>
      <c r="F211" s="64">
        <v>13</v>
      </c>
      <c r="G211" s="100">
        <v>64</v>
      </c>
      <c r="H211" s="65"/>
      <c r="I211" s="65"/>
      <c r="J211" s="66"/>
      <c r="K211" s="125" t="s">
        <v>324</v>
      </c>
      <c r="L211" s="64" t="s">
        <v>72</v>
      </c>
      <c r="M211" s="64" t="s">
        <v>267</v>
      </c>
      <c r="N211" s="64" t="s">
        <v>265</v>
      </c>
      <c r="O211" s="64" t="s">
        <v>275</v>
      </c>
      <c r="P211" s="69">
        <v>44571</v>
      </c>
      <c r="Q211" s="69">
        <v>44925</v>
      </c>
      <c r="R211" s="124">
        <v>12</v>
      </c>
      <c r="S211" s="123"/>
      <c r="T211" s="124">
        <v>3</v>
      </c>
      <c r="U211" s="75">
        <v>6272304.2999999998</v>
      </c>
      <c r="V211" s="702">
        <f t="shared" si="44"/>
        <v>6427254</v>
      </c>
      <c r="W211" s="75">
        <v>3</v>
      </c>
      <c r="X211" s="78">
        <v>5296166.97</v>
      </c>
      <c r="Y211" s="75"/>
      <c r="Z211" s="75">
        <v>3</v>
      </c>
      <c r="AA211" s="78">
        <v>5031083.6399999997</v>
      </c>
      <c r="AB211" s="75"/>
      <c r="AC211" s="75">
        <v>3</v>
      </c>
      <c r="AD211" s="78">
        <v>5396166.9699999997</v>
      </c>
      <c r="AE211" s="592"/>
      <c r="AF211" s="349" t="s">
        <v>309</v>
      </c>
      <c r="AG211" s="510">
        <v>10590300</v>
      </c>
      <c r="AH211" s="370">
        <v>12642900</v>
      </c>
      <c r="AI211" s="75"/>
      <c r="AJ211" s="75">
        <f>138348+1932974.5+40351.5+2111674+40351.5+2163554.5</f>
        <v>6427254</v>
      </c>
      <c r="AK211" s="75"/>
      <c r="AL211" s="75"/>
      <c r="AM211" s="75"/>
      <c r="AN211" s="136" t="s">
        <v>39</v>
      </c>
      <c r="AO211" s="165" t="s">
        <v>144</v>
      </c>
      <c r="AP211" s="557" t="s">
        <v>649</v>
      </c>
      <c r="AQ211" s="557" t="s">
        <v>649</v>
      </c>
      <c r="AR211" s="558">
        <v>44562</v>
      </c>
      <c r="AS211" s="559">
        <v>44926</v>
      </c>
      <c r="AT211" s="533" t="s">
        <v>1814</v>
      </c>
      <c r="AU211" s="649" t="s">
        <v>1930</v>
      </c>
      <c r="AV211" s="539" t="s">
        <v>1929</v>
      </c>
    </row>
    <row r="212" spans="1:48" ht="14.45" customHeight="1" outlineLevel="3" x14ac:dyDescent="0.25">
      <c r="A212" s="63" t="str">
        <f t="shared" si="1"/>
        <v>1.3.1.4.16.64</v>
      </c>
      <c r="B212" s="64">
        <v>1</v>
      </c>
      <c r="C212" s="64">
        <v>3</v>
      </c>
      <c r="D212" s="64">
        <v>1</v>
      </c>
      <c r="E212" s="64">
        <v>4</v>
      </c>
      <c r="F212" s="64">
        <v>16</v>
      </c>
      <c r="G212" s="64">
        <v>64</v>
      </c>
      <c r="H212" s="65"/>
      <c r="I212" s="65"/>
      <c r="J212" s="66"/>
      <c r="K212" s="67" t="s">
        <v>276</v>
      </c>
      <c r="L212" s="64" t="s">
        <v>72</v>
      </c>
      <c r="M212" s="64" t="s">
        <v>271</v>
      </c>
      <c r="N212" s="64" t="s">
        <v>74</v>
      </c>
      <c r="O212" s="64" t="s">
        <v>281</v>
      </c>
      <c r="P212" s="69">
        <v>44571</v>
      </c>
      <c r="Q212" s="69">
        <v>44925</v>
      </c>
      <c r="R212" s="124">
        <v>1</v>
      </c>
      <c r="S212" s="123"/>
      <c r="T212" s="124"/>
      <c r="U212" s="75">
        <v>75000</v>
      </c>
      <c r="V212" s="702">
        <f t="shared" si="44"/>
        <v>125904.92</v>
      </c>
      <c r="W212" s="75"/>
      <c r="X212" s="75">
        <v>75000</v>
      </c>
      <c r="Y212" s="75"/>
      <c r="Z212" s="75"/>
      <c r="AA212" s="75">
        <v>50000</v>
      </c>
      <c r="AB212" s="75"/>
      <c r="AC212" s="75"/>
      <c r="AD212" s="75">
        <v>50000</v>
      </c>
      <c r="AE212" s="592"/>
      <c r="AF212" s="349" t="s">
        <v>278</v>
      </c>
      <c r="AG212" s="510">
        <v>250000</v>
      </c>
      <c r="AH212" s="375">
        <v>341000</v>
      </c>
      <c r="AI212" s="129"/>
      <c r="AJ212" s="129">
        <v>125904.92</v>
      </c>
      <c r="AK212" s="129"/>
      <c r="AL212" s="129"/>
      <c r="AM212" s="129"/>
      <c r="AN212" s="414" t="s">
        <v>39</v>
      </c>
      <c r="AO212" s="533" t="s">
        <v>1819</v>
      </c>
      <c r="AP212" s="538" t="s">
        <v>1831</v>
      </c>
      <c r="AQ212" s="538" t="s">
        <v>1830</v>
      </c>
      <c r="AR212" s="533"/>
      <c r="AS212" s="533"/>
      <c r="AT212" s="546" t="s">
        <v>1832</v>
      </c>
      <c r="AU212" s="649">
        <v>125</v>
      </c>
      <c r="AV212" s="538" t="s">
        <v>1827</v>
      </c>
    </row>
    <row r="213" spans="1:48" ht="14.45" customHeight="1" outlineLevel="3" x14ac:dyDescent="0.25">
      <c r="A213" s="63" t="str">
        <f t="shared" si="1"/>
        <v>1.3.1.4.17.64</v>
      </c>
      <c r="B213" s="64">
        <v>1</v>
      </c>
      <c r="C213" s="64">
        <v>3</v>
      </c>
      <c r="D213" s="64">
        <v>1</v>
      </c>
      <c r="E213" s="64">
        <v>4</v>
      </c>
      <c r="F213" s="64">
        <v>17</v>
      </c>
      <c r="G213" s="64">
        <v>64</v>
      </c>
      <c r="H213" s="65"/>
      <c r="I213" s="65"/>
      <c r="J213" s="66"/>
      <c r="K213" s="67" t="s">
        <v>1892</v>
      </c>
      <c r="L213" s="64" t="s">
        <v>72</v>
      </c>
      <c r="M213" s="64" t="s">
        <v>279</v>
      </c>
      <c r="N213" s="64" t="s">
        <v>74</v>
      </c>
      <c r="O213" s="64" t="s">
        <v>281</v>
      </c>
      <c r="P213" s="69">
        <v>44571</v>
      </c>
      <c r="Q213" s="69">
        <v>44925</v>
      </c>
      <c r="R213" s="124">
        <v>1</v>
      </c>
      <c r="S213" s="123"/>
      <c r="T213" s="124"/>
      <c r="U213" s="75">
        <v>100000</v>
      </c>
      <c r="V213" s="702">
        <f t="shared" si="44"/>
        <v>51202.130000000005</v>
      </c>
      <c r="W213" s="75"/>
      <c r="X213" s="75">
        <v>100000</v>
      </c>
      <c r="Y213" s="75"/>
      <c r="Z213" s="75"/>
      <c r="AA213" s="75"/>
      <c r="AB213" s="75"/>
      <c r="AC213" s="75"/>
      <c r="AD213" s="75"/>
      <c r="AE213" s="592"/>
      <c r="AF213" s="349" t="s">
        <v>279</v>
      </c>
      <c r="AG213" s="510">
        <v>200000</v>
      </c>
      <c r="AH213" s="377">
        <v>200000</v>
      </c>
      <c r="AI213" s="132"/>
      <c r="AJ213" s="536">
        <f>8084.68+8344.29+7349.71+27423.45</f>
        <v>51202.130000000005</v>
      </c>
      <c r="AK213" s="132"/>
      <c r="AL213" s="132"/>
      <c r="AM213" s="132"/>
      <c r="AN213" s="414" t="s">
        <v>39</v>
      </c>
      <c r="AO213" s="136"/>
      <c r="AP213" s="136" t="s">
        <v>1917</v>
      </c>
      <c r="AQ213" s="136"/>
      <c r="AR213" s="136"/>
      <c r="AS213" s="136"/>
      <c r="AT213" s="535"/>
      <c r="AU213" s="650" t="s">
        <v>1896</v>
      </c>
      <c r="AV213" s="538" t="s">
        <v>1897</v>
      </c>
    </row>
    <row r="214" spans="1:48" ht="14.45" customHeight="1" outlineLevel="3" x14ac:dyDescent="0.25">
      <c r="A214" s="63" t="str">
        <f t="shared" si="1"/>
        <v>1.3.1.4.21.64</v>
      </c>
      <c r="B214" s="64">
        <v>1</v>
      </c>
      <c r="C214" s="64">
        <v>3</v>
      </c>
      <c r="D214" s="64">
        <v>1</v>
      </c>
      <c r="E214" s="64">
        <v>4</v>
      </c>
      <c r="F214" s="64">
        <v>21</v>
      </c>
      <c r="G214" s="64">
        <v>64</v>
      </c>
      <c r="H214" s="65"/>
      <c r="I214" s="65"/>
      <c r="J214" s="66"/>
      <c r="K214" s="65" t="s">
        <v>280</v>
      </c>
      <c r="L214" s="64" t="s">
        <v>72</v>
      </c>
      <c r="M214" s="64" t="s">
        <v>271</v>
      </c>
      <c r="N214" s="64" t="s">
        <v>74</v>
      </c>
      <c r="O214" s="64" t="s">
        <v>281</v>
      </c>
      <c r="P214" s="69">
        <v>44571</v>
      </c>
      <c r="Q214" s="69">
        <v>44925</v>
      </c>
      <c r="R214" s="124"/>
      <c r="S214" s="123"/>
      <c r="T214" s="124"/>
      <c r="U214" s="75">
        <v>30000</v>
      </c>
      <c r="V214" s="674">
        <f t="shared" si="44"/>
        <v>0</v>
      </c>
      <c r="W214" s="75"/>
      <c r="X214" s="75"/>
      <c r="Y214" s="75"/>
      <c r="Z214" s="75"/>
      <c r="AA214" s="75"/>
      <c r="AB214" s="75"/>
      <c r="AC214" s="75"/>
      <c r="AD214" s="75"/>
      <c r="AE214" s="592"/>
      <c r="AF214" s="349" t="s">
        <v>166</v>
      </c>
      <c r="AG214" s="510">
        <v>30000</v>
      </c>
      <c r="AH214" s="377">
        <v>30000</v>
      </c>
      <c r="AI214" s="132"/>
      <c r="AJ214" s="132"/>
      <c r="AK214" s="132"/>
      <c r="AL214" s="132"/>
      <c r="AM214" s="132"/>
      <c r="AN214" s="136" t="s">
        <v>39</v>
      </c>
      <c r="AO214" s="136"/>
      <c r="AP214" s="136"/>
      <c r="AQ214" s="136"/>
      <c r="AR214" s="534"/>
      <c r="AS214" s="136"/>
      <c r="AT214" s="136"/>
      <c r="AU214" s="646"/>
      <c r="AV214" s="434"/>
    </row>
    <row r="215" spans="1:48" ht="14.45" customHeight="1" outlineLevel="3" x14ac:dyDescent="0.25">
      <c r="A215" s="63" t="str">
        <f t="shared" si="1"/>
        <v>1.3.1.4.22.64</v>
      </c>
      <c r="B215" s="64">
        <v>1</v>
      </c>
      <c r="C215" s="64">
        <v>3</v>
      </c>
      <c r="D215" s="64">
        <v>1</v>
      </c>
      <c r="E215" s="64">
        <v>4</v>
      </c>
      <c r="F215" s="64">
        <v>22</v>
      </c>
      <c r="G215" s="64">
        <v>64</v>
      </c>
      <c r="H215" s="65"/>
      <c r="I215" s="65"/>
      <c r="J215" s="66"/>
      <c r="K215" s="65" t="s">
        <v>283</v>
      </c>
      <c r="L215" s="64" t="s">
        <v>72</v>
      </c>
      <c r="M215" s="64" t="s">
        <v>271</v>
      </c>
      <c r="N215" s="64" t="s">
        <v>74</v>
      </c>
      <c r="O215" s="64" t="s">
        <v>281</v>
      </c>
      <c r="P215" s="69">
        <v>44571</v>
      </c>
      <c r="Q215" s="69">
        <v>44925</v>
      </c>
      <c r="R215" s="124"/>
      <c r="S215" s="123"/>
      <c r="T215" s="124"/>
      <c r="U215" s="75">
        <v>10000</v>
      </c>
      <c r="V215" s="674">
        <f t="shared" si="44"/>
        <v>0</v>
      </c>
      <c r="W215" s="75"/>
      <c r="X215" s="75"/>
      <c r="Y215" s="75"/>
      <c r="Z215" s="75"/>
      <c r="AA215" s="75"/>
      <c r="AB215" s="75"/>
      <c r="AC215" s="75"/>
      <c r="AD215" s="75"/>
      <c r="AE215" s="592"/>
      <c r="AF215" s="349" t="s">
        <v>166</v>
      </c>
      <c r="AG215" s="510">
        <v>10000</v>
      </c>
      <c r="AH215" s="377">
        <v>10000</v>
      </c>
      <c r="AI215" s="132"/>
      <c r="AJ215" s="132"/>
      <c r="AK215" s="132"/>
      <c r="AL215" s="132"/>
      <c r="AM215" s="132"/>
      <c r="AN215" s="136" t="s">
        <v>39</v>
      </c>
      <c r="AO215" s="136"/>
      <c r="AP215" s="136"/>
      <c r="AQ215" s="136"/>
      <c r="AR215" s="136"/>
      <c r="AS215" s="136"/>
      <c r="AT215" s="136"/>
      <c r="AU215" s="646"/>
      <c r="AV215" s="434"/>
    </row>
    <row r="216" spans="1:48" ht="14.45" customHeight="1" outlineLevel="3" x14ac:dyDescent="0.25">
      <c r="A216" s="63" t="str">
        <f t="shared" si="1"/>
        <v>1.3.1.4.23.64</v>
      </c>
      <c r="B216" s="64">
        <v>1</v>
      </c>
      <c r="C216" s="64">
        <v>3</v>
      </c>
      <c r="D216" s="64">
        <v>1</v>
      </c>
      <c r="E216" s="64">
        <v>4</v>
      </c>
      <c r="F216" s="64">
        <v>23</v>
      </c>
      <c r="G216" s="64">
        <v>64</v>
      </c>
      <c r="H216" s="65"/>
      <c r="I216" s="65"/>
      <c r="J216" s="66"/>
      <c r="K216" s="65" t="s">
        <v>284</v>
      </c>
      <c r="L216" s="64" t="s">
        <v>72</v>
      </c>
      <c r="M216" s="64" t="s">
        <v>271</v>
      </c>
      <c r="N216" s="64" t="s">
        <v>74</v>
      </c>
      <c r="O216" s="64" t="s">
        <v>281</v>
      </c>
      <c r="P216" s="69">
        <v>44571</v>
      </c>
      <c r="Q216" s="131">
        <v>44925</v>
      </c>
      <c r="R216" s="124"/>
      <c r="S216" s="123"/>
      <c r="T216" s="124"/>
      <c r="U216" s="75">
        <v>30000</v>
      </c>
      <c r="V216" s="674">
        <f t="shared" si="44"/>
        <v>0</v>
      </c>
      <c r="W216" s="75"/>
      <c r="X216" s="75"/>
      <c r="Y216" s="75"/>
      <c r="Z216" s="75"/>
      <c r="AA216" s="75"/>
      <c r="AB216" s="75"/>
      <c r="AC216" s="75"/>
      <c r="AD216" s="75"/>
      <c r="AE216" s="592"/>
      <c r="AF216" s="349" t="s">
        <v>166</v>
      </c>
      <c r="AG216" s="510">
        <v>30000</v>
      </c>
      <c r="AH216" s="377">
        <v>115000</v>
      </c>
      <c r="AI216" s="132"/>
      <c r="AJ216" s="132"/>
      <c r="AK216" s="132"/>
      <c r="AL216" s="132"/>
      <c r="AM216" s="132"/>
      <c r="AN216" s="136" t="s">
        <v>39</v>
      </c>
      <c r="AO216" s="136"/>
      <c r="AP216" s="136"/>
      <c r="AQ216" s="136"/>
      <c r="AR216" s="136"/>
      <c r="AS216" s="136"/>
      <c r="AT216" s="136"/>
      <c r="AU216" s="646"/>
      <c r="AV216" s="434"/>
    </row>
    <row r="217" spans="1:48" ht="14.45" customHeight="1" outlineLevel="3" x14ac:dyDescent="0.25">
      <c r="A217" s="63" t="str">
        <f t="shared" si="1"/>
        <v>1.3.1.4.26.64</v>
      </c>
      <c r="B217" s="64">
        <v>1</v>
      </c>
      <c r="C217" s="64">
        <v>3</v>
      </c>
      <c r="D217" s="64">
        <v>1</v>
      </c>
      <c r="E217" s="64">
        <v>4</v>
      </c>
      <c r="F217" s="64">
        <v>26</v>
      </c>
      <c r="G217" s="64">
        <v>64</v>
      </c>
      <c r="H217" s="65"/>
      <c r="I217" s="65"/>
      <c r="J217" s="66"/>
      <c r="K217" s="65" t="s">
        <v>286</v>
      </c>
      <c r="L217" s="64" t="s">
        <v>72</v>
      </c>
      <c r="M217" s="64" t="s">
        <v>73</v>
      </c>
      <c r="N217" s="64" t="s">
        <v>74</v>
      </c>
      <c r="O217" s="64" t="s">
        <v>281</v>
      </c>
      <c r="P217" s="69">
        <v>44571</v>
      </c>
      <c r="Q217" s="69">
        <v>44925</v>
      </c>
      <c r="R217" s="124"/>
      <c r="S217" s="123"/>
      <c r="T217" s="124"/>
      <c r="U217" s="75"/>
      <c r="V217" s="674">
        <f t="shared" si="44"/>
        <v>0</v>
      </c>
      <c r="W217" s="75"/>
      <c r="X217" s="75"/>
      <c r="Y217" s="75"/>
      <c r="Z217" s="75"/>
      <c r="AA217" s="75"/>
      <c r="AB217" s="75"/>
      <c r="AC217" s="75"/>
      <c r="AD217" s="75"/>
      <c r="AE217" s="592"/>
      <c r="AF217" s="349" t="s">
        <v>73</v>
      </c>
      <c r="AG217" s="510">
        <v>0</v>
      </c>
      <c r="AH217" s="377">
        <v>0</v>
      </c>
      <c r="AI217" s="132"/>
      <c r="AJ217" s="132"/>
      <c r="AK217" s="132"/>
      <c r="AL217" s="132"/>
      <c r="AM217" s="132"/>
      <c r="AN217" s="136" t="s">
        <v>39</v>
      </c>
      <c r="AO217" s="136"/>
      <c r="AP217" s="136"/>
      <c r="AQ217" s="136"/>
      <c r="AR217" s="136"/>
      <c r="AS217" s="136"/>
      <c r="AT217" s="136"/>
      <c r="AU217" s="646"/>
      <c r="AV217" s="434"/>
    </row>
    <row r="218" spans="1:48" ht="14.45" customHeight="1" outlineLevel="3" x14ac:dyDescent="0.25">
      <c r="A218" s="63" t="str">
        <f t="shared" si="1"/>
        <v>1.3.1.4.27.64</v>
      </c>
      <c r="B218" s="64">
        <v>1</v>
      </c>
      <c r="C218" s="64">
        <v>3</v>
      </c>
      <c r="D218" s="64">
        <v>1</v>
      </c>
      <c r="E218" s="64">
        <v>4</v>
      </c>
      <c r="F218" s="64">
        <v>27</v>
      </c>
      <c r="G218" s="64">
        <v>64</v>
      </c>
      <c r="H218" s="65"/>
      <c r="I218" s="65"/>
      <c r="J218" s="66"/>
      <c r="K218" s="65" t="s">
        <v>287</v>
      </c>
      <c r="L218" s="64" t="s">
        <v>72</v>
      </c>
      <c r="M218" s="64" t="s">
        <v>73</v>
      </c>
      <c r="N218" s="64"/>
      <c r="O218" s="64"/>
      <c r="P218" s="69">
        <v>44571</v>
      </c>
      <c r="Q218" s="69">
        <v>44925</v>
      </c>
      <c r="R218" s="124">
        <v>1</v>
      </c>
      <c r="S218" s="123"/>
      <c r="T218" s="124"/>
      <c r="U218" s="75"/>
      <c r="V218" s="674">
        <f t="shared" si="44"/>
        <v>0</v>
      </c>
      <c r="W218" s="75"/>
      <c r="X218" s="75"/>
      <c r="Y218" s="75"/>
      <c r="Z218" s="75"/>
      <c r="AA218" s="75"/>
      <c r="AB218" s="75"/>
      <c r="AC218" s="75"/>
      <c r="AD218" s="75"/>
      <c r="AE218" s="592"/>
      <c r="AF218" s="349"/>
      <c r="AG218" s="510">
        <v>0</v>
      </c>
      <c r="AH218" s="377">
        <v>0</v>
      </c>
      <c r="AI218" s="132"/>
      <c r="AJ218" s="132"/>
      <c r="AK218" s="132"/>
      <c r="AL218" s="132"/>
      <c r="AM218" s="132"/>
      <c r="AN218" s="136" t="s">
        <v>39</v>
      </c>
      <c r="AO218" s="136"/>
      <c r="AP218" s="136"/>
      <c r="AQ218" s="136"/>
      <c r="AR218" s="136"/>
      <c r="AS218" s="136"/>
      <c r="AT218" s="136"/>
      <c r="AU218" s="646"/>
      <c r="AV218" s="434"/>
    </row>
    <row r="219" spans="1:48" ht="14.45" customHeight="1" outlineLevel="3" x14ac:dyDescent="0.25">
      <c r="A219" s="63" t="str">
        <f t="shared" si="1"/>
        <v>1.3.1.4.28.64</v>
      </c>
      <c r="B219" s="64">
        <v>1</v>
      </c>
      <c r="C219" s="64">
        <v>3</v>
      </c>
      <c r="D219" s="64">
        <v>1</v>
      </c>
      <c r="E219" s="64">
        <v>4</v>
      </c>
      <c r="F219" s="64">
        <v>28</v>
      </c>
      <c r="G219" s="64">
        <v>64</v>
      </c>
      <c r="H219" s="65"/>
      <c r="I219" s="65"/>
      <c r="J219" s="66"/>
      <c r="K219" s="65" t="s">
        <v>311</v>
      </c>
      <c r="L219" s="64" t="s">
        <v>72</v>
      </c>
      <c r="M219" s="64" t="s">
        <v>279</v>
      </c>
      <c r="N219" s="64"/>
      <c r="O219" s="64"/>
      <c r="P219" s="69">
        <v>44571</v>
      </c>
      <c r="Q219" s="69">
        <v>44925</v>
      </c>
      <c r="R219" s="124">
        <v>2</v>
      </c>
      <c r="S219" s="123"/>
      <c r="T219" s="124"/>
      <c r="U219" s="75">
        <v>75000</v>
      </c>
      <c r="V219" s="702">
        <f t="shared" si="44"/>
        <v>20474.05</v>
      </c>
      <c r="W219" s="75"/>
      <c r="X219" s="75">
        <v>75000</v>
      </c>
      <c r="Y219" s="75"/>
      <c r="Z219" s="75"/>
      <c r="AA219" s="75">
        <v>50000</v>
      </c>
      <c r="AB219" s="75"/>
      <c r="AC219" s="75"/>
      <c r="AD219" s="75"/>
      <c r="AE219" s="592"/>
      <c r="AF219" s="349"/>
      <c r="AG219" s="510">
        <v>200000</v>
      </c>
      <c r="AH219" s="370">
        <v>200000</v>
      </c>
      <c r="AI219" s="75"/>
      <c r="AJ219" s="536">
        <v>20474.05</v>
      </c>
      <c r="AK219" s="75"/>
      <c r="AL219" s="75"/>
      <c r="AM219" s="75"/>
      <c r="AN219" s="136" t="s">
        <v>39</v>
      </c>
      <c r="AO219" s="533" t="s">
        <v>1819</v>
      </c>
      <c r="AP219" s="538" t="s">
        <v>1821</v>
      </c>
      <c r="AQ219" s="538" t="s">
        <v>1822</v>
      </c>
      <c r="AR219" s="533"/>
      <c r="AS219" s="533"/>
      <c r="AT219" s="546" t="s">
        <v>1823</v>
      </c>
      <c r="AU219" s="649">
        <v>42</v>
      </c>
      <c r="AV219" s="434" t="s">
        <v>1820</v>
      </c>
    </row>
    <row r="220" spans="1:48" ht="14.45" customHeight="1" outlineLevel="3" x14ac:dyDescent="0.25">
      <c r="A220" s="63" t="str">
        <f t="shared" si="1"/>
        <v>1.3.1.4.29.64</v>
      </c>
      <c r="B220" s="64">
        <v>1</v>
      </c>
      <c r="C220" s="64">
        <v>3</v>
      </c>
      <c r="D220" s="64">
        <v>1</v>
      </c>
      <c r="E220" s="64">
        <v>4</v>
      </c>
      <c r="F220" s="64">
        <v>29</v>
      </c>
      <c r="G220" s="64">
        <v>64</v>
      </c>
      <c r="H220" s="65"/>
      <c r="I220" s="65"/>
      <c r="J220" s="66"/>
      <c r="K220" s="137" t="s">
        <v>325</v>
      </c>
      <c r="L220" s="64"/>
      <c r="M220" s="64"/>
      <c r="N220" s="64"/>
      <c r="O220" s="64"/>
      <c r="P220" s="69">
        <v>44571</v>
      </c>
      <c r="Q220" s="69">
        <v>44925</v>
      </c>
      <c r="R220" s="124"/>
      <c r="S220" s="123"/>
      <c r="T220" s="124"/>
      <c r="U220" s="75"/>
      <c r="V220" s="674">
        <f t="shared" si="44"/>
        <v>0</v>
      </c>
      <c r="W220" s="75"/>
      <c r="X220" s="75"/>
      <c r="Y220" s="75"/>
      <c r="Z220" s="75"/>
      <c r="AA220" s="75"/>
      <c r="AB220" s="75"/>
      <c r="AC220" s="75"/>
      <c r="AD220" s="75"/>
      <c r="AE220" s="592"/>
      <c r="AF220" s="349"/>
      <c r="AG220" s="510">
        <v>0</v>
      </c>
      <c r="AH220" s="377">
        <v>0</v>
      </c>
      <c r="AI220" s="132"/>
      <c r="AJ220" s="132"/>
      <c r="AK220" s="132"/>
      <c r="AL220" s="132"/>
      <c r="AM220" s="132"/>
      <c r="AN220" s="136" t="s">
        <v>39</v>
      </c>
      <c r="AO220" s="136"/>
      <c r="AP220" s="136"/>
      <c r="AQ220" s="136"/>
      <c r="AR220" s="136"/>
      <c r="AS220" s="136"/>
      <c r="AT220" s="136"/>
      <c r="AU220" s="646"/>
      <c r="AV220" s="434"/>
    </row>
    <row r="221" spans="1:48" ht="73.349999999999994" customHeight="1" outlineLevel="3" x14ac:dyDescent="0.25">
      <c r="A221" s="63" t="str">
        <f t="shared" si="1"/>
        <v>1.3.1.4.30.64</v>
      </c>
      <c r="B221" s="64">
        <v>1</v>
      </c>
      <c r="C221" s="64">
        <v>3</v>
      </c>
      <c r="D221" s="64">
        <v>1</v>
      </c>
      <c r="E221" s="64">
        <v>4</v>
      </c>
      <c r="F221" s="64">
        <v>30</v>
      </c>
      <c r="G221" s="100">
        <v>64</v>
      </c>
      <c r="H221" s="65"/>
      <c r="I221" s="65"/>
      <c r="J221" s="66"/>
      <c r="K221" s="67" t="s">
        <v>326</v>
      </c>
      <c r="L221" s="64" t="s">
        <v>72</v>
      </c>
      <c r="M221" s="64" t="s">
        <v>279</v>
      </c>
      <c r="N221" s="64"/>
      <c r="O221" s="64"/>
      <c r="P221" s="69">
        <v>44571</v>
      </c>
      <c r="Q221" s="69">
        <v>44925</v>
      </c>
      <c r="R221" s="124">
        <v>1</v>
      </c>
      <c r="S221" s="123"/>
      <c r="T221" s="124"/>
      <c r="U221" s="75">
        <v>0</v>
      </c>
      <c r="V221" s="674">
        <f t="shared" si="44"/>
        <v>0</v>
      </c>
      <c r="W221" s="75"/>
      <c r="X221" s="75">
        <v>0</v>
      </c>
      <c r="Y221" s="75"/>
      <c r="Z221" s="75"/>
      <c r="AA221" s="75">
        <v>0</v>
      </c>
      <c r="AB221" s="75"/>
      <c r="AC221" s="75"/>
      <c r="AD221" s="75">
        <v>0</v>
      </c>
      <c r="AE221" s="592"/>
      <c r="AF221" s="349" t="s">
        <v>272</v>
      </c>
      <c r="AG221" s="510">
        <v>1750000</v>
      </c>
      <c r="AH221" s="377">
        <v>0</v>
      </c>
      <c r="AI221" s="132"/>
      <c r="AJ221" s="132"/>
      <c r="AK221" s="132"/>
      <c r="AL221" s="132"/>
      <c r="AM221" s="132"/>
      <c r="AN221" s="136" t="s">
        <v>39</v>
      </c>
      <c r="AO221" s="136"/>
      <c r="AP221" s="136"/>
      <c r="AQ221" s="136"/>
      <c r="AR221" s="136"/>
      <c r="AS221" s="136"/>
      <c r="AT221" s="136"/>
      <c r="AU221" s="646"/>
      <c r="AV221" s="335" t="s">
        <v>295</v>
      </c>
    </row>
    <row r="222" spans="1:48" ht="14.45" customHeight="1" outlineLevel="3" x14ac:dyDescent="0.25">
      <c r="A222" s="63" t="str">
        <f t="shared" si="1"/>
        <v>1.3.1.4.31.64</v>
      </c>
      <c r="B222" s="64">
        <v>1</v>
      </c>
      <c r="C222" s="64">
        <v>3</v>
      </c>
      <c r="D222" s="64">
        <v>1</v>
      </c>
      <c r="E222" s="64">
        <v>4</v>
      </c>
      <c r="F222" s="64">
        <v>31</v>
      </c>
      <c r="G222" s="64">
        <v>64</v>
      </c>
      <c r="H222" s="65"/>
      <c r="I222" s="65"/>
      <c r="J222" s="66"/>
      <c r="K222" s="67" t="s">
        <v>296</v>
      </c>
      <c r="L222" s="64"/>
      <c r="M222" s="64"/>
      <c r="N222" s="64"/>
      <c r="O222" s="64"/>
      <c r="P222" s="69">
        <v>44571</v>
      </c>
      <c r="Q222" s="69">
        <v>44925</v>
      </c>
      <c r="R222" s="124"/>
      <c r="S222" s="123"/>
      <c r="T222" s="124"/>
      <c r="U222" s="75">
        <v>50000</v>
      </c>
      <c r="V222" s="674">
        <f t="shared" si="44"/>
        <v>0</v>
      </c>
      <c r="W222" s="75"/>
      <c r="X222" s="75">
        <v>50000</v>
      </c>
      <c r="Y222" s="75"/>
      <c r="Z222" s="75">
        <v>50000</v>
      </c>
      <c r="AA222" s="75">
        <v>50000</v>
      </c>
      <c r="AB222" s="75"/>
      <c r="AC222" s="75">
        <v>50000</v>
      </c>
      <c r="AD222" s="75">
        <v>50000</v>
      </c>
      <c r="AE222" s="592"/>
      <c r="AF222" s="349"/>
      <c r="AG222" s="510">
        <v>200000</v>
      </c>
      <c r="AH222" s="370">
        <v>200000</v>
      </c>
      <c r="AI222" s="75"/>
      <c r="AJ222" s="75"/>
      <c r="AK222" s="75"/>
      <c r="AL222" s="75"/>
      <c r="AM222" s="75"/>
      <c r="AN222" s="136" t="s">
        <v>39</v>
      </c>
      <c r="AO222" s="136"/>
      <c r="AP222" s="136"/>
      <c r="AQ222" s="136"/>
      <c r="AR222" s="136"/>
      <c r="AS222" s="136"/>
      <c r="AT222" s="136"/>
      <c r="AU222" s="646"/>
      <c r="AV222" s="434"/>
    </row>
    <row r="223" spans="1:48" ht="14.45" customHeight="1" outlineLevel="3" x14ac:dyDescent="0.25">
      <c r="A223" s="99" t="str">
        <f>CONCATENATE(B223,".",C223,".",D223,".",E223,".",F223,".",G223)</f>
        <v>1.3.1.4.33.64</v>
      </c>
      <c r="B223" s="100">
        <v>1</v>
      </c>
      <c r="C223" s="100">
        <v>3</v>
      </c>
      <c r="D223" s="100">
        <v>1</v>
      </c>
      <c r="E223" s="100">
        <v>4</v>
      </c>
      <c r="F223" s="100">
        <v>33</v>
      </c>
      <c r="G223" s="100">
        <v>64</v>
      </c>
      <c r="H223" s="65"/>
      <c r="I223" s="65"/>
      <c r="J223" s="66"/>
      <c r="K223" s="67" t="s">
        <v>298</v>
      </c>
      <c r="L223" s="64"/>
      <c r="M223" s="64" t="s">
        <v>299</v>
      </c>
      <c r="N223" s="64"/>
      <c r="O223" s="64"/>
      <c r="P223" s="138"/>
      <c r="Q223" s="138"/>
      <c r="R223" s="124"/>
      <c r="S223" s="123"/>
      <c r="T223" s="124"/>
      <c r="U223" s="75">
        <v>30000</v>
      </c>
      <c r="V223" s="674">
        <f t="shared" si="44"/>
        <v>20000</v>
      </c>
      <c r="W223" s="75"/>
      <c r="X223" s="75">
        <v>30000</v>
      </c>
      <c r="Y223" s="75"/>
      <c r="Z223" s="75"/>
      <c r="AA223" s="75">
        <v>20000</v>
      </c>
      <c r="AB223" s="75"/>
      <c r="AC223" s="75"/>
      <c r="AD223" s="75"/>
      <c r="AE223" s="592"/>
      <c r="AF223" s="349"/>
      <c r="AG223" s="510">
        <v>0</v>
      </c>
      <c r="AH223" s="377">
        <v>80000</v>
      </c>
      <c r="AI223" s="75"/>
      <c r="AJ223" s="132">
        <v>20000</v>
      </c>
      <c r="AK223" s="75"/>
      <c r="AL223" s="75"/>
      <c r="AM223" s="75"/>
      <c r="AN223" s="136"/>
      <c r="AO223" s="136"/>
      <c r="AP223" s="136"/>
      <c r="AQ223" s="136"/>
      <c r="AR223" s="136"/>
      <c r="AS223" s="136"/>
      <c r="AT223" s="136"/>
      <c r="AU223" s="646"/>
      <c r="AV223" s="434"/>
    </row>
    <row r="224" spans="1:48" ht="73.5" customHeight="1" outlineLevel="1" x14ac:dyDescent="0.25">
      <c r="A224" s="80" t="str">
        <f t="shared" si="1"/>
        <v>1.3.1.5.0.0</v>
      </c>
      <c r="B224" s="81">
        <v>1</v>
      </c>
      <c r="C224" s="81">
        <v>3</v>
      </c>
      <c r="D224" s="81">
        <v>1</v>
      </c>
      <c r="E224" s="81">
        <v>5</v>
      </c>
      <c r="F224" s="81">
        <v>0</v>
      </c>
      <c r="G224" s="81">
        <v>0</v>
      </c>
      <c r="H224" s="114"/>
      <c r="I224" s="114"/>
      <c r="J224" s="1346" t="s">
        <v>327</v>
      </c>
      <c r="K224" s="1346"/>
      <c r="L224" s="81" t="s">
        <v>236</v>
      </c>
      <c r="M224" s="81" t="s">
        <v>240</v>
      </c>
      <c r="N224" s="81" t="s">
        <v>226</v>
      </c>
      <c r="O224" s="81" t="s">
        <v>241</v>
      </c>
      <c r="P224" s="58">
        <v>44571</v>
      </c>
      <c r="Q224" s="58">
        <v>44925</v>
      </c>
      <c r="R224" s="119">
        <f>R234+R233+R232+R231+R230+R229+R228+R227+R226+R225</f>
        <v>2685754</v>
      </c>
      <c r="S224" s="114" t="s">
        <v>242</v>
      </c>
      <c r="T224" s="119">
        <f>+T225+T226+T227+T228</f>
        <v>335719.25</v>
      </c>
      <c r="U224" s="369">
        <f t="shared" ref="U224:AG224" si="46">SUM(U225:U250)</f>
        <v>6172688.5</v>
      </c>
      <c r="V224" s="677">
        <f t="shared" si="46"/>
        <v>6841016.0299999993</v>
      </c>
      <c r="W224" s="369">
        <f t="shared" si="46"/>
        <v>671441.5</v>
      </c>
      <c r="X224" s="369">
        <f t="shared" si="46"/>
        <v>7275905.3300000001</v>
      </c>
      <c r="Y224" s="369">
        <f t="shared" si="46"/>
        <v>2684550</v>
      </c>
      <c r="Z224" s="369">
        <f t="shared" si="46"/>
        <v>3355991.5</v>
      </c>
      <c r="AA224" s="369">
        <f t="shared" si="46"/>
        <v>10122155.33</v>
      </c>
      <c r="AB224" s="369">
        <f t="shared" si="46"/>
        <v>2684550</v>
      </c>
      <c r="AC224" s="369">
        <f t="shared" si="46"/>
        <v>3355991.5</v>
      </c>
      <c r="AD224" s="369">
        <f t="shared" si="46"/>
        <v>10094655.33</v>
      </c>
      <c r="AE224" s="369">
        <f t="shared" si="46"/>
        <v>0</v>
      </c>
      <c r="AF224" s="369">
        <f t="shared" si="46"/>
        <v>345997611.40000004</v>
      </c>
      <c r="AG224" s="369">
        <f t="shared" si="46"/>
        <v>4771666.666666667</v>
      </c>
      <c r="AH224" s="369">
        <f>SUM(AH225:AH250)</f>
        <v>36431100</v>
      </c>
      <c r="AI224" s="369">
        <f t="shared" ref="AI224:AJ224" si="47">SUM(AI225:AI250)</f>
        <v>0</v>
      </c>
      <c r="AJ224" s="369">
        <f t="shared" si="47"/>
        <v>6841016.0299999993</v>
      </c>
      <c r="AK224" s="369">
        <f t="shared" ref="AK224:AM224" si="48">SUM(AK225:AK250)</f>
        <v>0</v>
      </c>
      <c r="AL224" s="369">
        <f t="shared" si="48"/>
        <v>0</v>
      </c>
      <c r="AM224" s="369">
        <f t="shared" si="48"/>
        <v>0</v>
      </c>
      <c r="AN224" s="81" t="s">
        <v>243</v>
      </c>
      <c r="AO224" s="81"/>
      <c r="AP224" s="81"/>
      <c r="AQ224" s="412"/>
      <c r="AR224" s="81"/>
      <c r="AS224" s="474"/>
      <c r="AT224" s="81"/>
      <c r="AU224" s="663"/>
      <c r="AV224" s="433"/>
    </row>
    <row r="225" spans="1:48" ht="120" customHeight="1" outlineLevel="3" x14ac:dyDescent="0.25">
      <c r="A225" s="63" t="str">
        <f t="shared" si="1"/>
        <v>1.3.1.5.1.61</v>
      </c>
      <c r="B225" s="64">
        <v>1</v>
      </c>
      <c r="C225" s="64">
        <v>3</v>
      </c>
      <c r="D225" s="64">
        <v>1</v>
      </c>
      <c r="E225" s="64">
        <v>5</v>
      </c>
      <c r="F225" s="64">
        <v>1</v>
      </c>
      <c r="G225" s="64">
        <v>61</v>
      </c>
      <c r="H225" s="65"/>
      <c r="I225" s="65"/>
      <c r="J225" s="66"/>
      <c r="K225" s="65" t="s">
        <v>245</v>
      </c>
      <c r="L225" s="64" t="s">
        <v>246</v>
      </c>
      <c r="M225" s="64" t="s">
        <v>240</v>
      </c>
      <c r="N225" s="64" t="s">
        <v>247</v>
      </c>
      <c r="O225" s="64" t="s">
        <v>241</v>
      </c>
      <c r="P225" s="69"/>
      <c r="Q225" s="69"/>
      <c r="R225" s="126">
        <v>85055</v>
      </c>
      <c r="S225" s="123" t="s">
        <v>248</v>
      </c>
      <c r="T225" s="124">
        <f>+R225/4</f>
        <v>21263.75</v>
      </c>
      <c r="U225" s="75">
        <v>0</v>
      </c>
      <c r="V225" s="674">
        <f>+AJ225</f>
        <v>0</v>
      </c>
      <c r="W225" s="75">
        <f>+R225/4</f>
        <v>21263.75</v>
      </c>
      <c r="X225" s="75">
        <v>0</v>
      </c>
      <c r="Y225" s="75"/>
      <c r="Z225" s="75">
        <f>+R225/4</f>
        <v>21263.75</v>
      </c>
      <c r="AA225" s="75">
        <v>0</v>
      </c>
      <c r="AB225" s="75"/>
      <c r="AC225" s="75">
        <f>+R225/4</f>
        <v>21263.75</v>
      </c>
      <c r="AD225" s="75">
        <v>0</v>
      </c>
      <c r="AE225" s="592"/>
      <c r="AF225" s="347">
        <f>R225*19</f>
        <v>1616045</v>
      </c>
      <c r="AG225" s="75">
        <v>0</v>
      </c>
      <c r="AH225" s="370">
        <v>0</v>
      </c>
      <c r="AI225" s="75"/>
      <c r="AJ225" s="75"/>
      <c r="AK225" s="75"/>
      <c r="AL225" s="75"/>
      <c r="AM225" s="75"/>
      <c r="AN225" s="64" t="s">
        <v>39</v>
      </c>
      <c r="AO225" s="64"/>
      <c r="AP225" s="64"/>
      <c r="AQ225" s="189"/>
      <c r="AR225" s="64"/>
      <c r="AS225" s="476"/>
      <c r="AT225" s="64"/>
      <c r="AU225" s="646"/>
      <c r="AV225" s="335" t="s">
        <v>250</v>
      </c>
    </row>
    <row r="226" spans="1:48" ht="61.35" customHeight="1" outlineLevel="3" x14ac:dyDescent="0.25">
      <c r="A226" s="63" t="str">
        <f t="shared" si="1"/>
        <v>1.3.1.5.2.61</v>
      </c>
      <c r="B226" s="64">
        <v>1</v>
      </c>
      <c r="C226" s="64">
        <v>3</v>
      </c>
      <c r="D226" s="64">
        <v>1</v>
      </c>
      <c r="E226" s="64">
        <v>5</v>
      </c>
      <c r="F226" s="64">
        <v>2</v>
      </c>
      <c r="G226" s="64">
        <v>61</v>
      </c>
      <c r="H226" s="65"/>
      <c r="I226" s="65"/>
      <c r="J226" s="66"/>
      <c r="K226" s="65" t="s">
        <v>251</v>
      </c>
      <c r="L226" s="64" t="s">
        <v>246</v>
      </c>
      <c r="M226" s="64" t="s">
        <v>240</v>
      </c>
      <c r="N226" s="64" t="s">
        <v>252</v>
      </c>
      <c r="O226" s="64" t="s">
        <v>241</v>
      </c>
      <c r="P226" s="69"/>
      <c r="Q226" s="69"/>
      <c r="R226" s="126">
        <v>1240512</v>
      </c>
      <c r="S226" s="123" t="s">
        <v>248</v>
      </c>
      <c r="T226" s="124">
        <f>+R226/4</f>
        <v>310128</v>
      </c>
      <c r="U226" s="75">
        <v>0</v>
      </c>
      <c r="V226" s="674">
        <f t="shared" ref="V226:V250" si="49">+AJ226</f>
        <v>0</v>
      </c>
      <c r="W226" s="75">
        <f>+R226/4</f>
        <v>310128</v>
      </c>
      <c r="X226" s="75">
        <v>0</v>
      </c>
      <c r="Y226" s="75"/>
      <c r="Z226" s="75">
        <f>+R226/4</f>
        <v>310128</v>
      </c>
      <c r="AA226" s="75">
        <v>0</v>
      </c>
      <c r="AB226" s="75"/>
      <c r="AC226" s="75">
        <f>+R226/4</f>
        <v>310128</v>
      </c>
      <c r="AD226" s="75">
        <v>0</v>
      </c>
      <c r="AE226" s="592"/>
      <c r="AF226" s="347">
        <f>+R226*252*1.1</f>
        <v>343869926.40000004</v>
      </c>
      <c r="AG226" s="75">
        <v>0</v>
      </c>
      <c r="AH226" s="370">
        <v>0</v>
      </c>
      <c r="AI226" s="75"/>
      <c r="AJ226" s="75"/>
      <c r="AK226" s="75"/>
      <c r="AL226" s="75"/>
      <c r="AM226" s="75"/>
      <c r="AN226" s="64" t="s">
        <v>39</v>
      </c>
      <c r="AO226" s="64"/>
      <c r="AP226" s="64"/>
      <c r="AQ226" s="189"/>
      <c r="AR226" s="64"/>
      <c r="AS226" s="476"/>
      <c r="AT226" s="64"/>
      <c r="AU226" s="646"/>
      <c r="AV226" s="335" t="s">
        <v>254</v>
      </c>
    </row>
    <row r="227" spans="1:48" ht="14.45" customHeight="1" outlineLevel="3" x14ac:dyDescent="0.25">
      <c r="A227" s="63" t="str">
        <f t="shared" si="1"/>
        <v>1.3.1.5.3.61</v>
      </c>
      <c r="B227" s="64">
        <v>1</v>
      </c>
      <c r="C227" s="64">
        <v>3</v>
      </c>
      <c r="D227" s="64">
        <v>1</v>
      </c>
      <c r="E227" s="64">
        <v>5</v>
      </c>
      <c r="F227" s="64">
        <v>3</v>
      </c>
      <c r="G227" s="64">
        <v>61</v>
      </c>
      <c r="H227" s="65"/>
      <c r="I227" s="65"/>
      <c r="J227" s="66"/>
      <c r="K227" s="65" t="s">
        <v>328</v>
      </c>
      <c r="L227" s="64" t="s">
        <v>246</v>
      </c>
      <c r="M227" s="64" t="s">
        <v>240</v>
      </c>
      <c r="N227" s="64" t="s">
        <v>329</v>
      </c>
      <c r="O227" s="64" t="s">
        <v>241</v>
      </c>
      <c r="P227" s="69"/>
      <c r="Q227" s="69"/>
      <c r="R227" s="126">
        <v>7310</v>
      </c>
      <c r="S227" s="123" t="s">
        <v>248</v>
      </c>
      <c r="T227" s="124">
        <f>+R227/4</f>
        <v>1827.5</v>
      </c>
      <c r="U227" s="75"/>
      <c r="V227" s="674">
        <f t="shared" si="49"/>
        <v>0</v>
      </c>
      <c r="W227" s="75">
        <f>+R227/4</f>
        <v>1827.5</v>
      </c>
      <c r="X227" s="75"/>
      <c r="Y227" s="75"/>
      <c r="Z227" s="75">
        <f>+R227/4</f>
        <v>1827.5</v>
      </c>
      <c r="AA227" s="75"/>
      <c r="AB227" s="75"/>
      <c r="AC227" s="75">
        <f>+R227/4</f>
        <v>1827.5</v>
      </c>
      <c r="AD227" s="75"/>
      <c r="AE227" s="592"/>
      <c r="AF227" s="347">
        <f>+(R227*40)*1.1</f>
        <v>321640</v>
      </c>
      <c r="AG227" s="75">
        <v>0</v>
      </c>
      <c r="AH227" s="370">
        <v>0</v>
      </c>
      <c r="AI227" s="75"/>
      <c r="AJ227" s="75"/>
      <c r="AK227" s="75"/>
      <c r="AL227" s="75"/>
      <c r="AM227" s="75"/>
      <c r="AN227" s="64" t="s">
        <v>39</v>
      </c>
      <c r="AO227" s="64"/>
      <c r="AP227" s="64"/>
      <c r="AQ227" s="189"/>
      <c r="AR227" s="64"/>
      <c r="AS227" s="476"/>
      <c r="AT227" s="64"/>
      <c r="AU227" s="646"/>
      <c r="AV227" s="433"/>
    </row>
    <row r="228" spans="1:48" ht="14.45" customHeight="1" outlineLevel="3" x14ac:dyDescent="0.25">
      <c r="A228" s="63" t="str">
        <f t="shared" si="1"/>
        <v>1.3.1.5.4.61</v>
      </c>
      <c r="B228" s="64">
        <v>1</v>
      </c>
      <c r="C228" s="64">
        <v>3</v>
      </c>
      <c r="D228" s="64">
        <v>1</v>
      </c>
      <c r="E228" s="64">
        <v>5</v>
      </c>
      <c r="F228" s="64">
        <v>4</v>
      </c>
      <c r="G228" s="64">
        <v>61</v>
      </c>
      <c r="H228" s="65"/>
      <c r="I228" s="65"/>
      <c r="J228" s="66"/>
      <c r="K228" s="65" t="s">
        <v>317</v>
      </c>
      <c r="L228" s="64" t="s">
        <v>246</v>
      </c>
      <c r="M228" s="64" t="s">
        <v>240</v>
      </c>
      <c r="N228" s="64" t="s">
        <v>257</v>
      </c>
      <c r="O228" s="64" t="s">
        <v>241</v>
      </c>
      <c r="P228" s="69"/>
      <c r="Q228" s="69"/>
      <c r="R228" s="126">
        <v>10000</v>
      </c>
      <c r="S228" s="123" t="s">
        <v>248</v>
      </c>
      <c r="T228" s="124">
        <f>+R228/4</f>
        <v>2500</v>
      </c>
      <c r="U228" s="75"/>
      <c r="V228" s="674">
        <f t="shared" si="49"/>
        <v>0</v>
      </c>
      <c r="W228" s="75">
        <f>+R228/4</f>
        <v>2500</v>
      </c>
      <c r="X228" s="75"/>
      <c r="Y228" s="75"/>
      <c r="Z228" s="75">
        <f>+R228/4</f>
        <v>2500</v>
      </c>
      <c r="AA228" s="75"/>
      <c r="AB228" s="75"/>
      <c r="AC228" s="75">
        <f>+R228/4</f>
        <v>2500</v>
      </c>
      <c r="AD228" s="75"/>
      <c r="AE228" s="592"/>
      <c r="AF228" s="347">
        <f>R228*19</f>
        <v>190000</v>
      </c>
      <c r="AG228" s="75">
        <v>0</v>
      </c>
      <c r="AH228" s="370">
        <v>0</v>
      </c>
      <c r="AI228" s="75"/>
      <c r="AJ228" s="75"/>
      <c r="AK228" s="75"/>
      <c r="AL228" s="75"/>
      <c r="AM228" s="75"/>
      <c r="AN228" s="64" t="s">
        <v>39</v>
      </c>
      <c r="AO228" s="64"/>
      <c r="AP228" s="64"/>
      <c r="AQ228" s="189"/>
      <c r="AR228" s="64"/>
      <c r="AS228" s="476"/>
      <c r="AT228" s="64"/>
      <c r="AU228" s="646"/>
      <c r="AV228" s="433"/>
    </row>
    <row r="229" spans="1:48" ht="14.45" customHeight="1" outlineLevel="3" x14ac:dyDescent="0.25">
      <c r="A229" s="63" t="str">
        <f t="shared" si="1"/>
        <v>1.3.1.5.5.61</v>
      </c>
      <c r="B229" s="64">
        <v>1</v>
      </c>
      <c r="C229" s="64">
        <v>3</v>
      </c>
      <c r="D229" s="64">
        <v>1</v>
      </c>
      <c r="E229" s="64">
        <v>5</v>
      </c>
      <c r="F229" s="64">
        <v>5</v>
      </c>
      <c r="G229" s="100">
        <v>61</v>
      </c>
      <c r="H229" s="65"/>
      <c r="I229" s="65"/>
      <c r="J229" s="66"/>
      <c r="K229" s="65" t="s">
        <v>1912</v>
      </c>
      <c r="L229" s="64" t="s">
        <v>246</v>
      </c>
      <c r="M229" s="64" t="s">
        <v>256</v>
      </c>
      <c r="N229" s="64" t="s">
        <v>257</v>
      </c>
      <c r="O229" s="64" t="s">
        <v>241</v>
      </c>
      <c r="P229" s="69"/>
      <c r="Q229" s="69"/>
      <c r="R229" s="126"/>
      <c r="S229" s="123" t="s">
        <v>330</v>
      </c>
      <c r="T229" s="124"/>
      <c r="U229" s="132">
        <v>1434550</v>
      </c>
      <c r="V229" s="702">
        <f t="shared" si="49"/>
        <v>1264500</v>
      </c>
      <c r="W229" s="75"/>
      <c r="X229" s="132">
        <v>2684550</v>
      </c>
      <c r="Y229" s="127">
        <v>2684550</v>
      </c>
      <c r="Z229" s="127">
        <v>2684550</v>
      </c>
      <c r="AA229" s="132">
        <f>+(AH229-U229-X229)/2</f>
        <v>4809550</v>
      </c>
      <c r="AB229" s="127">
        <v>2684550</v>
      </c>
      <c r="AC229" s="127">
        <v>2684550</v>
      </c>
      <c r="AD229" s="132">
        <f>+AH229-U229-X229-AA229</f>
        <v>4809550</v>
      </c>
      <c r="AE229" s="596"/>
      <c r="AF229" s="347" t="s">
        <v>331</v>
      </c>
      <c r="AG229" s="75">
        <v>1666666.6666666667</v>
      </c>
      <c r="AH229" s="370">
        <v>13738200</v>
      </c>
      <c r="AI229" s="75"/>
      <c r="AJ229" s="75">
        <f>413100+349200+248850+253350</f>
        <v>1264500</v>
      </c>
      <c r="AK229" s="75"/>
      <c r="AL229" s="75"/>
      <c r="AM229" s="75"/>
      <c r="AN229" s="64" t="s">
        <v>39</v>
      </c>
      <c r="AO229" s="64" t="s">
        <v>1839</v>
      </c>
      <c r="AP229" s="64" t="s">
        <v>649</v>
      </c>
      <c r="AQ229" s="533" t="s">
        <v>649</v>
      </c>
      <c r="AR229" s="554">
        <v>44562</v>
      </c>
      <c r="AS229" s="554">
        <v>44561</v>
      </c>
      <c r="AT229" s="64" t="s">
        <v>1814</v>
      </c>
      <c r="AU229" s="646" t="s">
        <v>1988</v>
      </c>
      <c r="AV229" s="561" t="s">
        <v>1938</v>
      </c>
    </row>
    <row r="230" spans="1:48" ht="29.1" customHeight="1" outlineLevel="3" x14ac:dyDescent="0.25">
      <c r="A230" s="63" t="str">
        <f t="shared" si="1"/>
        <v>1.3.1.5.6.61</v>
      </c>
      <c r="B230" s="64">
        <v>1</v>
      </c>
      <c r="C230" s="64">
        <v>3</v>
      </c>
      <c r="D230" s="64">
        <v>1</v>
      </c>
      <c r="E230" s="64">
        <v>5</v>
      </c>
      <c r="F230" s="64">
        <v>6</v>
      </c>
      <c r="G230" s="64">
        <v>61</v>
      </c>
      <c r="H230" s="65"/>
      <c r="I230" s="65"/>
      <c r="J230" s="66"/>
      <c r="K230" s="65" t="s">
        <v>304</v>
      </c>
      <c r="L230" s="64" t="s">
        <v>246</v>
      </c>
      <c r="M230" s="64" t="s">
        <v>240</v>
      </c>
      <c r="N230" s="64" t="s">
        <v>247</v>
      </c>
      <c r="O230" s="64" t="s">
        <v>241</v>
      </c>
      <c r="P230" s="69"/>
      <c r="Q230" s="69"/>
      <c r="R230" s="126">
        <v>85055</v>
      </c>
      <c r="S230" s="123" t="s">
        <v>248</v>
      </c>
      <c r="T230" s="124">
        <f t="shared" ref="T230:AC233" si="50">+$R230/4</f>
        <v>21263.75</v>
      </c>
      <c r="U230" s="75"/>
      <c r="V230" s="674">
        <f t="shared" si="49"/>
        <v>0</v>
      </c>
      <c r="W230" s="75">
        <f t="shared" si="50"/>
        <v>21263.75</v>
      </c>
      <c r="X230" s="75"/>
      <c r="Y230" s="75"/>
      <c r="Z230" s="75">
        <f t="shared" si="50"/>
        <v>21263.75</v>
      </c>
      <c r="AA230" s="75"/>
      <c r="AB230" s="75"/>
      <c r="AC230" s="75">
        <f t="shared" si="50"/>
        <v>21263.75</v>
      </c>
      <c r="AD230" s="75"/>
      <c r="AE230" s="592"/>
      <c r="AF230" s="348" t="s">
        <v>260</v>
      </c>
      <c r="AG230" s="129">
        <v>0</v>
      </c>
      <c r="AH230" s="370">
        <v>0</v>
      </c>
      <c r="AI230" s="75"/>
      <c r="AJ230" s="75"/>
      <c r="AK230" s="75"/>
      <c r="AL230" s="75"/>
      <c r="AM230" s="75"/>
      <c r="AN230" s="64" t="s">
        <v>39</v>
      </c>
      <c r="AO230" s="64"/>
      <c r="AP230" s="64"/>
      <c r="AQ230" s="189"/>
      <c r="AR230" s="64"/>
      <c r="AS230" s="476"/>
      <c r="AT230" s="64"/>
      <c r="AU230" s="646"/>
      <c r="AV230" s="335" t="s">
        <v>261</v>
      </c>
    </row>
    <row r="231" spans="1:48" ht="29.1" customHeight="1" outlineLevel="3" x14ac:dyDescent="0.25">
      <c r="A231" s="63" t="str">
        <f t="shared" si="1"/>
        <v>1.3.1.5.7.61</v>
      </c>
      <c r="B231" s="64">
        <v>1</v>
      </c>
      <c r="C231" s="64">
        <v>3</v>
      </c>
      <c r="D231" s="64">
        <v>1</v>
      </c>
      <c r="E231" s="64">
        <v>5</v>
      </c>
      <c r="F231" s="64">
        <v>7</v>
      </c>
      <c r="G231" s="64">
        <v>61</v>
      </c>
      <c r="H231" s="65"/>
      <c r="I231" s="65"/>
      <c r="J231" s="66"/>
      <c r="K231" s="65" t="s">
        <v>262</v>
      </c>
      <c r="L231" s="64" t="s">
        <v>246</v>
      </c>
      <c r="M231" s="64" t="s">
        <v>240</v>
      </c>
      <c r="N231" s="64" t="s">
        <v>252</v>
      </c>
      <c r="O231" s="64" t="s">
        <v>241</v>
      </c>
      <c r="P231" s="69"/>
      <c r="Q231" s="69"/>
      <c r="R231" s="126">
        <v>1240512</v>
      </c>
      <c r="S231" s="123" t="s">
        <v>248</v>
      </c>
      <c r="T231" s="124">
        <f t="shared" si="50"/>
        <v>310128</v>
      </c>
      <c r="U231" s="75"/>
      <c r="V231" s="674">
        <f t="shared" si="49"/>
        <v>0</v>
      </c>
      <c r="W231" s="75">
        <f t="shared" si="50"/>
        <v>310128</v>
      </c>
      <c r="X231" s="75"/>
      <c r="Y231" s="75"/>
      <c r="Z231" s="75">
        <f t="shared" si="50"/>
        <v>310128</v>
      </c>
      <c r="AA231" s="75"/>
      <c r="AB231" s="75"/>
      <c r="AC231" s="75">
        <f t="shared" si="50"/>
        <v>310128</v>
      </c>
      <c r="AD231" s="75"/>
      <c r="AE231" s="592"/>
      <c r="AF231" s="348" t="s">
        <v>260</v>
      </c>
      <c r="AG231" s="129">
        <v>0</v>
      </c>
      <c r="AH231" s="370">
        <v>0</v>
      </c>
      <c r="AI231" s="75"/>
      <c r="AJ231" s="75"/>
      <c r="AK231" s="75"/>
      <c r="AL231" s="75"/>
      <c r="AM231" s="75"/>
      <c r="AN231" s="64" t="s">
        <v>39</v>
      </c>
      <c r="AO231" s="64"/>
      <c r="AP231" s="64"/>
      <c r="AQ231" s="189"/>
      <c r="AR231" s="64"/>
      <c r="AS231" s="476"/>
      <c r="AT231" s="64"/>
      <c r="AU231" s="646"/>
      <c r="AV231" s="335" t="s">
        <v>261</v>
      </c>
    </row>
    <row r="232" spans="1:48" ht="29.1" customHeight="1" outlineLevel="3" x14ac:dyDescent="0.25">
      <c r="A232" s="63" t="str">
        <f t="shared" si="1"/>
        <v>1.3.1.5.8.61</v>
      </c>
      <c r="B232" s="64">
        <v>1</v>
      </c>
      <c r="C232" s="64">
        <v>3</v>
      </c>
      <c r="D232" s="64">
        <v>1</v>
      </c>
      <c r="E232" s="64">
        <v>5</v>
      </c>
      <c r="F232" s="64">
        <v>8</v>
      </c>
      <c r="G232" s="64">
        <v>61</v>
      </c>
      <c r="H232" s="65"/>
      <c r="I232" s="65"/>
      <c r="J232" s="66"/>
      <c r="K232" s="65" t="s">
        <v>332</v>
      </c>
      <c r="L232" s="64" t="s">
        <v>246</v>
      </c>
      <c r="M232" s="64" t="s">
        <v>240</v>
      </c>
      <c r="N232" s="64" t="s">
        <v>252</v>
      </c>
      <c r="O232" s="64" t="s">
        <v>330</v>
      </c>
      <c r="P232" s="69"/>
      <c r="Q232" s="69"/>
      <c r="R232" s="126">
        <v>7310</v>
      </c>
      <c r="S232" s="123" t="s">
        <v>248</v>
      </c>
      <c r="T232" s="124">
        <f t="shared" si="50"/>
        <v>1827.5</v>
      </c>
      <c r="U232" s="75"/>
      <c r="V232" s="674">
        <f t="shared" si="49"/>
        <v>0</v>
      </c>
      <c r="W232" s="75">
        <f t="shared" si="50"/>
        <v>1827.5</v>
      </c>
      <c r="X232" s="75"/>
      <c r="Y232" s="75"/>
      <c r="Z232" s="75">
        <f t="shared" si="50"/>
        <v>1827.5</v>
      </c>
      <c r="AA232" s="75"/>
      <c r="AB232" s="75"/>
      <c r="AC232" s="75">
        <f t="shared" si="50"/>
        <v>1827.5</v>
      </c>
      <c r="AD232" s="75"/>
      <c r="AE232" s="592"/>
      <c r="AF232" s="348" t="s">
        <v>260</v>
      </c>
      <c r="AG232" s="129">
        <v>0</v>
      </c>
      <c r="AH232" s="370">
        <v>0</v>
      </c>
      <c r="AI232" s="75"/>
      <c r="AJ232" s="75"/>
      <c r="AK232" s="75"/>
      <c r="AL232" s="75"/>
      <c r="AM232" s="75"/>
      <c r="AN232" s="64" t="s">
        <v>39</v>
      </c>
      <c r="AO232" s="64"/>
      <c r="AP232" s="64"/>
      <c r="AQ232" s="189"/>
      <c r="AR232" s="64"/>
      <c r="AS232" s="476"/>
      <c r="AT232" s="64"/>
      <c r="AU232" s="646"/>
      <c r="AV232" s="433"/>
    </row>
    <row r="233" spans="1:48" ht="29.1" customHeight="1" outlineLevel="3" x14ac:dyDescent="0.25">
      <c r="A233" s="63" t="str">
        <f t="shared" si="1"/>
        <v>1.3.1.5.9.61</v>
      </c>
      <c r="B233" s="64">
        <v>1</v>
      </c>
      <c r="C233" s="64">
        <v>3</v>
      </c>
      <c r="D233" s="64">
        <v>1</v>
      </c>
      <c r="E233" s="64">
        <v>5</v>
      </c>
      <c r="F233" s="64">
        <v>9</v>
      </c>
      <c r="G233" s="64">
        <v>61</v>
      </c>
      <c r="H233" s="65"/>
      <c r="I233" s="65"/>
      <c r="J233" s="66"/>
      <c r="K233" s="65" t="s">
        <v>333</v>
      </c>
      <c r="L233" s="64" t="s">
        <v>246</v>
      </c>
      <c r="M233" s="64" t="s">
        <v>240</v>
      </c>
      <c r="N233" s="64" t="s">
        <v>257</v>
      </c>
      <c r="O233" s="64" t="s">
        <v>241</v>
      </c>
      <c r="P233" s="69"/>
      <c r="Q233" s="69"/>
      <c r="R233" s="126">
        <v>10000</v>
      </c>
      <c r="S233" s="123" t="s">
        <v>248</v>
      </c>
      <c r="T233" s="124">
        <f t="shared" si="50"/>
        <v>2500</v>
      </c>
      <c r="U233" s="75"/>
      <c r="V233" s="674">
        <f t="shared" si="49"/>
        <v>0</v>
      </c>
      <c r="W233" s="75">
        <f t="shared" si="50"/>
        <v>2500</v>
      </c>
      <c r="X233" s="75"/>
      <c r="Y233" s="75"/>
      <c r="Z233" s="75">
        <f t="shared" si="50"/>
        <v>2500</v>
      </c>
      <c r="AA233" s="75"/>
      <c r="AB233" s="75"/>
      <c r="AC233" s="75">
        <f t="shared" si="50"/>
        <v>2500</v>
      </c>
      <c r="AD233" s="75"/>
      <c r="AE233" s="592"/>
      <c r="AF233" s="348" t="s">
        <v>260</v>
      </c>
      <c r="AG233" s="129">
        <v>0</v>
      </c>
      <c r="AH233" s="370">
        <v>0</v>
      </c>
      <c r="AI233" s="75"/>
      <c r="AJ233" s="75"/>
      <c r="AK233" s="75"/>
      <c r="AL233" s="75"/>
      <c r="AM233" s="75"/>
      <c r="AN233" s="64" t="s">
        <v>39</v>
      </c>
      <c r="AO233" s="64"/>
      <c r="AP233" s="64"/>
      <c r="AQ233" s="189"/>
      <c r="AR233" s="64"/>
      <c r="AS233" s="476"/>
      <c r="AT233" s="64"/>
      <c r="AU233" s="646"/>
      <c r="AV233" s="433"/>
    </row>
    <row r="234" spans="1:48" ht="24.6" customHeight="1" outlineLevel="3" x14ac:dyDescent="0.25">
      <c r="A234" s="63" t="str">
        <f t="shared" si="1"/>
        <v>1.3.1.5.10.61</v>
      </c>
      <c r="B234" s="64">
        <v>1</v>
      </c>
      <c r="C234" s="64">
        <v>3</v>
      </c>
      <c r="D234" s="64">
        <v>1</v>
      </c>
      <c r="E234" s="64">
        <v>5</v>
      </c>
      <c r="F234" s="64">
        <v>10</v>
      </c>
      <c r="G234" s="64">
        <v>61</v>
      </c>
      <c r="H234" s="65"/>
      <c r="I234" s="65"/>
      <c r="J234" s="66"/>
      <c r="K234" s="65" t="s">
        <v>263</v>
      </c>
      <c r="L234" s="64" t="s">
        <v>264</v>
      </c>
      <c r="M234" s="64" t="s">
        <v>76</v>
      </c>
      <c r="N234" s="64" t="s">
        <v>265</v>
      </c>
      <c r="O234" s="64" t="s">
        <v>266</v>
      </c>
      <c r="P234" s="69"/>
      <c r="Q234" s="131"/>
      <c r="R234" s="124"/>
      <c r="S234" s="123" t="s">
        <v>258</v>
      </c>
      <c r="T234" s="124"/>
      <c r="U234" s="75"/>
      <c r="V234" s="674">
        <f t="shared" si="49"/>
        <v>0</v>
      </c>
      <c r="W234" s="75"/>
      <c r="X234" s="75"/>
      <c r="Y234" s="75"/>
      <c r="Z234" s="75"/>
      <c r="AA234" s="75"/>
      <c r="AB234" s="75"/>
      <c r="AC234" s="75"/>
      <c r="AD234" s="75">
        <f>+AH234</f>
        <v>192500</v>
      </c>
      <c r="AE234" s="592"/>
      <c r="AF234" s="347" t="s">
        <v>144</v>
      </c>
      <c r="AG234" s="75">
        <v>192500</v>
      </c>
      <c r="AH234" s="370">
        <f>385000/2</f>
        <v>192500</v>
      </c>
      <c r="AI234" s="75"/>
      <c r="AJ234" s="75"/>
      <c r="AK234" s="75"/>
      <c r="AL234" s="75"/>
      <c r="AM234" s="75"/>
      <c r="AN234" s="64" t="s">
        <v>181</v>
      </c>
      <c r="AO234" s="165"/>
      <c r="AP234" s="165"/>
      <c r="AQ234" s="413"/>
      <c r="AR234" s="64"/>
      <c r="AS234" s="475"/>
      <c r="AT234" s="64"/>
      <c r="AU234" s="646"/>
      <c r="AV234" s="432" t="s">
        <v>268</v>
      </c>
    </row>
    <row r="235" spans="1:48" ht="50.45" customHeight="1" outlineLevel="3" x14ac:dyDescent="0.25">
      <c r="A235" s="63" t="str">
        <f t="shared" si="1"/>
        <v>1.3.1.5.13.61</v>
      </c>
      <c r="B235" s="64">
        <v>1</v>
      </c>
      <c r="C235" s="64">
        <v>3</v>
      </c>
      <c r="D235" s="64">
        <v>1</v>
      </c>
      <c r="E235" s="64">
        <v>5</v>
      </c>
      <c r="F235" s="64">
        <v>13</v>
      </c>
      <c r="G235" s="64">
        <v>61</v>
      </c>
      <c r="H235" s="65"/>
      <c r="I235" s="65"/>
      <c r="J235" s="66"/>
      <c r="K235" s="67" t="s">
        <v>334</v>
      </c>
      <c r="L235" s="68" t="s">
        <v>270</v>
      </c>
      <c r="M235" s="64" t="s">
        <v>279</v>
      </c>
      <c r="N235" s="64"/>
      <c r="O235" s="64"/>
      <c r="P235" s="69"/>
      <c r="Q235" s="69"/>
      <c r="R235" s="124">
        <v>1</v>
      </c>
      <c r="S235" s="123"/>
      <c r="T235" s="124"/>
      <c r="U235" s="75">
        <f>$AH$235/2</f>
        <v>218750</v>
      </c>
      <c r="V235" s="674">
        <f t="shared" si="49"/>
        <v>0</v>
      </c>
      <c r="W235" s="75"/>
      <c r="X235" s="75">
        <f>$AH$235/2</f>
        <v>218750</v>
      </c>
      <c r="Y235" s="75"/>
      <c r="Z235" s="75"/>
      <c r="AA235" s="75">
        <v>0</v>
      </c>
      <c r="AB235" s="75"/>
      <c r="AC235" s="75"/>
      <c r="AD235" s="75">
        <v>0</v>
      </c>
      <c r="AE235" s="592"/>
      <c r="AF235" s="347" t="s">
        <v>272</v>
      </c>
      <c r="AG235" s="75">
        <v>437500</v>
      </c>
      <c r="AH235" s="370">
        <v>437500</v>
      </c>
      <c r="AI235" s="75"/>
      <c r="AJ235" s="75"/>
      <c r="AK235" s="75"/>
      <c r="AL235" s="75"/>
      <c r="AM235" s="75"/>
      <c r="AN235" s="64" t="s">
        <v>39</v>
      </c>
      <c r="AO235" s="64"/>
      <c r="AP235" s="64"/>
      <c r="AQ235" s="189"/>
      <c r="AR235" s="64"/>
      <c r="AS235" s="476"/>
      <c r="AT235" s="64"/>
      <c r="AU235" s="646"/>
      <c r="AV235" s="335" t="s">
        <v>273</v>
      </c>
    </row>
    <row r="236" spans="1:48" ht="14.45" customHeight="1" outlineLevel="3" x14ac:dyDescent="0.25">
      <c r="A236" s="63" t="str">
        <f t="shared" si="1"/>
        <v>1.3.1.5.15.61</v>
      </c>
      <c r="B236" s="64">
        <v>1</v>
      </c>
      <c r="C236" s="64">
        <v>3</v>
      </c>
      <c r="D236" s="64">
        <v>1</v>
      </c>
      <c r="E236" s="64">
        <v>5</v>
      </c>
      <c r="F236" s="64">
        <v>15</v>
      </c>
      <c r="G236" s="100">
        <v>61</v>
      </c>
      <c r="H236" s="65"/>
      <c r="I236" s="65"/>
      <c r="J236" s="66"/>
      <c r="K236" s="65" t="s">
        <v>335</v>
      </c>
      <c r="L236" s="64" t="s">
        <v>72</v>
      </c>
      <c r="M236" s="64" t="s">
        <v>267</v>
      </c>
      <c r="N236" s="64" t="s">
        <v>265</v>
      </c>
      <c r="O236" s="64" t="s">
        <v>275</v>
      </c>
      <c r="P236" s="69"/>
      <c r="Q236" s="69"/>
      <c r="R236" s="124">
        <v>12</v>
      </c>
      <c r="S236" s="123"/>
      <c r="T236" s="124">
        <v>3</v>
      </c>
      <c r="U236" s="75">
        <v>4214388.5</v>
      </c>
      <c r="V236" s="702">
        <f t="shared" si="49"/>
        <v>5484839.8499999996</v>
      </c>
      <c r="W236" s="75">
        <v>3</v>
      </c>
      <c r="X236" s="78">
        <v>4092605.33</v>
      </c>
      <c r="Y236" s="75"/>
      <c r="Z236" s="75">
        <v>3</v>
      </c>
      <c r="AA236" s="78">
        <v>5092605.33</v>
      </c>
      <c r="AB236" s="75"/>
      <c r="AC236" s="75">
        <v>3</v>
      </c>
      <c r="AD236" s="78">
        <v>5092605.33</v>
      </c>
      <c r="AE236" s="592"/>
      <c r="AF236" s="259" t="s">
        <v>309</v>
      </c>
      <c r="AG236" s="75">
        <v>0</v>
      </c>
      <c r="AH236" s="370">
        <v>21042900</v>
      </c>
      <c r="AI236" s="75"/>
      <c r="AJ236" s="75">
        <f>138348+1543513.65+54186.3+1684167.45+190228.5+1874395.95</f>
        <v>5484839.8499999996</v>
      </c>
      <c r="AK236" s="75"/>
      <c r="AL236" s="75"/>
      <c r="AM236" s="75"/>
      <c r="AN236" s="64" t="s">
        <v>39</v>
      </c>
      <c r="AO236" s="165" t="s">
        <v>144</v>
      </c>
      <c r="AP236" s="533" t="s">
        <v>649</v>
      </c>
      <c r="AQ236" s="533" t="s">
        <v>649</v>
      </c>
      <c r="AR236" s="558">
        <v>44562</v>
      </c>
      <c r="AS236" s="554">
        <v>44926</v>
      </c>
      <c r="AT236" s="64" t="s">
        <v>1814</v>
      </c>
      <c r="AU236" s="646" t="s">
        <v>1931</v>
      </c>
      <c r="AV236" s="539" t="s">
        <v>1932</v>
      </c>
    </row>
    <row r="237" spans="1:48" ht="14.45" customHeight="1" outlineLevel="3" x14ac:dyDescent="0.25">
      <c r="A237" s="63" t="str">
        <f t="shared" si="1"/>
        <v>1.3.1.5.17.61</v>
      </c>
      <c r="B237" s="64">
        <v>1</v>
      </c>
      <c r="C237" s="64">
        <v>3</v>
      </c>
      <c r="D237" s="64">
        <v>1</v>
      </c>
      <c r="E237" s="64">
        <v>5</v>
      </c>
      <c r="F237" s="64">
        <v>17</v>
      </c>
      <c r="G237" s="64">
        <v>61</v>
      </c>
      <c r="H237" s="65"/>
      <c r="I237" s="65"/>
      <c r="J237" s="66"/>
      <c r="K237" s="65" t="s">
        <v>336</v>
      </c>
      <c r="L237" s="64" t="s">
        <v>72</v>
      </c>
      <c r="M237" s="64" t="s">
        <v>267</v>
      </c>
      <c r="N237" s="64" t="s">
        <v>337</v>
      </c>
      <c r="O237" s="64" t="s">
        <v>275</v>
      </c>
      <c r="P237" s="69"/>
      <c r="Q237" s="69"/>
      <c r="R237" s="124"/>
      <c r="S237" s="123"/>
      <c r="T237" s="124"/>
      <c r="U237" s="75"/>
      <c r="V237" s="674">
        <f t="shared" si="49"/>
        <v>0</v>
      </c>
      <c r="W237" s="75"/>
      <c r="X237" s="75"/>
      <c r="Y237" s="75"/>
      <c r="Z237" s="75"/>
      <c r="AA237" s="75"/>
      <c r="AB237" s="75"/>
      <c r="AC237" s="75"/>
      <c r="AD237" s="75"/>
      <c r="AE237" s="592"/>
      <c r="AF237" s="347" t="s">
        <v>73</v>
      </c>
      <c r="AG237" s="75">
        <v>0</v>
      </c>
      <c r="AH237" s="370">
        <v>0</v>
      </c>
      <c r="AI237" s="75"/>
      <c r="AJ237" s="75"/>
      <c r="AK237" s="75"/>
      <c r="AL237" s="75"/>
      <c r="AM237" s="75"/>
      <c r="AN237" s="64" t="s">
        <v>39</v>
      </c>
      <c r="AO237" s="64"/>
      <c r="AP237" s="64"/>
      <c r="AQ237" s="64"/>
      <c r="AR237" s="165"/>
      <c r="AS237" s="64"/>
      <c r="AT237" s="64"/>
      <c r="AU237" s="646"/>
      <c r="AV237" s="434"/>
    </row>
    <row r="238" spans="1:48" ht="14.45" customHeight="1" outlineLevel="3" x14ac:dyDescent="0.25">
      <c r="A238" s="63" t="str">
        <f t="shared" si="1"/>
        <v>1.3.1.5.18.61</v>
      </c>
      <c r="B238" s="64">
        <v>1</v>
      </c>
      <c r="C238" s="64">
        <v>3</v>
      </c>
      <c r="D238" s="64">
        <v>1</v>
      </c>
      <c r="E238" s="64">
        <v>5</v>
      </c>
      <c r="F238" s="64">
        <v>18</v>
      </c>
      <c r="G238" s="64">
        <v>61</v>
      </c>
      <c r="H238" s="65"/>
      <c r="I238" s="65"/>
      <c r="J238" s="66"/>
      <c r="K238" s="67" t="s">
        <v>276</v>
      </c>
      <c r="L238" s="64" t="s">
        <v>72</v>
      </c>
      <c r="M238" s="64" t="s">
        <v>271</v>
      </c>
      <c r="N238" s="64" t="s">
        <v>307</v>
      </c>
      <c r="O238" s="64" t="s">
        <v>277</v>
      </c>
      <c r="P238" s="69"/>
      <c r="Q238" s="69"/>
      <c r="R238" s="124"/>
      <c r="S238" s="123"/>
      <c r="T238" s="124"/>
      <c r="U238" s="75">
        <v>75000</v>
      </c>
      <c r="V238" s="674">
        <f t="shared" si="49"/>
        <v>0</v>
      </c>
      <c r="W238" s="75"/>
      <c r="X238" s="75">
        <v>50000</v>
      </c>
      <c r="Y238" s="75"/>
      <c r="Z238" s="75"/>
      <c r="AA238" s="75"/>
      <c r="AB238" s="75"/>
      <c r="AC238" s="75"/>
      <c r="AD238" s="75"/>
      <c r="AE238" s="592"/>
      <c r="AF238" s="347" t="s">
        <v>278</v>
      </c>
      <c r="AG238" s="75">
        <v>125000</v>
      </c>
      <c r="AH238" s="370">
        <v>225000</v>
      </c>
      <c r="AI238" s="75"/>
      <c r="AJ238" s="75"/>
      <c r="AK238" s="75"/>
      <c r="AL238" s="75"/>
      <c r="AM238" s="75"/>
      <c r="AN238" s="189" t="s">
        <v>39</v>
      </c>
      <c r="AO238" s="64"/>
      <c r="AP238" s="64"/>
      <c r="AQ238" s="64"/>
      <c r="AR238" s="64"/>
      <c r="AS238" s="64"/>
      <c r="AT238" s="64"/>
      <c r="AU238" s="646"/>
      <c r="AV238" s="434"/>
    </row>
    <row r="239" spans="1:48" ht="14.45" customHeight="1" outlineLevel="3" x14ac:dyDescent="0.25">
      <c r="A239" s="63" t="str">
        <f t="shared" si="1"/>
        <v>1.3.1.5.19.61</v>
      </c>
      <c r="B239" s="64">
        <v>1</v>
      </c>
      <c r="C239" s="64">
        <v>3</v>
      </c>
      <c r="D239" s="64">
        <v>1</v>
      </c>
      <c r="E239" s="64">
        <v>5</v>
      </c>
      <c r="F239" s="64">
        <v>19</v>
      </c>
      <c r="G239" s="64">
        <v>61</v>
      </c>
      <c r="H239" s="65"/>
      <c r="I239" s="65"/>
      <c r="J239" s="66"/>
      <c r="K239" s="67" t="s">
        <v>1893</v>
      </c>
      <c r="L239" s="64" t="s">
        <v>72</v>
      </c>
      <c r="M239" s="64" t="s">
        <v>279</v>
      </c>
      <c r="N239" s="64" t="s">
        <v>307</v>
      </c>
      <c r="O239" s="68" t="s">
        <v>277</v>
      </c>
      <c r="P239" s="69"/>
      <c r="Q239" s="69"/>
      <c r="R239" s="124"/>
      <c r="S239" s="123"/>
      <c r="T239" s="124"/>
      <c r="U239" s="75">
        <v>100000</v>
      </c>
      <c r="V239" s="702">
        <f t="shared" si="49"/>
        <v>51202.130000000005</v>
      </c>
      <c r="W239" s="75"/>
      <c r="X239" s="75">
        <v>100000</v>
      </c>
      <c r="Y239" s="75"/>
      <c r="Z239" s="75"/>
      <c r="AA239" s="75"/>
      <c r="AB239" s="75"/>
      <c r="AC239" s="75"/>
      <c r="AD239" s="75"/>
      <c r="AE239" s="592"/>
      <c r="AF239" s="259" t="s">
        <v>279</v>
      </c>
      <c r="AG239" s="75">
        <v>200000</v>
      </c>
      <c r="AH239" s="377">
        <v>200000</v>
      </c>
      <c r="AI239" s="132"/>
      <c r="AJ239" s="536">
        <f>8084.68+8344.29+7349.71+27423.45</f>
        <v>51202.130000000005</v>
      </c>
      <c r="AK239" s="132"/>
      <c r="AL239" s="132"/>
      <c r="AM239" s="132"/>
      <c r="AN239" s="189" t="s">
        <v>39</v>
      </c>
      <c r="AO239" s="64"/>
      <c r="AP239" s="64" t="s">
        <v>1917</v>
      </c>
      <c r="AQ239" s="64"/>
      <c r="AR239" s="64"/>
      <c r="AS239" s="64"/>
      <c r="AT239" s="460"/>
      <c r="AU239" s="648" t="s">
        <v>1896</v>
      </c>
      <c r="AV239" s="538" t="s">
        <v>1897</v>
      </c>
    </row>
    <row r="240" spans="1:48" ht="29.1" customHeight="1" outlineLevel="3" x14ac:dyDescent="0.25">
      <c r="A240" s="63" t="str">
        <f t="shared" si="1"/>
        <v>1.3.1.5.25.61</v>
      </c>
      <c r="B240" s="64">
        <v>1</v>
      </c>
      <c r="C240" s="64">
        <v>3</v>
      </c>
      <c r="D240" s="64">
        <v>1</v>
      </c>
      <c r="E240" s="64">
        <v>5</v>
      </c>
      <c r="F240" s="64">
        <v>25</v>
      </c>
      <c r="G240" s="64">
        <v>61</v>
      </c>
      <c r="H240" s="65"/>
      <c r="I240" s="65"/>
      <c r="J240" s="66"/>
      <c r="K240" s="67" t="s">
        <v>338</v>
      </c>
      <c r="L240" s="64" t="s">
        <v>72</v>
      </c>
      <c r="M240" s="64" t="s">
        <v>271</v>
      </c>
      <c r="N240" s="64" t="s">
        <v>307</v>
      </c>
      <c r="O240" s="64" t="s">
        <v>281</v>
      </c>
      <c r="P240" s="69"/>
      <c r="Q240" s="69"/>
      <c r="R240" s="124"/>
      <c r="S240" s="123"/>
      <c r="T240" s="124"/>
      <c r="U240" s="75"/>
      <c r="V240" s="674">
        <f t="shared" si="49"/>
        <v>0</v>
      </c>
      <c r="W240" s="75"/>
      <c r="X240" s="75"/>
      <c r="Y240" s="75"/>
      <c r="Z240" s="75"/>
      <c r="AA240" s="75"/>
      <c r="AB240" s="75"/>
      <c r="AC240" s="75"/>
      <c r="AD240" s="75"/>
      <c r="AE240" s="592"/>
      <c r="AF240" s="347" t="s">
        <v>166</v>
      </c>
      <c r="AG240" s="75">
        <v>0</v>
      </c>
      <c r="AH240" s="377">
        <v>0</v>
      </c>
      <c r="AI240" s="132"/>
      <c r="AJ240" s="132"/>
      <c r="AK240" s="132"/>
      <c r="AL240" s="132"/>
      <c r="AM240" s="132"/>
      <c r="AN240" s="64" t="s">
        <v>39</v>
      </c>
      <c r="AO240" s="64"/>
      <c r="AP240" s="64"/>
      <c r="AQ240" s="64"/>
      <c r="AR240" s="245"/>
      <c r="AS240" s="64"/>
      <c r="AT240" s="64"/>
      <c r="AU240" s="646"/>
      <c r="AV240" s="434"/>
    </row>
    <row r="241" spans="1:60" ht="14.45" customHeight="1" outlineLevel="3" x14ac:dyDescent="0.25">
      <c r="A241" s="63" t="str">
        <f t="shared" si="1"/>
        <v>1.3.1.5.26.61</v>
      </c>
      <c r="B241" s="64">
        <v>1</v>
      </c>
      <c r="C241" s="64">
        <v>3</v>
      </c>
      <c r="D241" s="64">
        <v>1</v>
      </c>
      <c r="E241" s="64">
        <v>5</v>
      </c>
      <c r="F241" s="64">
        <v>26</v>
      </c>
      <c r="G241" s="64">
        <v>61</v>
      </c>
      <c r="H241" s="65"/>
      <c r="I241" s="65"/>
      <c r="J241" s="66"/>
      <c r="K241" s="65" t="s">
        <v>284</v>
      </c>
      <c r="L241" s="64" t="s">
        <v>72</v>
      </c>
      <c r="M241" s="64" t="s">
        <v>271</v>
      </c>
      <c r="N241" s="64" t="s">
        <v>307</v>
      </c>
      <c r="O241" s="64" t="s">
        <v>281</v>
      </c>
      <c r="P241" s="69"/>
      <c r="Q241" s="131"/>
      <c r="R241" s="124"/>
      <c r="S241" s="123"/>
      <c r="T241" s="124"/>
      <c r="U241" s="75"/>
      <c r="V241" s="674">
        <f t="shared" si="49"/>
        <v>0</v>
      </c>
      <c r="W241" s="75"/>
      <c r="X241" s="75"/>
      <c r="Y241" s="75"/>
      <c r="Z241" s="75"/>
      <c r="AA241" s="75"/>
      <c r="AB241" s="75"/>
      <c r="AC241" s="75"/>
      <c r="AD241" s="75"/>
      <c r="AE241" s="592"/>
      <c r="AF241" s="347" t="s">
        <v>166</v>
      </c>
      <c r="AG241" s="75">
        <v>0</v>
      </c>
      <c r="AH241" s="377">
        <v>115000</v>
      </c>
      <c r="AI241" s="132"/>
      <c r="AJ241" s="132"/>
      <c r="AK241" s="132"/>
      <c r="AL241" s="132"/>
      <c r="AM241" s="132"/>
      <c r="AN241" s="64" t="s">
        <v>39</v>
      </c>
      <c r="AO241" s="64"/>
      <c r="AP241" s="64"/>
      <c r="AQ241" s="64"/>
      <c r="AR241" s="64"/>
      <c r="AS241" s="64"/>
      <c r="AT241" s="64"/>
      <c r="AU241" s="646"/>
      <c r="AV241" s="434"/>
    </row>
    <row r="242" spans="1:60" ht="14.45" customHeight="1" outlineLevel="3" x14ac:dyDescent="0.25">
      <c r="A242" s="63" t="str">
        <f t="shared" si="1"/>
        <v>1.3.1.5.27.61</v>
      </c>
      <c r="B242" s="64">
        <v>1</v>
      </c>
      <c r="C242" s="64">
        <v>3</v>
      </c>
      <c r="D242" s="64">
        <v>1</v>
      </c>
      <c r="E242" s="64">
        <v>5</v>
      </c>
      <c r="F242" s="64">
        <v>27</v>
      </c>
      <c r="G242" s="64">
        <v>61</v>
      </c>
      <c r="H242" s="65"/>
      <c r="I242" s="65"/>
      <c r="J242" s="66"/>
      <c r="K242" s="65" t="s">
        <v>339</v>
      </c>
      <c r="L242" s="64" t="s">
        <v>72</v>
      </c>
      <c r="M242" s="64" t="s">
        <v>73</v>
      </c>
      <c r="N242" s="64" t="s">
        <v>307</v>
      </c>
      <c r="O242" s="64" t="s">
        <v>281</v>
      </c>
      <c r="P242" s="69"/>
      <c r="Q242" s="69"/>
      <c r="R242" s="124"/>
      <c r="S242" s="123"/>
      <c r="T242" s="124"/>
      <c r="U242" s="75"/>
      <c r="V242" s="674">
        <f t="shared" si="49"/>
        <v>0</v>
      </c>
      <c r="W242" s="75"/>
      <c r="X242" s="75"/>
      <c r="Y242" s="75"/>
      <c r="Z242" s="75"/>
      <c r="AA242" s="75"/>
      <c r="AB242" s="75"/>
      <c r="AC242" s="75"/>
      <c r="AD242" s="75"/>
      <c r="AE242" s="592"/>
      <c r="AF242" s="347" t="s">
        <v>166</v>
      </c>
      <c r="AG242" s="75">
        <v>0</v>
      </c>
      <c r="AH242" s="377">
        <v>0</v>
      </c>
      <c r="AI242" s="132"/>
      <c r="AJ242" s="132"/>
      <c r="AK242" s="132"/>
      <c r="AL242" s="132"/>
      <c r="AM242" s="132"/>
      <c r="AN242" s="64" t="s">
        <v>39</v>
      </c>
      <c r="AO242" s="64"/>
      <c r="AP242" s="64"/>
      <c r="AQ242" s="64"/>
      <c r="AR242" s="64"/>
      <c r="AS242" s="64"/>
      <c r="AT242" s="64"/>
      <c r="AU242" s="646"/>
      <c r="AV242" s="434"/>
    </row>
    <row r="243" spans="1:60" ht="14.45" customHeight="1" outlineLevel="3" x14ac:dyDescent="0.25">
      <c r="A243" s="63" t="str">
        <f t="shared" si="1"/>
        <v>1.3.1.5.28.61</v>
      </c>
      <c r="B243" s="64">
        <v>1</v>
      </c>
      <c r="C243" s="64">
        <v>3</v>
      </c>
      <c r="D243" s="64">
        <v>1</v>
      </c>
      <c r="E243" s="64">
        <v>5</v>
      </c>
      <c r="F243" s="64">
        <v>28</v>
      </c>
      <c r="G243" s="64">
        <v>61</v>
      </c>
      <c r="H243" s="65"/>
      <c r="I243" s="65"/>
      <c r="J243" s="66"/>
      <c r="K243" s="65" t="s">
        <v>285</v>
      </c>
      <c r="L243" s="64" t="s">
        <v>72</v>
      </c>
      <c r="M243" s="64" t="s">
        <v>279</v>
      </c>
      <c r="N243" s="64" t="s">
        <v>307</v>
      </c>
      <c r="O243" s="64" t="s">
        <v>281</v>
      </c>
      <c r="P243" s="69"/>
      <c r="Q243" s="69"/>
      <c r="R243" s="124"/>
      <c r="S243" s="123"/>
      <c r="T243" s="124"/>
      <c r="U243" s="75"/>
      <c r="V243" s="674">
        <f t="shared" si="49"/>
        <v>0</v>
      </c>
      <c r="W243" s="75"/>
      <c r="X243" s="75"/>
      <c r="Y243" s="75"/>
      <c r="Z243" s="75"/>
      <c r="AA243" s="75"/>
      <c r="AB243" s="75"/>
      <c r="AC243" s="75"/>
      <c r="AD243" s="75"/>
      <c r="AE243" s="592"/>
      <c r="AF243" s="259" t="s">
        <v>279</v>
      </c>
      <c r="AG243" s="75">
        <v>0</v>
      </c>
      <c r="AH243" s="377">
        <v>0</v>
      </c>
      <c r="AI243" s="132"/>
      <c r="AJ243" s="132"/>
      <c r="AK243" s="132"/>
      <c r="AL243" s="132"/>
      <c r="AM243" s="132"/>
      <c r="AN243" s="64" t="s">
        <v>39</v>
      </c>
      <c r="AO243" s="64"/>
      <c r="AP243" s="64"/>
      <c r="AQ243" s="64"/>
      <c r="AR243" s="64"/>
      <c r="AS243" s="64"/>
      <c r="AT243" s="64"/>
      <c r="AU243" s="646"/>
      <c r="AV243" s="434"/>
    </row>
    <row r="244" spans="1:60" ht="14.45" customHeight="1" outlineLevel="3" x14ac:dyDescent="0.25">
      <c r="A244" s="63" t="str">
        <f t="shared" si="1"/>
        <v>1.3.1.5.29.61</v>
      </c>
      <c r="B244" s="64">
        <v>1</v>
      </c>
      <c r="C244" s="64">
        <v>3</v>
      </c>
      <c r="D244" s="64">
        <v>1</v>
      </c>
      <c r="E244" s="64">
        <v>5</v>
      </c>
      <c r="F244" s="64">
        <v>29</v>
      </c>
      <c r="G244" s="64">
        <v>61</v>
      </c>
      <c r="H244" s="65"/>
      <c r="I244" s="65"/>
      <c r="J244" s="66"/>
      <c r="K244" s="65" t="s">
        <v>286</v>
      </c>
      <c r="L244" s="64" t="s">
        <v>72</v>
      </c>
      <c r="M244" s="64" t="s">
        <v>73</v>
      </c>
      <c r="N244" s="64" t="s">
        <v>307</v>
      </c>
      <c r="O244" s="64" t="s">
        <v>281</v>
      </c>
      <c r="P244" s="69"/>
      <c r="Q244" s="69"/>
      <c r="R244" s="124"/>
      <c r="S244" s="123"/>
      <c r="T244" s="124"/>
      <c r="U244" s="75"/>
      <c r="V244" s="674">
        <f t="shared" si="49"/>
        <v>0</v>
      </c>
      <c r="W244" s="75"/>
      <c r="X244" s="75"/>
      <c r="Y244" s="75"/>
      <c r="Z244" s="75"/>
      <c r="AA244" s="75"/>
      <c r="AB244" s="75"/>
      <c r="AC244" s="75"/>
      <c r="AD244" s="75"/>
      <c r="AE244" s="592"/>
      <c r="AF244" s="347" t="s">
        <v>73</v>
      </c>
      <c r="AG244" s="75">
        <v>0</v>
      </c>
      <c r="AH244" s="377">
        <v>0</v>
      </c>
      <c r="AI244" s="132"/>
      <c r="AJ244" s="132"/>
      <c r="AK244" s="132"/>
      <c r="AL244" s="132"/>
      <c r="AM244" s="132"/>
      <c r="AN244" s="64" t="s">
        <v>39</v>
      </c>
      <c r="AO244" s="64"/>
      <c r="AP244" s="64"/>
      <c r="AQ244" s="64"/>
      <c r="AR244" s="64"/>
      <c r="AS244" s="64"/>
      <c r="AT244" s="64"/>
      <c r="AU244" s="646"/>
      <c r="AV244" s="434"/>
    </row>
    <row r="245" spans="1:60" ht="14.45" customHeight="1" outlineLevel="3" x14ac:dyDescent="0.25">
      <c r="A245" s="63" t="str">
        <f t="shared" si="1"/>
        <v>1.3.1.5.30.61</v>
      </c>
      <c r="B245" s="64">
        <v>1</v>
      </c>
      <c r="C245" s="64">
        <v>3</v>
      </c>
      <c r="D245" s="64">
        <v>1</v>
      </c>
      <c r="E245" s="64">
        <v>5</v>
      </c>
      <c r="F245" s="64">
        <v>30</v>
      </c>
      <c r="G245" s="64">
        <v>61</v>
      </c>
      <c r="H245" s="65"/>
      <c r="I245" s="65"/>
      <c r="J245" s="66"/>
      <c r="K245" s="65" t="s">
        <v>287</v>
      </c>
      <c r="L245" s="64" t="s">
        <v>72</v>
      </c>
      <c r="M245" s="64" t="s">
        <v>73</v>
      </c>
      <c r="N245" s="64"/>
      <c r="O245" s="64"/>
      <c r="P245" s="69"/>
      <c r="Q245" s="69"/>
      <c r="R245" s="124">
        <v>1</v>
      </c>
      <c r="S245" s="123"/>
      <c r="T245" s="124"/>
      <c r="U245" s="75"/>
      <c r="V245" s="674">
        <f t="shared" si="49"/>
        <v>0</v>
      </c>
      <c r="W245" s="75"/>
      <c r="X245" s="75"/>
      <c r="Y245" s="75"/>
      <c r="Z245" s="75"/>
      <c r="AA245" s="75"/>
      <c r="AB245" s="75"/>
      <c r="AC245" s="75"/>
      <c r="AD245" s="75"/>
      <c r="AE245" s="592"/>
      <c r="AF245" s="347" t="s">
        <v>73</v>
      </c>
      <c r="AG245" s="75">
        <v>0</v>
      </c>
      <c r="AH245" s="377">
        <v>0</v>
      </c>
      <c r="AI245" s="132"/>
      <c r="AJ245" s="132"/>
      <c r="AK245" s="132"/>
      <c r="AL245" s="132"/>
      <c r="AM245" s="132"/>
      <c r="AN245" s="64" t="s">
        <v>39</v>
      </c>
      <c r="AO245" s="64"/>
      <c r="AP245" s="64"/>
      <c r="AQ245" s="64"/>
      <c r="AR245" s="64"/>
      <c r="AS245" s="64"/>
      <c r="AT245" s="64"/>
      <c r="AU245" s="646"/>
      <c r="AV245" s="434"/>
    </row>
    <row r="246" spans="1:60" ht="14.45" customHeight="1" outlineLevel="3" x14ac:dyDescent="0.25">
      <c r="A246" s="63" t="str">
        <f t="shared" si="1"/>
        <v>1.3.1.5.31.61</v>
      </c>
      <c r="B246" s="64">
        <v>1</v>
      </c>
      <c r="C246" s="64">
        <v>3</v>
      </c>
      <c r="D246" s="64">
        <v>1</v>
      </c>
      <c r="E246" s="64">
        <v>5</v>
      </c>
      <c r="F246" s="64">
        <v>31</v>
      </c>
      <c r="G246" s="64">
        <v>61</v>
      </c>
      <c r="H246" s="65"/>
      <c r="I246" s="65"/>
      <c r="J246" s="66"/>
      <c r="K246" s="65" t="s">
        <v>311</v>
      </c>
      <c r="L246" s="64" t="s">
        <v>72</v>
      </c>
      <c r="M246" s="64" t="s">
        <v>279</v>
      </c>
      <c r="N246" s="64"/>
      <c r="O246" s="64"/>
      <c r="P246" s="69"/>
      <c r="Q246" s="69"/>
      <c r="R246" s="124"/>
      <c r="S246" s="123"/>
      <c r="T246" s="124"/>
      <c r="U246" s="75">
        <v>50000</v>
      </c>
      <c r="V246" s="702">
        <f t="shared" si="49"/>
        <v>20474.05</v>
      </c>
      <c r="W246" s="75"/>
      <c r="X246" s="75">
        <v>50000</v>
      </c>
      <c r="Y246" s="75"/>
      <c r="Z246" s="75"/>
      <c r="AA246" s="75">
        <v>100000</v>
      </c>
      <c r="AB246" s="75"/>
      <c r="AC246" s="75"/>
      <c r="AD246" s="75"/>
      <c r="AE246" s="592"/>
      <c r="AF246" s="347" t="s">
        <v>73</v>
      </c>
      <c r="AG246" s="75">
        <v>200000</v>
      </c>
      <c r="AH246" s="370">
        <v>200000</v>
      </c>
      <c r="AI246" s="75"/>
      <c r="AJ246" s="536">
        <v>20474.05</v>
      </c>
      <c r="AK246" s="75"/>
      <c r="AL246" s="75"/>
      <c r="AM246" s="75"/>
      <c r="AN246" s="64" t="s">
        <v>39</v>
      </c>
      <c r="AO246" s="64" t="s">
        <v>1819</v>
      </c>
      <c r="AP246" s="538" t="s">
        <v>1821</v>
      </c>
      <c r="AQ246" s="538" t="s">
        <v>1822</v>
      </c>
      <c r="AR246" s="64"/>
      <c r="AS246" s="64"/>
      <c r="AT246" s="546" t="s">
        <v>1823</v>
      </c>
      <c r="AU246" s="646">
        <v>42</v>
      </c>
      <c r="AV246" s="434" t="s">
        <v>1820</v>
      </c>
    </row>
    <row r="247" spans="1:60" ht="14.45" customHeight="1" outlineLevel="3" x14ac:dyDescent="0.25">
      <c r="A247" s="63" t="str">
        <f t="shared" ref="A247:A311" si="51">CONCATENATE(B247,".",C247,".",D247,".",E247,".",F247,".",G247)</f>
        <v>1.3.1.5.32.61</v>
      </c>
      <c r="B247" s="64">
        <v>1</v>
      </c>
      <c r="C247" s="64">
        <v>3</v>
      </c>
      <c r="D247" s="64">
        <v>1</v>
      </c>
      <c r="E247" s="64">
        <v>5</v>
      </c>
      <c r="F247" s="64">
        <v>32</v>
      </c>
      <c r="G247" s="64">
        <v>61</v>
      </c>
      <c r="H247" s="65"/>
      <c r="I247" s="65"/>
      <c r="J247" s="66"/>
      <c r="K247" s="137" t="s">
        <v>325</v>
      </c>
      <c r="L247" s="64"/>
      <c r="M247" s="64"/>
      <c r="N247" s="64"/>
      <c r="O247" s="64"/>
      <c r="P247" s="69"/>
      <c r="Q247" s="69"/>
      <c r="R247" s="124"/>
      <c r="S247" s="123"/>
      <c r="T247" s="124"/>
      <c r="U247" s="75"/>
      <c r="V247" s="674">
        <f t="shared" si="49"/>
        <v>0</v>
      </c>
      <c r="W247" s="75"/>
      <c r="X247" s="75"/>
      <c r="Y247" s="75"/>
      <c r="Z247" s="75"/>
      <c r="AA247" s="75"/>
      <c r="AB247" s="75"/>
      <c r="AC247" s="75"/>
      <c r="AD247" s="75"/>
      <c r="AE247" s="592"/>
      <c r="AF247" s="347" t="s">
        <v>73</v>
      </c>
      <c r="AG247" s="75">
        <v>0</v>
      </c>
      <c r="AH247" s="377">
        <v>0</v>
      </c>
      <c r="AI247" s="132"/>
      <c r="AJ247" s="132"/>
      <c r="AK247" s="132"/>
      <c r="AL247" s="132"/>
      <c r="AM247" s="132"/>
      <c r="AN247" s="64" t="s">
        <v>39</v>
      </c>
      <c r="AO247" s="64"/>
      <c r="AP247" s="64"/>
      <c r="AQ247" s="64"/>
      <c r="AR247" s="64"/>
      <c r="AS247" s="64"/>
      <c r="AT247" s="64"/>
      <c r="AU247" s="646"/>
      <c r="AV247" s="434"/>
    </row>
    <row r="248" spans="1:60" ht="69.599999999999994" customHeight="1" outlineLevel="3" x14ac:dyDescent="0.25">
      <c r="A248" s="63" t="str">
        <f t="shared" si="51"/>
        <v>1.3.1.5.33.61</v>
      </c>
      <c r="B248" s="64">
        <v>1</v>
      </c>
      <c r="C248" s="64">
        <v>3</v>
      </c>
      <c r="D248" s="64">
        <v>1</v>
      </c>
      <c r="E248" s="64">
        <v>5</v>
      </c>
      <c r="F248" s="64">
        <v>33</v>
      </c>
      <c r="G248" s="100">
        <v>61</v>
      </c>
      <c r="H248" s="65"/>
      <c r="I248" s="65"/>
      <c r="J248" s="66"/>
      <c r="K248" s="67" t="s">
        <v>326</v>
      </c>
      <c r="L248" s="64" t="s">
        <v>72</v>
      </c>
      <c r="M248" s="64" t="s">
        <v>279</v>
      </c>
      <c r="N248" s="64"/>
      <c r="O248" s="64"/>
      <c r="P248" s="69"/>
      <c r="Q248" s="69"/>
      <c r="R248" s="124"/>
      <c r="S248" s="123"/>
      <c r="T248" s="124"/>
      <c r="U248" s="75">
        <v>0</v>
      </c>
      <c r="V248" s="674">
        <f t="shared" si="49"/>
        <v>0</v>
      </c>
      <c r="W248" s="75"/>
      <c r="X248" s="75">
        <v>0</v>
      </c>
      <c r="Y248" s="75"/>
      <c r="Z248" s="75"/>
      <c r="AA248" s="75">
        <v>0</v>
      </c>
      <c r="AB248" s="75"/>
      <c r="AC248" s="75"/>
      <c r="AD248" s="75">
        <v>0</v>
      </c>
      <c r="AE248" s="592"/>
      <c r="AF248" s="347" t="s">
        <v>73</v>
      </c>
      <c r="AG248" s="75">
        <v>1750000</v>
      </c>
      <c r="AH248" s="377">
        <v>0</v>
      </c>
      <c r="AI248" s="132"/>
      <c r="AJ248" s="132"/>
      <c r="AK248" s="132"/>
      <c r="AL248" s="132"/>
      <c r="AM248" s="132"/>
      <c r="AN248" s="64" t="s">
        <v>39</v>
      </c>
      <c r="AO248" s="64"/>
      <c r="AP248" s="64"/>
      <c r="AQ248" s="64"/>
      <c r="AR248" s="64"/>
      <c r="AS248" s="64"/>
      <c r="AT248" s="64"/>
      <c r="AU248" s="646"/>
      <c r="AV248" s="335" t="s">
        <v>295</v>
      </c>
    </row>
    <row r="249" spans="1:60" ht="14.45" customHeight="1" outlineLevel="3" x14ac:dyDescent="0.25">
      <c r="A249" s="63" t="str">
        <f t="shared" si="51"/>
        <v>1.3.1.5.34.61</v>
      </c>
      <c r="B249" s="64">
        <v>1</v>
      </c>
      <c r="C249" s="64">
        <v>3</v>
      </c>
      <c r="D249" s="64">
        <v>1</v>
      </c>
      <c r="E249" s="64">
        <v>5</v>
      </c>
      <c r="F249" s="64">
        <v>34</v>
      </c>
      <c r="G249" s="64">
        <v>61</v>
      </c>
      <c r="H249" s="65"/>
      <c r="I249" s="65"/>
      <c r="J249" s="66"/>
      <c r="K249" s="67" t="s">
        <v>296</v>
      </c>
      <c r="L249" s="64"/>
      <c r="M249" s="64"/>
      <c r="N249" s="64"/>
      <c r="O249" s="64"/>
      <c r="P249" s="69"/>
      <c r="Q249" s="69"/>
      <c r="R249" s="124"/>
      <c r="S249" s="123"/>
      <c r="T249" s="124"/>
      <c r="U249" s="75">
        <v>50000</v>
      </c>
      <c r="V249" s="674">
        <f t="shared" si="49"/>
        <v>0</v>
      </c>
      <c r="W249" s="75"/>
      <c r="X249" s="75">
        <v>50000</v>
      </c>
      <c r="Y249" s="75"/>
      <c r="Z249" s="75"/>
      <c r="AA249" s="75">
        <v>100000</v>
      </c>
      <c r="AB249" s="75"/>
      <c r="AC249" s="75"/>
      <c r="AD249" s="75"/>
      <c r="AE249" s="592"/>
      <c r="AF249" s="347" t="s">
        <v>73</v>
      </c>
      <c r="AG249" s="75">
        <v>200000</v>
      </c>
      <c r="AH249" s="370">
        <v>200000</v>
      </c>
      <c r="AI249" s="75"/>
      <c r="AJ249" s="75"/>
      <c r="AK249" s="75"/>
      <c r="AL249" s="75"/>
      <c r="AM249" s="75"/>
      <c r="AN249" s="64" t="s">
        <v>39</v>
      </c>
      <c r="AO249" s="64"/>
      <c r="AP249" s="64"/>
      <c r="AQ249" s="64"/>
      <c r="AR249" s="64"/>
      <c r="AS249" s="64"/>
      <c r="AT249" s="64"/>
      <c r="AU249" s="646"/>
      <c r="AV249" s="434"/>
    </row>
    <row r="250" spans="1:60" ht="14.45" customHeight="1" outlineLevel="3" x14ac:dyDescent="0.25">
      <c r="A250" s="99" t="str">
        <f>CONCATENATE(B250,".",C250,".",D250,".",E250,".",F250,".",G250)</f>
        <v>1.3.1.5.36.61</v>
      </c>
      <c r="B250" s="100">
        <v>1</v>
      </c>
      <c r="C250" s="100">
        <v>3</v>
      </c>
      <c r="D250" s="100">
        <v>1</v>
      </c>
      <c r="E250" s="100">
        <v>5</v>
      </c>
      <c r="F250" s="100">
        <v>36</v>
      </c>
      <c r="G250" s="100">
        <v>61</v>
      </c>
      <c r="H250" s="65"/>
      <c r="I250" s="65"/>
      <c r="J250" s="66"/>
      <c r="K250" s="67" t="s">
        <v>298</v>
      </c>
      <c r="L250" s="64"/>
      <c r="M250" s="64" t="s">
        <v>299</v>
      </c>
      <c r="N250" s="64"/>
      <c r="O250" s="64"/>
      <c r="P250" s="138"/>
      <c r="Q250" s="138"/>
      <c r="R250" s="124"/>
      <c r="S250" s="123"/>
      <c r="T250" s="124"/>
      <c r="U250" s="75">
        <v>30000</v>
      </c>
      <c r="V250" s="674">
        <f t="shared" si="49"/>
        <v>20000</v>
      </c>
      <c r="W250" s="75"/>
      <c r="X250" s="75">
        <v>30000</v>
      </c>
      <c r="Y250" s="75"/>
      <c r="Z250" s="75"/>
      <c r="AA250" s="75">
        <v>20000</v>
      </c>
      <c r="AB250" s="75"/>
      <c r="AC250" s="75"/>
      <c r="AD250" s="75"/>
      <c r="AE250" s="592"/>
      <c r="AF250" s="347"/>
      <c r="AG250" s="377">
        <v>0</v>
      </c>
      <c r="AH250" s="377">
        <v>80000</v>
      </c>
      <c r="AI250" s="75"/>
      <c r="AJ250" s="132">
        <v>20000</v>
      </c>
      <c r="AK250" s="75"/>
      <c r="AL250" s="75"/>
      <c r="AM250" s="75"/>
      <c r="AN250" s="64"/>
      <c r="AO250" s="64"/>
      <c r="AP250" s="64"/>
      <c r="AQ250" s="64"/>
      <c r="AR250" s="64"/>
      <c r="AS250" s="64"/>
      <c r="AT250" s="64"/>
      <c r="AU250" s="646"/>
      <c r="AV250" s="434"/>
    </row>
    <row r="251" spans="1:60" s="107" customFormat="1" ht="69.75" customHeight="1" outlineLevel="1" x14ac:dyDescent="0.25">
      <c r="A251" s="80" t="str">
        <f t="shared" si="51"/>
        <v>1.3.1.6.0.0</v>
      </c>
      <c r="B251" s="81">
        <v>1</v>
      </c>
      <c r="C251" s="81">
        <v>3</v>
      </c>
      <c r="D251" s="81">
        <v>1</v>
      </c>
      <c r="E251" s="81">
        <v>6</v>
      </c>
      <c r="F251" s="81">
        <v>0</v>
      </c>
      <c r="G251" s="81">
        <v>0</v>
      </c>
      <c r="H251" s="114"/>
      <c r="I251" s="114"/>
      <c r="J251" s="1346" t="s">
        <v>340</v>
      </c>
      <c r="K251" s="1346"/>
      <c r="L251" s="81" t="s">
        <v>236</v>
      </c>
      <c r="M251" s="81" t="s">
        <v>240</v>
      </c>
      <c r="N251" s="81" t="s">
        <v>226</v>
      </c>
      <c r="O251" s="81" t="s">
        <v>241</v>
      </c>
      <c r="P251" s="58">
        <v>44571</v>
      </c>
      <c r="Q251" s="58">
        <v>44925</v>
      </c>
      <c r="R251" s="119">
        <v>0</v>
      </c>
      <c r="S251" s="114" t="s">
        <v>242</v>
      </c>
      <c r="T251" s="119">
        <f>+T252+T253</f>
        <v>429250</v>
      </c>
      <c r="U251" s="378">
        <f t="shared" ref="U251:AG251" si="52">SUM(U252:U278)</f>
        <v>7165891.4400000004</v>
      </c>
      <c r="V251" s="705">
        <f t="shared" si="52"/>
        <v>6328978.7599999998</v>
      </c>
      <c r="W251" s="378">
        <f t="shared" si="52"/>
        <v>858503</v>
      </c>
      <c r="X251" s="378">
        <f t="shared" si="52"/>
        <v>8175455.2199999997</v>
      </c>
      <c r="Y251" s="378">
        <f t="shared" si="52"/>
        <v>2891650</v>
      </c>
      <c r="Z251" s="378">
        <f t="shared" si="52"/>
        <v>3750153</v>
      </c>
      <c r="AA251" s="378">
        <f t="shared" si="52"/>
        <v>9411788.5500000007</v>
      </c>
      <c r="AB251" s="378">
        <f t="shared" si="52"/>
        <v>2891650</v>
      </c>
      <c r="AC251" s="378">
        <f t="shared" si="52"/>
        <v>3750153</v>
      </c>
      <c r="AD251" s="378">
        <f t="shared" si="52"/>
        <v>9767538.5500000007</v>
      </c>
      <c r="AE251" s="378">
        <f t="shared" si="52"/>
        <v>0</v>
      </c>
      <c r="AF251" s="378">
        <f t="shared" si="52"/>
        <v>443935600.00000006</v>
      </c>
      <c r="AG251" s="378">
        <f t="shared" si="52"/>
        <v>12611486.666666666</v>
      </c>
      <c r="AH251" s="378">
        <f>SUM(AH252:AH278)</f>
        <v>31007750</v>
      </c>
      <c r="AI251" s="378">
        <f t="shared" ref="AI251:AJ251" si="53">SUM(AI252:AI278)</f>
        <v>0</v>
      </c>
      <c r="AJ251" s="378">
        <f t="shared" si="53"/>
        <v>6328978.7599999998</v>
      </c>
      <c r="AK251" s="139"/>
      <c r="AL251" s="139"/>
      <c r="AM251" s="139"/>
      <c r="AN251" s="81" t="s">
        <v>243</v>
      </c>
      <c r="AO251" s="81"/>
      <c r="AP251" s="81"/>
      <c r="AQ251" s="412"/>
      <c r="AR251" s="81"/>
      <c r="AS251" s="474"/>
      <c r="AT251" s="81"/>
      <c r="AU251" s="663"/>
      <c r="AV251" s="436"/>
    </row>
    <row r="252" spans="1:60" ht="131.44999999999999" customHeight="1" outlineLevel="3" x14ac:dyDescent="0.25">
      <c r="A252" s="63" t="str">
        <f t="shared" si="51"/>
        <v>1.3.1.6.1.62</v>
      </c>
      <c r="B252" s="64">
        <v>1</v>
      </c>
      <c r="C252" s="64">
        <v>3</v>
      </c>
      <c r="D252" s="64">
        <v>1</v>
      </c>
      <c r="E252" s="64">
        <v>6</v>
      </c>
      <c r="F252" s="64">
        <v>1</v>
      </c>
      <c r="G252" s="64">
        <v>62</v>
      </c>
      <c r="H252" s="65"/>
      <c r="I252" s="65"/>
      <c r="J252" s="66"/>
      <c r="K252" s="65" t="s">
        <v>245</v>
      </c>
      <c r="L252" s="64" t="s">
        <v>246</v>
      </c>
      <c r="M252" s="64" t="s">
        <v>240</v>
      </c>
      <c r="N252" s="64" t="s">
        <v>247</v>
      </c>
      <c r="O252" s="64" t="s">
        <v>341</v>
      </c>
      <c r="P252" s="69"/>
      <c r="Q252" s="69"/>
      <c r="R252" s="126">
        <v>124000</v>
      </c>
      <c r="S252" s="123" t="s">
        <v>248</v>
      </c>
      <c r="T252" s="124">
        <f>+R252/4</f>
        <v>31000</v>
      </c>
      <c r="U252" s="75">
        <v>0</v>
      </c>
      <c r="V252" s="674">
        <f>+AJ252</f>
        <v>0</v>
      </c>
      <c r="W252" s="75">
        <f>+R252/4</f>
        <v>31000</v>
      </c>
      <c r="X252" s="75">
        <v>0</v>
      </c>
      <c r="Y252" s="75"/>
      <c r="Z252" s="75">
        <f>+R252/4</f>
        <v>31000</v>
      </c>
      <c r="AA252" s="75">
        <v>0</v>
      </c>
      <c r="AB252" s="75"/>
      <c r="AC252" s="75">
        <f>+R252/4</f>
        <v>31000</v>
      </c>
      <c r="AD252" s="75">
        <v>0</v>
      </c>
      <c r="AE252" s="592"/>
      <c r="AF252" s="347">
        <f>R252*19</f>
        <v>2356000</v>
      </c>
      <c r="AG252" s="75">
        <v>0</v>
      </c>
      <c r="AH252" s="370">
        <v>0</v>
      </c>
      <c r="AI252" s="75"/>
      <c r="AJ252" s="75"/>
      <c r="AK252" s="75"/>
      <c r="AL252" s="75"/>
      <c r="AM252" s="75"/>
      <c r="AN252" s="124" t="s">
        <v>39</v>
      </c>
      <c r="AO252" s="124"/>
      <c r="AP252" s="124"/>
      <c r="AQ252" s="415"/>
      <c r="AR252" s="124"/>
      <c r="AS252" s="479"/>
      <c r="AT252" s="124"/>
      <c r="AU252" s="664"/>
      <c r="AV252" s="335" t="s">
        <v>250</v>
      </c>
      <c r="AW252" s="140">
        <v>1500</v>
      </c>
      <c r="AX252" s="141"/>
      <c r="AY252" s="141"/>
      <c r="AZ252" s="142">
        <v>1500</v>
      </c>
      <c r="BA252" s="141"/>
      <c r="BB252" s="141"/>
      <c r="BC252" s="141"/>
      <c r="BD252" s="141"/>
      <c r="BE252" s="141"/>
      <c r="BF252" s="143"/>
      <c r="BG252" s="142">
        <f>AH252*19</f>
        <v>0</v>
      </c>
      <c r="BH252" s="144">
        <f>+((78*1500)+(68*1500)+(64*1500))</f>
        <v>315000</v>
      </c>
    </row>
    <row r="253" spans="1:60" ht="59.45" customHeight="1" outlineLevel="3" x14ac:dyDescent="0.25">
      <c r="A253" s="63" t="str">
        <f t="shared" si="51"/>
        <v>1.3.1.6.2.62</v>
      </c>
      <c r="B253" s="64">
        <v>1</v>
      </c>
      <c r="C253" s="64">
        <v>3</v>
      </c>
      <c r="D253" s="64">
        <v>1</v>
      </c>
      <c r="E253" s="64">
        <v>6</v>
      </c>
      <c r="F253" s="64">
        <v>2</v>
      </c>
      <c r="G253" s="64">
        <v>62</v>
      </c>
      <c r="H253" s="65"/>
      <c r="I253" s="65"/>
      <c r="J253" s="66"/>
      <c r="K253" s="65" t="s">
        <v>251</v>
      </c>
      <c r="L253" s="64" t="s">
        <v>246</v>
      </c>
      <c r="M253" s="64" t="s">
        <v>240</v>
      </c>
      <c r="N253" s="64" t="s">
        <v>252</v>
      </c>
      <c r="O253" s="64" t="s">
        <v>341</v>
      </c>
      <c r="P253" s="69"/>
      <c r="Q253" s="69"/>
      <c r="R253" s="126">
        <v>1593000</v>
      </c>
      <c r="S253" s="123" t="s">
        <v>248</v>
      </c>
      <c r="T253" s="124">
        <f>+R253/4</f>
        <v>398250</v>
      </c>
      <c r="U253" s="75">
        <v>0</v>
      </c>
      <c r="V253" s="674">
        <f t="shared" ref="V253:V278" si="54">+AJ253</f>
        <v>0</v>
      </c>
      <c r="W253" s="75">
        <f>+R253/4</f>
        <v>398250</v>
      </c>
      <c r="X253" s="75">
        <v>0</v>
      </c>
      <c r="Y253" s="75"/>
      <c r="Z253" s="75">
        <f>+R253/4</f>
        <v>398250</v>
      </c>
      <c r="AA253" s="75">
        <v>0</v>
      </c>
      <c r="AB253" s="75"/>
      <c r="AC253" s="75">
        <f>+R253/4</f>
        <v>398250</v>
      </c>
      <c r="AD253" s="75">
        <v>0</v>
      </c>
      <c r="AE253" s="592"/>
      <c r="AF253" s="347">
        <f>+R253*252*1.1</f>
        <v>441579600.00000006</v>
      </c>
      <c r="AG253" s="75">
        <v>0</v>
      </c>
      <c r="AH253" s="370">
        <v>0</v>
      </c>
      <c r="AI253" s="75"/>
      <c r="AJ253" s="75"/>
      <c r="AK253" s="75"/>
      <c r="AL253" s="75"/>
      <c r="AM253" s="75"/>
      <c r="AN253" s="64" t="s">
        <v>39</v>
      </c>
      <c r="AO253" s="64"/>
      <c r="AP253" s="64"/>
      <c r="AQ253" s="189"/>
      <c r="AR253" s="64"/>
      <c r="AS253" s="476"/>
      <c r="AT253" s="64"/>
      <c r="AU253" s="646"/>
      <c r="AV253" s="335" t="s">
        <v>254</v>
      </c>
    </row>
    <row r="254" spans="1:60" ht="14.45" customHeight="1" outlineLevel="3" x14ac:dyDescent="0.25">
      <c r="A254" s="63" t="str">
        <f>CONCATENATE(B254,".",C254,".",D254,".",E254,".",F254,".",G254)</f>
        <v>1.3.1.6.3.62</v>
      </c>
      <c r="B254" s="64">
        <v>1</v>
      </c>
      <c r="C254" s="64">
        <v>3</v>
      </c>
      <c r="D254" s="64">
        <v>1</v>
      </c>
      <c r="E254" s="64">
        <v>6</v>
      </c>
      <c r="F254" s="64">
        <v>3</v>
      </c>
      <c r="G254" s="100">
        <v>62</v>
      </c>
      <c r="H254" s="65"/>
      <c r="I254" s="65"/>
      <c r="J254" s="66"/>
      <c r="K254" s="65" t="s">
        <v>1913</v>
      </c>
      <c r="L254" s="64" t="s">
        <v>246</v>
      </c>
      <c r="M254" s="64" t="s">
        <v>256</v>
      </c>
      <c r="N254" s="64" t="s">
        <v>257</v>
      </c>
      <c r="O254" s="64" t="s">
        <v>341</v>
      </c>
      <c r="P254" s="69"/>
      <c r="Q254" s="131"/>
      <c r="R254" s="126"/>
      <c r="S254" s="123" t="s">
        <v>258</v>
      </c>
      <c r="T254" s="124"/>
      <c r="U254" s="132">
        <v>1491650</v>
      </c>
      <c r="V254" s="702">
        <f t="shared" si="54"/>
        <v>730600</v>
      </c>
      <c r="W254" s="75"/>
      <c r="X254" s="132">
        <v>2891650</v>
      </c>
      <c r="Y254" s="127">
        <v>2891650</v>
      </c>
      <c r="Z254" s="127">
        <v>2891650</v>
      </c>
      <c r="AA254" s="132">
        <f>+(AH254-U254-X254)/2</f>
        <v>4591650</v>
      </c>
      <c r="AB254" s="127">
        <v>2891650</v>
      </c>
      <c r="AC254" s="127">
        <v>2891650</v>
      </c>
      <c r="AD254" s="132">
        <f>+AH254-U254-X254-AA254</f>
        <v>4591650</v>
      </c>
      <c r="AE254" s="596"/>
      <c r="AF254" s="347" t="s">
        <v>342</v>
      </c>
      <c r="AG254" s="75">
        <v>1233666.6666666667</v>
      </c>
      <c r="AH254" s="370">
        <v>13566600</v>
      </c>
      <c r="AI254" s="75"/>
      <c r="AJ254" s="75">
        <f>235900+136800+155900+202000</f>
        <v>730600</v>
      </c>
      <c r="AK254" s="75"/>
      <c r="AL254" s="75"/>
      <c r="AM254" s="75"/>
      <c r="AN254" s="64" t="s">
        <v>39</v>
      </c>
      <c r="AO254" s="64" t="s">
        <v>1839</v>
      </c>
      <c r="AP254" s="64" t="s">
        <v>649</v>
      </c>
      <c r="AQ254" s="533" t="s">
        <v>649</v>
      </c>
      <c r="AR254" s="554">
        <v>44562</v>
      </c>
      <c r="AS254" s="554">
        <v>44561</v>
      </c>
      <c r="AT254" s="64" t="s">
        <v>1814</v>
      </c>
      <c r="AU254" s="646" t="s">
        <v>1939</v>
      </c>
      <c r="AV254" s="561" t="s">
        <v>1938</v>
      </c>
    </row>
    <row r="255" spans="1:60" ht="29.1" customHeight="1" outlineLevel="3" x14ac:dyDescent="0.25">
      <c r="A255" s="63" t="str">
        <f t="shared" si="51"/>
        <v>1.3.1.6.5.62</v>
      </c>
      <c r="B255" s="64">
        <v>1</v>
      </c>
      <c r="C255" s="64">
        <v>3</v>
      </c>
      <c r="D255" s="64">
        <v>1</v>
      </c>
      <c r="E255" s="64">
        <v>6</v>
      </c>
      <c r="F255" s="64">
        <v>5</v>
      </c>
      <c r="G255" s="64">
        <v>62</v>
      </c>
      <c r="H255" s="65"/>
      <c r="I255" s="65"/>
      <c r="J255" s="66"/>
      <c r="K255" s="65" t="s">
        <v>259</v>
      </c>
      <c r="L255" s="64" t="s">
        <v>246</v>
      </c>
      <c r="M255" s="64" t="s">
        <v>240</v>
      </c>
      <c r="N255" s="64" t="s">
        <v>247</v>
      </c>
      <c r="O255" s="64" t="s">
        <v>341</v>
      </c>
      <c r="P255" s="69"/>
      <c r="Q255" s="69"/>
      <c r="R255" s="126">
        <v>124000</v>
      </c>
      <c r="S255" s="123" t="s">
        <v>343</v>
      </c>
      <c r="T255" s="124">
        <f t="shared" ref="T255:AC256" si="55">+$R255/4</f>
        <v>31000</v>
      </c>
      <c r="U255" s="75"/>
      <c r="V255" s="674">
        <f t="shared" si="54"/>
        <v>0</v>
      </c>
      <c r="W255" s="75">
        <f t="shared" si="55"/>
        <v>31000</v>
      </c>
      <c r="X255" s="75"/>
      <c r="Y255" s="75"/>
      <c r="Z255" s="75">
        <f t="shared" si="55"/>
        <v>31000</v>
      </c>
      <c r="AA255" s="75"/>
      <c r="AB255" s="75"/>
      <c r="AC255" s="75">
        <f t="shared" si="55"/>
        <v>31000</v>
      </c>
      <c r="AD255" s="75"/>
      <c r="AE255" s="592"/>
      <c r="AF255" s="348" t="s">
        <v>260</v>
      </c>
      <c r="AG255" s="129">
        <v>0</v>
      </c>
      <c r="AH255" s="377">
        <v>0</v>
      </c>
      <c r="AI255" s="132"/>
      <c r="AJ255" s="132"/>
      <c r="AK255" s="132"/>
      <c r="AL255" s="132"/>
      <c r="AM255" s="132"/>
      <c r="AN255" s="64" t="s">
        <v>39</v>
      </c>
      <c r="AO255" s="64"/>
      <c r="AP255" s="64"/>
      <c r="AQ255" s="189"/>
      <c r="AR255" s="64"/>
      <c r="AS255" s="476"/>
      <c r="AT255" s="64"/>
      <c r="AU255" s="646"/>
      <c r="AV255" s="335" t="s">
        <v>261</v>
      </c>
    </row>
    <row r="256" spans="1:60" ht="33" customHeight="1" outlineLevel="3" x14ac:dyDescent="0.25">
      <c r="A256" s="63" t="str">
        <f t="shared" si="51"/>
        <v>1.3.1.6.6.62</v>
      </c>
      <c r="B256" s="64">
        <v>1</v>
      </c>
      <c r="C256" s="64">
        <v>3</v>
      </c>
      <c r="D256" s="64">
        <v>1</v>
      </c>
      <c r="E256" s="64">
        <v>6</v>
      </c>
      <c r="F256" s="64">
        <v>6</v>
      </c>
      <c r="G256" s="64">
        <v>62</v>
      </c>
      <c r="H256" s="65"/>
      <c r="I256" s="65"/>
      <c r="J256" s="66"/>
      <c r="K256" s="65" t="s">
        <v>305</v>
      </c>
      <c r="L256" s="64" t="s">
        <v>246</v>
      </c>
      <c r="M256" s="64" t="s">
        <v>240</v>
      </c>
      <c r="N256" s="64" t="s">
        <v>257</v>
      </c>
      <c r="O256" s="64" t="s">
        <v>341</v>
      </c>
      <c r="P256" s="69"/>
      <c r="Q256" s="69"/>
      <c r="R256" s="126">
        <v>1593000</v>
      </c>
      <c r="S256" s="123" t="s">
        <v>248</v>
      </c>
      <c r="T256" s="124">
        <f t="shared" si="55"/>
        <v>398250</v>
      </c>
      <c r="U256" s="75"/>
      <c r="V256" s="674">
        <f t="shared" si="54"/>
        <v>0</v>
      </c>
      <c r="W256" s="75">
        <f t="shared" si="55"/>
        <v>398250</v>
      </c>
      <c r="X256" s="75"/>
      <c r="Y256" s="75"/>
      <c r="Z256" s="75">
        <f t="shared" si="55"/>
        <v>398250</v>
      </c>
      <c r="AA256" s="75"/>
      <c r="AB256" s="75"/>
      <c r="AC256" s="75">
        <f t="shared" si="55"/>
        <v>398250</v>
      </c>
      <c r="AD256" s="75"/>
      <c r="AE256" s="592"/>
      <c r="AF256" s="348" t="s">
        <v>260</v>
      </c>
      <c r="AG256" s="129">
        <v>0</v>
      </c>
      <c r="AH256" s="377">
        <v>0</v>
      </c>
      <c r="AI256" s="132"/>
      <c r="AJ256" s="132"/>
      <c r="AK256" s="132"/>
      <c r="AL256" s="132"/>
      <c r="AM256" s="132"/>
      <c r="AN256" s="64" t="s">
        <v>39</v>
      </c>
      <c r="AO256" s="64"/>
      <c r="AP256" s="64"/>
      <c r="AQ256" s="189"/>
      <c r="AR256" s="64"/>
      <c r="AS256" s="476"/>
      <c r="AT256" s="64"/>
      <c r="AU256" s="646"/>
      <c r="AV256" s="335" t="s">
        <v>261</v>
      </c>
    </row>
    <row r="257" spans="1:48" ht="27" customHeight="1" outlineLevel="3" x14ac:dyDescent="0.25">
      <c r="A257" s="63" t="str">
        <f t="shared" si="51"/>
        <v>1.3.1.6.7.62</v>
      </c>
      <c r="B257" s="64">
        <v>1</v>
      </c>
      <c r="C257" s="64">
        <v>3</v>
      </c>
      <c r="D257" s="64">
        <v>1</v>
      </c>
      <c r="E257" s="64">
        <v>6</v>
      </c>
      <c r="F257" s="64">
        <v>7</v>
      </c>
      <c r="G257" s="64">
        <v>62</v>
      </c>
      <c r="H257" s="65"/>
      <c r="I257" s="65"/>
      <c r="J257" s="66"/>
      <c r="K257" s="65" t="s">
        <v>263</v>
      </c>
      <c r="L257" s="64" t="s">
        <v>264</v>
      </c>
      <c r="M257" s="64" t="s">
        <v>76</v>
      </c>
      <c r="N257" s="64" t="s">
        <v>265</v>
      </c>
      <c r="O257" s="64" t="s">
        <v>266</v>
      </c>
      <c r="P257" s="69"/>
      <c r="Q257" s="69"/>
      <c r="R257" s="124"/>
      <c r="S257" s="123"/>
      <c r="T257" s="124"/>
      <c r="U257" s="75"/>
      <c r="V257" s="674">
        <f t="shared" si="54"/>
        <v>0</v>
      </c>
      <c r="W257" s="75"/>
      <c r="X257" s="75"/>
      <c r="Y257" s="75"/>
      <c r="Z257" s="75"/>
      <c r="AA257" s="75"/>
      <c r="AB257" s="75"/>
      <c r="AC257" s="75"/>
      <c r="AD257" s="75">
        <f>+AH257</f>
        <v>175750</v>
      </c>
      <c r="AE257" s="592"/>
      <c r="AF257" s="347" t="s">
        <v>144</v>
      </c>
      <c r="AG257" s="75">
        <v>175750</v>
      </c>
      <c r="AH257" s="377">
        <f>+((10*500)+(35*450)*22)/2</f>
        <v>175750</v>
      </c>
      <c r="AI257" s="132"/>
      <c r="AJ257" s="132"/>
      <c r="AK257" s="132"/>
      <c r="AL257" s="132"/>
      <c r="AM257" s="132"/>
      <c r="AN257" s="64" t="s">
        <v>181</v>
      </c>
      <c r="AO257" s="165"/>
      <c r="AP257" s="165"/>
      <c r="AQ257" s="413"/>
      <c r="AR257" s="64"/>
      <c r="AS257" s="475"/>
      <c r="AT257" s="64"/>
      <c r="AU257" s="646"/>
      <c r="AV257" s="432" t="s">
        <v>268</v>
      </c>
    </row>
    <row r="258" spans="1:48" ht="51.6" customHeight="1" outlineLevel="3" x14ac:dyDescent="0.25">
      <c r="A258" s="63" t="str">
        <f t="shared" si="51"/>
        <v>1.3.1.6.10.62</v>
      </c>
      <c r="B258" s="64">
        <v>1</v>
      </c>
      <c r="C258" s="64">
        <v>3</v>
      </c>
      <c r="D258" s="64">
        <v>1</v>
      </c>
      <c r="E258" s="64">
        <v>6</v>
      </c>
      <c r="F258" s="64">
        <v>10</v>
      </c>
      <c r="G258" s="64">
        <v>62</v>
      </c>
      <c r="H258" s="65"/>
      <c r="I258" s="65"/>
      <c r="J258" s="66"/>
      <c r="K258" s="67" t="s">
        <v>1722</v>
      </c>
      <c r="L258" s="68" t="s">
        <v>270</v>
      </c>
      <c r="M258" s="64" t="s">
        <v>279</v>
      </c>
      <c r="N258" s="64"/>
      <c r="O258" s="64"/>
      <c r="P258" s="69"/>
      <c r="Q258" s="69"/>
      <c r="R258" s="124"/>
      <c r="S258" s="123"/>
      <c r="T258" s="124"/>
      <c r="U258" s="75">
        <f>+AH258/2</f>
        <v>218750</v>
      </c>
      <c r="V258" s="674">
        <f t="shared" si="54"/>
        <v>0</v>
      </c>
      <c r="W258" s="75"/>
      <c r="X258" s="75">
        <f>+AH258/2</f>
        <v>218750</v>
      </c>
      <c r="Y258" s="75"/>
      <c r="Z258" s="75"/>
      <c r="AA258" s="75">
        <v>0</v>
      </c>
      <c r="AB258" s="75"/>
      <c r="AC258" s="75"/>
      <c r="AD258" s="75">
        <v>0</v>
      </c>
      <c r="AE258" s="592"/>
      <c r="AF258" s="347" t="s">
        <v>272</v>
      </c>
      <c r="AG258" s="75">
        <v>437500</v>
      </c>
      <c r="AH258" s="370">
        <v>437500</v>
      </c>
      <c r="AI258" s="75"/>
      <c r="AJ258" s="75"/>
      <c r="AK258" s="75"/>
      <c r="AL258" s="75"/>
      <c r="AM258" s="75"/>
      <c r="AN258" s="64" t="s">
        <v>39</v>
      </c>
      <c r="AO258" s="64"/>
      <c r="AP258" s="64"/>
      <c r="AQ258" s="189"/>
      <c r="AR258" s="64"/>
      <c r="AS258" s="476"/>
      <c r="AT258" s="64"/>
      <c r="AU258" s="646"/>
      <c r="AV258" s="335" t="s">
        <v>273</v>
      </c>
    </row>
    <row r="259" spans="1:48" ht="14.45" customHeight="1" outlineLevel="3" x14ac:dyDescent="0.25">
      <c r="A259" s="63" t="str">
        <f t="shared" si="51"/>
        <v>1.3.1.6.11.62</v>
      </c>
      <c r="B259" s="64">
        <v>1</v>
      </c>
      <c r="C259" s="64">
        <v>3</v>
      </c>
      <c r="D259" s="64">
        <v>1</v>
      </c>
      <c r="E259" s="64">
        <v>6</v>
      </c>
      <c r="F259" s="64">
        <v>11</v>
      </c>
      <c r="G259" s="64">
        <v>62</v>
      </c>
      <c r="H259" s="65"/>
      <c r="I259" s="65"/>
      <c r="J259" s="66"/>
      <c r="K259" s="556" t="s">
        <v>344</v>
      </c>
      <c r="L259" s="64"/>
      <c r="M259" s="64"/>
      <c r="N259" s="64"/>
      <c r="O259" s="64"/>
      <c r="P259" s="69"/>
      <c r="Q259" s="69"/>
      <c r="R259" s="124"/>
      <c r="S259" s="123"/>
      <c r="T259" s="124"/>
      <c r="U259" s="75"/>
      <c r="V259" s="674">
        <f t="shared" si="54"/>
        <v>0</v>
      </c>
      <c r="W259" s="75"/>
      <c r="X259" s="75"/>
      <c r="Y259" s="75"/>
      <c r="Z259" s="75"/>
      <c r="AA259" s="75"/>
      <c r="AB259" s="75"/>
      <c r="AC259" s="75"/>
      <c r="AD259" s="75"/>
      <c r="AE259" s="592"/>
      <c r="AF259" s="347" t="s">
        <v>345</v>
      </c>
      <c r="AG259" s="75">
        <v>0</v>
      </c>
      <c r="AH259" s="377">
        <v>0</v>
      </c>
      <c r="AI259" s="132"/>
      <c r="AJ259" s="132"/>
      <c r="AK259" s="132"/>
      <c r="AL259" s="132"/>
      <c r="AM259" s="132"/>
      <c r="AN259" s="64" t="s">
        <v>39</v>
      </c>
      <c r="AO259" s="64"/>
      <c r="AP259" s="64"/>
      <c r="AQ259" s="189"/>
      <c r="AR259" s="64"/>
      <c r="AS259" s="476"/>
      <c r="AT259" s="64"/>
      <c r="AU259" s="646"/>
      <c r="AV259" s="433"/>
    </row>
    <row r="260" spans="1:48" ht="14.45" customHeight="1" outlineLevel="3" x14ac:dyDescent="0.25">
      <c r="A260" s="63" t="str">
        <f t="shared" si="51"/>
        <v>1.3.1.6.12.62</v>
      </c>
      <c r="B260" s="64">
        <v>1</v>
      </c>
      <c r="C260" s="64">
        <v>3</v>
      </c>
      <c r="D260" s="64">
        <v>1</v>
      </c>
      <c r="E260" s="64">
        <v>6</v>
      </c>
      <c r="F260" s="64">
        <v>12</v>
      </c>
      <c r="G260" s="100">
        <v>62</v>
      </c>
      <c r="H260" s="65"/>
      <c r="I260" s="65"/>
      <c r="J260" s="66"/>
      <c r="K260" s="86" t="s">
        <v>1723</v>
      </c>
      <c r="L260" s="64" t="s">
        <v>72</v>
      </c>
      <c r="M260" s="64" t="s">
        <v>267</v>
      </c>
      <c r="N260" s="64" t="s">
        <v>265</v>
      </c>
      <c r="O260" s="64" t="s">
        <v>275</v>
      </c>
      <c r="P260" s="69"/>
      <c r="Q260" s="69"/>
      <c r="R260" s="124">
        <v>12</v>
      </c>
      <c r="S260" s="123"/>
      <c r="T260" s="124">
        <v>3</v>
      </c>
      <c r="U260" s="75">
        <v>5030491.4400000004</v>
      </c>
      <c r="V260" s="702">
        <f t="shared" si="54"/>
        <v>5380797.6600000001</v>
      </c>
      <c r="W260" s="75">
        <v>3</v>
      </c>
      <c r="X260" s="78">
        <v>4710055.22</v>
      </c>
      <c r="Y260" s="75"/>
      <c r="Z260" s="75">
        <v>3</v>
      </c>
      <c r="AA260" s="78">
        <v>4700138.55</v>
      </c>
      <c r="AB260" s="75"/>
      <c r="AC260" s="75">
        <v>3</v>
      </c>
      <c r="AD260" s="78">
        <v>4900138.55</v>
      </c>
      <c r="AE260" s="592"/>
      <c r="AF260" s="259" t="s">
        <v>309</v>
      </c>
      <c r="AG260" s="75">
        <v>8094570</v>
      </c>
      <c r="AH260" s="377">
        <v>15642900</v>
      </c>
      <c r="AI260" s="132"/>
      <c r="AJ260" s="132">
        <f>1661323.16+138348+1771540.4+27669.6+1781916.5</f>
        <v>5380797.6600000001</v>
      </c>
      <c r="AK260" s="132"/>
      <c r="AL260" s="132"/>
      <c r="AM260" s="132"/>
      <c r="AN260" s="64" t="s">
        <v>39</v>
      </c>
      <c r="AO260" s="165" t="s">
        <v>144</v>
      </c>
      <c r="AP260" s="557" t="s">
        <v>649</v>
      </c>
      <c r="AQ260" s="557" t="s">
        <v>649</v>
      </c>
      <c r="AR260" s="558">
        <v>44562</v>
      </c>
      <c r="AS260" s="559">
        <v>44926</v>
      </c>
      <c r="AT260" s="64" t="s">
        <v>1814</v>
      </c>
      <c r="AU260" s="646" t="s">
        <v>1933</v>
      </c>
      <c r="AV260" s="539" t="s">
        <v>1934</v>
      </c>
    </row>
    <row r="261" spans="1:48" ht="14.45" customHeight="1" outlineLevel="3" x14ac:dyDescent="0.25">
      <c r="A261" s="63" t="str">
        <f t="shared" si="51"/>
        <v>1.3.1.6.14.62</v>
      </c>
      <c r="B261" s="64">
        <v>1</v>
      </c>
      <c r="C261" s="64">
        <v>3</v>
      </c>
      <c r="D261" s="64">
        <v>1</v>
      </c>
      <c r="E261" s="64">
        <v>6</v>
      </c>
      <c r="F261" s="64">
        <v>14</v>
      </c>
      <c r="G261" s="64">
        <v>62</v>
      </c>
      <c r="H261" s="65"/>
      <c r="I261" s="65"/>
      <c r="J261" s="66"/>
      <c r="K261" s="86" t="s">
        <v>346</v>
      </c>
      <c r="L261" s="64" t="s">
        <v>72</v>
      </c>
      <c r="M261" s="64" t="s">
        <v>267</v>
      </c>
      <c r="N261" s="64" t="s">
        <v>337</v>
      </c>
      <c r="O261" s="64" t="s">
        <v>275</v>
      </c>
      <c r="P261" s="69"/>
      <c r="Q261" s="69"/>
      <c r="R261" s="124"/>
      <c r="S261" s="123"/>
      <c r="T261" s="124"/>
      <c r="U261" s="75"/>
      <c r="V261" s="674">
        <f t="shared" si="54"/>
        <v>0</v>
      </c>
      <c r="W261" s="75"/>
      <c r="X261" s="75"/>
      <c r="Y261" s="75"/>
      <c r="Z261" s="75"/>
      <c r="AA261" s="75"/>
      <c r="AB261" s="75"/>
      <c r="AC261" s="75"/>
      <c r="AD261" s="75"/>
      <c r="AE261" s="592"/>
      <c r="AF261" s="347" t="s">
        <v>73</v>
      </c>
      <c r="AG261" s="75">
        <v>0</v>
      </c>
      <c r="AH261" s="377">
        <v>0</v>
      </c>
      <c r="AI261" s="132"/>
      <c r="AJ261" s="132"/>
      <c r="AK261" s="132"/>
      <c r="AL261" s="132"/>
      <c r="AM261" s="132"/>
      <c r="AN261" s="64" t="s">
        <v>39</v>
      </c>
      <c r="AO261" s="165"/>
      <c r="AP261" s="64"/>
      <c r="AQ261" s="189"/>
      <c r="AR261" s="64"/>
      <c r="AS261" s="476"/>
      <c r="AT261" s="64"/>
      <c r="AU261" s="646"/>
      <c r="AV261" s="433"/>
    </row>
    <row r="262" spans="1:48" ht="14.25" customHeight="1" outlineLevel="3" x14ac:dyDescent="0.25">
      <c r="A262" s="63" t="str">
        <f t="shared" si="51"/>
        <v>1.3.1.6.15.62</v>
      </c>
      <c r="B262" s="64">
        <v>1</v>
      </c>
      <c r="C262" s="64">
        <v>3</v>
      </c>
      <c r="D262" s="64">
        <v>1</v>
      </c>
      <c r="E262" s="64">
        <v>6</v>
      </c>
      <c r="F262" s="64">
        <v>15</v>
      </c>
      <c r="G262" s="64">
        <v>62</v>
      </c>
      <c r="H262" s="65"/>
      <c r="I262" s="65"/>
      <c r="J262" s="66"/>
      <c r="K262" s="86" t="s">
        <v>276</v>
      </c>
      <c r="L262" s="64" t="s">
        <v>72</v>
      </c>
      <c r="M262" s="64" t="s">
        <v>271</v>
      </c>
      <c r="N262" s="64" t="s">
        <v>307</v>
      </c>
      <c r="O262" s="64" t="s">
        <v>277</v>
      </c>
      <c r="P262" s="69"/>
      <c r="Q262" s="69"/>
      <c r="R262" s="124"/>
      <c r="S262" s="123"/>
      <c r="T262" s="124"/>
      <c r="U262" s="75">
        <v>125000</v>
      </c>
      <c r="V262" s="702">
        <f t="shared" si="54"/>
        <v>125904.92</v>
      </c>
      <c r="W262" s="75"/>
      <c r="X262" s="75">
        <v>125000</v>
      </c>
      <c r="Y262" s="75"/>
      <c r="Z262" s="75"/>
      <c r="AA262" s="75"/>
      <c r="AB262" s="75"/>
      <c r="AC262" s="75"/>
      <c r="AD262" s="75"/>
      <c r="AE262" s="592"/>
      <c r="AF262" s="347" t="s">
        <v>278</v>
      </c>
      <c r="AG262" s="75">
        <v>250000</v>
      </c>
      <c r="AH262" s="375">
        <v>350000</v>
      </c>
      <c r="AI262" s="129"/>
      <c r="AJ262" s="129">
        <v>125904.92</v>
      </c>
      <c r="AK262" s="129"/>
      <c r="AL262" s="129"/>
      <c r="AM262" s="129"/>
      <c r="AN262" s="189" t="s">
        <v>39</v>
      </c>
      <c r="AO262" s="533" t="s">
        <v>1819</v>
      </c>
      <c r="AP262" s="533" t="s">
        <v>1831</v>
      </c>
      <c r="AQ262" s="538" t="s">
        <v>1830</v>
      </c>
      <c r="AR262" s="533"/>
      <c r="AS262" s="533"/>
      <c r="AT262" s="546" t="s">
        <v>1832</v>
      </c>
      <c r="AU262" s="646">
        <v>125</v>
      </c>
      <c r="AV262" s="538" t="s">
        <v>1827</v>
      </c>
    </row>
    <row r="263" spans="1:48" ht="14.45" customHeight="1" outlineLevel="3" x14ac:dyDescent="0.25">
      <c r="A263" s="63" t="str">
        <f t="shared" si="51"/>
        <v>1.3.1.6.16.62</v>
      </c>
      <c r="B263" s="64">
        <v>1</v>
      </c>
      <c r="C263" s="64">
        <v>3</v>
      </c>
      <c r="D263" s="64">
        <v>1</v>
      </c>
      <c r="E263" s="64">
        <v>6</v>
      </c>
      <c r="F263" s="64">
        <v>16</v>
      </c>
      <c r="G263" s="64">
        <v>62</v>
      </c>
      <c r="H263" s="65"/>
      <c r="I263" s="65"/>
      <c r="J263" s="66"/>
      <c r="K263" s="86" t="s">
        <v>1894</v>
      </c>
      <c r="L263" s="64" t="s">
        <v>72</v>
      </c>
      <c r="M263" s="64" t="s">
        <v>279</v>
      </c>
      <c r="N263" s="64" t="s">
        <v>307</v>
      </c>
      <c r="O263" s="68" t="s">
        <v>277</v>
      </c>
      <c r="P263" s="69"/>
      <c r="Q263" s="69"/>
      <c r="R263" s="124"/>
      <c r="S263" s="123"/>
      <c r="T263" s="124"/>
      <c r="U263" s="75">
        <v>100000</v>
      </c>
      <c r="V263" s="702">
        <f t="shared" si="54"/>
        <v>51202.130000000005</v>
      </c>
      <c r="W263" s="75"/>
      <c r="X263" s="75">
        <v>100000</v>
      </c>
      <c r="Y263" s="75"/>
      <c r="Z263" s="75"/>
      <c r="AA263" s="75"/>
      <c r="AB263" s="75"/>
      <c r="AC263" s="75"/>
      <c r="AD263" s="75"/>
      <c r="AE263" s="592"/>
      <c r="AF263" s="259" t="s">
        <v>279</v>
      </c>
      <c r="AG263" s="75">
        <v>200000</v>
      </c>
      <c r="AH263" s="377">
        <v>200000</v>
      </c>
      <c r="AI263" s="132"/>
      <c r="AJ263" s="536">
        <f>8084.68+8344.29+7349.71+27423.45</f>
        <v>51202.130000000005</v>
      </c>
      <c r="AK263" s="132"/>
      <c r="AL263" s="132"/>
      <c r="AM263" s="132"/>
      <c r="AN263" s="64" t="s">
        <v>39</v>
      </c>
      <c r="AO263" s="64"/>
      <c r="AP263" s="189" t="s">
        <v>1917</v>
      </c>
      <c r="AQ263" s="64"/>
      <c r="AR263" s="64"/>
      <c r="AS263" s="64"/>
      <c r="AT263" s="460"/>
      <c r="AU263" s="648" t="s">
        <v>1896</v>
      </c>
      <c r="AV263" s="538" t="s">
        <v>1897</v>
      </c>
    </row>
    <row r="264" spans="1:48" ht="14.45" customHeight="1" outlineLevel="3" x14ac:dyDescent="0.25">
      <c r="A264" s="63" t="str">
        <f t="shared" si="51"/>
        <v>1.3.1.6.17.62</v>
      </c>
      <c r="B264" s="64">
        <v>1</v>
      </c>
      <c r="C264" s="64">
        <v>3</v>
      </c>
      <c r="D264" s="64">
        <v>1</v>
      </c>
      <c r="E264" s="64">
        <v>6</v>
      </c>
      <c r="F264" s="64">
        <v>17</v>
      </c>
      <c r="G264" s="64">
        <v>62</v>
      </c>
      <c r="H264" s="65"/>
      <c r="I264" s="65"/>
      <c r="J264" s="66"/>
      <c r="K264" s="86" t="s">
        <v>347</v>
      </c>
      <c r="L264" s="64" t="s">
        <v>72</v>
      </c>
      <c r="M264" s="64" t="s">
        <v>271</v>
      </c>
      <c r="N264" s="64" t="s">
        <v>307</v>
      </c>
      <c r="O264" s="64" t="s">
        <v>281</v>
      </c>
      <c r="P264" s="69"/>
      <c r="Q264" s="69"/>
      <c r="R264" s="124"/>
      <c r="S264" s="123"/>
      <c r="T264" s="124"/>
      <c r="U264" s="75"/>
      <c r="V264" s="674">
        <f t="shared" si="54"/>
        <v>0</v>
      </c>
      <c r="W264" s="75"/>
      <c r="X264" s="75"/>
      <c r="Y264" s="75"/>
      <c r="Z264" s="75"/>
      <c r="AA264" s="75"/>
      <c r="AB264" s="75"/>
      <c r="AC264" s="75"/>
      <c r="AD264" s="75"/>
      <c r="AE264" s="592"/>
      <c r="AF264" s="347" t="s">
        <v>166</v>
      </c>
      <c r="AG264" s="75">
        <v>0</v>
      </c>
      <c r="AH264" s="377">
        <v>0</v>
      </c>
      <c r="AI264" s="132"/>
      <c r="AJ264" s="132"/>
      <c r="AK264" s="132"/>
      <c r="AL264" s="132"/>
      <c r="AM264" s="132"/>
      <c r="AN264" s="64" t="s">
        <v>39</v>
      </c>
      <c r="AO264" s="64"/>
      <c r="AP264" s="64"/>
      <c r="AQ264" s="416"/>
      <c r="AR264" s="245"/>
      <c r="AS264" s="480"/>
      <c r="AT264" s="64"/>
      <c r="AU264" s="646"/>
      <c r="AV264" s="541"/>
    </row>
    <row r="265" spans="1:48" ht="29.1" customHeight="1" outlineLevel="3" x14ac:dyDescent="0.25">
      <c r="A265" s="63" t="str">
        <f t="shared" si="51"/>
        <v>1.3.1.6.18.62</v>
      </c>
      <c r="B265" s="64">
        <v>1</v>
      </c>
      <c r="C265" s="64">
        <v>3</v>
      </c>
      <c r="D265" s="64">
        <v>1</v>
      </c>
      <c r="E265" s="64">
        <v>6</v>
      </c>
      <c r="F265" s="64">
        <v>18</v>
      </c>
      <c r="G265" s="64">
        <v>62</v>
      </c>
      <c r="H265" s="65"/>
      <c r="I265" s="65"/>
      <c r="J265" s="66"/>
      <c r="K265" s="86" t="s">
        <v>348</v>
      </c>
      <c r="L265" s="64" t="s">
        <v>72</v>
      </c>
      <c r="M265" s="64" t="s">
        <v>271</v>
      </c>
      <c r="N265" s="64" t="s">
        <v>307</v>
      </c>
      <c r="O265" s="64" t="s">
        <v>281</v>
      </c>
      <c r="P265" s="69"/>
      <c r="Q265" s="69"/>
      <c r="R265" s="124"/>
      <c r="S265" s="123"/>
      <c r="T265" s="124"/>
      <c r="U265" s="75"/>
      <c r="V265" s="674">
        <f t="shared" si="54"/>
        <v>0</v>
      </c>
      <c r="W265" s="75"/>
      <c r="X265" s="75"/>
      <c r="Y265" s="75"/>
      <c r="Z265" s="75"/>
      <c r="AA265" s="75"/>
      <c r="AB265" s="75"/>
      <c r="AC265" s="75"/>
      <c r="AD265" s="75"/>
      <c r="AE265" s="592"/>
      <c r="AF265" s="347" t="s">
        <v>166</v>
      </c>
      <c r="AG265" s="75">
        <v>0</v>
      </c>
      <c r="AH265" s="377">
        <v>0</v>
      </c>
      <c r="AI265" s="132"/>
      <c r="AJ265" s="132"/>
      <c r="AK265" s="132"/>
      <c r="AL265" s="132"/>
      <c r="AM265" s="132"/>
      <c r="AN265" s="64" t="s">
        <v>39</v>
      </c>
      <c r="AO265" s="64"/>
      <c r="AP265" s="64"/>
      <c r="AQ265" s="189"/>
      <c r="AR265" s="64"/>
      <c r="AS265" s="476"/>
      <c r="AT265" s="64"/>
      <c r="AU265" s="646"/>
      <c r="AV265" s="433"/>
    </row>
    <row r="266" spans="1:48" ht="14.45" customHeight="1" outlineLevel="3" x14ac:dyDescent="0.25">
      <c r="A266" s="63" t="str">
        <f t="shared" si="51"/>
        <v>1.3.1.6.19.62</v>
      </c>
      <c r="B266" s="64">
        <v>1</v>
      </c>
      <c r="C266" s="64">
        <v>3</v>
      </c>
      <c r="D266" s="64">
        <v>1</v>
      </c>
      <c r="E266" s="64">
        <v>6</v>
      </c>
      <c r="F266" s="64">
        <v>19</v>
      </c>
      <c r="G266" s="64">
        <v>62</v>
      </c>
      <c r="H266" s="65"/>
      <c r="I266" s="65"/>
      <c r="J266" s="66"/>
      <c r="K266" s="86" t="s">
        <v>349</v>
      </c>
      <c r="L266" s="64" t="s">
        <v>72</v>
      </c>
      <c r="M266" s="64" t="s">
        <v>271</v>
      </c>
      <c r="N266" s="64" t="s">
        <v>307</v>
      </c>
      <c r="O266" s="64" t="s">
        <v>281</v>
      </c>
      <c r="P266" s="69"/>
      <c r="Q266" s="69"/>
      <c r="R266" s="124"/>
      <c r="S266" s="123"/>
      <c r="T266" s="124"/>
      <c r="U266" s="75"/>
      <c r="V266" s="674">
        <f t="shared" si="54"/>
        <v>0</v>
      </c>
      <c r="W266" s="75"/>
      <c r="X266" s="75"/>
      <c r="Y266" s="75"/>
      <c r="Z266" s="75"/>
      <c r="AA266" s="75"/>
      <c r="AB266" s="75"/>
      <c r="AC266" s="75"/>
      <c r="AD266" s="75"/>
      <c r="AE266" s="592"/>
      <c r="AF266" s="347" t="s">
        <v>166</v>
      </c>
      <c r="AG266" s="75">
        <v>0</v>
      </c>
      <c r="AH266" s="377">
        <v>0</v>
      </c>
      <c r="AI266" s="132"/>
      <c r="AJ266" s="132"/>
      <c r="AK266" s="132"/>
      <c r="AL266" s="132"/>
      <c r="AM266" s="132"/>
      <c r="AN266" s="64" t="s">
        <v>39</v>
      </c>
      <c r="AO266" s="64"/>
      <c r="AP266" s="64"/>
      <c r="AQ266" s="189"/>
      <c r="AR266" s="64"/>
      <c r="AS266" s="476"/>
      <c r="AT266" s="64"/>
      <c r="AU266" s="646"/>
      <c r="AV266" s="433"/>
    </row>
    <row r="267" spans="1:48" ht="14.45" customHeight="1" outlineLevel="3" x14ac:dyDescent="0.25">
      <c r="A267" s="63" t="str">
        <f t="shared" si="51"/>
        <v>1.3.1.6.20.62</v>
      </c>
      <c r="B267" s="64">
        <v>1</v>
      </c>
      <c r="C267" s="64">
        <v>3</v>
      </c>
      <c r="D267" s="64">
        <v>1</v>
      </c>
      <c r="E267" s="64">
        <v>6</v>
      </c>
      <c r="F267" s="64">
        <v>20</v>
      </c>
      <c r="G267" s="64">
        <v>62</v>
      </c>
      <c r="H267" s="65"/>
      <c r="I267" s="65"/>
      <c r="J267" s="66"/>
      <c r="K267" s="86" t="s">
        <v>280</v>
      </c>
      <c r="L267" s="64" t="s">
        <v>72</v>
      </c>
      <c r="M267" s="64" t="s">
        <v>271</v>
      </c>
      <c r="N267" s="64" t="s">
        <v>307</v>
      </c>
      <c r="O267" s="64" t="s">
        <v>281</v>
      </c>
      <c r="P267" s="69"/>
      <c r="Q267" s="69"/>
      <c r="R267" s="124"/>
      <c r="S267" s="123"/>
      <c r="T267" s="124"/>
      <c r="U267" s="75">
        <v>30000</v>
      </c>
      <c r="V267" s="674">
        <f t="shared" si="54"/>
        <v>0</v>
      </c>
      <c r="W267" s="75"/>
      <c r="X267" s="75"/>
      <c r="Y267" s="75"/>
      <c r="Z267" s="75"/>
      <c r="AA267" s="75"/>
      <c r="AB267" s="75"/>
      <c r="AC267" s="75"/>
      <c r="AD267" s="75"/>
      <c r="AE267" s="592"/>
      <c r="AF267" s="347" t="s">
        <v>166</v>
      </c>
      <c r="AG267" s="75">
        <v>30000</v>
      </c>
      <c r="AH267" s="377">
        <v>30000</v>
      </c>
      <c r="AI267" s="132"/>
      <c r="AJ267" s="132"/>
      <c r="AK267" s="132"/>
      <c r="AL267" s="132"/>
      <c r="AM267" s="132"/>
      <c r="AN267" s="64" t="s">
        <v>39</v>
      </c>
      <c r="AO267" s="64"/>
      <c r="AP267" s="64"/>
      <c r="AQ267" s="189"/>
      <c r="AR267" s="64"/>
      <c r="AS267" s="476"/>
      <c r="AT267" s="64"/>
      <c r="AU267" s="646"/>
      <c r="AV267" s="433"/>
    </row>
    <row r="268" spans="1:48" ht="14.45" customHeight="1" outlineLevel="3" x14ac:dyDescent="0.25">
      <c r="A268" s="63" t="str">
        <f t="shared" si="51"/>
        <v>1.3.1.6.21.62</v>
      </c>
      <c r="B268" s="64">
        <v>1</v>
      </c>
      <c r="C268" s="64">
        <v>3</v>
      </c>
      <c r="D268" s="64">
        <v>1</v>
      </c>
      <c r="E268" s="64">
        <v>6</v>
      </c>
      <c r="F268" s="64">
        <v>21</v>
      </c>
      <c r="G268" s="64">
        <v>62</v>
      </c>
      <c r="H268" s="65"/>
      <c r="I268" s="65"/>
      <c r="J268" s="66"/>
      <c r="K268" s="86" t="s">
        <v>283</v>
      </c>
      <c r="L268" s="64" t="s">
        <v>72</v>
      </c>
      <c r="M268" s="64" t="s">
        <v>271</v>
      </c>
      <c r="N268" s="64" t="s">
        <v>307</v>
      </c>
      <c r="O268" s="64" t="s">
        <v>281</v>
      </c>
      <c r="P268" s="69"/>
      <c r="Q268" s="69"/>
      <c r="R268" s="124"/>
      <c r="S268" s="123"/>
      <c r="T268" s="124"/>
      <c r="U268" s="75">
        <v>10000</v>
      </c>
      <c r="V268" s="674">
        <f t="shared" si="54"/>
        <v>0</v>
      </c>
      <c r="W268" s="75"/>
      <c r="X268" s="75"/>
      <c r="Y268" s="75"/>
      <c r="Z268" s="75"/>
      <c r="AA268" s="75"/>
      <c r="AB268" s="75"/>
      <c r="AC268" s="75"/>
      <c r="AD268" s="75"/>
      <c r="AE268" s="592"/>
      <c r="AF268" s="347" t="s">
        <v>166</v>
      </c>
      <c r="AG268" s="75">
        <v>10000</v>
      </c>
      <c r="AH268" s="377">
        <v>10000</v>
      </c>
      <c r="AI268" s="132"/>
      <c r="AJ268" s="132"/>
      <c r="AK268" s="132"/>
      <c r="AL268" s="132"/>
      <c r="AM268" s="132"/>
      <c r="AN268" s="64" t="s">
        <v>39</v>
      </c>
      <c r="AO268" s="64"/>
      <c r="AP268" s="64"/>
      <c r="AQ268" s="189"/>
      <c r="AR268" s="64"/>
      <c r="AS268" s="476"/>
      <c r="AT268" s="64"/>
      <c r="AU268" s="646"/>
      <c r="AV268" s="433"/>
    </row>
    <row r="269" spans="1:48" ht="14.45" customHeight="1" outlineLevel="3" x14ac:dyDescent="0.25">
      <c r="A269" s="63" t="str">
        <f t="shared" si="51"/>
        <v>1.3.1.6.22.62</v>
      </c>
      <c r="B269" s="64">
        <v>1</v>
      </c>
      <c r="C269" s="64">
        <v>3</v>
      </c>
      <c r="D269" s="64">
        <v>1</v>
      </c>
      <c r="E269" s="64">
        <v>6</v>
      </c>
      <c r="F269" s="64">
        <v>22</v>
      </c>
      <c r="G269" s="64">
        <v>62</v>
      </c>
      <c r="H269" s="65"/>
      <c r="I269" s="65"/>
      <c r="J269" s="66"/>
      <c r="K269" s="86" t="s">
        <v>284</v>
      </c>
      <c r="L269" s="64" t="s">
        <v>72</v>
      </c>
      <c r="M269" s="64" t="s">
        <v>271</v>
      </c>
      <c r="N269" s="64" t="s">
        <v>307</v>
      </c>
      <c r="O269" s="64" t="s">
        <v>281</v>
      </c>
      <c r="P269" s="69"/>
      <c r="Q269" s="131"/>
      <c r="R269" s="124"/>
      <c r="S269" s="123"/>
      <c r="T269" s="124"/>
      <c r="U269" s="75">
        <v>30000</v>
      </c>
      <c r="V269" s="674">
        <f t="shared" si="54"/>
        <v>0</v>
      </c>
      <c r="W269" s="75"/>
      <c r="X269" s="75"/>
      <c r="Y269" s="75"/>
      <c r="Z269" s="75"/>
      <c r="AA269" s="75"/>
      <c r="AB269" s="75"/>
      <c r="AC269" s="75"/>
      <c r="AD269" s="75"/>
      <c r="AE269" s="592"/>
      <c r="AF269" s="347" t="s">
        <v>166</v>
      </c>
      <c r="AG269" s="75">
        <v>30000</v>
      </c>
      <c r="AH269" s="377">
        <v>115000</v>
      </c>
      <c r="AI269" s="132"/>
      <c r="AJ269" s="132"/>
      <c r="AK269" s="132"/>
      <c r="AL269" s="132"/>
      <c r="AM269" s="132"/>
      <c r="AN269" s="64" t="s">
        <v>39</v>
      </c>
      <c r="AO269" s="64"/>
      <c r="AP269" s="64"/>
      <c r="AQ269" s="189"/>
      <c r="AR269" s="64"/>
      <c r="AS269" s="476"/>
      <c r="AT269" s="64"/>
      <c r="AU269" s="646"/>
      <c r="AV269" s="433"/>
    </row>
    <row r="270" spans="1:48" ht="14.45" customHeight="1" outlineLevel="3" x14ac:dyDescent="0.25">
      <c r="A270" s="63" t="str">
        <f t="shared" si="51"/>
        <v>1.3.1.6.23.62</v>
      </c>
      <c r="B270" s="64">
        <v>1</v>
      </c>
      <c r="C270" s="64">
        <v>3</v>
      </c>
      <c r="D270" s="64">
        <v>1</v>
      </c>
      <c r="E270" s="64">
        <v>6</v>
      </c>
      <c r="F270" s="64">
        <v>23</v>
      </c>
      <c r="G270" s="64">
        <v>62</v>
      </c>
      <c r="H270" s="65"/>
      <c r="I270" s="65"/>
      <c r="J270" s="66"/>
      <c r="K270" s="86" t="s">
        <v>350</v>
      </c>
      <c r="L270" s="64" t="s">
        <v>72</v>
      </c>
      <c r="M270" s="64" t="s">
        <v>73</v>
      </c>
      <c r="N270" s="64" t="s">
        <v>307</v>
      </c>
      <c r="O270" s="64" t="s">
        <v>281</v>
      </c>
      <c r="P270" s="69"/>
      <c r="Q270" s="69"/>
      <c r="R270" s="124"/>
      <c r="S270" s="123"/>
      <c r="T270" s="124"/>
      <c r="U270" s="75"/>
      <c r="V270" s="674">
        <f t="shared" si="54"/>
        <v>0</v>
      </c>
      <c r="W270" s="75"/>
      <c r="X270" s="75"/>
      <c r="Y270" s="75"/>
      <c r="Z270" s="75"/>
      <c r="AA270" s="75"/>
      <c r="AB270" s="75"/>
      <c r="AC270" s="75"/>
      <c r="AD270" s="75"/>
      <c r="AE270" s="592"/>
      <c r="AF270" s="347" t="s">
        <v>166</v>
      </c>
      <c r="AG270" s="75">
        <v>0</v>
      </c>
      <c r="AH270" s="377">
        <v>0</v>
      </c>
      <c r="AI270" s="132"/>
      <c r="AJ270" s="132"/>
      <c r="AK270" s="132"/>
      <c r="AL270" s="132"/>
      <c r="AM270" s="132"/>
      <c r="AN270" s="64" t="s">
        <v>39</v>
      </c>
      <c r="AO270" s="64"/>
      <c r="AP270" s="64"/>
      <c r="AQ270" s="189"/>
      <c r="AR270" s="64"/>
      <c r="AS270" s="476"/>
      <c r="AT270" s="64"/>
      <c r="AU270" s="646"/>
      <c r="AV270" s="433"/>
    </row>
    <row r="271" spans="1:48" ht="14.25" customHeight="1" outlineLevel="3" x14ac:dyDescent="0.25">
      <c r="A271" s="63" t="str">
        <f t="shared" si="51"/>
        <v>1.3.1.6.24.62</v>
      </c>
      <c r="B271" s="64">
        <v>1</v>
      </c>
      <c r="C271" s="64">
        <v>3</v>
      </c>
      <c r="D271" s="64">
        <v>1</v>
      </c>
      <c r="E271" s="64">
        <v>6</v>
      </c>
      <c r="F271" s="64">
        <v>24</v>
      </c>
      <c r="G271" s="64">
        <v>62</v>
      </c>
      <c r="H271" s="65"/>
      <c r="I271" s="65"/>
      <c r="J271" s="66"/>
      <c r="K271" s="86" t="s">
        <v>351</v>
      </c>
      <c r="L271" s="64" t="s">
        <v>72</v>
      </c>
      <c r="M271" s="64" t="s">
        <v>279</v>
      </c>
      <c r="N271" s="64" t="s">
        <v>307</v>
      </c>
      <c r="O271" s="64" t="s">
        <v>281</v>
      </c>
      <c r="P271" s="69"/>
      <c r="Q271" s="69"/>
      <c r="R271" s="124"/>
      <c r="S271" s="123"/>
      <c r="T271" s="124"/>
      <c r="U271" s="75"/>
      <c r="V271" s="674">
        <f t="shared" si="54"/>
        <v>0</v>
      </c>
      <c r="W271" s="75"/>
      <c r="X271" s="75"/>
      <c r="Y271" s="75"/>
      <c r="Z271" s="75"/>
      <c r="AA271" s="75"/>
      <c r="AB271" s="75"/>
      <c r="AC271" s="75"/>
      <c r="AD271" s="75"/>
      <c r="AE271" s="592"/>
      <c r="AF271" s="259" t="s">
        <v>279</v>
      </c>
      <c r="AG271" s="75">
        <v>0</v>
      </c>
      <c r="AH271" s="377">
        <v>0</v>
      </c>
      <c r="AI271" s="132"/>
      <c r="AJ271" s="132"/>
      <c r="AK271" s="132"/>
      <c r="AL271" s="132"/>
      <c r="AM271" s="132"/>
      <c r="AN271" s="64" t="s">
        <v>39</v>
      </c>
      <c r="AO271" s="64"/>
      <c r="AP271" s="64"/>
      <c r="AQ271" s="189"/>
      <c r="AR271" s="64"/>
      <c r="AS271" s="476"/>
      <c r="AT271" s="64"/>
      <c r="AU271" s="646"/>
      <c r="AV271" s="433"/>
    </row>
    <row r="272" spans="1:48" ht="14.45" customHeight="1" outlineLevel="3" x14ac:dyDescent="0.25">
      <c r="A272" s="63" t="str">
        <f t="shared" si="51"/>
        <v>1.3.1.6.25.62</v>
      </c>
      <c r="B272" s="64">
        <v>1</v>
      </c>
      <c r="C272" s="64">
        <v>3</v>
      </c>
      <c r="D272" s="64">
        <v>1</v>
      </c>
      <c r="E272" s="64">
        <v>6</v>
      </c>
      <c r="F272" s="64">
        <v>25</v>
      </c>
      <c r="G272" s="64">
        <v>62</v>
      </c>
      <c r="H272" s="65"/>
      <c r="I272" s="65"/>
      <c r="J272" s="66"/>
      <c r="K272" s="86" t="s">
        <v>286</v>
      </c>
      <c r="L272" s="64" t="s">
        <v>72</v>
      </c>
      <c r="M272" s="64" t="s">
        <v>73</v>
      </c>
      <c r="N272" s="64" t="s">
        <v>307</v>
      </c>
      <c r="O272" s="64" t="s">
        <v>281</v>
      </c>
      <c r="P272" s="69"/>
      <c r="Q272" s="69"/>
      <c r="R272" s="124"/>
      <c r="S272" s="123"/>
      <c r="T272" s="124"/>
      <c r="U272" s="75"/>
      <c r="V272" s="674">
        <f t="shared" si="54"/>
        <v>0</v>
      </c>
      <c r="W272" s="75"/>
      <c r="X272" s="75"/>
      <c r="Y272" s="75"/>
      <c r="Z272" s="75"/>
      <c r="AA272" s="75"/>
      <c r="AB272" s="75"/>
      <c r="AC272" s="75"/>
      <c r="AD272" s="75"/>
      <c r="AE272" s="592"/>
      <c r="AF272" s="347" t="s">
        <v>73</v>
      </c>
      <c r="AG272" s="75">
        <v>0</v>
      </c>
      <c r="AH272" s="377">
        <v>0</v>
      </c>
      <c r="AI272" s="132"/>
      <c r="AJ272" s="132"/>
      <c r="AK272" s="132"/>
      <c r="AL272" s="132"/>
      <c r="AM272" s="132"/>
      <c r="AN272" s="64" t="s">
        <v>39</v>
      </c>
      <c r="AO272" s="64"/>
      <c r="AP272" s="64"/>
      <c r="AQ272" s="189"/>
      <c r="AR272" s="64"/>
      <c r="AS272" s="476"/>
      <c r="AT272" s="64"/>
      <c r="AU272" s="646"/>
      <c r="AV272" s="433"/>
    </row>
    <row r="273" spans="1:48" ht="14.45" customHeight="1" outlineLevel="3" x14ac:dyDescent="0.25">
      <c r="A273" s="63" t="str">
        <f t="shared" si="51"/>
        <v>1.3.1.6.26.62</v>
      </c>
      <c r="B273" s="64">
        <v>1</v>
      </c>
      <c r="C273" s="64">
        <v>3</v>
      </c>
      <c r="D273" s="64">
        <v>1</v>
      </c>
      <c r="E273" s="64">
        <v>6</v>
      </c>
      <c r="F273" s="64">
        <v>26</v>
      </c>
      <c r="G273" s="64">
        <v>62</v>
      </c>
      <c r="H273" s="65"/>
      <c r="I273" s="65"/>
      <c r="J273" s="66"/>
      <c r="K273" s="86" t="s">
        <v>287</v>
      </c>
      <c r="L273" s="64" t="s">
        <v>72</v>
      </c>
      <c r="M273" s="64" t="s">
        <v>73</v>
      </c>
      <c r="N273" s="64"/>
      <c r="O273" s="64"/>
      <c r="P273" s="69"/>
      <c r="Q273" s="69"/>
      <c r="R273" s="124">
        <v>1</v>
      </c>
      <c r="S273" s="123"/>
      <c r="T273" s="124"/>
      <c r="U273" s="75"/>
      <c r="V273" s="674">
        <f t="shared" si="54"/>
        <v>0</v>
      </c>
      <c r="W273" s="75"/>
      <c r="X273" s="75"/>
      <c r="Y273" s="75"/>
      <c r="Z273" s="75"/>
      <c r="AA273" s="75"/>
      <c r="AB273" s="75"/>
      <c r="AC273" s="75"/>
      <c r="AD273" s="75"/>
      <c r="AE273" s="592"/>
      <c r="AF273" s="347" t="s">
        <v>73</v>
      </c>
      <c r="AG273" s="75">
        <v>0</v>
      </c>
      <c r="AH273" s="377">
        <v>0</v>
      </c>
      <c r="AI273" s="132"/>
      <c r="AJ273" s="132"/>
      <c r="AK273" s="132"/>
      <c r="AL273" s="132"/>
      <c r="AM273" s="132"/>
      <c r="AN273" s="64" t="s">
        <v>181</v>
      </c>
      <c r="AO273" s="64"/>
      <c r="AP273" s="64"/>
      <c r="AQ273" s="189"/>
      <c r="AR273" s="64"/>
      <c r="AS273" s="476"/>
      <c r="AT273" s="64"/>
      <c r="AU273" s="646"/>
      <c r="AV273" s="433"/>
    </row>
    <row r="274" spans="1:48" ht="14.45" customHeight="1" outlineLevel="3" x14ac:dyDescent="0.25">
      <c r="A274" s="63" t="str">
        <f t="shared" si="51"/>
        <v>1.3.1.6.27.62</v>
      </c>
      <c r="B274" s="64">
        <v>1</v>
      </c>
      <c r="C274" s="64">
        <v>3</v>
      </c>
      <c r="D274" s="64">
        <v>1</v>
      </c>
      <c r="E274" s="64">
        <v>6</v>
      </c>
      <c r="F274" s="64">
        <v>27</v>
      </c>
      <c r="G274" s="64">
        <v>62</v>
      </c>
      <c r="H274" s="65"/>
      <c r="I274" s="65"/>
      <c r="J274" s="66"/>
      <c r="K274" s="86" t="s">
        <v>311</v>
      </c>
      <c r="L274" s="64" t="s">
        <v>72</v>
      </c>
      <c r="M274" s="64" t="s">
        <v>279</v>
      </c>
      <c r="N274" s="64"/>
      <c r="O274" s="64"/>
      <c r="P274" s="69"/>
      <c r="Q274" s="69"/>
      <c r="R274" s="124"/>
      <c r="S274" s="123"/>
      <c r="T274" s="124"/>
      <c r="U274" s="75">
        <v>50000</v>
      </c>
      <c r="V274" s="702">
        <f t="shared" si="54"/>
        <v>20474.05</v>
      </c>
      <c r="W274" s="75"/>
      <c r="X274" s="75">
        <v>50000</v>
      </c>
      <c r="Y274" s="75"/>
      <c r="Z274" s="75"/>
      <c r="AA274" s="75">
        <v>50000</v>
      </c>
      <c r="AB274" s="75"/>
      <c r="AC274" s="75"/>
      <c r="AD274" s="75">
        <v>50000</v>
      </c>
      <c r="AE274" s="592"/>
      <c r="AF274" s="347" t="s">
        <v>73</v>
      </c>
      <c r="AG274" s="75">
        <v>200000</v>
      </c>
      <c r="AH274" s="370">
        <v>200000</v>
      </c>
      <c r="AI274" s="75"/>
      <c r="AJ274" s="536">
        <v>20474.05</v>
      </c>
      <c r="AK274" s="75"/>
      <c r="AL274" s="75"/>
      <c r="AM274" s="75"/>
      <c r="AN274" s="64" t="s">
        <v>39</v>
      </c>
      <c r="AO274" s="547" t="s">
        <v>1819</v>
      </c>
      <c r="AP274" s="545" t="s">
        <v>1821</v>
      </c>
      <c r="AQ274" s="545" t="s">
        <v>1822</v>
      </c>
      <c r="AR274" s="64"/>
      <c r="AS274" s="548"/>
      <c r="AT274" s="546" t="s">
        <v>1823</v>
      </c>
      <c r="AU274" s="646">
        <v>42</v>
      </c>
      <c r="AV274" s="537" t="s">
        <v>1820</v>
      </c>
    </row>
    <row r="275" spans="1:48" ht="14.45" customHeight="1" outlineLevel="3" x14ac:dyDescent="0.25">
      <c r="A275" s="63" t="str">
        <f t="shared" si="51"/>
        <v>1.3.1.6.28.62</v>
      </c>
      <c r="B275" s="64">
        <v>1</v>
      </c>
      <c r="C275" s="64">
        <v>3</v>
      </c>
      <c r="D275" s="64">
        <v>1</v>
      </c>
      <c r="E275" s="64">
        <v>6</v>
      </c>
      <c r="F275" s="64">
        <v>28</v>
      </c>
      <c r="G275" s="64">
        <v>62</v>
      </c>
      <c r="H275" s="65"/>
      <c r="I275" s="65"/>
      <c r="J275" s="66"/>
      <c r="K275" s="556" t="s">
        <v>352</v>
      </c>
      <c r="L275" s="64"/>
      <c r="M275" s="64"/>
      <c r="N275" s="64"/>
      <c r="O275" s="64"/>
      <c r="P275" s="69"/>
      <c r="Q275" s="69"/>
      <c r="R275" s="124"/>
      <c r="S275" s="123"/>
      <c r="T275" s="124"/>
      <c r="U275" s="75"/>
      <c r="V275" s="674">
        <f t="shared" si="54"/>
        <v>0</v>
      </c>
      <c r="W275" s="75"/>
      <c r="X275" s="75"/>
      <c r="Y275" s="75"/>
      <c r="Z275" s="75"/>
      <c r="AA275" s="75"/>
      <c r="AB275" s="75"/>
      <c r="AC275" s="75"/>
      <c r="AD275" s="75"/>
      <c r="AE275" s="592"/>
      <c r="AF275" s="347" t="s">
        <v>73</v>
      </c>
      <c r="AG275" s="75"/>
      <c r="AH275" s="377"/>
      <c r="AI275" s="132"/>
      <c r="AJ275" s="132"/>
      <c r="AK275" s="132"/>
      <c r="AL275" s="132"/>
      <c r="AM275" s="132"/>
      <c r="AN275" s="64" t="s">
        <v>39</v>
      </c>
      <c r="AO275" s="165"/>
      <c r="AP275" s="165"/>
      <c r="AQ275" s="413"/>
      <c r="AR275" s="64"/>
      <c r="AS275" s="475"/>
      <c r="AT275" s="64"/>
      <c r="AU275" s="646"/>
      <c r="AV275" s="438"/>
    </row>
    <row r="276" spans="1:48" ht="69.599999999999994" customHeight="1" outlineLevel="3" x14ac:dyDescent="0.25">
      <c r="A276" s="63" t="str">
        <f t="shared" si="51"/>
        <v>1.3.1.6.29.62</v>
      </c>
      <c r="B276" s="64">
        <v>1</v>
      </c>
      <c r="C276" s="64">
        <v>3</v>
      </c>
      <c r="D276" s="64">
        <v>1</v>
      </c>
      <c r="E276" s="64">
        <v>6</v>
      </c>
      <c r="F276" s="64">
        <v>29</v>
      </c>
      <c r="G276" s="100">
        <v>62</v>
      </c>
      <c r="H276" s="65"/>
      <c r="I276" s="65"/>
      <c r="J276" s="66"/>
      <c r="K276" s="67" t="s">
        <v>326</v>
      </c>
      <c r="L276" s="64" t="s">
        <v>72</v>
      </c>
      <c r="M276" s="64" t="s">
        <v>279</v>
      </c>
      <c r="N276" s="64"/>
      <c r="O276" s="64"/>
      <c r="P276" s="69"/>
      <c r="Q276" s="69"/>
      <c r="R276" s="124"/>
      <c r="S276" s="123"/>
      <c r="T276" s="124"/>
      <c r="U276" s="75">
        <v>0</v>
      </c>
      <c r="V276" s="674">
        <f t="shared" si="54"/>
        <v>0</v>
      </c>
      <c r="W276" s="75"/>
      <c r="X276" s="75">
        <v>0</v>
      </c>
      <c r="Y276" s="75"/>
      <c r="Z276" s="75"/>
      <c r="AA276" s="75">
        <v>0</v>
      </c>
      <c r="AB276" s="75"/>
      <c r="AC276" s="75"/>
      <c r="AD276" s="75">
        <v>0</v>
      </c>
      <c r="AE276" s="592"/>
      <c r="AF276" s="347" t="s">
        <v>73</v>
      </c>
      <c r="AG276" s="75">
        <v>1750000</v>
      </c>
      <c r="AH276" s="377">
        <v>0</v>
      </c>
      <c r="AI276" s="132"/>
      <c r="AJ276" s="132"/>
      <c r="AK276" s="132"/>
      <c r="AL276" s="132"/>
      <c r="AM276" s="132"/>
      <c r="AN276" s="64" t="s">
        <v>39</v>
      </c>
      <c r="AO276" s="64"/>
      <c r="AP276" s="64"/>
      <c r="AQ276" s="64"/>
      <c r="AR276" s="64"/>
      <c r="AS276" s="64"/>
      <c r="AT276" s="64"/>
      <c r="AU276" s="646"/>
      <c r="AV276" s="335" t="s">
        <v>295</v>
      </c>
    </row>
    <row r="277" spans="1:48" ht="14.45" customHeight="1" outlineLevel="3" x14ac:dyDescent="0.25">
      <c r="A277" s="63" t="str">
        <f t="shared" si="51"/>
        <v>1.3.1.6.30.62</v>
      </c>
      <c r="B277" s="64">
        <v>1</v>
      </c>
      <c r="C277" s="64">
        <v>3</v>
      </c>
      <c r="D277" s="64">
        <v>1</v>
      </c>
      <c r="E277" s="64">
        <v>6</v>
      </c>
      <c r="F277" s="64">
        <v>30</v>
      </c>
      <c r="G277" s="64">
        <v>62</v>
      </c>
      <c r="H277" s="65"/>
      <c r="I277" s="65"/>
      <c r="J277" s="66"/>
      <c r="K277" s="67" t="s">
        <v>296</v>
      </c>
      <c r="L277" s="64"/>
      <c r="M277" s="64"/>
      <c r="N277" s="64"/>
      <c r="O277" s="64"/>
      <c r="P277" s="69"/>
      <c r="Q277" s="69"/>
      <c r="R277" s="124"/>
      <c r="S277" s="123"/>
      <c r="T277" s="124"/>
      <c r="U277" s="75">
        <v>50000</v>
      </c>
      <c r="V277" s="674">
        <f t="shared" si="54"/>
        <v>0</v>
      </c>
      <c r="W277" s="75"/>
      <c r="X277" s="75">
        <v>50000</v>
      </c>
      <c r="Y277" s="75"/>
      <c r="Z277" s="75"/>
      <c r="AA277" s="75">
        <v>50000</v>
      </c>
      <c r="AB277" s="75"/>
      <c r="AC277" s="75"/>
      <c r="AD277" s="75">
        <v>50000</v>
      </c>
      <c r="AE277" s="592"/>
      <c r="AF277" s="347" t="s">
        <v>73</v>
      </c>
      <c r="AG277" s="75">
        <v>200000</v>
      </c>
      <c r="AH277" s="377">
        <v>200000</v>
      </c>
      <c r="AI277" s="132"/>
      <c r="AJ277" s="132"/>
      <c r="AK277" s="132"/>
      <c r="AL277" s="132"/>
      <c r="AM277" s="132"/>
      <c r="AN277" s="64" t="s">
        <v>39</v>
      </c>
      <c r="AO277" s="64"/>
      <c r="AP277" s="64"/>
      <c r="AQ277" s="64"/>
      <c r="AR277" s="64"/>
      <c r="AS277" s="64"/>
      <c r="AT277" s="64"/>
      <c r="AU277" s="646"/>
      <c r="AV277" s="437"/>
    </row>
    <row r="278" spans="1:48" ht="14.45" customHeight="1" outlineLevel="3" x14ac:dyDescent="0.25">
      <c r="A278" s="63" t="str">
        <f>CONCATENATE(B278,".",C278,".",D278,".",E278,".",F278,".",G278)</f>
        <v>1.3.1.6.32.62</v>
      </c>
      <c r="B278" s="64">
        <v>1</v>
      </c>
      <c r="C278" s="64">
        <v>3</v>
      </c>
      <c r="D278" s="64">
        <v>1</v>
      </c>
      <c r="E278" s="64">
        <v>6</v>
      </c>
      <c r="F278" s="64">
        <v>32</v>
      </c>
      <c r="G278" s="64">
        <v>62</v>
      </c>
      <c r="H278" s="65"/>
      <c r="I278" s="65"/>
      <c r="J278" s="66"/>
      <c r="K278" s="67" t="s">
        <v>298</v>
      </c>
      <c r="L278" s="64"/>
      <c r="M278" s="64" t="s">
        <v>299</v>
      </c>
      <c r="N278" s="64"/>
      <c r="O278" s="64"/>
      <c r="P278" s="69"/>
      <c r="Q278" s="69"/>
      <c r="R278" s="124"/>
      <c r="S278" s="123"/>
      <c r="T278" s="124"/>
      <c r="U278" s="75">
        <v>30000</v>
      </c>
      <c r="V278" s="674">
        <f t="shared" si="54"/>
        <v>20000</v>
      </c>
      <c r="W278" s="75"/>
      <c r="X278" s="75">
        <v>30000</v>
      </c>
      <c r="Y278" s="75"/>
      <c r="Z278" s="75"/>
      <c r="AA278" s="75">
        <v>20000</v>
      </c>
      <c r="AB278" s="75"/>
      <c r="AC278" s="75"/>
      <c r="AD278" s="75"/>
      <c r="AE278" s="592"/>
      <c r="AF278" s="347"/>
      <c r="AG278" s="377">
        <v>0</v>
      </c>
      <c r="AH278" s="377">
        <v>80000</v>
      </c>
      <c r="AI278" s="132"/>
      <c r="AJ278" s="132">
        <v>20000</v>
      </c>
      <c r="AK278" s="132"/>
      <c r="AL278" s="132"/>
      <c r="AM278" s="132"/>
      <c r="AN278" s="64"/>
      <c r="AO278" s="64"/>
      <c r="AP278" s="64"/>
      <c r="AQ278" s="64"/>
      <c r="AR278" s="64"/>
      <c r="AS278" s="64"/>
      <c r="AT278" s="64"/>
      <c r="AU278" s="646"/>
      <c r="AV278" s="68"/>
    </row>
    <row r="279" spans="1:48" s="107" customFormat="1" ht="78" customHeight="1" outlineLevel="1" x14ac:dyDescent="0.25">
      <c r="A279" s="80" t="str">
        <f t="shared" si="51"/>
        <v>1.3.1.7.0.0</v>
      </c>
      <c r="B279" s="81">
        <v>1</v>
      </c>
      <c r="C279" s="81">
        <v>3</v>
      </c>
      <c r="D279" s="81">
        <v>1</v>
      </c>
      <c r="E279" s="81">
        <v>7</v>
      </c>
      <c r="F279" s="81">
        <v>0</v>
      </c>
      <c r="G279" s="81">
        <v>0</v>
      </c>
      <c r="H279" s="114"/>
      <c r="I279" s="114"/>
      <c r="J279" s="1346" t="s">
        <v>353</v>
      </c>
      <c r="K279" s="1346"/>
      <c r="L279" s="81" t="s">
        <v>236</v>
      </c>
      <c r="M279" s="81" t="s">
        <v>240</v>
      </c>
      <c r="N279" s="81" t="s">
        <v>226</v>
      </c>
      <c r="O279" s="81" t="s">
        <v>241</v>
      </c>
      <c r="P279" s="115">
        <v>44571</v>
      </c>
      <c r="Q279" s="115">
        <v>44925</v>
      </c>
      <c r="R279" s="119">
        <v>0</v>
      </c>
      <c r="S279" s="114" t="s">
        <v>242</v>
      </c>
      <c r="T279" s="119">
        <f>+T280+T281+T282</f>
        <v>266250</v>
      </c>
      <c r="U279" s="369">
        <f t="shared" ref="U279:AG279" si="56">SUM(U280:U301)</f>
        <v>7885007.2000000002</v>
      </c>
      <c r="V279" s="677">
        <f t="shared" si="56"/>
        <v>8306901.21</v>
      </c>
      <c r="W279" s="369">
        <f t="shared" si="56"/>
        <v>532503</v>
      </c>
      <c r="X279" s="369">
        <f t="shared" si="56"/>
        <v>8133476.9800000004</v>
      </c>
      <c r="Y279" s="369">
        <f t="shared" si="56"/>
        <v>2722700</v>
      </c>
      <c r="Z279" s="369">
        <f t="shared" si="56"/>
        <v>3255203</v>
      </c>
      <c r="AA279" s="369">
        <f t="shared" si="56"/>
        <v>8070076.9800000004</v>
      </c>
      <c r="AB279" s="369">
        <f t="shared" si="56"/>
        <v>2722700</v>
      </c>
      <c r="AC279" s="369">
        <f t="shared" si="56"/>
        <v>3255203</v>
      </c>
      <c r="AD279" s="369">
        <f t="shared" si="56"/>
        <v>8766676.9800000004</v>
      </c>
      <c r="AE279" s="369">
        <f t="shared" si="56"/>
        <v>0</v>
      </c>
      <c r="AF279" s="369">
        <f t="shared" si="56"/>
        <v>316610000</v>
      </c>
      <c r="AG279" s="369">
        <f t="shared" si="56"/>
        <v>18145816.666666668</v>
      </c>
      <c r="AH279" s="369">
        <f>SUM(AH280:AH301)</f>
        <v>28597800</v>
      </c>
      <c r="AI279" s="369">
        <f t="shared" ref="AI279:AJ279" si="57">SUM(AI280:AI301)</f>
        <v>0</v>
      </c>
      <c r="AJ279" s="369">
        <f t="shared" si="57"/>
        <v>8306901.21</v>
      </c>
      <c r="AK279" s="61"/>
      <c r="AL279" s="61"/>
      <c r="AM279" s="61"/>
      <c r="AN279" s="81" t="s">
        <v>243</v>
      </c>
      <c r="AO279" s="318"/>
      <c r="AP279" s="318"/>
      <c r="AQ279" s="318"/>
      <c r="AR279" s="81"/>
      <c r="AS279" s="331"/>
      <c r="AT279" s="81"/>
      <c r="AU279" s="663"/>
      <c r="AV279" s="439"/>
    </row>
    <row r="280" spans="1:48" ht="127.35" customHeight="1" outlineLevel="4" x14ac:dyDescent="0.25">
      <c r="A280" s="63" t="str">
        <f t="shared" si="51"/>
        <v>1.3.1.7.1.60</v>
      </c>
      <c r="B280" s="64">
        <v>1</v>
      </c>
      <c r="C280" s="64">
        <v>3</v>
      </c>
      <c r="D280" s="64">
        <v>1</v>
      </c>
      <c r="E280" s="64">
        <v>7</v>
      </c>
      <c r="F280" s="64">
        <v>1</v>
      </c>
      <c r="G280" s="64">
        <v>60</v>
      </c>
      <c r="H280" s="65"/>
      <c r="I280" s="65"/>
      <c r="J280" s="66"/>
      <c r="K280" s="65" t="s">
        <v>245</v>
      </c>
      <c r="L280" s="64" t="s">
        <v>246</v>
      </c>
      <c r="M280" s="64" t="s">
        <v>240</v>
      </c>
      <c r="N280" s="64" t="s">
        <v>247</v>
      </c>
      <c r="O280" s="64" t="s">
        <v>241</v>
      </c>
      <c r="P280" s="69"/>
      <c r="Q280" s="69"/>
      <c r="R280" s="126">
        <v>50000</v>
      </c>
      <c r="S280" s="123" t="s">
        <v>248</v>
      </c>
      <c r="T280" s="124">
        <f>+R280/4</f>
        <v>12500</v>
      </c>
      <c r="U280" s="75">
        <v>0</v>
      </c>
      <c r="V280" s="674">
        <f>+AJ280</f>
        <v>0</v>
      </c>
      <c r="W280" s="75">
        <f>+R280/4</f>
        <v>12500</v>
      </c>
      <c r="X280" s="75">
        <v>0</v>
      </c>
      <c r="Y280" s="75"/>
      <c r="Z280" s="75">
        <f>+R280/4</f>
        <v>12500</v>
      </c>
      <c r="AA280" s="75">
        <v>0</v>
      </c>
      <c r="AB280" s="75"/>
      <c r="AC280" s="75">
        <f>+R280/4</f>
        <v>12500</v>
      </c>
      <c r="AD280" s="75">
        <v>0</v>
      </c>
      <c r="AE280" s="592"/>
      <c r="AF280" s="347">
        <f>R280*19</f>
        <v>950000</v>
      </c>
      <c r="AG280" s="75">
        <v>0</v>
      </c>
      <c r="AH280" s="370">
        <v>0</v>
      </c>
      <c r="AI280" s="75"/>
      <c r="AJ280" s="75"/>
      <c r="AK280" s="75"/>
      <c r="AL280" s="75"/>
      <c r="AM280" s="75"/>
      <c r="AN280" s="64" t="s">
        <v>39</v>
      </c>
      <c r="AO280" s="64"/>
      <c r="AP280" s="64"/>
      <c r="AQ280" s="189"/>
      <c r="AR280" s="64"/>
      <c r="AS280" s="476"/>
      <c r="AT280" s="64"/>
      <c r="AU280" s="646"/>
      <c r="AV280" s="335" t="s">
        <v>250</v>
      </c>
    </row>
    <row r="281" spans="1:48" ht="63.6" customHeight="1" outlineLevel="4" x14ac:dyDescent="0.25">
      <c r="A281" s="63" t="str">
        <f t="shared" si="51"/>
        <v>1.3.1.7.2.60</v>
      </c>
      <c r="B281" s="64">
        <v>1</v>
      </c>
      <c r="C281" s="64">
        <v>3</v>
      </c>
      <c r="D281" s="64">
        <v>1</v>
      </c>
      <c r="E281" s="64">
        <v>7</v>
      </c>
      <c r="F281" s="64">
        <v>2</v>
      </c>
      <c r="G281" s="64">
        <v>60</v>
      </c>
      <c r="H281" s="65"/>
      <c r="I281" s="65"/>
      <c r="J281" s="66"/>
      <c r="K281" s="65" t="s">
        <v>251</v>
      </c>
      <c r="L281" s="64" t="s">
        <v>246</v>
      </c>
      <c r="M281" s="64" t="s">
        <v>240</v>
      </c>
      <c r="N281" s="64" t="s">
        <v>252</v>
      </c>
      <c r="O281" s="64" t="s">
        <v>241</v>
      </c>
      <c r="P281" s="69"/>
      <c r="Q281" s="69"/>
      <c r="R281" s="126">
        <v>1000000</v>
      </c>
      <c r="S281" s="123" t="s">
        <v>248</v>
      </c>
      <c r="T281" s="124">
        <f>+R281/4</f>
        <v>250000</v>
      </c>
      <c r="U281" s="75">
        <v>0</v>
      </c>
      <c r="V281" s="674">
        <f t="shared" ref="V281:V301" si="58">+AJ281</f>
        <v>0</v>
      </c>
      <c r="W281" s="75">
        <f>+R281/4</f>
        <v>250000</v>
      </c>
      <c r="X281" s="75">
        <v>0</v>
      </c>
      <c r="Y281" s="75"/>
      <c r="Z281" s="75">
        <f>+R281/4</f>
        <v>250000</v>
      </c>
      <c r="AA281" s="75">
        <v>0</v>
      </c>
      <c r="AB281" s="75"/>
      <c r="AC281" s="75">
        <f>+R281/4</f>
        <v>250000</v>
      </c>
      <c r="AD281" s="75">
        <v>0</v>
      </c>
      <c r="AE281" s="592"/>
      <c r="AF281" s="347">
        <f>+R281*210*(1.5)</f>
        <v>315000000</v>
      </c>
      <c r="AG281" s="75">
        <v>0</v>
      </c>
      <c r="AH281" s="370">
        <v>0</v>
      </c>
      <c r="AI281" s="75"/>
      <c r="AJ281" s="75"/>
      <c r="AK281" s="75"/>
      <c r="AL281" s="75"/>
      <c r="AM281" s="75"/>
      <c r="AN281" s="64" t="s">
        <v>39</v>
      </c>
      <c r="AO281" s="64"/>
      <c r="AP281" s="64"/>
      <c r="AQ281" s="189"/>
      <c r="AR281" s="64"/>
      <c r="AS281" s="476"/>
      <c r="AT281" s="64"/>
      <c r="AU281" s="646"/>
      <c r="AV281" s="335" t="s">
        <v>254</v>
      </c>
    </row>
    <row r="282" spans="1:48" ht="14.45" customHeight="1" outlineLevel="4" x14ac:dyDescent="0.25">
      <c r="A282" s="63" t="str">
        <f t="shared" si="51"/>
        <v>1.3.1.7.3.60</v>
      </c>
      <c r="B282" s="64">
        <v>1</v>
      </c>
      <c r="C282" s="64">
        <v>3</v>
      </c>
      <c r="D282" s="64">
        <v>1</v>
      </c>
      <c r="E282" s="64">
        <v>7</v>
      </c>
      <c r="F282" s="64">
        <v>3</v>
      </c>
      <c r="G282" s="64">
        <v>60</v>
      </c>
      <c r="H282" s="65"/>
      <c r="I282" s="65"/>
      <c r="J282" s="66"/>
      <c r="K282" s="65" t="s">
        <v>328</v>
      </c>
      <c r="L282" s="64" t="s">
        <v>246</v>
      </c>
      <c r="M282" s="64" t="s">
        <v>240</v>
      </c>
      <c r="N282" s="64" t="s">
        <v>329</v>
      </c>
      <c r="O282" s="64" t="s">
        <v>241</v>
      </c>
      <c r="P282" s="69"/>
      <c r="Q282" s="69"/>
      <c r="R282" s="126">
        <v>15000</v>
      </c>
      <c r="S282" s="123" t="s">
        <v>248</v>
      </c>
      <c r="T282" s="124">
        <f>+R282/4</f>
        <v>3750</v>
      </c>
      <c r="U282" s="75"/>
      <c r="V282" s="674">
        <f t="shared" si="58"/>
        <v>0</v>
      </c>
      <c r="W282" s="75">
        <f>+R282/4</f>
        <v>3750</v>
      </c>
      <c r="X282" s="75"/>
      <c r="Y282" s="75"/>
      <c r="Z282" s="75">
        <f>+R282/4</f>
        <v>3750</v>
      </c>
      <c r="AA282" s="75"/>
      <c r="AB282" s="75"/>
      <c r="AC282" s="75">
        <f>+R282/4</f>
        <v>3750</v>
      </c>
      <c r="AD282" s="75"/>
      <c r="AE282" s="592"/>
      <c r="AF282" s="347">
        <f>+(R282*40)*1.1</f>
        <v>660000</v>
      </c>
      <c r="AG282" s="75">
        <v>0</v>
      </c>
      <c r="AH282" s="370">
        <v>0</v>
      </c>
      <c r="AI282" s="75"/>
      <c r="AJ282" s="75"/>
      <c r="AK282" s="75"/>
      <c r="AL282" s="75"/>
      <c r="AM282" s="75"/>
      <c r="AN282" s="64" t="s">
        <v>246</v>
      </c>
      <c r="AO282" s="64"/>
      <c r="AP282" s="64"/>
      <c r="AQ282" s="189"/>
      <c r="AR282" s="64"/>
      <c r="AS282" s="476"/>
      <c r="AT282" s="64"/>
      <c r="AU282" s="646"/>
      <c r="AV282" s="433"/>
    </row>
    <row r="283" spans="1:48" ht="14.45" customHeight="1" outlineLevel="4" x14ac:dyDescent="0.25">
      <c r="A283" s="63" t="str">
        <f t="shared" si="51"/>
        <v>1.3.1.7.4.60</v>
      </c>
      <c r="B283" s="64">
        <v>1</v>
      </c>
      <c r="C283" s="64">
        <v>3</v>
      </c>
      <c r="D283" s="64">
        <v>1</v>
      </c>
      <c r="E283" s="64">
        <v>7</v>
      </c>
      <c r="F283" s="64">
        <v>4</v>
      </c>
      <c r="G283" s="100">
        <v>60</v>
      </c>
      <c r="H283" s="65"/>
      <c r="I283" s="65"/>
      <c r="J283" s="66"/>
      <c r="K283" s="65" t="s">
        <v>1914</v>
      </c>
      <c r="L283" s="64" t="s">
        <v>246</v>
      </c>
      <c r="M283" s="64" t="s">
        <v>256</v>
      </c>
      <c r="N283" s="64" t="s">
        <v>257</v>
      </c>
      <c r="O283" s="64" t="s">
        <v>241</v>
      </c>
      <c r="P283" s="69"/>
      <c r="Q283" s="69"/>
      <c r="R283" s="126"/>
      <c r="S283" s="123" t="s">
        <v>258</v>
      </c>
      <c r="T283" s="124"/>
      <c r="U283" s="132">
        <v>1422000</v>
      </c>
      <c r="V283" s="702">
        <f t="shared" si="58"/>
        <v>2149900</v>
      </c>
      <c r="W283" s="75"/>
      <c r="X283" s="132">
        <v>2722700</v>
      </c>
      <c r="Y283" s="127">
        <v>2722700</v>
      </c>
      <c r="Z283" s="127">
        <v>2722700</v>
      </c>
      <c r="AA283" s="132">
        <f>+(AH283-U283-X283)/2</f>
        <v>3273050</v>
      </c>
      <c r="AB283" s="127">
        <v>2722700</v>
      </c>
      <c r="AC283" s="127">
        <v>2722700</v>
      </c>
      <c r="AD283" s="132">
        <f>+AH283-U283-X283-AA283</f>
        <v>3273050</v>
      </c>
      <c r="AE283" s="596"/>
      <c r="AF283" s="347" t="s">
        <v>342</v>
      </c>
      <c r="AG283" s="75">
        <v>6575266.666666667</v>
      </c>
      <c r="AH283" s="370">
        <v>10690800</v>
      </c>
      <c r="AI283" s="75"/>
      <c r="AJ283" s="75">
        <f>873650+466400+451300+358550</f>
        <v>2149900</v>
      </c>
      <c r="AK283" s="75"/>
      <c r="AL283" s="75"/>
      <c r="AM283" s="75"/>
      <c r="AN283" s="64" t="s">
        <v>39</v>
      </c>
      <c r="AO283" s="64" t="s">
        <v>1839</v>
      </c>
      <c r="AP283" s="64" t="s">
        <v>649</v>
      </c>
      <c r="AQ283" s="533" t="s">
        <v>649</v>
      </c>
      <c r="AR283" s="554">
        <v>44562</v>
      </c>
      <c r="AS283" s="554">
        <v>44561</v>
      </c>
      <c r="AT283" s="64" t="s">
        <v>1814</v>
      </c>
      <c r="AU283" s="646" t="s">
        <v>1989</v>
      </c>
      <c r="AV283" s="561" t="s">
        <v>1938</v>
      </c>
    </row>
    <row r="284" spans="1:48" ht="30" outlineLevel="4" x14ac:dyDescent="0.25">
      <c r="A284" s="63" t="str">
        <f t="shared" si="51"/>
        <v>1.3.1.7.5.60</v>
      </c>
      <c r="B284" s="64">
        <v>1</v>
      </c>
      <c r="C284" s="64">
        <v>3</v>
      </c>
      <c r="D284" s="64">
        <v>1</v>
      </c>
      <c r="E284" s="64">
        <v>7</v>
      </c>
      <c r="F284" s="64">
        <v>5</v>
      </c>
      <c r="G284" s="64">
        <v>60</v>
      </c>
      <c r="H284" s="65"/>
      <c r="I284" s="65"/>
      <c r="J284" s="66"/>
      <c r="K284" s="65" t="s">
        <v>304</v>
      </c>
      <c r="L284" s="64" t="s">
        <v>246</v>
      </c>
      <c r="M284" s="64" t="s">
        <v>240</v>
      </c>
      <c r="N284" s="64" t="s">
        <v>247</v>
      </c>
      <c r="O284" s="64" t="s">
        <v>241</v>
      </c>
      <c r="P284" s="69"/>
      <c r="Q284" s="69"/>
      <c r="R284" s="126">
        <v>50000</v>
      </c>
      <c r="S284" s="123" t="s">
        <v>248</v>
      </c>
      <c r="T284" s="124">
        <f t="shared" ref="T284:AC286" si="59">+$R284/4</f>
        <v>12500</v>
      </c>
      <c r="U284" s="75"/>
      <c r="V284" s="674">
        <f t="shared" si="58"/>
        <v>0</v>
      </c>
      <c r="W284" s="75">
        <f t="shared" si="59"/>
        <v>12500</v>
      </c>
      <c r="X284" s="75"/>
      <c r="Y284" s="75"/>
      <c r="Z284" s="75">
        <f t="shared" si="59"/>
        <v>12500</v>
      </c>
      <c r="AA284" s="75"/>
      <c r="AB284" s="75"/>
      <c r="AC284" s="75">
        <f t="shared" si="59"/>
        <v>12500</v>
      </c>
      <c r="AD284" s="75"/>
      <c r="AE284" s="592"/>
      <c r="AF284" s="348" t="s">
        <v>260</v>
      </c>
      <c r="AG284" s="129">
        <v>0</v>
      </c>
      <c r="AH284" s="370">
        <v>0</v>
      </c>
      <c r="AI284" s="75"/>
      <c r="AJ284" s="75"/>
      <c r="AK284" s="75"/>
      <c r="AL284" s="75"/>
      <c r="AM284" s="75"/>
      <c r="AN284" s="64" t="s">
        <v>39</v>
      </c>
      <c r="AO284" s="64"/>
      <c r="AP284" s="64"/>
      <c r="AQ284" s="189"/>
      <c r="AR284" s="64"/>
      <c r="AS284" s="476"/>
      <c r="AT284" s="64"/>
      <c r="AU284" s="646"/>
      <c r="AV284" s="335" t="s">
        <v>261</v>
      </c>
    </row>
    <row r="285" spans="1:48" ht="30" outlineLevel="4" x14ac:dyDescent="0.25">
      <c r="A285" s="63" t="str">
        <f t="shared" si="51"/>
        <v>1.3.1.7.6.60</v>
      </c>
      <c r="B285" s="64">
        <v>1</v>
      </c>
      <c r="C285" s="64">
        <v>3</v>
      </c>
      <c r="D285" s="64">
        <v>1</v>
      </c>
      <c r="E285" s="64">
        <v>7</v>
      </c>
      <c r="F285" s="64">
        <v>6</v>
      </c>
      <c r="G285" s="64">
        <v>60</v>
      </c>
      <c r="H285" s="65"/>
      <c r="I285" s="65"/>
      <c r="J285" s="66"/>
      <c r="K285" s="65" t="s">
        <v>305</v>
      </c>
      <c r="L285" s="64" t="s">
        <v>246</v>
      </c>
      <c r="M285" s="64" t="s">
        <v>240</v>
      </c>
      <c r="N285" s="64" t="s">
        <v>354</v>
      </c>
      <c r="O285" s="64" t="s">
        <v>241</v>
      </c>
      <c r="P285" s="69"/>
      <c r="Q285" s="69"/>
      <c r="R285" s="126">
        <v>1000000</v>
      </c>
      <c r="S285" s="123" t="s">
        <v>248</v>
      </c>
      <c r="T285" s="124">
        <f t="shared" si="59"/>
        <v>250000</v>
      </c>
      <c r="U285" s="75"/>
      <c r="V285" s="674">
        <f t="shared" si="58"/>
        <v>0</v>
      </c>
      <c r="W285" s="75">
        <f t="shared" si="59"/>
        <v>250000</v>
      </c>
      <c r="X285" s="75"/>
      <c r="Y285" s="75"/>
      <c r="Z285" s="75">
        <f t="shared" si="59"/>
        <v>250000</v>
      </c>
      <c r="AA285" s="75"/>
      <c r="AB285" s="75"/>
      <c r="AC285" s="75">
        <f t="shared" si="59"/>
        <v>250000</v>
      </c>
      <c r="AD285" s="75"/>
      <c r="AE285" s="592"/>
      <c r="AF285" s="348" t="s">
        <v>260</v>
      </c>
      <c r="AG285" s="129">
        <v>0</v>
      </c>
      <c r="AH285" s="370">
        <v>0</v>
      </c>
      <c r="AI285" s="75"/>
      <c r="AJ285" s="75"/>
      <c r="AK285" s="75"/>
      <c r="AL285" s="75"/>
      <c r="AM285" s="75"/>
      <c r="AN285" s="64" t="s">
        <v>39</v>
      </c>
      <c r="AO285" s="64"/>
      <c r="AP285" s="64"/>
      <c r="AQ285" s="189"/>
      <c r="AR285" s="64"/>
      <c r="AS285" s="476"/>
      <c r="AT285" s="64"/>
      <c r="AU285" s="646"/>
      <c r="AV285" s="335" t="s">
        <v>261</v>
      </c>
    </row>
    <row r="286" spans="1:48" outlineLevel="4" x14ac:dyDescent="0.25">
      <c r="A286" s="63" t="str">
        <f t="shared" si="51"/>
        <v>1.3.1.7.7.60</v>
      </c>
      <c r="B286" s="64">
        <v>1</v>
      </c>
      <c r="C286" s="64">
        <v>3</v>
      </c>
      <c r="D286" s="64">
        <v>1</v>
      </c>
      <c r="E286" s="64">
        <v>7</v>
      </c>
      <c r="F286" s="64">
        <v>7</v>
      </c>
      <c r="G286" s="64">
        <v>60</v>
      </c>
      <c r="H286" s="65"/>
      <c r="I286" s="65"/>
      <c r="J286" s="66"/>
      <c r="K286" s="65" t="s">
        <v>332</v>
      </c>
      <c r="L286" s="64" t="s">
        <v>246</v>
      </c>
      <c r="M286" s="64" t="s">
        <v>240</v>
      </c>
      <c r="N286" s="64" t="s">
        <v>329</v>
      </c>
      <c r="O286" s="64" t="s">
        <v>241</v>
      </c>
      <c r="P286" s="69"/>
      <c r="Q286" s="69"/>
      <c r="R286" s="126">
        <v>15000</v>
      </c>
      <c r="S286" s="123" t="s">
        <v>248</v>
      </c>
      <c r="T286" s="124">
        <f t="shared" si="59"/>
        <v>3750</v>
      </c>
      <c r="U286" s="75"/>
      <c r="V286" s="674">
        <f t="shared" si="58"/>
        <v>0</v>
      </c>
      <c r="W286" s="75">
        <f t="shared" si="59"/>
        <v>3750</v>
      </c>
      <c r="X286" s="75"/>
      <c r="Y286" s="75"/>
      <c r="Z286" s="75">
        <f t="shared" si="59"/>
        <v>3750</v>
      </c>
      <c r="AA286" s="75"/>
      <c r="AB286" s="75"/>
      <c r="AC286" s="75">
        <f t="shared" si="59"/>
        <v>3750</v>
      </c>
      <c r="AD286" s="75"/>
      <c r="AE286" s="592"/>
      <c r="AF286" s="348" t="s">
        <v>260</v>
      </c>
      <c r="AG286" s="129">
        <v>0</v>
      </c>
      <c r="AH286" s="370">
        <v>0</v>
      </c>
      <c r="AI286" s="75"/>
      <c r="AJ286" s="75"/>
      <c r="AK286" s="75"/>
      <c r="AL286" s="75"/>
      <c r="AM286" s="75"/>
      <c r="AN286" s="64" t="s">
        <v>39</v>
      </c>
      <c r="AO286" s="64"/>
      <c r="AP286" s="64"/>
      <c r="AQ286" s="189"/>
      <c r="AR286" s="64"/>
      <c r="AS286" s="476"/>
      <c r="AT286" s="64"/>
      <c r="AU286" s="646"/>
      <c r="AV286" s="185"/>
    </row>
    <row r="287" spans="1:48" ht="22.35" customHeight="1" outlineLevel="4" x14ac:dyDescent="0.25">
      <c r="A287" s="63" t="str">
        <f t="shared" si="51"/>
        <v>1.3.1.7.8.60</v>
      </c>
      <c r="B287" s="64">
        <v>1</v>
      </c>
      <c r="C287" s="64">
        <v>3</v>
      </c>
      <c r="D287" s="64">
        <v>1</v>
      </c>
      <c r="E287" s="64">
        <v>7</v>
      </c>
      <c r="F287" s="64">
        <v>8</v>
      </c>
      <c r="G287" s="64">
        <v>60</v>
      </c>
      <c r="H287" s="65"/>
      <c r="I287" s="65"/>
      <c r="J287" s="66"/>
      <c r="K287" s="65" t="s">
        <v>263</v>
      </c>
      <c r="L287" s="64" t="s">
        <v>264</v>
      </c>
      <c r="M287" s="64" t="s">
        <v>76</v>
      </c>
      <c r="N287" s="64" t="s">
        <v>265</v>
      </c>
      <c r="O287" s="64" t="s">
        <v>266</v>
      </c>
      <c r="P287" s="69"/>
      <c r="Q287" s="69"/>
      <c r="R287" s="124"/>
      <c r="S287" s="123" t="s">
        <v>258</v>
      </c>
      <c r="T287" s="124"/>
      <c r="U287" s="75"/>
      <c r="V287" s="674">
        <f t="shared" si="58"/>
        <v>0</v>
      </c>
      <c r="W287" s="75"/>
      <c r="X287" s="75"/>
      <c r="Y287" s="75"/>
      <c r="Z287" s="75"/>
      <c r="AA287" s="75"/>
      <c r="AB287" s="75"/>
      <c r="AC287" s="75"/>
      <c r="AD287" s="75">
        <f>+AH287</f>
        <v>641600</v>
      </c>
      <c r="AE287" s="592"/>
      <c r="AF287" s="347" t="s">
        <v>144</v>
      </c>
      <c r="AG287" s="75">
        <v>641600</v>
      </c>
      <c r="AH287" s="370">
        <f>+((10*500)+(166*350)*22)/2</f>
        <v>641600</v>
      </c>
      <c r="AI287" s="75"/>
      <c r="AJ287" s="75"/>
      <c r="AK287" s="75"/>
      <c r="AL287" s="75"/>
      <c r="AM287" s="75"/>
      <c r="AN287" s="64" t="s">
        <v>181</v>
      </c>
      <c r="AO287" s="165"/>
      <c r="AP287" s="165"/>
      <c r="AQ287" s="413"/>
      <c r="AR287" s="64"/>
      <c r="AS287" s="475"/>
      <c r="AT287" s="64"/>
      <c r="AU287" s="646"/>
      <c r="AV287" s="432" t="s">
        <v>268</v>
      </c>
    </row>
    <row r="288" spans="1:48" ht="46.35" customHeight="1" outlineLevel="4" x14ac:dyDescent="0.25">
      <c r="A288" s="63" t="str">
        <f t="shared" si="51"/>
        <v>1.3.1.7.11.60</v>
      </c>
      <c r="B288" s="64">
        <v>1</v>
      </c>
      <c r="C288" s="64">
        <v>3</v>
      </c>
      <c r="D288" s="64">
        <v>1</v>
      </c>
      <c r="E288" s="64">
        <v>7</v>
      </c>
      <c r="F288" s="64">
        <v>11</v>
      </c>
      <c r="G288" s="64">
        <v>60</v>
      </c>
      <c r="H288" s="65"/>
      <c r="I288" s="65"/>
      <c r="J288" s="66"/>
      <c r="K288" s="67" t="s">
        <v>355</v>
      </c>
      <c r="L288" s="68" t="s">
        <v>270</v>
      </c>
      <c r="M288" s="64" t="s">
        <v>279</v>
      </c>
      <c r="N288" s="64"/>
      <c r="O288" s="64"/>
      <c r="P288" s="69"/>
      <c r="Q288" s="69"/>
      <c r="R288" s="124"/>
      <c r="S288" s="123"/>
      <c r="T288" s="124"/>
      <c r="U288" s="75">
        <f>+AH288/2</f>
        <v>218750</v>
      </c>
      <c r="V288" s="674">
        <f t="shared" si="58"/>
        <v>0</v>
      </c>
      <c r="W288" s="75"/>
      <c r="X288" s="75">
        <f>+AH288/2</f>
        <v>218750</v>
      </c>
      <c r="Y288" s="75"/>
      <c r="Z288" s="75"/>
      <c r="AA288" s="75">
        <v>0</v>
      </c>
      <c r="AB288" s="75"/>
      <c r="AC288" s="75"/>
      <c r="AD288" s="75">
        <v>0</v>
      </c>
      <c r="AE288" s="592"/>
      <c r="AF288" s="347" t="s">
        <v>272</v>
      </c>
      <c r="AG288" s="75">
        <v>437500</v>
      </c>
      <c r="AH288" s="370">
        <v>437500</v>
      </c>
      <c r="AI288" s="75"/>
      <c r="AJ288" s="75"/>
      <c r="AK288" s="75"/>
      <c r="AL288" s="75"/>
      <c r="AM288" s="75"/>
      <c r="AN288" s="64" t="s">
        <v>39</v>
      </c>
      <c r="AO288" s="64"/>
      <c r="AP288" s="64"/>
      <c r="AQ288" s="189"/>
      <c r="AR288" s="64"/>
      <c r="AS288" s="476"/>
      <c r="AT288" s="64"/>
      <c r="AU288" s="646"/>
      <c r="AV288" s="335" t="s">
        <v>273</v>
      </c>
    </row>
    <row r="289" spans="1:48" ht="45" outlineLevel="4" x14ac:dyDescent="0.25">
      <c r="A289" s="63" t="str">
        <f t="shared" si="51"/>
        <v>1.3.1.7.13.60</v>
      </c>
      <c r="B289" s="64">
        <v>1</v>
      </c>
      <c r="C289" s="64">
        <v>3</v>
      </c>
      <c r="D289" s="64">
        <v>1</v>
      </c>
      <c r="E289" s="64">
        <v>7</v>
      </c>
      <c r="F289" s="64">
        <v>13</v>
      </c>
      <c r="G289" s="100">
        <v>60</v>
      </c>
      <c r="H289" s="65"/>
      <c r="I289" s="65"/>
      <c r="J289" s="66"/>
      <c r="K289" s="67" t="s">
        <v>356</v>
      </c>
      <c r="L289" s="64" t="s">
        <v>72</v>
      </c>
      <c r="M289" s="64" t="s">
        <v>267</v>
      </c>
      <c r="N289" s="64" t="s">
        <v>265</v>
      </c>
      <c r="O289" s="64" t="s">
        <v>275</v>
      </c>
      <c r="P289" s="69"/>
      <c r="Q289" s="69"/>
      <c r="R289" s="124">
        <v>12</v>
      </c>
      <c r="S289" s="123"/>
      <c r="T289" s="124">
        <v>3</v>
      </c>
      <c r="U289" s="75">
        <v>5829257.2000000002</v>
      </c>
      <c r="V289" s="702">
        <f t="shared" si="58"/>
        <v>6065325</v>
      </c>
      <c r="W289" s="75">
        <v>3</v>
      </c>
      <c r="X289" s="78">
        <v>4852026.9800000004</v>
      </c>
      <c r="Y289" s="75"/>
      <c r="Z289" s="75">
        <v>3</v>
      </c>
      <c r="AA289" s="78">
        <v>4552026.9800000004</v>
      </c>
      <c r="AB289" s="75"/>
      <c r="AC289" s="75">
        <v>3</v>
      </c>
      <c r="AD289" s="78">
        <v>4852026.9800000004</v>
      </c>
      <c r="AE289" s="592"/>
      <c r="AF289" s="259" t="s">
        <v>309</v>
      </c>
      <c r="AG289" s="75">
        <v>7821450</v>
      </c>
      <c r="AH289" s="370">
        <f>15642900</f>
        <v>15642900</v>
      </c>
      <c r="AI289" s="75"/>
      <c r="AJ289" s="75">
        <f>134889.3+1707801.9+117595.8+1960287+92232+2052519</f>
        <v>6065325</v>
      </c>
      <c r="AK289" s="75"/>
      <c r="AL289" s="75"/>
      <c r="AM289" s="75"/>
      <c r="AN289" s="64" t="s">
        <v>39</v>
      </c>
      <c r="AO289" s="165" t="s">
        <v>144</v>
      </c>
      <c r="AP289" s="557" t="s">
        <v>649</v>
      </c>
      <c r="AQ289" s="557" t="s">
        <v>649</v>
      </c>
      <c r="AR289" s="558">
        <v>44562</v>
      </c>
      <c r="AS289" s="559">
        <v>44926</v>
      </c>
      <c r="AT289" s="64" t="s">
        <v>1814</v>
      </c>
      <c r="AU289" s="646" t="s">
        <v>1935</v>
      </c>
      <c r="AV289" s="539" t="s">
        <v>1936</v>
      </c>
    </row>
    <row r="290" spans="1:48" ht="30" outlineLevel="4" x14ac:dyDescent="0.25">
      <c r="A290" s="63" t="str">
        <f t="shared" si="51"/>
        <v>1.3.1.7.16.60</v>
      </c>
      <c r="B290" s="64">
        <v>1</v>
      </c>
      <c r="C290" s="64">
        <v>3</v>
      </c>
      <c r="D290" s="64">
        <v>1</v>
      </c>
      <c r="E290" s="64">
        <v>7</v>
      </c>
      <c r="F290" s="64">
        <v>16</v>
      </c>
      <c r="G290" s="64">
        <v>60</v>
      </c>
      <c r="H290" s="65"/>
      <c r="I290" s="65"/>
      <c r="J290" s="66"/>
      <c r="K290" s="67" t="s">
        <v>357</v>
      </c>
      <c r="L290" s="64" t="s">
        <v>72</v>
      </c>
      <c r="M290" s="64" t="s">
        <v>271</v>
      </c>
      <c r="N290" s="64" t="s">
        <v>307</v>
      </c>
      <c r="O290" s="64" t="s">
        <v>277</v>
      </c>
      <c r="P290" s="69"/>
      <c r="Q290" s="69"/>
      <c r="R290" s="124"/>
      <c r="S290" s="123"/>
      <c r="T290" s="124"/>
      <c r="U290" s="75">
        <v>100000</v>
      </c>
      <c r="V290" s="674">
        <f t="shared" si="58"/>
        <v>0</v>
      </c>
      <c r="W290" s="75"/>
      <c r="X290" s="75">
        <v>75000</v>
      </c>
      <c r="Y290" s="75"/>
      <c r="Z290" s="75"/>
      <c r="AA290" s="75">
        <v>75000</v>
      </c>
      <c r="AB290" s="75"/>
      <c r="AC290" s="75"/>
      <c r="AD290" s="75"/>
      <c r="AE290" s="592"/>
      <c r="AF290" s="347" t="s">
        <v>278</v>
      </c>
      <c r="AG290" s="75">
        <v>250000</v>
      </c>
      <c r="AH290" s="370">
        <v>350000</v>
      </c>
      <c r="AI290" s="75"/>
      <c r="AJ290" s="75"/>
      <c r="AK290" s="75"/>
      <c r="AL290" s="75"/>
      <c r="AM290" s="75"/>
      <c r="AN290" s="64" t="s">
        <v>39</v>
      </c>
      <c r="AO290" s="64"/>
      <c r="AP290" s="64"/>
      <c r="AQ290" s="413"/>
      <c r="AR290" s="165"/>
      <c r="AS290" s="475"/>
      <c r="AT290" s="64"/>
      <c r="AU290" s="646"/>
      <c r="AV290" s="540"/>
    </row>
    <row r="291" spans="1:48" ht="30" outlineLevel="4" x14ac:dyDescent="0.25">
      <c r="A291" s="63" t="str">
        <f t="shared" si="51"/>
        <v>1.3.1.7.17.60</v>
      </c>
      <c r="B291" s="64">
        <v>1</v>
      </c>
      <c r="C291" s="64">
        <v>3</v>
      </c>
      <c r="D291" s="64">
        <v>1</v>
      </c>
      <c r="E291" s="64">
        <v>7</v>
      </c>
      <c r="F291" s="64">
        <v>17</v>
      </c>
      <c r="G291" s="64">
        <v>60</v>
      </c>
      <c r="H291" s="65"/>
      <c r="I291" s="65"/>
      <c r="J291" s="66"/>
      <c r="K291" s="67" t="s">
        <v>1895</v>
      </c>
      <c r="L291" s="64" t="s">
        <v>72</v>
      </c>
      <c r="M291" s="64" t="s">
        <v>279</v>
      </c>
      <c r="N291" s="64" t="s">
        <v>307</v>
      </c>
      <c r="O291" s="68" t="s">
        <v>277</v>
      </c>
      <c r="P291" s="69"/>
      <c r="Q291" s="69"/>
      <c r="R291" s="124"/>
      <c r="S291" s="123"/>
      <c r="T291" s="124"/>
      <c r="U291" s="75">
        <v>75000</v>
      </c>
      <c r="V291" s="702">
        <f t="shared" si="58"/>
        <v>51202.16</v>
      </c>
      <c r="W291" s="75"/>
      <c r="X291" s="75">
        <v>75000</v>
      </c>
      <c r="Y291" s="75"/>
      <c r="Z291" s="75"/>
      <c r="AA291" s="75">
        <v>50000</v>
      </c>
      <c r="AB291" s="75"/>
      <c r="AC291" s="75"/>
      <c r="AD291" s="75"/>
      <c r="AE291" s="592"/>
      <c r="AF291" s="259" t="s">
        <v>279</v>
      </c>
      <c r="AG291" s="75">
        <v>200000</v>
      </c>
      <c r="AH291" s="370">
        <v>200000</v>
      </c>
      <c r="AI291" s="75"/>
      <c r="AJ291" s="536">
        <f>8084.68+8344.29+7349.74+27423.45</f>
        <v>51202.16</v>
      </c>
      <c r="AK291" s="75"/>
      <c r="AL291" s="75"/>
      <c r="AM291" s="75"/>
      <c r="AN291" s="64" t="s">
        <v>39</v>
      </c>
      <c r="AO291" s="64"/>
      <c r="AP291" s="189" t="s">
        <v>1917</v>
      </c>
      <c r="AQ291" s="64"/>
      <c r="AR291" s="64"/>
      <c r="AS291" s="64"/>
      <c r="AT291" s="460"/>
      <c r="AU291" s="648" t="s">
        <v>1896</v>
      </c>
      <c r="AV291" s="792" t="s">
        <v>1897</v>
      </c>
    </row>
    <row r="292" spans="1:48" outlineLevel="4" x14ac:dyDescent="0.25">
      <c r="A292" s="63" t="str">
        <f t="shared" si="51"/>
        <v>1.3.1.7.21.60</v>
      </c>
      <c r="B292" s="64">
        <v>1</v>
      </c>
      <c r="C292" s="64">
        <v>3</v>
      </c>
      <c r="D292" s="64">
        <v>1</v>
      </c>
      <c r="E292" s="64">
        <v>7</v>
      </c>
      <c r="F292" s="64">
        <v>21</v>
      </c>
      <c r="G292" s="64">
        <v>60</v>
      </c>
      <c r="H292" s="65"/>
      <c r="I292" s="65"/>
      <c r="J292" s="66"/>
      <c r="K292" s="67" t="s">
        <v>280</v>
      </c>
      <c r="L292" s="64" t="s">
        <v>72</v>
      </c>
      <c r="M292" s="64" t="s">
        <v>271</v>
      </c>
      <c r="N292" s="64" t="s">
        <v>307</v>
      </c>
      <c r="O292" s="64" t="s">
        <v>281</v>
      </c>
      <c r="P292" s="69"/>
      <c r="Q292" s="69"/>
      <c r="R292" s="124"/>
      <c r="S292" s="123"/>
      <c r="T292" s="124"/>
      <c r="U292" s="75">
        <v>30000</v>
      </c>
      <c r="V292" s="674">
        <f t="shared" si="58"/>
        <v>0</v>
      </c>
      <c r="W292" s="75"/>
      <c r="X292" s="75"/>
      <c r="Y292" s="75"/>
      <c r="Z292" s="75"/>
      <c r="AA292" s="75"/>
      <c r="AB292" s="75"/>
      <c r="AC292" s="75"/>
      <c r="AD292" s="75"/>
      <c r="AE292" s="592"/>
      <c r="AF292" s="347" t="s">
        <v>166</v>
      </c>
      <c r="AG292" s="75">
        <v>30000</v>
      </c>
      <c r="AH292" s="370">
        <v>30000</v>
      </c>
      <c r="AI292" s="75"/>
      <c r="AJ292" s="75"/>
      <c r="AK292" s="75"/>
      <c r="AL292" s="75"/>
      <c r="AM292" s="75"/>
      <c r="AN292" s="64" t="s">
        <v>39</v>
      </c>
      <c r="AO292" s="64"/>
      <c r="AP292" s="64"/>
      <c r="AQ292" s="416"/>
      <c r="AR292" s="245"/>
      <c r="AS292" s="480"/>
      <c r="AT292" s="64"/>
      <c r="AU292" s="646"/>
      <c r="AV292" s="542" t="s">
        <v>358</v>
      </c>
    </row>
    <row r="293" spans="1:48" outlineLevel="4" x14ac:dyDescent="0.25">
      <c r="A293" s="63" t="str">
        <f t="shared" si="51"/>
        <v>1.3.1.7.22.60</v>
      </c>
      <c r="B293" s="64">
        <v>1</v>
      </c>
      <c r="C293" s="64">
        <v>3</v>
      </c>
      <c r="D293" s="64">
        <v>1</v>
      </c>
      <c r="E293" s="64">
        <v>7</v>
      </c>
      <c r="F293" s="64">
        <v>22</v>
      </c>
      <c r="G293" s="64">
        <v>60</v>
      </c>
      <c r="H293" s="65"/>
      <c r="I293" s="65"/>
      <c r="J293" s="66"/>
      <c r="K293" s="67" t="s">
        <v>283</v>
      </c>
      <c r="L293" s="64" t="s">
        <v>72</v>
      </c>
      <c r="M293" s="64" t="s">
        <v>271</v>
      </c>
      <c r="N293" s="64" t="s">
        <v>307</v>
      </c>
      <c r="O293" s="64" t="s">
        <v>281</v>
      </c>
      <c r="P293" s="69"/>
      <c r="Q293" s="69"/>
      <c r="R293" s="124"/>
      <c r="S293" s="123"/>
      <c r="T293" s="124"/>
      <c r="U293" s="75"/>
      <c r="V293" s="674">
        <f t="shared" si="58"/>
        <v>0</v>
      </c>
      <c r="W293" s="75"/>
      <c r="X293" s="75">
        <v>10000</v>
      </c>
      <c r="Y293" s="75"/>
      <c r="Z293" s="75"/>
      <c r="AA293" s="75"/>
      <c r="AB293" s="75"/>
      <c r="AC293" s="75"/>
      <c r="AD293" s="75"/>
      <c r="AE293" s="592"/>
      <c r="AF293" s="347" t="s">
        <v>166</v>
      </c>
      <c r="AG293" s="75">
        <v>10000</v>
      </c>
      <c r="AH293" s="370">
        <v>10000</v>
      </c>
      <c r="AI293" s="75"/>
      <c r="AJ293" s="75"/>
      <c r="AK293" s="75"/>
      <c r="AL293" s="75"/>
      <c r="AM293" s="75"/>
      <c r="AN293" s="64" t="s">
        <v>39</v>
      </c>
      <c r="AO293" s="64"/>
      <c r="AP293" s="64"/>
      <c r="AQ293" s="189"/>
      <c r="AR293" s="64"/>
      <c r="AS293" s="476"/>
      <c r="AT293" s="64"/>
      <c r="AU293" s="646"/>
      <c r="AV293" s="185"/>
    </row>
    <row r="294" spans="1:48" outlineLevel="4" x14ac:dyDescent="0.25">
      <c r="A294" s="63" t="str">
        <f t="shared" si="51"/>
        <v>1.3.1.7.23.60</v>
      </c>
      <c r="B294" s="64">
        <v>1</v>
      </c>
      <c r="C294" s="64">
        <v>3</v>
      </c>
      <c r="D294" s="64">
        <v>1</v>
      </c>
      <c r="E294" s="64">
        <v>7</v>
      </c>
      <c r="F294" s="64">
        <v>23</v>
      </c>
      <c r="G294" s="64">
        <v>60</v>
      </c>
      <c r="H294" s="65"/>
      <c r="I294" s="65"/>
      <c r="J294" s="66"/>
      <c r="K294" s="67" t="s">
        <v>284</v>
      </c>
      <c r="L294" s="64" t="s">
        <v>72</v>
      </c>
      <c r="M294" s="64" t="s">
        <v>271</v>
      </c>
      <c r="N294" s="64" t="s">
        <v>307</v>
      </c>
      <c r="O294" s="64" t="s">
        <v>281</v>
      </c>
      <c r="P294" s="69"/>
      <c r="Q294" s="131"/>
      <c r="R294" s="124"/>
      <c r="S294" s="123"/>
      <c r="T294" s="124"/>
      <c r="U294" s="75">
        <v>30000</v>
      </c>
      <c r="V294" s="674">
        <f t="shared" si="58"/>
        <v>0</v>
      </c>
      <c r="W294" s="75"/>
      <c r="X294" s="75"/>
      <c r="Y294" s="75"/>
      <c r="Z294" s="75"/>
      <c r="AA294" s="75"/>
      <c r="AB294" s="75"/>
      <c r="AC294" s="75"/>
      <c r="AD294" s="75"/>
      <c r="AE294" s="592"/>
      <c r="AF294" s="347" t="s">
        <v>166</v>
      </c>
      <c r="AG294" s="75">
        <v>30000</v>
      </c>
      <c r="AH294" s="370">
        <v>115000</v>
      </c>
      <c r="AI294" s="75"/>
      <c r="AJ294" s="75"/>
      <c r="AK294" s="75"/>
      <c r="AL294" s="75"/>
      <c r="AM294" s="75"/>
      <c r="AN294" s="64" t="s">
        <v>39</v>
      </c>
      <c r="AO294" s="64"/>
      <c r="AP294" s="64"/>
      <c r="AQ294" s="189"/>
      <c r="AR294" s="64"/>
      <c r="AS294" s="476"/>
      <c r="AT294" s="64"/>
      <c r="AU294" s="646"/>
      <c r="AV294" s="185"/>
    </row>
    <row r="295" spans="1:48" outlineLevel="4" x14ac:dyDescent="0.25">
      <c r="A295" s="63" t="str">
        <f t="shared" si="51"/>
        <v>1.3.1.7.26.60</v>
      </c>
      <c r="B295" s="64">
        <v>1</v>
      </c>
      <c r="C295" s="64">
        <v>3</v>
      </c>
      <c r="D295" s="64">
        <v>1</v>
      </c>
      <c r="E295" s="64">
        <v>7</v>
      </c>
      <c r="F295" s="64">
        <v>26</v>
      </c>
      <c r="G295" s="64">
        <v>60</v>
      </c>
      <c r="H295" s="65"/>
      <c r="I295" s="65"/>
      <c r="J295" s="66"/>
      <c r="K295" s="67" t="s">
        <v>286</v>
      </c>
      <c r="L295" s="64" t="s">
        <v>72</v>
      </c>
      <c r="M295" s="64" t="s">
        <v>73</v>
      </c>
      <c r="N295" s="64" t="s">
        <v>307</v>
      </c>
      <c r="O295" s="64" t="s">
        <v>281</v>
      </c>
      <c r="P295" s="69"/>
      <c r="Q295" s="69"/>
      <c r="R295" s="124"/>
      <c r="S295" s="123"/>
      <c r="T295" s="124"/>
      <c r="U295" s="75"/>
      <c r="V295" s="674">
        <f t="shared" si="58"/>
        <v>0</v>
      </c>
      <c r="W295" s="75"/>
      <c r="X295" s="75"/>
      <c r="Y295" s="75"/>
      <c r="Z295" s="75"/>
      <c r="AA295" s="75"/>
      <c r="AB295" s="75"/>
      <c r="AC295" s="75"/>
      <c r="AD295" s="75"/>
      <c r="AE295" s="592"/>
      <c r="AF295" s="347" t="s">
        <v>73</v>
      </c>
      <c r="AG295" s="75">
        <v>0</v>
      </c>
      <c r="AH295" s="370">
        <v>0</v>
      </c>
      <c r="AI295" s="75"/>
      <c r="AJ295" s="75"/>
      <c r="AK295" s="75"/>
      <c r="AL295" s="75"/>
      <c r="AM295" s="75"/>
      <c r="AN295" s="64" t="s">
        <v>39</v>
      </c>
      <c r="AO295" s="64"/>
      <c r="AP295" s="64"/>
      <c r="AQ295" s="189"/>
      <c r="AR295" s="64"/>
      <c r="AS295" s="476"/>
      <c r="AT295" s="64"/>
      <c r="AU295" s="646"/>
      <c r="AV295" s="185"/>
    </row>
    <row r="296" spans="1:48" outlineLevel="4" x14ac:dyDescent="0.25">
      <c r="A296" s="63" t="str">
        <f t="shared" si="51"/>
        <v>1.3.1.7.27.60</v>
      </c>
      <c r="B296" s="64">
        <v>1</v>
      </c>
      <c r="C296" s="64">
        <v>3</v>
      </c>
      <c r="D296" s="64">
        <v>1</v>
      </c>
      <c r="E296" s="64">
        <v>7</v>
      </c>
      <c r="F296" s="64">
        <v>27</v>
      </c>
      <c r="G296" s="64">
        <v>60</v>
      </c>
      <c r="H296" s="65"/>
      <c r="I296" s="65"/>
      <c r="J296" s="66"/>
      <c r="K296" s="67" t="s">
        <v>287</v>
      </c>
      <c r="L296" s="64" t="s">
        <v>72</v>
      </c>
      <c r="M296" s="64" t="s">
        <v>73</v>
      </c>
      <c r="N296" s="64"/>
      <c r="O296" s="64"/>
      <c r="P296" s="69"/>
      <c r="Q296" s="69"/>
      <c r="R296" s="124"/>
      <c r="S296" s="123"/>
      <c r="T296" s="124"/>
      <c r="U296" s="75"/>
      <c r="V296" s="674">
        <f t="shared" si="58"/>
        <v>0</v>
      </c>
      <c r="W296" s="75"/>
      <c r="X296" s="75"/>
      <c r="Y296" s="75"/>
      <c r="Z296" s="75"/>
      <c r="AA296" s="75"/>
      <c r="AB296" s="75"/>
      <c r="AC296" s="75"/>
      <c r="AD296" s="75"/>
      <c r="AE296" s="592"/>
      <c r="AF296" s="347" t="s">
        <v>73</v>
      </c>
      <c r="AG296" s="75">
        <v>0</v>
      </c>
      <c r="AH296" s="370">
        <v>0</v>
      </c>
      <c r="AI296" s="75"/>
      <c r="AJ296" s="75"/>
      <c r="AK296" s="75"/>
      <c r="AL296" s="75"/>
      <c r="AM296" s="75"/>
      <c r="AN296" s="64" t="s">
        <v>181</v>
      </c>
      <c r="AO296" s="64"/>
      <c r="AP296" s="64"/>
      <c r="AQ296" s="189"/>
      <c r="AR296" s="64"/>
      <c r="AS296" s="476"/>
      <c r="AT296" s="64"/>
      <c r="AU296" s="646"/>
      <c r="AV296" s="185" t="s">
        <v>127</v>
      </c>
    </row>
    <row r="297" spans="1:48" ht="60" outlineLevel="4" x14ac:dyDescent="0.25">
      <c r="A297" s="63" t="str">
        <f t="shared" si="51"/>
        <v>1.3.1.7.28.60</v>
      </c>
      <c r="B297" s="64">
        <v>1</v>
      </c>
      <c r="C297" s="64">
        <v>3</v>
      </c>
      <c r="D297" s="64">
        <v>1</v>
      </c>
      <c r="E297" s="64">
        <v>7</v>
      </c>
      <c r="F297" s="64">
        <v>28</v>
      </c>
      <c r="G297" s="64">
        <v>60</v>
      </c>
      <c r="H297" s="65"/>
      <c r="I297" s="65"/>
      <c r="J297" s="66"/>
      <c r="K297" s="67" t="s">
        <v>311</v>
      </c>
      <c r="L297" s="64" t="s">
        <v>72</v>
      </c>
      <c r="M297" s="64" t="s">
        <v>279</v>
      </c>
      <c r="N297" s="64"/>
      <c r="O297" s="64"/>
      <c r="P297" s="69"/>
      <c r="Q297" s="69"/>
      <c r="R297" s="124"/>
      <c r="S297" s="123"/>
      <c r="T297" s="124"/>
      <c r="U297" s="75">
        <v>75000</v>
      </c>
      <c r="V297" s="702">
        <f t="shared" si="58"/>
        <v>20474.05</v>
      </c>
      <c r="W297" s="75"/>
      <c r="X297" s="75">
        <v>75000</v>
      </c>
      <c r="Y297" s="75"/>
      <c r="Z297" s="75"/>
      <c r="AA297" s="75">
        <v>50000</v>
      </c>
      <c r="AB297" s="75"/>
      <c r="AC297" s="75"/>
      <c r="AD297" s="75"/>
      <c r="AE297" s="592"/>
      <c r="AF297" s="347" t="s">
        <v>73</v>
      </c>
      <c r="AG297" s="75">
        <v>200000</v>
      </c>
      <c r="AH297" s="370">
        <v>200000</v>
      </c>
      <c r="AI297" s="75"/>
      <c r="AJ297" s="536">
        <v>20474.05</v>
      </c>
      <c r="AK297" s="75"/>
      <c r="AL297" s="75"/>
      <c r="AM297" s="75"/>
      <c r="AN297" s="64" t="s">
        <v>39</v>
      </c>
      <c r="AO297" s="547" t="s">
        <v>1819</v>
      </c>
      <c r="AP297" s="545" t="s">
        <v>1821</v>
      </c>
      <c r="AQ297" s="545" t="s">
        <v>1822</v>
      </c>
      <c r="AR297" s="64"/>
      <c r="AS297" s="548"/>
      <c r="AT297" s="546" t="s">
        <v>1823</v>
      </c>
      <c r="AU297" s="646">
        <v>42</v>
      </c>
      <c r="AV297" s="791" t="s">
        <v>1820</v>
      </c>
    </row>
    <row r="298" spans="1:48" outlineLevel="4" x14ac:dyDescent="0.25">
      <c r="A298" s="63" t="str">
        <f t="shared" si="51"/>
        <v>1.3.1.7.29.60</v>
      </c>
      <c r="B298" s="64">
        <v>1</v>
      </c>
      <c r="C298" s="64">
        <v>3</v>
      </c>
      <c r="D298" s="64">
        <v>1</v>
      </c>
      <c r="E298" s="64">
        <v>7</v>
      </c>
      <c r="F298" s="64">
        <v>29</v>
      </c>
      <c r="G298" s="64">
        <v>60</v>
      </c>
      <c r="H298" s="65"/>
      <c r="I298" s="65"/>
      <c r="J298" s="66"/>
      <c r="K298" s="137" t="s">
        <v>352</v>
      </c>
      <c r="L298" s="64"/>
      <c r="M298" s="64"/>
      <c r="N298" s="64"/>
      <c r="O298" s="64"/>
      <c r="P298" s="69"/>
      <c r="Q298" s="69"/>
      <c r="R298" s="124"/>
      <c r="S298" s="123"/>
      <c r="T298" s="124"/>
      <c r="U298" s="75"/>
      <c r="V298" s="674">
        <f t="shared" si="58"/>
        <v>0</v>
      </c>
      <c r="W298" s="75"/>
      <c r="X298" s="75"/>
      <c r="Y298" s="75"/>
      <c r="Z298" s="75"/>
      <c r="AA298" s="75"/>
      <c r="AB298" s="75"/>
      <c r="AC298" s="75"/>
      <c r="AD298" s="75"/>
      <c r="AE298" s="592"/>
      <c r="AF298" s="347" t="s">
        <v>73</v>
      </c>
      <c r="AG298" s="75">
        <v>0</v>
      </c>
      <c r="AH298" s="370">
        <v>0</v>
      </c>
      <c r="AI298" s="75"/>
      <c r="AJ298" s="75"/>
      <c r="AK298" s="75"/>
      <c r="AL298" s="75"/>
      <c r="AM298" s="75"/>
      <c r="AN298" s="64" t="s">
        <v>39</v>
      </c>
      <c r="AO298" s="64"/>
      <c r="AP298" s="64"/>
      <c r="AQ298" s="189"/>
      <c r="AR298" s="64"/>
      <c r="AS298" s="476"/>
      <c r="AT298" s="64"/>
      <c r="AU298" s="646"/>
      <c r="AV298" s="185"/>
    </row>
    <row r="299" spans="1:48" ht="69.599999999999994" customHeight="1" outlineLevel="4" x14ac:dyDescent="0.25">
      <c r="A299" s="63" t="str">
        <f t="shared" si="51"/>
        <v>1.3.1.7.30.60</v>
      </c>
      <c r="B299" s="64">
        <v>1</v>
      </c>
      <c r="C299" s="64">
        <v>3</v>
      </c>
      <c r="D299" s="64">
        <v>1</v>
      </c>
      <c r="E299" s="64">
        <v>7</v>
      </c>
      <c r="F299" s="64">
        <v>30</v>
      </c>
      <c r="G299" s="100">
        <v>60</v>
      </c>
      <c r="H299" s="65"/>
      <c r="I299" s="65"/>
      <c r="J299" s="66"/>
      <c r="K299" s="67" t="s">
        <v>326</v>
      </c>
      <c r="L299" s="64" t="s">
        <v>72</v>
      </c>
      <c r="M299" s="64" t="s">
        <v>279</v>
      </c>
      <c r="N299" s="64"/>
      <c r="O299" s="64"/>
      <c r="P299" s="69"/>
      <c r="Q299" s="69"/>
      <c r="R299" s="124"/>
      <c r="S299" s="123"/>
      <c r="T299" s="124"/>
      <c r="U299" s="75">
        <v>0</v>
      </c>
      <c r="V299" s="674">
        <f t="shared" si="58"/>
        <v>0</v>
      </c>
      <c r="W299" s="75"/>
      <c r="X299" s="75">
        <v>0</v>
      </c>
      <c r="Y299" s="75"/>
      <c r="Z299" s="75"/>
      <c r="AA299" s="75">
        <v>0</v>
      </c>
      <c r="AB299" s="75"/>
      <c r="AC299" s="75"/>
      <c r="AD299" s="75">
        <v>0</v>
      </c>
      <c r="AE299" s="592"/>
      <c r="AF299" s="347" t="s">
        <v>272</v>
      </c>
      <c r="AG299" s="75">
        <v>1750000</v>
      </c>
      <c r="AH299" s="370">
        <v>0</v>
      </c>
      <c r="AI299" s="75"/>
      <c r="AJ299" s="75"/>
      <c r="AK299" s="75"/>
      <c r="AL299" s="75"/>
      <c r="AM299" s="75"/>
      <c r="AN299" s="64" t="s">
        <v>39</v>
      </c>
      <c r="AO299" s="64"/>
      <c r="AP299" s="64"/>
      <c r="AQ299" s="189"/>
      <c r="AR299" s="64"/>
      <c r="AS299" s="476"/>
      <c r="AT299" s="64"/>
      <c r="AU299" s="646"/>
      <c r="AV299" s="335" t="s">
        <v>295</v>
      </c>
    </row>
    <row r="300" spans="1:48" outlineLevel="4" x14ac:dyDescent="0.25">
      <c r="A300" s="63" t="str">
        <f t="shared" si="51"/>
        <v>1.3.1.7.31.60</v>
      </c>
      <c r="B300" s="64">
        <v>1</v>
      </c>
      <c r="C300" s="64">
        <v>3</v>
      </c>
      <c r="D300" s="64">
        <v>1</v>
      </c>
      <c r="E300" s="64">
        <v>7</v>
      </c>
      <c r="F300" s="64">
        <v>31</v>
      </c>
      <c r="G300" s="64">
        <v>60</v>
      </c>
      <c r="H300" s="65"/>
      <c r="I300" s="65"/>
      <c r="J300" s="66"/>
      <c r="K300" s="67" t="s">
        <v>296</v>
      </c>
      <c r="L300" s="64" t="s">
        <v>359</v>
      </c>
      <c r="M300" s="64" t="s">
        <v>272</v>
      </c>
      <c r="N300" s="64" t="s">
        <v>360</v>
      </c>
      <c r="O300" s="64" t="s">
        <v>361</v>
      </c>
      <c r="P300" s="147"/>
      <c r="Q300" s="147"/>
      <c r="R300" s="124"/>
      <c r="S300" s="123"/>
      <c r="T300" s="124"/>
      <c r="U300" s="75">
        <v>75000</v>
      </c>
      <c r="V300" s="674">
        <f t="shared" si="58"/>
        <v>0</v>
      </c>
      <c r="W300" s="75"/>
      <c r="X300" s="75">
        <v>75000</v>
      </c>
      <c r="Y300" s="75"/>
      <c r="Z300" s="75"/>
      <c r="AA300" s="75">
        <v>50000</v>
      </c>
      <c r="AB300" s="75"/>
      <c r="AC300" s="75"/>
      <c r="AD300" s="75"/>
      <c r="AE300" s="592"/>
      <c r="AF300" s="348" t="s">
        <v>362</v>
      </c>
      <c r="AG300" s="129">
        <v>200000</v>
      </c>
      <c r="AH300" s="370">
        <v>200000</v>
      </c>
      <c r="AI300" s="75"/>
      <c r="AJ300" s="75"/>
      <c r="AK300" s="75"/>
      <c r="AL300" s="75"/>
      <c r="AM300" s="75"/>
      <c r="AN300" s="64" t="s">
        <v>39</v>
      </c>
      <c r="AO300" s="64"/>
      <c r="AP300" s="64"/>
      <c r="AQ300" s="189"/>
      <c r="AR300" s="64"/>
      <c r="AS300" s="476"/>
      <c r="AT300" s="64"/>
      <c r="AU300" s="646"/>
      <c r="AV300" s="335"/>
    </row>
    <row r="301" spans="1:48" outlineLevel="4" x14ac:dyDescent="0.25">
      <c r="A301" s="63" t="str">
        <f>CONCATENATE(B301,".",C301,".",D301,".",E301,".",F301,".",G301)</f>
        <v>1.3.1.7.33.60</v>
      </c>
      <c r="B301" s="64">
        <v>1</v>
      </c>
      <c r="C301" s="64">
        <v>3</v>
      </c>
      <c r="D301" s="64">
        <v>1</v>
      </c>
      <c r="E301" s="64">
        <v>7</v>
      </c>
      <c r="F301" s="64">
        <v>33</v>
      </c>
      <c r="G301" s="64">
        <v>60</v>
      </c>
      <c r="H301" s="65"/>
      <c r="I301" s="65"/>
      <c r="J301" s="66"/>
      <c r="K301" s="67" t="s">
        <v>298</v>
      </c>
      <c r="L301" s="64"/>
      <c r="M301" s="64" t="s">
        <v>299</v>
      </c>
      <c r="N301" s="64"/>
      <c r="O301" s="64"/>
      <c r="P301" s="147"/>
      <c r="Q301" s="147"/>
      <c r="R301" s="124"/>
      <c r="S301" s="123"/>
      <c r="T301" s="124"/>
      <c r="U301" s="75">
        <v>30000</v>
      </c>
      <c r="V301" s="674">
        <f t="shared" si="58"/>
        <v>20000</v>
      </c>
      <c r="W301" s="75"/>
      <c r="X301" s="75">
        <v>30000</v>
      </c>
      <c r="Y301" s="75"/>
      <c r="Z301" s="75"/>
      <c r="AA301" s="75">
        <v>20000</v>
      </c>
      <c r="AB301" s="75"/>
      <c r="AC301" s="75"/>
      <c r="AD301" s="75"/>
      <c r="AE301" s="592"/>
      <c r="AF301" s="348"/>
      <c r="AG301" s="370">
        <v>0</v>
      </c>
      <c r="AH301" s="377">
        <v>80000</v>
      </c>
      <c r="AI301" s="75"/>
      <c r="AJ301" s="132">
        <v>20000</v>
      </c>
      <c r="AK301" s="75"/>
      <c r="AL301" s="75"/>
      <c r="AM301" s="75"/>
      <c r="AN301" s="64"/>
      <c r="AO301" s="64"/>
      <c r="AP301" s="64"/>
      <c r="AQ301" s="189"/>
      <c r="AR301" s="64"/>
      <c r="AS301" s="476"/>
      <c r="AT301" s="64"/>
      <c r="AU301" s="646"/>
      <c r="AV301" s="335"/>
    </row>
    <row r="302" spans="1:48" s="153" customFormat="1" ht="26.25" customHeight="1" outlineLevel="1" x14ac:dyDescent="0.25">
      <c r="A302" s="148" t="str">
        <f t="shared" si="51"/>
        <v>1.3.1.8.0.0</v>
      </c>
      <c r="B302" s="82">
        <v>1</v>
      </c>
      <c r="C302" s="82">
        <v>3</v>
      </c>
      <c r="D302" s="82">
        <v>1</v>
      </c>
      <c r="E302" s="82">
        <v>8</v>
      </c>
      <c r="F302" s="82">
        <v>0</v>
      </c>
      <c r="G302" s="82">
        <v>0</v>
      </c>
      <c r="H302" s="149"/>
      <c r="I302" s="149"/>
      <c r="J302" s="1260" t="s">
        <v>363</v>
      </c>
      <c r="K302" s="1260"/>
      <c r="L302" s="82" t="s">
        <v>236</v>
      </c>
      <c r="M302" s="82" t="s">
        <v>240</v>
      </c>
      <c r="N302" s="82" t="s">
        <v>226</v>
      </c>
      <c r="O302" s="82">
        <v>0</v>
      </c>
      <c r="P302" s="82"/>
      <c r="Q302" s="82"/>
      <c r="R302" s="369">
        <f t="shared" ref="R302:AG302" si="60">SUM(R303)</f>
        <v>0</v>
      </c>
      <c r="S302" s="369">
        <f t="shared" si="60"/>
        <v>0</v>
      </c>
      <c r="T302" s="369">
        <f t="shared" si="60"/>
        <v>0</v>
      </c>
      <c r="U302" s="369">
        <f t="shared" si="60"/>
        <v>0</v>
      </c>
      <c r="V302" s="677">
        <f t="shared" si="60"/>
        <v>0</v>
      </c>
      <c r="W302" s="369">
        <f t="shared" si="60"/>
        <v>0</v>
      </c>
      <c r="X302" s="369">
        <f t="shared" si="60"/>
        <v>0</v>
      </c>
      <c r="Y302" s="369">
        <f t="shared" si="60"/>
        <v>0</v>
      </c>
      <c r="Z302" s="369">
        <f t="shared" si="60"/>
        <v>0</v>
      </c>
      <c r="AA302" s="369">
        <f t="shared" si="60"/>
        <v>0</v>
      </c>
      <c r="AB302" s="369">
        <f t="shared" si="60"/>
        <v>0</v>
      </c>
      <c r="AC302" s="369">
        <f t="shared" si="60"/>
        <v>0</v>
      </c>
      <c r="AD302" s="369">
        <f t="shared" si="60"/>
        <v>0</v>
      </c>
      <c r="AE302" s="369">
        <f t="shared" si="60"/>
        <v>0</v>
      </c>
      <c r="AF302" s="369">
        <f t="shared" si="60"/>
        <v>0</v>
      </c>
      <c r="AG302" s="369">
        <f t="shared" si="60"/>
        <v>0</v>
      </c>
      <c r="AH302" s="369">
        <f>SUM(AH303)</f>
        <v>0</v>
      </c>
      <c r="AI302" s="369">
        <f>SUM(AI303)</f>
        <v>0</v>
      </c>
      <c r="AJ302" s="369">
        <f>SUM(AJ303)</f>
        <v>0</v>
      </c>
      <c r="AK302" s="61"/>
      <c r="AL302" s="61"/>
      <c r="AM302" s="61"/>
      <c r="AN302" s="81" t="s">
        <v>181</v>
      </c>
      <c r="AO302" s="81"/>
      <c r="AP302" s="81"/>
      <c r="AQ302" s="412"/>
      <c r="AR302" s="81"/>
      <c r="AS302" s="474"/>
      <c r="AT302" s="81"/>
      <c r="AU302" s="663"/>
      <c r="AV302" s="427"/>
    </row>
    <row r="303" spans="1:48" ht="25.5" customHeight="1" outlineLevel="2" x14ac:dyDescent="0.25">
      <c r="A303" s="63" t="str">
        <f t="shared" si="51"/>
        <v>1.3.1.8.1.07</v>
      </c>
      <c r="B303" s="64">
        <v>1</v>
      </c>
      <c r="C303" s="64">
        <v>3</v>
      </c>
      <c r="D303" s="64">
        <v>1</v>
      </c>
      <c r="E303" s="64">
        <v>8</v>
      </c>
      <c r="F303" s="64">
        <v>1</v>
      </c>
      <c r="G303" s="206" t="s">
        <v>723</v>
      </c>
      <c r="H303" s="65"/>
      <c r="I303" s="65"/>
      <c r="J303" s="66"/>
      <c r="K303" s="65" t="s">
        <v>364</v>
      </c>
      <c r="L303" s="64" t="s">
        <v>246</v>
      </c>
      <c r="M303" s="64" t="s">
        <v>365</v>
      </c>
      <c r="N303" s="64" t="s">
        <v>247</v>
      </c>
      <c r="O303" s="64" t="s">
        <v>241</v>
      </c>
      <c r="P303" s="64"/>
      <c r="Q303" s="64"/>
      <c r="R303" s="124"/>
      <c r="S303" s="123"/>
      <c r="T303" s="124"/>
      <c r="U303" s="75"/>
      <c r="V303" s="75">
        <f>+AJ303</f>
        <v>0</v>
      </c>
      <c r="W303" s="75"/>
      <c r="X303" s="75"/>
      <c r="Y303" s="75"/>
      <c r="Z303" s="75"/>
      <c r="AA303" s="75"/>
      <c r="AB303" s="75"/>
      <c r="AC303" s="75"/>
      <c r="AD303" s="75"/>
      <c r="AE303" s="592"/>
      <c r="AF303" s="347"/>
      <c r="AG303" s="370">
        <v>0</v>
      </c>
      <c r="AH303" s="370">
        <v>0</v>
      </c>
      <c r="AI303" s="154"/>
      <c r="AJ303" s="154"/>
      <c r="AK303" s="154"/>
      <c r="AL303" s="154"/>
      <c r="AM303" s="154"/>
      <c r="AN303" s="98" t="s">
        <v>181</v>
      </c>
      <c r="AO303" s="98"/>
      <c r="AP303" s="98"/>
      <c r="AQ303" s="184"/>
      <c r="AR303" s="98"/>
      <c r="AS303" s="481"/>
      <c r="AT303" s="98"/>
      <c r="AU303" s="646"/>
      <c r="AV303" s="440"/>
    </row>
    <row r="304" spans="1:48" s="153" customFormat="1" ht="69" customHeight="1" outlineLevel="1" x14ac:dyDescent="0.25">
      <c r="A304" s="148" t="str">
        <f t="shared" si="51"/>
        <v>1.3.1.9.0.0</v>
      </c>
      <c r="B304" s="82">
        <v>1</v>
      </c>
      <c r="C304" s="82">
        <v>3</v>
      </c>
      <c r="D304" s="82">
        <v>1</v>
      </c>
      <c r="E304" s="82">
        <v>9</v>
      </c>
      <c r="F304" s="82">
        <v>0</v>
      </c>
      <c r="G304" s="82">
        <v>0</v>
      </c>
      <c r="H304" s="149"/>
      <c r="I304" s="149"/>
      <c r="J304" s="1260" t="s">
        <v>366</v>
      </c>
      <c r="K304" s="1260"/>
      <c r="L304" s="82" t="s">
        <v>72</v>
      </c>
      <c r="M304" s="82" t="s">
        <v>73</v>
      </c>
      <c r="N304" s="82" t="s">
        <v>74</v>
      </c>
      <c r="O304" s="82" t="s">
        <v>367</v>
      </c>
      <c r="P304" s="82"/>
      <c r="Q304" s="82"/>
      <c r="R304" s="150">
        <v>0</v>
      </c>
      <c r="S304" s="151"/>
      <c r="T304" s="150" t="e">
        <f>T489+#REF!+T475+#REF!+T461+#REF!+T459+T452+T445+T438+T431+T424+T417+T410+T403+#REF!+T389+T382+T375+T368+T361+T354+T347+T340+T326+T319+T319</f>
        <v>#REF!</v>
      </c>
      <c r="U304" s="369">
        <f t="shared" ref="U304:AG304" si="61">SUM(U305:U559)</f>
        <v>74235714.270571366</v>
      </c>
      <c r="V304" s="677">
        <f t="shared" si="61"/>
        <v>131467772.03000005</v>
      </c>
      <c r="W304" s="369">
        <f t="shared" si="61"/>
        <v>43079</v>
      </c>
      <c r="X304" s="369">
        <f t="shared" si="61"/>
        <v>211719642.9575713</v>
      </c>
      <c r="Y304" s="369">
        <f t="shared" si="61"/>
        <v>0</v>
      </c>
      <c r="Z304" s="369">
        <f t="shared" si="61"/>
        <v>16606676</v>
      </c>
      <c r="AA304" s="369">
        <f t="shared" si="61"/>
        <v>205494642.12757134</v>
      </c>
      <c r="AB304" s="369">
        <f t="shared" si="61"/>
        <v>0</v>
      </c>
      <c r="AC304" s="369">
        <f t="shared" si="61"/>
        <v>92489</v>
      </c>
      <c r="AD304" s="369">
        <f t="shared" si="61"/>
        <v>17475000.000857152</v>
      </c>
      <c r="AE304" s="369">
        <f t="shared" si="61"/>
        <v>0</v>
      </c>
      <c r="AF304" s="369" t="e">
        <f t="shared" si="61"/>
        <v>#VALUE!</v>
      </c>
      <c r="AG304" s="369">
        <f t="shared" si="61"/>
        <v>364135786.22999978</v>
      </c>
      <c r="AH304" s="369">
        <f>SUM(AH305:AH559)</f>
        <v>508924999.95857126</v>
      </c>
      <c r="AI304" s="369">
        <f t="shared" ref="AI304:AJ304" si="62">SUM(AI305:AI559)</f>
        <v>0</v>
      </c>
      <c r="AJ304" s="369">
        <f t="shared" si="62"/>
        <v>131467772.03000005</v>
      </c>
      <c r="AK304" s="369">
        <f t="shared" ref="AK304:AM304" si="63">SUM(AK305:AK559)</f>
        <v>0</v>
      </c>
      <c r="AL304" s="369">
        <f t="shared" si="63"/>
        <v>0</v>
      </c>
      <c r="AM304" s="369">
        <f t="shared" si="63"/>
        <v>0</v>
      </c>
      <c r="AN304" s="81" t="s">
        <v>39</v>
      </c>
      <c r="AO304" s="81"/>
      <c r="AP304" s="81"/>
      <c r="AQ304" s="412"/>
      <c r="AR304" s="81"/>
      <c r="AS304" s="474"/>
      <c r="AT304" s="81"/>
      <c r="AU304" s="663"/>
      <c r="AV304" s="428" t="s">
        <v>368</v>
      </c>
    </row>
    <row r="305" spans="1:48" outlineLevel="4" x14ac:dyDescent="0.25">
      <c r="A305" s="63" t="str">
        <f t="shared" si="51"/>
        <v>1.3.1.9.1.58</v>
      </c>
      <c r="B305" s="64">
        <v>1</v>
      </c>
      <c r="C305" s="64">
        <v>3</v>
      </c>
      <c r="D305" s="64">
        <v>1</v>
      </c>
      <c r="E305" s="64">
        <v>9</v>
      </c>
      <c r="F305" s="64">
        <v>1</v>
      </c>
      <c r="G305" s="64">
        <v>58</v>
      </c>
      <c r="H305" s="65"/>
      <c r="I305" s="65"/>
      <c r="J305" s="66"/>
      <c r="K305" s="67" t="s">
        <v>369</v>
      </c>
      <c r="L305" s="64" t="s">
        <v>72</v>
      </c>
      <c r="M305" s="64" t="s">
        <v>73</v>
      </c>
      <c r="N305" s="64" t="s">
        <v>74</v>
      </c>
      <c r="O305" s="64" t="s">
        <v>367</v>
      </c>
      <c r="P305" s="64"/>
      <c r="Q305" s="64"/>
      <c r="R305" s="124"/>
      <c r="S305" s="123"/>
      <c r="T305" s="124"/>
      <c r="U305" s="75"/>
      <c r="V305" s="674">
        <f>+AJ305</f>
        <v>0</v>
      </c>
      <c r="W305" s="75"/>
      <c r="X305" s="75"/>
      <c r="Y305" s="75"/>
      <c r="Z305" s="75"/>
      <c r="AA305" s="75"/>
      <c r="AB305" s="75"/>
      <c r="AC305" s="75"/>
      <c r="AD305" s="75"/>
      <c r="AE305" s="592"/>
      <c r="AF305" s="348"/>
      <c r="AG305" s="129">
        <v>0</v>
      </c>
      <c r="AH305" s="370">
        <v>0</v>
      </c>
      <c r="AI305" s="75"/>
      <c r="AJ305" s="75"/>
      <c r="AK305" s="75"/>
      <c r="AL305" s="75"/>
      <c r="AM305" s="75"/>
      <c r="AN305" s="64" t="s">
        <v>39</v>
      </c>
      <c r="AO305" s="64"/>
      <c r="AP305" s="64"/>
      <c r="AQ305" s="189"/>
      <c r="AR305" s="64"/>
      <c r="AS305" s="476"/>
      <c r="AT305" s="64"/>
      <c r="AU305" s="646"/>
      <c r="AV305" s="335"/>
    </row>
    <row r="306" spans="1:48" outlineLevel="4" x14ac:dyDescent="0.25">
      <c r="A306" s="63" t="str">
        <f t="shared" si="51"/>
        <v>1.3.1.9.1.59</v>
      </c>
      <c r="B306" s="64">
        <v>1</v>
      </c>
      <c r="C306" s="64">
        <v>3</v>
      </c>
      <c r="D306" s="64">
        <v>1</v>
      </c>
      <c r="E306" s="64">
        <v>9</v>
      </c>
      <c r="F306" s="64">
        <v>1</v>
      </c>
      <c r="G306" s="64">
        <v>59</v>
      </c>
      <c r="H306" s="65"/>
      <c r="I306" s="65"/>
      <c r="J306" s="66"/>
      <c r="K306" s="67" t="s">
        <v>369</v>
      </c>
      <c r="L306" s="64"/>
      <c r="M306" s="64"/>
      <c r="N306" s="64"/>
      <c r="O306" s="64"/>
      <c r="P306" s="64"/>
      <c r="Q306" s="64"/>
      <c r="R306" s="124"/>
      <c r="S306" s="123"/>
      <c r="T306" s="124"/>
      <c r="U306" s="75"/>
      <c r="V306" s="674">
        <f t="shared" ref="V306:V369" si="64">+AJ306</f>
        <v>0</v>
      </c>
      <c r="W306" s="75"/>
      <c r="X306" s="75"/>
      <c r="Y306" s="75"/>
      <c r="Z306" s="75"/>
      <c r="AA306" s="75"/>
      <c r="AB306" s="75"/>
      <c r="AC306" s="75"/>
      <c r="AD306" s="75"/>
      <c r="AE306" s="592"/>
      <c r="AF306" s="348"/>
      <c r="AG306" s="129">
        <v>0</v>
      </c>
      <c r="AH306" s="370">
        <v>0</v>
      </c>
      <c r="AI306" s="75"/>
      <c r="AJ306" s="75"/>
      <c r="AK306" s="75"/>
      <c r="AL306" s="75"/>
      <c r="AM306" s="75"/>
      <c r="AN306" s="64" t="s">
        <v>39</v>
      </c>
      <c r="AO306" s="64"/>
      <c r="AP306" s="64"/>
      <c r="AQ306" s="189"/>
      <c r="AR306" s="64"/>
      <c r="AS306" s="476"/>
      <c r="AT306" s="64"/>
      <c r="AU306" s="646"/>
      <c r="AV306" s="335"/>
    </row>
    <row r="307" spans="1:48" outlineLevel="4" x14ac:dyDescent="0.25">
      <c r="A307" s="63" t="str">
        <f t="shared" si="51"/>
        <v>1.3.1.9.1.60</v>
      </c>
      <c r="B307" s="64">
        <v>1</v>
      </c>
      <c r="C307" s="64">
        <v>3</v>
      </c>
      <c r="D307" s="64">
        <v>1</v>
      </c>
      <c r="E307" s="64">
        <v>9</v>
      </c>
      <c r="F307" s="64">
        <v>1</v>
      </c>
      <c r="G307" s="64">
        <v>60</v>
      </c>
      <c r="H307" s="65"/>
      <c r="I307" s="65"/>
      <c r="J307" s="66"/>
      <c r="K307" s="67" t="s">
        <v>369</v>
      </c>
      <c r="L307" s="64"/>
      <c r="M307" s="64"/>
      <c r="N307" s="64"/>
      <c r="O307" s="64"/>
      <c r="P307" s="64"/>
      <c r="Q307" s="64"/>
      <c r="R307" s="124"/>
      <c r="S307" s="123"/>
      <c r="T307" s="124"/>
      <c r="U307" s="75"/>
      <c r="V307" s="674">
        <f t="shared" si="64"/>
        <v>0</v>
      </c>
      <c r="W307" s="75"/>
      <c r="X307" s="75"/>
      <c r="Y307" s="75"/>
      <c r="Z307" s="75"/>
      <c r="AA307" s="75"/>
      <c r="AB307" s="75"/>
      <c r="AC307" s="75"/>
      <c r="AD307" s="75"/>
      <c r="AE307" s="592"/>
      <c r="AF307" s="348"/>
      <c r="AG307" s="129">
        <v>0</v>
      </c>
      <c r="AH307" s="370">
        <v>0</v>
      </c>
      <c r="AI307" s="75"/>
      <c r="AJ307" s="75"/>
      <c r="AK307" s="75"/>
      <c r="AL307" s="75"/>
      <c r="AM307" s="75"/>
      <c r="AN307" s="64" t="s">
        <v>39</v>
      </c>
      <c r="AO307" s="64"/>
      <c r="AP307" s="64"/>
      <c r="AQ307" s="189"/>
      <c r="AR307" s="64"/>
      <c r="AS307" s="476"/>
      <c r="AT307" s="64"/>
      <c r="AU307" s="646"/>
      <c r="AV307" s="335"/>
    </row>
    <row r="308" spans="1:48" outlineLevel="4" x14ac:dyDescent="0.25">
      <c r="A308" s="63" t="str">
        <f t="shared" si="51"/>
        <v>1.3.1.9.1.61</v>
      </c>
      <c r="B308" s="64">
        <v>1</v>
      </c>
      <c r="C308" s="64">
        <v>3</v>
      </c>
      <c r="D308" s="64">
        <v>1</v>
      </c>
      <c r="E308" s="64">
        <v>9</v>
      </c>
      <c r="F308" s="64">
        <v>1</v>
      </c>
      <c r="G308" s="64">
        <v>61</v>
      </c>
      <c r="H308" s="65"/>
      <c r="I308" s="65"/>
      <c r="J308" s="66"/>
      <c r="K308" s="67" t="s">
        <v>369</v>
      </c>
      <c r="L308" s="64"/>
      <c r="M308" s="64"/>
      <c r="N308" s="64"/>
      <c r="O308" s="64"/>
      <c r="P308" s="64"/>
      <c r="Q308" s="64"/>
      <c r="R308" s="124"/>
      <c r="S308" s="123"/>
      <c r="T308" s="124"/>
      <c r="U308" s="75"/>
      <c r="V308" s="674">
        <f t="shared" si="64"/>
        <v>0</v>
      </c>
      <c r="W308" s="75"/>
      <c r="X308" s="75"/>
      <c r="Y308" s="75"/>
      <c r="Z308" s="75"/>
      <c r="AA308" s="75"/>
      <c r="AB308" s="75"/>
      <c r="AC308" s="75"/>
      <c r="AD308" s="75"/>
      <c r="AE308" s="592"/>
      <c r="AF308" s="348"/>
      <c r="AG308" s="129">
        <v>0</v>
      </c>
      <c r="AH308" s="370">
        <v>0</v>
      </c>
      <c r="AI308" s="75"/>
      <c r="AJ308" s="75"/>
      <c r="AK308" s="75"/>
      <c r="AL308" s="75"/>
      <c r="AM308" s="75"/>
      <c r="AN308" s="64" t="s">
        <v>39</v>
      </c>
      <c r="AO308" s="64"/>
      <c r="AP308" s="64"/>
      <c r="AQ308" s="189"/>
      <c r="AR308" s="64"/>
      <c r="AS308" s="476"/>
      <c r="AT308" s="64"/>
      <c r="AU308" s="646"/>
      <c r="AV308" s="335"/>
    </row>
    <row r="309" spans="1:48" outlineLevel="4" x14ac:dyDescent="0.25">
      <c r="A309" s="63" t="str">
        <f t="shared" si="51"/>
        <v>1.3.1.9.1.62</v>
      </c>
      <c r="B309" s="64">
        <v>1</v>
      </c>
      <c r="C309" s="64">
        <v>3</v>
      </c>
      <c r="D309" s="64">
        <v>1</v>
      </c>
      <c r="E309" s="64">
        <v>9</v>
      </c>
      <c r="F309" s="64">
        <v>1</v>
      </c>
      <c r="G309" s="64">
        <v>62</v>
      </c>
      <c r="H309" s="65"/>
      <c r="I309" s="65"/>
      <c r="J309" s="66"/>
      <c r="K309" s="67" t="s">
        <v>369</v>
      </c>
      <c r="L309" s="64"/>
      <c r="M309" s="64"/>
      <c r="N309" s="64"/>
      <c r="O309" s="64"/>
      <c r="P309" s="64"/>
      <c r="Q309" s="64"/>
      <c r="R309" s="124"/>
      <c r="S309" s="123"/>
      <c r="T309" s="124"/>
      <c r="U309" s="75"/>
      <c r="V309" s="674">
        <f t="shared" si="64"/>
        <v>0</v>
      </c>
      <c r="W309" s="75"/>
      <c r="X309" s="75"/>
      <c r="Y309" s="75"/>
      <c r="Z309" s="75"/>
      <c r="AA309" s="75"/>
      <c r="AB309" s="75"/>
      <c r="AC309" s="75"/>
      <c r="AD309" s="75"/>
      <c r="AE309" s="592"/>
      <c r="AF309" s="348"/>
      <c r="AG309" s="129">
        <v>0</v>
      </c>
      <c r="AH309" s="370">
        <v>0</v>
      </c>
      <c r="AI309" s="75"/>
      <c r="AJ309" s="75"/>
      <c r="AK309" s="75"/>
      <c r="AL309" s="75"/>
      <c r="AM309" s="75"/>
      <c r="AN309" s="64" t="s">
        <v>39</v>
      </c>
      <c r="AO309" s="64"/>
      <c r="AP309" s="64"/>
      <c r="AQ309" s="189"/>
      <c r="AR309" s="64"/>
      <c r="AS309" s="476"/>
      <c r="AT309" s="64"/>
      <c r="AU309" s="646"/>
      <c r="AV309" s="335"/>
    </row>
    <row r="310" spans="1:48" outlineLevel="4" x14ac:dyDescent="0.25">
      <c r="A310" s="63" t="str">
        <f t="shared" si="51"/>
        <v>1.3.1.9.1.63</v>
      </c>
      <c r="B310" s="64">
        <v>1</v>
      </c>
      <c r="C310" s="64">
        <v>3</v>
      </c>
      <c r="D310" s="64">
        <v>1</v>
      </c>
      <c r="E310" s="64">
        <v>9</v>
      </c>
      <c r="F310" s="64">
        <v>1</v>
      </c>
      <c r="G310" s="64">
        <v>63</v>
      </c>
      <c r="H310" s="65"/>
      <c r="I310" s="65"/>
      <c r="J310" s="66"/>
      <c r="K310" s="67" t="s">
        <v>369</v>
      </c>
      <c r="L310" s="64"/>
      <c r="M310" s="64"/>
      <c r="N310" s="64"/>
      <c r="O310" s="64"/>
      <c r="P310" s="64"/>
      <c r="Q310" s="64"/>
      <c r="R310" s="124"/>
      <c r="S310" s="123"/>
      <c r="T310" s="124"/>
      <c r="U310" s="75"/>
      <c r="V310" s="674">
        <f t="shared" si="64"/>
        <v>0</v>
      </c>
      <c r="W310" s="75"/>
      <c r="X310" s="75"/>
      <c r="Y310" s="75"/>
      <c r="Z310" s="75"/>
      <c r="AA310" s="75"/>
      <c r="AB310" s="75"/>
      <c r="AC310" s="75"/>
      <c r="AD310" s="75"/>
      <c r="AE310" s="592"/>
      <c r="AF310" s="348"/>
      <c r="AG310" s="129">
        <v>0</v>
      </c>
      <c r="AH310" s="370">
        <v>0</v>
      </c>
      <c r="AI310" s="75"/>
      <c r="AJ310" s="75"/>
      <c r="AK310" s="75"/>
      <c r="AL310" s="75"/>
      <c r="AM310" s="75"/>
      <c r="AN310" s="64" t="s">
        <v>39</v>
      </c>
      <c r="AO310" s="64"/>
      <c r="AP310" s="64"/>
      <c r="AQ310" s="189"/>
      <c r="AR310" s="64"/>
      <c r="AS310" s="476"/>
      <c r="AT310" s="64"/>
      <c r="AU310" s="646"/>
      <c r="AV310" s="335"/>
    </row>
    <row r="311" spans="1:48" outlineLevel="4" x14ac:dyDescent="0.25">
      <c r="A311" s="63" t="str">
        <f t="shared" si="51"/>
        <v>1.3.1.9.1.64</v>
      </c>
      <c r="B311" s="64">
        <v>1</v>
      </c>
      <c r="C311" s="64">
        <v>3</v>
      </c>
      <c r="D311" s="64">
        <v>1</v>
      </c>
      <c r="E311" s="64">
        <v>9</v>
      </c>
      <c r="F311" s="64">
        <v>1</v>
      </c>
      <c r="G311" s="64">
        <v>64</v>
      </c>
      <c r="H311" s="65"/>
      <c r="I311" s="65"/>
      <c r="J311" s="66"/>
      <c r="K311" s="67" t="s">
        <v>369</v>
      </c>
      <c r="L311" s="64"/>
      <c r="M311" s="64"/>
      <c r="N311" s="64"/>
      <c r="O311" s="64"/>
      <c r="P311" s="64"/>
      <c r="Q311" s="64"/>
      <c r="R311" s="124"/>
      <c r="S311" s="123"/>
      <c r="T311" s="124"/>
      <c r="U311" s="75"/>
      <c r="V311" s="674">
        <f t="shared" si="64"/>
        <v>0</v>
      </c>
      <c r="W311" s="75"/>
      <c r="X311" s="75"/>
      <c r="Y311" s="75"/>
      <c r="Z311" s="75"/>
      <c r="AA311" s="75"/>
      <c r="AB311" s="75"/>
      <c r="AC311" s="75"/>
      <c r="AD311" s="75"/>
      <c r="AE311" s="592"/>
      <c r="AF311" s="348"/>
      <c r="AG311" s="129">
        <v>0</v>
      </c>
      <c r="AH311" s="370">
        <v>0</v>
      </c>
      <c r="AI311" s="75"/>
      <c r="AJ311" s="75"/>
      <c r="AK311" s="75"/>
      <c r="AL311" s="75"/>
      <c r="AM311" s="75"/>
      <c r="AN311" s="64" t="s">
        <v>39</v>
      </c>
      <c r="AO311" s="64"/>
      <c r="AP311" s="64"/>
      <c r="AQ311" s="189"/>
      <c r="AR311" s="64"/>
      <c r="AS311" s="476"/>
      <c r="AT311" s="64"/>
      <c r="AU311" s="646"/>
      <c r="AV311" s="335"/>
    </row>
    <row r="312" spans="1:48" outlineLevel="4" x14ac:dyDescent="0.25">
      <c r="A312" s="63" t="str">
        <f t="shared" ref="A312:A509" si="65">CONCATENATE(B312,".",C312,".",D312,".",E312,".",F312,".",G312)</f>
        <v>1.3.1.9.2.58</v>
      </c>
      <c r="B312" s="64">
        <v>1</v>
      </c>
      <c r="C312" s="64">
        <v>3</v>
      </c>
      <c r="D312" s="64">
        <v>1</v>
      </c>
      <c r="E312" s="64">
        <v>9</v>
      </c>
      <c r="F312" s="64">
        <v>2</v>
      </c>
      <c r="G312" s="64">
        <v>58</v>
      </c>
      <c r="H312" s="65"/>
      <c r="I312" s="65"/>
      <c r="J312" s="66"/>
      <c r="K312" s="65" t="s">
        <v>371</v>
      </c>
      <c r="L312" s="64" t="s">
        <v>72</v>
      </c>
      <c r="M312" s="64" t="s">
        <v>73</v>
      </c>
      <c r="N312" s="64" t="s">
        <v>74</v>
      </c>
      <c r="O312" s="64" t="s">
        <v>367</v>
      </c>
      <c r="P312" s="69">
        <v>44200</v>
      </c>
      <c r="Q312" s="69">
        <v>44561</v>
      </c>
      <c r="R312" s="124">
        <v>100</v>
      </c>
      <c r="S312" s="123" t="s">
        <v>372</v>
      </c>
      <c r="T312" s="124">
        <v>100</v>
      </c>
      <c r="U312" s="75"/>
      <c r="V312" s="674">
        <f t="shared" si="64"/>
        <v>0</v>
      </c>
      <c r="W312" s="75">
        <v>0</v>
      </c>
      <c r="X312" s="75"/>
      <c r="Y312" s="75"/>
      <c r="Z312" s="75">
        <v>0</v>
      </c>
      <c r="AA312" s="75"/>
      <c r="AB312" s="75"/>
      <c r="AC312" s="75"/>
      <c r="AD312" s="75"/>
      <c r="AE312" s="592"/>
      <c r="AF312" s="352">
        <v>100</v>
      </c>
      <c r="AG312" s="75">
        <v>0</v>
      </c>
      <c r="AH312" s="370">
        <v>0</v>
      </c>
      <c r="AI312" s="75"/>
      <c r="AJ312" s="75"/>
      <c r="AK312" s="75"/>
      <c r="AL312" s="75"/>
      <c r="AM312" s="75"/>
      <c r="AN312" s="64" t="s">
        <v>39</v>
      </c>
      <c r="AO312" s="64"/>
      <c r="AP312" s="64"/>
      <c r="AQ312" s="189"/>
      <c r="AR312" s="64"/>
      <c r="AS312" s="476"/>
      <c r="AT312" s="64"/>
      <c r="AU312" s="646"/>
      <c r="AV312" s="185"/>
    </row>
    <row r="313" spans="1:48" outlineLevel="4" x14ac:dyDescent="0.25">
      <c r="A313" s="63" t="str">
        <f t="shared" si="65"/>
        <v>1.3.1.9.2.59</v>
      </c>
      <c r="B313" s="64">
        <v>1</v>
      </c>
      <c r="C313" s="64">
        <v>3</v>
      </c>
      <c r="D313" s="64">
        <v>1</v>
      </c>
      <c r="E313" s="64">
        <v>9</v>
      </c>
      <c r="F313" s="64">
        <v>2</v>
      </c>
      <c r="G313" s="64">
        <v>59</v>
      </c>
      <c r="H313" s="65"/>
      <c r="I313" s="65"/>
      <c r="J313" s="66"/>
      <c r="K313" s="65" t="s">
        <v>371</v>
      </c>
      <c r="L313" s="64"/>
      <c r="M313" s="64"/>
      <c r="N313" s="64"/>
      <c r="O313" s="64"/>
      <c r="P313" s="69">
        <v>44200</v>
      </c>
      <c r="Q313" s="69">
        <v>44561</v>
      </c>
      <c r="R313" s="124"/>
      <c r="S313" s="123"/>
      <c r="T313" s="124"/>
      <c r="U313" s="75"/>
      <c r="V313" s="674">
        <f t="shared" si="64"/>
        <v>0</v>
      </c>
      <c r="W313" s="75"/>
      <c r="X313" s="75"/>
      <c r="Y313" s="75"/>
      <c r="Z313" s="75"/>
      <c r="AA313" s="75"/>
      <c r="AB313" s="75"/>
      <c r="AC313" s="75"/>
      <c r="AD313" s="75"/>
      <c r="AE313" s="592"/>
      <c r="AF313" s="347"/>
      <c r="AG313" s="75">
        <v>0</v>
      </c>
      <c r="AH313" s="370">
        <v>0</v>
      </c>
      <c r="AI313" s="75"/>
      <c r="AJ313" s="75"/>
      <c r="AK313" s="75"/>
      <c r="AL313" s="75"/>
      <c r="AM313" s="75"/>
      <c r="AN313" s="64" t="s">
        <v>39</v>
      </c>
      <c r="AO313" s="64"/>
      <c r="AP313" s="64"/>
      <c r="AQ313" s="189"/>
      <c r="AR313" s="64"/>
      <c r="AS313" s="476"/>
      <c r="AT313" s="64"/>
      <c r="AU313" s="646"/>
      <c r="AV313" s="185"/>
    </row>
    <row r="314" spans="1:48" outlineLevel="4" x14ac:dyDescent="0.25">
      <c r="A314" s="63" t="str">
        <f t="shared" si="65"/>
        <v>1.3.1.9.2.60</v>
      </c>
      <c r="B314" s="64">
        <v>1</v>
      </c>
      <c r="C314" s="64">
        <v>3</v>
      </c>
      <c r="D314" s="64">
        <v>1</v>
      </c>
      <c r="E314" s="64">
        <v>9</v>
      </c>
      <c r="F314" s="64">
        <v>2</v>
      </c>
      <c r="G314" s="64">
        <v>60</v>
      </c>
      <c r="H314" s="65"/>
      <c r="I314" s="65"/>
      <c r="J314" s="66"/>
      <c r="K314" s="65" t="s">
        <v>371</v>
      </c>
      <c r="L314" s="64"/>
      <c r="M314" s="64"/>
      <c r="N314" s="64"/>
      <c r="O314" s="64"/>
      <c r="P314" s="69">
        <v>44200</v>
      </c>
      <c r="Q314" s="69">
        <v>44561</v>
      </c>
      <c r="R314" s="124"/>
      <c r="S314" s="123"/>
      <c r="T314" s="124"/>
      <c r="U314" s="75"/>
      <c r="V314" s="674">
        <f t="shared" si="64"/>
        <v>0</v>
      </c>
      <c r="W314" s="75"/>
      <c r="X314" s="75"/>
      <c r="Y314" s="75"/>
      <c r="Z314" s="75"/>
      <c r="AA314" s="75"/>
      <c r="AB314" s="75"/>
      <c r="AC314" s="75"/>
      <c r="AD314" s="75"/>
      <c r="AE314" s="592"/>
      <c r="AF314" s="347"/>
      <c r="AG314" s="75">
        <v>0</v>
      </c>
      <c r="AH314" s="370">
        <v>0</v>
      </c>
      <c r="AI314" s="75"/>
      <c r="AJ314" s="75"/>
      <c r="AK314" s="75"/>
      <c r="AL314" s="75"/>
      <c r="AM314" s="75"/>
      <c r="AN314" s="64" t="s">
        <v>39</v>
      </c>
      <c r="AO314" s="64"/>
      <c r="AP314" s="64"/>
      <c r="AQ314" s="189"/>
      <c r="AR314" s="64"/>
      <c r="AS314" s="476"/>
      <c r="AT314" s="64"/>
      <c r="AU314" s="646"/>
      <c r="AV314" s="185"/>
    </row>
    <row r="315" spans="1:48" outlineLevel="4" x14ac:dyDescent="0.25">
      <c r="A315" s="63" t="str">
        <f t="shared" si="65"/>
        <v>1.3.1.9.2.61</v>
      </c>
      <c r="B315" s="64">
        <v>1</v>
      </c>
      <c r="C315" s="64">
        <v>3</v>
      </c>
      <c r="D315" s="64">
        <v>1</v>
      </c>
      <c r="E315" s="64">
        <v>9</v>
      </c>
      <c r="F315" s="64">
        <v>2</v>
      </c>
      <c r="G315" s="64">
        <v>61</v>
      </c>
      <c r="H315" s="65"/>
      <c r="I315" s="65"/>
      <c r="J315" s="66"/>
      <c r="K315" s="65" t="s">
        <v>371</v>
      </c>
      <c r="L315" s="64"/>
      <c r="M315" s="64"/>
      <c r="N315" s="64"/>
      <c r="O315" s="64"/>
      <c r="P315" s="69">
        <v>44200</v>
      </c>
      <c r="Q315" s="69">
        <v>44561</v>
      </c>
      <c r="R315" s="124"/>
      <c r="S315" s="123"/>
      <c r="T315" s="124"/>
      <c r="U315" s="75"/>
      <c r="V315" s="674">
        <f t="shared" si="64"/>
        <v>0</v>
      </c>
      <c r="W315" s="75"/>
      <c r="X315" s="75"/>
      <c r="Y315" s="75"/>
      <c r="Z315" s="75"/>
      <c r="AA315" s="75"/>
      <c r="AB315" s="75"/>
      <c r="AC315" s="75"/>
      <c r="AD315" s="75"/>
      <c r="AE315" s="592"/>
      <c r="AF315" s="347"/>
      <c r="AG315" s="75">
        <v>0</v>
      </c>
      <c r="AH315" s="370">
        <v>0</v>
      </c>
      <c r="AI315" s="75"/>
      <c r="AJ315" s="75"/>
      <c r="AK315" s="75"/>
      <c r="AL315" s="75"/>
      <c r="AM315" s="75"/>
      <c r="AN315" s="64" t="s">
        <v>39</v>
      </c>
      <c r="AO315" s="64"/>
      <c r="AP315" s="64"/>
      <c r="AQ315" s="189"/>
      <c r="AR315" s="64"/>
      <c r="AS315" s="476"/>
      <c r="AT315" s="64"/>
      <c r="AU315" s="646"/>
      <c r="AV315" s="185"/>
    </row>
    <row r="316" spans="1:48" outlineLevel="4" x14ac:dyDescent="0.25">
      <c r="A316" s="63" t="str">
        <f t="shared" si="65"/>
        <v>1.3.1.9.2.62</v>
      </c>
      <c r="B316" s="64">
        <v>1</v>
      </c>
      <c r="C316" s="64">
        <v>3</v>
      </c>
      <c r="D316" s="64">
        <v>1</v>
      </c>
      <c r="E316" s="64">
        <v>9</v>
      </c>
      <c r="F316" s="64">
        <v>2</v>
      </c>
      <c r="G316" s="64">
        <v>62</v>
      </c>
      <c r="H316" s="65"/>
      <c r="I316" s="65"/>
      <c r="J316" s="66"/>
      <c r="K316" s="65" t="s">
        <v>371</v>
      </c>
      <c r="L316" s="64"/>
      <c r="M316" s="64"/>
      <c r="N316" s="64"/>
      <c r="O316" s="64"/>
      <c r="P316" s="69">
        <v>44200</v>
      </c>
      <c r="Q316" s="69">
        <v>44561</v>
      </c>
      <c r="R316" s="124"/>
      <c r="S316" s="123"/>
      <c r="T316" s="124"/>
      <c r="U316" s="75"/>
      <c r="V316" s="674">
        <f t="shared" si="64"/>
        <v>0</v>
      </c>
      <c r="W316" s="75"/>
      <c r="X316" s="75"/>
      <c r="Y316" s="75"/>
      <c r="Z316" s="75"/>
      <c r="AA316" s="75"/>
      <c r="AB316" s="75"/>
      <c r="AC316" s="75"/>
      <c r="AD316" s="75"/>
      <c r="AE316" s="592"/>
      <c r="AF316" s="347"/>
      <c r="AG316" s="75">
        <v>0</v>
      </c>
      <c r="AH316" s="370">
        <v>0</v>
      </c>
      <c r="AI316" s="75"/>
      <c r="AJ316" s="75"/>
      <c r="AK316" s="75"/>
      <c r="AL316" s="75"/>
      <c r="AM316" s="75"/>
      <c r="AN316" s="64" t="s">
        <v>39</v>
      </c>
      <c r="AO316" s="64"/>
      <c r="AP316" s="64"/>
      <c r="AQ316" s="189"/>
      <c r="AR316" s="64"/>
      <c r="AS316" s="476"/>
      <c r="AT316" s="64"/>
      <c r="AU316" s="646"/>
      <c r="AV316" s="185"/>
    </row>
    <row r="317" spans="1:48" outlineLevel="4" x14ac:dyDescent="0.25">
      <c r="A317" s="63" t="str">
        <f t="shared" si="65"/>
        <v>1.3.1.9.2.63</v>
      </c>
      <c r="B317" s="64">
        <v>1</v>
      </c>
      <c r="C317" s="64">
        <v>3</v>
      </c>
      <c r="D317" s="64">
        <v>1</v>
      </c>
      <c r="E317" s="64">
        <v>9</v>
      </c>
      <c r="F317" s="64">
        <v>2</v>
      </c>
      <c r="G317" s="64">
        <v>63</v>
      </c>
      <c r="H317" s="65"/>
      <c r="I317" s="65"/>
      <c r="J317" s="66"/>
      <c r="K317" s="65" t="s">
        <v>371</v>
      </c>
      <c r="L317" s="64"/>
      <c r="M317" s="64"/>
      <c r="N317" s="64"/>
      <c r="O317" s="64"/>
      <c r="P317" s="69">
        <v>44200</v>
      </c>
      <c r="Q317" s="69">
        <v>44561</v>
      </c>
      <c r="R317" s="124"/>
      <c r="S317" s="123"/>
      <c r="T317" s="124"/>
      <c r="U317" s="75"/>
      <c r="V317" s="674">
        <f t="shared" si="64"/>
        <v>0</v>
      </c>
      <c r="W317" s="75"/>
      <c r="X317" s="75"/>
      <c r="Y317" s="75"/>
      <c r="Z317" s="75"/>
      <c r="AA317" s="75"/>
      <c r="AB317" s="75"/>
      <c r="AC317" s="75"/>
      <c r="AD317" s="75"/>
      <c r="AE317" s="592"/>
      <c r="AF317" s="347"/>
      <c r="AG317" s="75">
        <v>0</v>
      </c>
      <c r="AH317" s="370">
        <v>0</v>
      </c>
      <c r="AI317" s="75"/>
      <c r="AJ317" s="75"/>
      <c r="AK317" s="75"/>
      <c r="AL317" s="75"/>
      <c r="AM317" s="75"/>
      <c r="AN317" s="64" t="s">
        <v>39</v>
      </c>
      <c r="AO317" s="64"/>
      <c r="AP317" s="64"/>
      <c r="AQ317" s="189"/>
      <c r="AR317" s="64"/>
      <c r="AS317" s="476"/>
      <c r="AT317" s="64"/>
      <c r="AU317" s="646"/>
      <c r="AV317" s="185"/>
    </row>
    <row r="318" spans="1:48" outlineLevel="4" x14ac:dyDescent="0.25">
      <c r="A318" s="63" t="str">
        <f t="shared" si="65"/>
        <v>1.3.1.9.2.64</v>
      </c>
      <c r="B318" s="64">
        <v>1</v>
      </c>
      <c r="C318" s="64">
        <v>3</v>
      </c>
      <c r="D318" s="64">
        <v>1</v>
      </c>
      <c r="E318" s="64">
        <v>9</v>
      </c>
      <c r="F318" s="64">
        <v>2</v>
      </c>
      <c r="G318" s="64">
        <v>64</v>
      </c>
      <c r="H318" s="65"/>
      <c r="I318" s="65"/>
      <c r="J318" s="66"/>
      <c r="K318" s="65" t="s">
        <v>371</v>
      </c>
      <c r="L318" s="64"/>
      <c r="M318" s="64"/>
      <c r="N318" s="64"/>
      <c r="O318" s="64"/>
      <c r="P318" s="69">
        <v>44200</v>
      </c>
      <c r="Q318" s="69">
        <v>44561</v>
      </c>
      <c r="R318" s="124"/>
      <c r="S318" s="123"/>
      <c r="T318" s="124"/>
      <c r="U318" s="75"/>
      <c r="V318" s="674">
        <f t="shared" si="64"/>
        <v>0</v>
      </c>
      <c r="W318" s="75"/>
      <c r="X318" s="75"/>
      <c r="Y318" s="75"/>
      <c r="Z318" s="75"/>
      <c r="AA318" s="75"/>
      <c r="AB318" s="75"/>
      <c r="AC318" s="75"/>
      <c r="AD318" s="75"/>
      <c r="AE318" s="592"/>
      <c r="AF318" s="347"/>
      <c r="AG318" s="75">
        <v>0</v>
      </c>
      <c r="AH318" s="370">
        <v>0</v>
      </c>
      <c r="AI318" s="75"/>
      <c r="AJ318" s="75"/>
      <c r="AK318" s="75"/>
      <c r="AL318" s="75"/>
      <c r="AM318" s="75"/>
      <c r="AN318" s="64" t="s">
        <v>39</v>
      </c>
      <c r="AO318" s="64"/>
      <c r="AP318" s="64"/>
      <c r="AQ318" s="189"/>
      <c r="AR318" s="64"/>
      <c r="AS318" s="476"/>
      <c r="AT318" s="64"/>
      <c r="AU318" s="646"/>
      <c r="AV318" s="185"/>
    </row>
    <row r="319" spans="1:48" outlineLevel="4" x14ac:dyDescent="0.25">
      <c r="A319" s="63" t="str">
        <f t="shared" si="65"/>
        <v>1.3.1.9.3.58</v>
      </c>
      <c r="B319" s="64">
        <v>1</v>
      </c>
      <c r="C319" s="64">
        <v>3</v>
      </c>
      <c r="D319" s="64">
        <v>1</v>
      </c>
      <c r="E319" s="64">
        <v>9</v>
      </c>
      <c r="F319" s="64">
        <v>3</v>
      </c>
      <c r="G319" s="64">
        <v>58</v>
      </c>
      <c r="H319" s="65"/>
      <c r="I319" s="65"/>
      <c r="J319" s="66"/>
      <c r="K319" s="125" t="s">
        <v>373</v>
      </c>
      <c r="L319" s="64" t="s">
        <v>72</v>
      </c>
      <c r="M319" s="64" t="s">
        <v>73</v>
      </c>
      <c r="N319" s="64" t="s">
        <v>74</v>
      </c>
      <c r="O319" s="64" t="s">
        <v>367</v>
      </c>
      <c r="P319" s="64"/>
      <c r="Q319" s="64"/>
      <c r="R319" s="124"/>
      <c r="S319" s="123"/>
      <c r="T319" s="124"/>
      <c r="U319" s="75"/>
      <c r="V319" s="674">
        <f t="shared" si="64"/>
        <v>0</v>
      </c>
      <c r="W319" s="75"/>
      <c r="X319" s="75"/>
      <c r="Y319" s="75"/>
      <c r="Z319" s="75"/>
      <c r="AA319" s="75"/>
      <c r="AB319" s="75"/>
      <c r="AC319" s="75"/>
      <c r="AD319" s="75"/>
      <c r="AE319" s="592"/>
      <c r="AF319" s="347"/>
      <c r="AG319" s="75">
        <v>0</v>
      </c>
      <c r="AH319" s="370">
        <v>0</v>
      </c>
      <c r="AI319" s="75"/>
      <c r="AJ319" s="75"/>
      <c r="AK319" s="75"/>
      <c r="AL319" s="75"/>
      <c r="AM319" s="75"/>
      <c r="AN319" s="64" t="s">
        <v>39</v>
      </c>
      <c r="AO319" s="64"/>
      <c r="AP319" s="64"/>
      <c r="AQ319" s="189"/>
      <c r="AR319" s="64"/>
      <c r="AS319" s="476"/>
      <c r="AT319" s="64"/>
      <c r="AU319" s="646"/>
      <c r="AV319" s="185"/>
    </row>
    <row r="320" spans="1:48" outlineLevel="4" x14ac:dyDescent="0.25">
      <c r="A320" s="63" t="str">
        <f t="shared" si="65"/>
        <v>1.3.1.9.3.59</v>
      </c>
      <c r="B320" s="64">
        <v>1</v>
      </c>
      <c r="C320" s="64">
        <v>3</v>
      </c>
      <c r="D320" s="64">
        <v>1</v>
      </c>
      <c r="E320" s="64">
        <v>9</v>
      </c>
      <c r="F320" s="64">
        <v>3</v>
      </c>
      <c r="G320" s="64">
        <v>59</v>
      </c>
      <c r="H320" s="65"/>
      <c r="I320" s="65"/>
      <c r="J320" s="66"/>
      <c r="K320" s="125" t="s">
        <v>373</v>
      </c>
      <c r="L320" s="64"/>
      <c r="M320" s="64"/>
      <c r="N320" s="64"/>
      <c r="O320" s="64"/>
      <c r="P320" s="64"/>
      <c r="Q320" s="64"/>
      <c r="R320" s="124"/>
      <c r="S320" s="123"/>
      <c r="T320" s="124"/>
      <c r="U320" s="75"/>
      <c r="V320" s="674">
        <f t="shared" si="64"/>
        <v>0</v>
      </c>
      <c r="W320" s="75"/>
      <c r="X320" s="75"/>
      <c r="Y320" s="75"/>
      <c r="Z320" s="75"/>
      <c r="AA320" s="75"/>
      <c r="AB320" s="75"/>
      <c r="AC320" s="75"/>
      <c r="AD320" s="75"/>
      <c r="AE320" s="592"/>
      <c r="AF320" s="347"/>
      <c r="AG320" s="75">
        <v>0</v>
      </c>
      <c r="AH320" s="370">
        <v>0</v>
      </c>
      <c r="AI320" s="75"/>
      <c r="AJ320" s="75"/>
      <c r="AK320" s="75"/>
      <c r="AL320" s="75"/>
      <c r="AM320" s="75"/>
      <c r="AN320" s="64" t="s">
        <v>39</v>
      </c>
      <c r="AO320" s="64"/>
      <c r="AP320" s="64"/>
      <c r="AQ320" s="189"/>
      <c r="AR320" s="64"/>
      <c r="AS320" s="476"/>
      <c r="AT320" s="64"/>
      <c r="AU320" s="646"/>
      <c r="AV320" s="185"/>
    </row>
    <row r="321" spans="1:49" outlineLevel="4" x14ac:dyDescent="0.25">
      <c r="A321" s="63" t="str">
        <f t="shared" si="65"/>
        <v>1.3.1.9.3.60</v>
      </c>
      <c r="B321" s="64">
        <v>1</v>
      </c>
      <c r="C321" s="64">
        <v>3</v>
      </c>
      <c r="D321" s="64">
        <v>1</v>
      </c>
      <c r="E321" s="64">
        <v>9</v>
      </c>
      <c r="F321" s="64">
        <v>3</v>
      </c>
      <c r="G321" s="64">
        <v>60</v>
      </c>
      <c r="H321" s="65"/>
      <c r="I321" s="65"/>
      <c r="J321" s="66"/>
      <c r="K321" s="125" t="s">
        <v>373</v>
      </c>
      <c r="L321" s="64"/>
      <c r="M321" s="64"/>
      <c r="N321" s="64"/>
      <c r="O321" s="64"/>
      <c r="P321" s="64"/>
      <c r="Q321" s="64"/>
      <c r="R321" s="124"/>
      <c r="S321" s="123"/>
      <c r="T321" s="124"/>
      <c r="U321" s="75"/>
      <c r="V321" s="674">
        <f t="shared" si="64"/>
        <v>0</v>
      </c>
      <c r="W321" s="75"/>
      <c r="X321" s="75"/>
      <c r="Y321" s="75"/>
      <c r="Z321" s="75"/>
      <c r="AA321" s="75"/>
      <c r="AB321" s="75"/>
      <c r="AC321" s="75"/>
      <c r="AD321" s="75"/>
      <c r="AE321" s="592"/>
      <c r="AF321" s="347"/>
      <c r="AG321" s="75">
        <v>0</v>
      </c>
      <c r="AH321" s="370">
        <v>0</v>
      </c>
      <c r="AI321" s="75"/>
      <c r="AJ321" s="75"/>
      <c r="AK321" s="75"/>
      <c r="AL321" s="75"/>
      <c r="AM321" s="75"/>
      <c r="AN321" s="64" t="s">
        <v>39</v>
      </c>
      <c r="AO321" s="64"/>
      <c r="AP321" s="64"/>
      <c r="AQ321" s="189"/>
      <c r="AR321" s="64"/>
      <c r="AS321" s="476"/>
      <c r="AT321" s="64"/>
      <c r="AU321" s="646"/>
      <c r="AV321" s="185"/>
    </row>
    <row r="322" spans="1:49" outlineLevel="4" x14ac:dyDescent="0.25">
      <c r="A322" s="63" t="str">
        <f t="shared" si="65"/>
        <v>1.3.1.9.3.61</v>
      </c>
      <c r="B322" s="64">
        <v>1</v>
      </c>
      <c r="C322" s="64">
        <v>3</v>
      </c>
      <c r="D322" s="64">
        <v>1</v>
      </c>
      <c r="E322" s="64">
        <v>9</v>
      </c>
      <c r="F322" s="64">
        <v>3</v>
      </c>
      <c r="G322" s="64">
        <v>61</v>
      </c>
      <c r="H322" s="65"/>
      <c r="I322" s="65"/>
      <c r="J322" s="66"/>
      <c r="K322" s="125" t="s">
        <v>373</v>
      </c>
      <c r="L322" s="64"/>
      <c r="M322" s="64"/>
      <c r="N322" s="64"/>
      <c r="O322" s="64"/>
      <c r="P322" s="64"/>
      <c r="Q322" s="64"/>
      <c r="R322" s="124"/>
      <c r="S322" s="123"/>
      <c r="T322" s="124"/>
      <c r="U322" s="75"/>
      <c r="V322" s="674">
        <f t="shared" si="64"/>
        <v>0</v>
      </c>
      <c r="W322" s="75"/>
      <c r="X322" s="75"/>
      <c r="Y322" s="75"/>
      <c r="Z322" s="75"/>
      <c r="AA322" s="75"/>
      <c r="AB322" s="75"/>
      <c r="AC322" s="75"/>
      <c r="AD322" s="75"/>
      <c r="AE322" s="592"/>
      <c r="AF322" s="347"/>
      <c r="AG322" s="75">
        <v>0</v>
      </c>
      <c r="AH322" s="370">
        <v>0</v>
      </c>
      <c r="AI322" s="75"/>
      <c r="AJ322" s="75"/>
      <c r="AK322" s="75"/>
      <c r="AL322" s="75"/>
      <c r="AM322" s="75"/>
      <c r="AN322" s="64" t="s">
        <v>39</v>
      </c>
      <c r="AO322" s="64"/>
      <c r="AP322" s="64"/>
      <c r="AQ322" s="189"/>
      <c r="AR322" s="64"/>
      <c r="AS322" s="476"/>
      <c r="AT322" s="64"/>
      <c r="AU322" s="646"/>
      <c r="AV322" s="185"/>
    </row>
    <row r="323" spans="1:49" outlineLevel="4" x14ac:dyDescent="0.25">
      <c r="A323" s="63" t="str">
        <f t="shared" si="65"/>
        <v>1.3.1.9.3.62</v>
      </c>
      <c r="B323" s="64">
        <v>1</v>
      </c>
      <c r="C323" s="64">
        <v>3</v>
      </c>
      <c r="D323" s="64">
        <v>1</v>
      </c>
      <c r="E323" s="64">
        <v>9</v>
      </c>
      <c r="F323" s="64">
        <v>3</v>
      </c>
      <c r="G323" s="64">
        <v>62</v>
      </c>
      <c r="H323" s="65"/>
      <c r="I323" s="65"/>
      <c r="J323" s="66"/>
      <c r="K323" s="125" t="s">
        <v>373</v>
      </c>
      <c r="L323" s="64"/>
      <c r="M323" s="64"/>
      <c r="N323" s="64"/>
      <c r="O323" s="64"/>
      <c r="P323" s="64"/>
      <c r="Q323" s="64"/>
      <c r="R323" s="124"/>
      <c r="S323" s="123"/>
      <c r="T323" s="124"/>
      <c r="U323" s="75"/>
      <c r="V323" s="674">
        <f t="shared" si="64"/>
        <v>0</v>
      </c>
      <c r="W323" s="75"/>
      <c r="X323" s="75"/>
      <c r="Y323" s="75"/>
      <c r="Z323" s="75"/>
      <c r="AA323" s="75"/>
      <c r="AB323" s="75"/>
      <c r="AC323" s="75"/>
      <c r="AD323" s="75"/>
      <c r="AE323" s="592"/>
      <c r="AF323" s="347"/>
      <c r="AG323" s="75">
        <v>0</v>
      </c>
      <c r="AH323" s="370">
        <v>0</v>
      </c>
      <c r="AI323" s="75"/>
      <c r="AJ323" s="75"/>
      <c r="AK323" s="75"/>
      <c r="AL323" s="75"/>
      <c r="AM323" s="75"/>
      <c r="AN323" s="64" t="s">
        <v>39</v>
      </c>
      <c r="AO323" s="64"/>
      <c r="AP323" s="64"/>
      <c r="AQ323" s="189"/>
      <c r="AR323" s="64"/>
      <c r="AS323" s="476"/>
      <c r="AT323" s="64"/>
      <c r="AU323" s="646"/>
      <c r="AV323" s="185"/>
    </row>
    <row r="324" spans="1:49" outlineLevel="4" x14ac:dyDescent="0.25">
      <c r="A324" s="63" t="str">
        <f t="shared" si="65"/>
        <v>1.3.1.9.3.63</v>
      </c>
      <c r="B324" s="64">
        <v>1</v>
      </c>
      <c r="C324" s="64">
        <v>3</v>
      </c>
      <c r="D324" s="64">
        <v>1</v>
      </c>
      <c r="E324" s="64">
        <v>9</v>
      </c>
      <c r="F324" s="64">
        <v>3</v>
      </c>
      <c r="G324" s="64">
        <v>63</v>
      </c>
      <c r="H324" s="65"/>
      <c r="I324" s="65"/>
      <c r="J324" s="66"/>
      <c r="K324" s="125" t="s">
        <v>373</v>
      </c>
      <c r="L324" s="64"/>
      <c r="M324" s="64"/>
      <c r="N324" s="64"/>
      <c r="O324" s="64"/>
      <c r="P324" s="64"/>
      <c r="Q324" s="64"/>
      <c r="R324" s="124"/>
      <c r="S324" s="123"/>
      <c r="T324" s="124"/>
      <c r="U324" s="75"/>
      <c r="V324" s="674">
        <f t="shared" si="64"/>
        <v>0</v>
      </c>
      <c r="W324" s="75"/>
      <c r="X324" s="75"/>
      <c r="Y324" s="75"/>
      <c r="Z324" s="75"/>
      <c r="AA324" s="75"/>
      <c r="AB324" s="75"/>
      <c r="AC324" s="75"/>
      <c r="AD324" s="75"/>
      <c r="AE324" s="592"/>
      <c r="AF324" s="347"/>
      <c r="AG324" s="75">
        <v>0</v>
      </c>
      <c r="AH324" s="370">
        <v>0</v>
      </c>
      <c r="AI324" s="75"/>
      <c r="AJ324" s="75"/>
      <c r="AK324" s="75"/>
      <c r="AL324" s="75"/>
      <c r="AM324" s="75"/>
      <c r="AN324" s="64" t="s">
        <v>39</v>
      </c>
      <c r="AO324" s="64"/>
      <c r="AP324" s="64"/>
      <c r="AQ324" s="189"/>
      <c r="AR324" s="64"/>
      <c r="AS324" s="476"/>
      <c r="AT324" s="64"/>
      <c r="AU324" s="646"/>
      <c r="AV324" s="185"/>
    </row>
    <row r="325" spans="1:49" outlineLevel="4" x14ac:dyDescent="0.25">
      <c r="A325" s="63" t="str">
        <f t="shared" si="65"/>
        <v>1.3.1.9.3.64</v>
      </c>
      <c r="B325" s="64">
        <v>1</v>
      </c>
      <c r="C325" s="64">
        <v>3</v>
      </c>
      <c r="D325" s="64">
        <v>1</v>
      </c>
      <c r="E325" s="64">
        <v>9</v>
      </c>
      <c r="F325" s="64">
        <v>3</v>
      </c>
      <c r="G325" s="64">
        <v>64</v>
      </c>
      <c r="H325" s="65"/>
      <c r="I325" s="65"/>
      <c r="J325" s="66"/>
      <c r="K325" s="125" t="s">
        <v>373</v>
      </c>
      <c r="L325" s="64"/>
      <c r="M325" s="64"/>
      <c r="N325" s="64"/>
      <c r="O325" s="64"/>
      <c r="P325" s="64"/>
      <c r="Q325" s="64"/>
      <c r="R325" s="124"/>
      <c r="S325" s="123"/>
      <c r="T325" s="124"/>
      <c r="U325" s="75"/>
      <c r="V325" s="674">
        <f t="shared" si="64"/>
        <v>0</v>
      </c>
      <c r="W325" s="75"/>
      <c r="X325" s="75"/>
      <c r="Y325" s="75"/>
      <c r="Z325" s="75"/>
      <c r="AA325" s="75"/>
      <c r="AB325" s="75"/>
      <c r="AC325" s="75"/>
      <c r="AD325" s="75"/>
      <c r="AE325" s="592"/>
      <c r="AF325" s="347"/>
      <c r="AG325" s="75">
        <v>0</v>
      </c>
      <c r="AH325" s="370">
        <v>0</v>
      </c>
      <c r="AI325" s="75"/>
      <c r="AJ325" s="75"/>
      <c r="AK325" s="75"/>
      <c r="AL325" s="75"/>
      <c r="AM325" s="75"/>
      <c r="AN325" s="64" t="s">
        <v>39</v>
      </c>
      <c r="AO325" s="64"/>
      <c r="AP325" s="64"/>
      <c r="AQ325" s="189"/>
      <c r="AR325" s="64"/>
      <c r="AS325" s="476"/>
      <c r="AT325" s="64"/>
      <c r="AU325" s="646"/>
      <c r="AV325" s="185"/>
    </row>
    <row r="326" spans="1:49" outlineLevel="4" x14ac:dyDescent="0.25">
      <c r="A326" s="63" t="str">
        <f t="shared" si="65"/>
        <v>1.3.1.9.4.58</v>
      </c>
      <c r="B326" s="64">
        <v>1</v>
      </c>
      <c r="C326" s="64">
        <v>3</v>
      </c>
      <c r="D326" s="64">
        <v>1</v>
      </c>
      <c r="E326" s="64">
        <v>9</v>
      </c>
      <c r="F326" s="64">
        <v>4</v>
      </c>
      <c r="G326" s="64">
        <v>58</v>
      </c>
      <c r="H326" s="65"/>
      <c r="I326" s="65"/>
      <c r="J326" s="66"/>
      <c r="K326" s="125" t="s">
        <v>374</v>
      </c>
      <c r="L326" s="64" t="s">
        <v>72</v>
      </c>
      <c r="M326" s="64" t="s">
        <v>73</v>
      </c>
      <c r="N326" s="64" t="s">
        <v>74</v>
      </c>
      <c r="O326" s="64" t="s">
        <v>367</v>
      </c>
      <c r="P326" s="64"/>
      <c r="Q326" s="64"/>
      <c r="R326" s="124"/>
      <c r="S326" s="123"/>
      <c r="T326" s="124"/>
      <c r="U326" s="75"/>
      <c r="V326" s="674">
        <f t="shared" si="64"/>
        <v>0</v>
      </c>
      <c r="W326" s="75"/>
      <c r="X326" s="75"/>
      <c r="Y326" s="75"/>
      <c r="Z326" s="75"/>
      <c r="AA326" s="75"/>
      <c r="AB326" s="75"/>
      <c r="AC326" s="75"/>
      <c r="AD326" s="75"/>
      <c r="AE326" s="592"/>
      <c r="AF326" s="347"/>
      <c r="AG326" s="75">
        <v>0</v>
      </c>
      <c r="AH326" s="370">
        <v>0</v>
      </c>
      <c r="AI326" s="75"/>
      <c r="AJ326" s="75"/>
      <c r="AK326" s="75"/>
      <c r="AL326" s="75"/>
      <c r="AM326" s="75"/>
      <c r="AN326" s="64" t="s">
        <v>39</v>
      </c>
      <c r="AO326" s="64"/>
      <c r="AP326" s="64"/>
      <c r="AQ326" s="189"/>
      <c r="AR326" s="64"/>
      <c r="AS326" s="476"/>
      <c r="AT326" s="64"/>
      <c r="AU326" s="646"/>
      <c r="AV326" s="185"/>
    </row>
    <row r="327" spans="1:49" outlineLevel="4" x14ac:dyDescent="0.25">
      <c r="A327" s="63" t="str">
        <f t="shared" si="65"/>
        <v>1.3.1.9.4.59</v>
      </c>
      <c r="B327" s="64">
        <v>1</v>
      </c>
      <c r="C327" s="64">
        <v>3</v>
      </c>
      <c r="D327" s="64">
        <v>1</v>
      </c>
      <c r="E327" s="64">
        <v>9</v>
      </c>
      <c r="F327" s="64">
        <v>4</v>
      </c>
      <c r="G327" s="64">
        <v>59</v>
      </c>
      <c r="H327" s="65"/>
      <c r="I327" s="65"/>
      <c r="J327" s="66"/>
      <c r="K327" s="125" t="s">
        <v>375</v>
      </c>
      <c r="L327" s="64"/>
      <c r="M327" s="64"/>
      <c r="N327" s="64"/>
      <c r="O327" s="64"/>
      <c r="P327" s="64"/>
      <c r="Q327" s="64"/>
      <c r="R327" s="124"/>
      <c r="S327" s="123"/>
      <c r="T327" s="124"/>
      <c r="U327" s="75"/>
      <c r="V327" s="674">
        <f t="shared" si="64"/>
        <v>0</v>
      </c>
      <c r="W327" s="75"/>
      <c r="X327" s="75"/>
      <c r="Y327" s="75"/>
      <c r="Z327" s="75"/>
      <c r="AA327" s="75"/>
      <c r="AB327" s="75"/>
      <c r="AC327" s="75"/>
      <c r="AD327" s="75"/>
      <c r="AE327" s="592"/>
      <c r="AF327" s="347"/>
      <c r="AG327" s="75">
        <v>0</v>
      </c>
      <c r="AH327" s="370">
        <v>0</v>
      </c>
      <c r="AI327" s="75"/>
      <c r="AJ327" s="75"/>
      <c r="AK327" s="75"/>
      <c r="AL327" s="75"/>
      <c r="AM327" s="75"/>
      <c r="AN327" s="64" t="s">
        <v>39</v>
      </c>
      <c r="AO327" s="64"/>
      <c r="AP327" s="64"/>
      <c r="AQ327" s="189"/>
      <c r="AR327" s="64"/>
      <c r="AS327" s="476"/>
      <c r="AT327" s="64"/>
      <c r="AU327" s="646"/>
      <c r="AV327" s="185"/>
    </row>
    <row r="328" spans="1:49" outlineLevel="4" x14ac:dyDescent="0.25">
      <c r="A328" s="63" t="str">
        <f t="shared" si="65"/>
        <v>1.3.1.9.4.60</v>
      </c>
      <c r="B328" s="64">
        <v>1</v>
      </c>
      <c r="C328" s="64">
        <v>3</v>
      </c>
      <c r="D328" s="64">
        <v>1</v>
      </c>
      <c r="E328" s="64">
        <v>9</v>
      </c>
      <c r="F328" s="64">
        <v>4</v>
      </c>
      <c r="G328" s="64">
        <v>60</v>
      </c>
      <c r="H328" s="65"/>
      <c r="I328" s="65"/>
      <c r="J328" s="66"/>
      <c r="K328" s="125" t="s">
        <v>376</v>
      </c>
      <c r="L328" s="64"/>
      <c r="M328" s="64"/>
      <c r="N328" s="64"/>
      <c r="O328" s="64"/>
      <c r="P328" s="64"/>
      <c r="Q328" s="64"/>
      <c r="R328" s="124"/>
      <c r="S328" s="123"/>
      <c r="T328" s="124"/>
      <c r="U328" s="75"/>
      <c r="V328" s="674">
        <f t="shared" si="64"/>
        <v>0</v>
      </c>
      <c r="W328" s="75"/>
      <c r="X328" s="75"/>
      <c r="Y328" s="75"/>
      <c r="Z328" s="75"/>
      <c r="AA328" s="75"/>
      <c r="AB328" s="75"/>
      <c r="AC328" s="75"/>
      <c r="AD328" s="75"/>
      <c r="AE328" s="592"/>
      <c r="AF328" s="347"/>
      <c r="AG328" s="75">
        <v>0</v>
      </c>
      <c r="AH328" s="370">
        <v>0</v>
      </c>
      <c r="AI328" s="75"/>
      <c r="AJ328" s="75"/>
      <c r="AK328" s="75"/>
      <c r="AL328" s="75"/>
      <c r="AM328" s="75"/>
      <c r="AN328" s="64" t="s">
        <v>39</v>
      </c>
      <c r="AO328" s="64"/>
      <c r="AP328" s="64"/>
      <c r="AQ328" s="189"/>
      <c r="AR328" s="64"/>
      <c r="AS328" s="476"/>
      <c r="AT328" s="64"/>
      <c r="AU328" s="646"/>
      <c r="AV328" s="185"/>
    </row>
    <row r="329" spans="1:49" outlineLevel="4" x14ac:dyDescent="0.25">
      <c r="A329" s="63" t="str">
        <f t="shared" si="65"/>
        <v>1.3.1.9.4.61</v>
      </c>
      <c r="B329" s="64">
        <v>1</v>
      </c>
      <c r="C329" s="64">
        <v>3</v>
      </c>
      <c r="D329" s="64">
        <v>1</v>
      </c>
      <c r="E329" s="64">
        <v>9</v>
      </c>
      <c r="F329" s="64">
        <v>4</v>
      </c>
      <c r="G329" s="64">
        <v>61</v>
      </c>
      <c r="H329" s="65"/>
      <c r="I329" s="65"/>
      <c r="J329" s="66"/>
      <c r="K329" s="125" t="s">
        <v>377</v>
      </c>
      <c r="L329" s="64"/>
      <c r="M329" s="64"/>
      <c r="N329" s="64"/>
      <c r="O329" s="64"/>
      <c r="P329" s="64"/>
      <c r="Q329" s="64"/>
      <c r="R329" s="124"/>
      <c r="S329" s="123"/>
      <c r="T329" s="124"/>
      <c r="U329" s="75"/>
      <c r="V329" s="674">
        <f t="shared" si="64"/>
        <v>0</v>
      </c>
      <c r="W329" s="75"/>
      <c r="X329" s="75"/>
      <c r="Y329" s="75"/>
      <c r="Z329" s="75"/>
      <c r="AA329" s="75"/>
      <c r="AB329" s="75"/>
      <c r="AC329" s="75"/>
      <c r="AD329" s="75"/>
      <c r="AE329" s="592"/>
      <c r="AF329" s="347"/>
      <c r="AG329" s="75">
        <v>0</v>
      </c>
      <c r="AH329" s="370">
        <v>0</v>
      </c>
      <c r="AI329" s="75"/>
      <c r="AJ329" s="75"/>
      <c r="AK329" s="75"/>
      <c r="AL329" s="75"/>
      <c r="AM329" s="75"/>
      <c r="AN329" s="64" t="s">
        <v>39</v>
      </c>
      <c r="AO329" s="64"/>
      <c r="AP329" s="64"/>
      <c r="AQ329" s="189"/>
      <c r="AR329" s="64"/>
      <c r="AS329" s="476"/>
      <c r="AT329" s="64"/>
      <c r="AU329" s="646"/>
      <c r="AV329" s="185"/>
    </row>
    <row r="330" spans="1:49" outlineLevel="4" x14ac:dyDescent="0.25">
      <c r="A330" s="63" t="str">
        <f t="shared" si="65"/>
        <v>1.3.1.9.4.62</v>
      </c>
      <c r="B330" s="64">
        <v>1</v>
      </c>
      <c r="C330" s="64">
        <v>3</v>
      </c>
      <c r="D330" s="64">
        <v>1</v>
      </c>
      <c r="E330" s="64">
        <v>9</v>
      </c>
      <c r="F330" s="64">
        <v>4</v>
      </c>
      <c r="G330" s="64">
        <v>62</v>
      </c>
      <c r="H330" s="65"/>
      <c r="I330" s="65"/>
      <c r="J330" s="66"/>
      <c r="K330" s="125" t="s">
        <v>1724</v>
      </c>
      <c r="L330" s="64"/>
      <c r="M330" s="64"/>
      <c r="N330" s="64"/>
      <c r="O330" s="64"/>
      <c r="P330" s="64"/>
      <c r="Q330" s="64"/>
      <c r="R330" s="124"/>
      <c r="S330" s="123"/>
      <c r="T330" s="124"/>
      <c r="U330" s="75"/>
      <c r="V330" s="674">
        <f t="shared" si="64"/>
        <v>0</v>
      </c>
      <c r="W330" s="75"/>
      <c r="X330" s="75"/>
      <c r="Y330" s="75"/>
      <c r="Z330" s="75"/>
      <c r="AA330" s="75"/>
      <c r="AB330" s="75"/>
      <c r="AC330" s="75"/>
      <c r="AD330" s="75"/>
      <c r="AE330" s="592"/>
      <c r="AF330" s="347"/>
      <c r="AG330" s="75">
        <v>0</v>
      </c>
      <c r="AH330" s="370">
        <v>0</v>
      </c>
      <c r="AI330" s="75"/>
      <c r="AJ330" s="75"/>
      <c r="AK330" s="75"/>
      <c r="AL330" s="75"/>
      <c r="AM330" s="75"/>
      <c r="AN330" s="64" t="s">
        <v>39</v>
      </c>
      <c r="AO330" s="64"/>
      <c r="AP330" s="64"/>
      <c r="AQ330" s="189"/>
      <c r="AR330" s="64"/>
      <c r="AS330" s="476"/>
      <c r="AT330" s="64"/>
      <c r="AU330" s="646"/>
      <c r="AV330" s="185"/>
    </row>
    <row r="331" spans="1:49" outlineLevel="4" x14ac:dyDescent="0.25">
      <c r="A331" s="63" t="str">
        <f t="shared" si="65"/>
        <v>1.3.1.9.4.63</v>
      </c>
      <c r="B331" s="64">
        <v>1</v>
      </c>
      <c r="C331" s="64">
        <v>3</v>
      </c>
      <c r="D331" s="64">
        <v>1</v>
      </c>
      <c r="E331" s="64">
        <v>9</v>
      </c>
      <c r="F331" s="64">
        <v>4</v>
      </c>
      <c r="G331" s="64">
        <v>63</v>
      </c>
      <c r="H331" s="65"/>
      <c r="I331" s="65"/>
      <c r="J331" s="66"/>
      <c r="K331" s="125" t="s">
        <v>378</v>
      </c>
      <c r="L331" s="64"/>
      <c r="M331" s="64"/>
      <c r="N331" s="64"/>
      <c r="O331" s="64"/>
      <c r="P331" s="64"/>
      <c r="Q331" s="64"/>
      <c r="R331" s="124"/>
      <c r="S331" s="123"/>
      <c r="T331" s="124"/>
      <c r="U331" s="75"/>
      <c r="V331" s="674">
        <f t="shared" si="64"/>
        <v>0</v>
      </c>
      <c r="W331" s="75"/>
      <c r="X331" s="75"/>
      <c r="Y331" s="75"/>
      <c r="Z331" s="75"/>
      <c r="AA331" s="75"/>
      <c r="AB331" s="75"/>
      <c r="AC331" s="75"/>
      <c r="AD331" s="75"/>
      <c r="AE331" s="592"/>
      <c r="AF331" s="347"/>
      <c r="AG331" s="75">
        <v>0</v>
      </c>
      <c r="AH331" s="370">
        <v>0</v>
      </c>
      <c r="AI331" s="75"/>
      <c r="AJ331" s="75"/>
      <c r="AK331" s="75"/>
      <c r="AL331" s="75"/>
      <c r="AM331" s="75"/>
      <c r="AN331" s="64" t="s">
        <v>39</v>
      </c>
      <c r="AO331" s="64"/>
      <c r="AP331" s="64"/>
      <c r="AQ331" s="189"/>
      <c r="AR331" s="64"/>
      <c r="AS331" s="476"/>
      <c r="AT331" s="64"/>
      <c r="AU331" s="646"/>
      <c r="AV331" s="185"/>
    </row>
    <row r="332" spans="1:49" outlineLevel="4" x14ac:dyDescent="0.25">
      <c r="A332" s="63" t="str">
        <f t="shared" si="65"/>
        <v>1.3.1.9.4.64</v>
      </c>
      <c r="B332" s="64">
        <v>1</v>
      </c>
      <c r="C332" s="64">
        <v>3</v>
      </c>
      <c r="D332" s="64">
        <v>1</v>
      </c>
      <c r="E332" s="64">
        <v>9</v>
      </c>
      <c r="F332" s="64">
        <v>4</v>
      </c>
      <c r="G332" s="64">
        <v>64</v>
      </c>
      <c r="H332" s="65"/>
      <c r="I332" s="65"/>
      <c r="J332" s="66"/>
      <c r="K332" s="125" t="s">
        <v>379</v>
      </c>
      <c r="L332" s="64"/>
      <c r="M332" s="64"/>
      <c r="N332" s="64"/>
      <c r="O332" s="64"/>
      <c r="P332" s="64"/>
      <c r="Q332" s="64"/>
      <c r="R332" s="124"/>
      <c r="S332" s="123"/>
      <c r="T332" s="124"/>
      <c r="U332" s="75"/>
      <c r="V332" s="674">
        <f t="shared" si="64"/>
        <v>0</v>
      </c>
      <c r="W332" s="75"/>
      <c r="X332" s="75"/>
      <c r="Y332" s="75"/>
      <c r="Z332" s="75"/>
      <c r="AA332" s="75"/>
      <c r="AB332" s="75"/>
      <c r="AC332" s="75"/>
      <c r="AD332" s="75"/>
      <c r="AE332" s="592"/>
      <c r="AF332" s="347"/>
      <c r="AG332" s="75">
        <v>0</v>
      </c>
      <c r="AH332" s="370">
        <v>0</v>
      </c>
      <c r="AI332" s="75"/>
      <c r="AJ332" s="75"/>
      <c r="AK332" s="75"/>
      <c r="AL332" s="75"/>
      <c r="AM332" s="75"/>
      <c r="AN332" s="64" t="s">
        <v>39</v>
      </c>
      <c r="AO332" s="64"/>
      <c r="AP332" s="64"/>
      <c r="AQ332" s="189"/>
      <c r="AR332" s="64"/>
      <c r="AS332" s="476"/>
      <c r="AT332" s="64"/>
      <c r="AU332" s="646"/>
      <c r="AV332" s="185"/>
    </row>
    <row r="333" spans="1:49" outlineLevel="4" x14ac:dyDescent="0.25">
      <c r="A333" s="63" t="str">
        <f t="shared" si="65"/>
        <v>1.3.1.9.5.58</v>
      </c>
      <c r="B333" s="64">
        <v>1</v>
      </c>
      <c r="C333" s="64">
        <v>3</v>
      </c>
      <c r="D333" s="64">
        <v>1</v>
      </c>
      <c r="E333" s="64">
        <v>9</v>
      </c>
      <c r="F333" s="64">
        <v>5</v>
      </c>
      <c r="G333" s="64">
        <v>58</v>
      </c>
      <c r="H333" s="65"/>
      <c r="I333" s="65"/>
      <c r="J333" s="66"/>
      <c r="K333" s="65" t="s">
        <v>380</v>
      </c>
      <c r="L333" s="64" t="s">
        <v>72</v>
      </c>
      <c r="M333" s="128" t="s">
        <v>381</v>
      </c>
      <c r="N333" s="64" t="s">
        <v>382</v>
      </c>
      <c r="O333" s="64" t="s">
        <v>367</v>
      </c>
      <c r="P333" s="69">
        <v>44200</v>
      </c>
      <c r="Q333" s="69">
        <v>44285</v>
      </c>
      <c r="R333" s="124">
        <v>325000</v>
      </c>
      <c r="S333" s="123" t="s">
        <v>383</v>
      </c>
      <c r="T333" s="124">
        <v>325000</v>
      </c>
      <c r="U333" s="75">
        <f>+AH333*40%</f>
        <v>400000</v>
      </c>
      <c r="V333" s="674">
        <f t="shared" si="64"/>
        <v>0</v>
      </c>
      <c r="W333" s="75">
        <v>0</v>
      </c>
      <c r="X333" s="75">
        <f>+AH333*20%</f>
        <v>200000</v>
      </c>
      <c r="Y333" s="75"/>
      <c r="Z333" s="75">
        <v>325000</v>
      </c>
      <c r="AA333" s="75">
        <f>+AH333*40%</f>
        <v>400000</v>
      </c>
      <c r="AB333" s="75"/>
      <c r="AC333" s="75">
        <v>0</v>
      </c>
      <c r="AD333" s="75"/>
      <c r="AE333" s="592"/>
      <c r="AF333" s="347" t="s">
        <v>384</v>
      </c>
      <c r="AG333" s="75">
        <v>202500</v>
      </c>
      <c r="AH333" s="370">
        <v>1000000</v>
      </c>
      <c r="AI333" s="75"/>
      <c r="AJ333" s="75"/>
      <c r="AK333" s="75"/>
      <c r="AL333" s="75"/>
      <c r="AM333" s="75"/>
      <c r="AN333" s="64" t="s">
        <v>39</v>
      </c>
      <c r="AO333" s="165"/>
      <c r="AP333" s="165"/>
      <c r="AQ333" s="413"/>
      <c r="AR333" s="64"/>
      <c r="AS333" s="475"/>
      <c r="AT333" s="64"/>
      <c r="AU333" s="646"/>
      <c r="AV333" s="1274" t="s">
        <v>385</v>
      </c>
      <c r="AW333" s="2" t="s">
        <v>386</v>
      </c>
    </row>
    <row r="334" spans="1:49" outlineLevel="4" x14ac:dyDescent="0.25">
      <c r="A334" s="63" t="str">
        <f t="shared" si="65"/>
        <v>1.3.1.9.5.59</v>
      </c>
      <c r="B334" s="64">
        <v>1</v>
      </c>
      <c r="C334" s="64">
        <v>3</v>
      </c>
      <c r="D334" s="64">
        <v>1</v>
      </c>
      <c r="E334" s="64">
        <v>9</v>
      </c>
      <c r="F334" s="64">
        <v>5</v>
      </c>
      <c r="G334" s="64">
        <v>59</v>
      </c>
      <c r="H334" s="65"/>
      <c r="I334" s="65"/>
      <c r="J334" s="66"/>
      <c r="K334" s="65" t="s">
        <v>387</v>
      </c>
      <c r="L334" s="64"/>
      <c r="M334" s="128" t="s">
        <v>381</v>
      </c>
      <c r="N334" s="64"/>
      <c r="O334" s="64"/>
      <c r="P334" s="69"/>
      <c r="Q334" s="69"/>
      <c r="R334" s="124"/>
      <c r="S334" s="123"/>
      <c r="T334" s="124"/>
      <c r="U334" s="75">
        <f t="shared" ref="U334:U339" si="66">+AH334*40%</f>
        <v>400000</v>
      </c>
      <c r="V334" s="674">
        <f t="shared" si="64"/>
        <v>0</v>
      </c>
      <c r="W334" s="75"/>
      <c r="X334" s="75">
        <f t="shared" ref="X334:X339" si="67">+AH334*20%</f>
        <v>200000</v>
      </c>
      <c r="Y334" s="75"/>
      <c r="Z334" s="75"/>
      <c r="AA334" s="75">
        <f t="shared" ref="AA334:AA339" si="68">+AH334*40%</f>
        <v>400000</v>
      </c>
      <c r="AB334" s="75"/>
      <c r="AC334" s="75"/>
      <c r="AD334" s="75"/>
      <c r="AE334" s="592"/>
      <c r="AF334" s="347"/>
      <c r="AG334" s="75">
        <v>202500</v>
      </c>
      <c r="AH334" s="370">
        <v>1000000</v>
      </c>
      <c r="AI334" s="75"/>
      <c r="AJ334" s="75"/>
      <c r="AK334" s="75"/>
      <c r="AL334" s="75"/>
      <c r="AM334" s="75"/>
      <c r="AN334" s="64" t="s">
        <v>39</v>
      </c>
      <c r="AO334" s="165"/>
      <c r="AP334" s="165"/>
      <c r="AQ334" s="413"/>
      <c r="AR334" s="64"/>
      <c r="AS334" s="475"/>
      <c r="AT334" s="64"/>
      <c r="AU334" s="646"/>
      <c r="AV334" s="1274"/>
      <c r="AW334" s="2" t="s">
        <v>388</v>
      </c>
    </row>
    <row r="335" spans="1:49" outlineLevel="4" x14ac:dyDescent="0.25">
      <c r="A335" s="63" t="str">
        <f t="shared" si="65"/>
        <v>1.3.1.9.5.60</v>
      </c>
      <c r="B335" s="64">
        <v>1</v>
      </c>
      <c r="C335" s="64">
        <v>3</v>
      </c>
      <c r="D335" s="64">
        <v>1</v>
      </c>
      <c r="E335" s="64">
        <v>9</v>
      </c>
      <c r="F335" s="64">
        <v>5</v>
      </c>
      <c r="G335" s="64">
        <v>60</v>
      </c>
      <c r="H335" s="65"/>
      <c r="I335" s="65"/>
      <c r="J335" s="66"/>
      <c r="K335" s="125" t="s">
        <v>389</v>
      </c>
      <c r="L335" s="64"/>
      <c r="M335" s="128" t="s">
        <v>381</v>
      </c>
      <c r="N335" s="64"/>
      <c r="O335" s="64"/>
      <c r="P335" s="69"/>
      <c r="Q335" s="69"/>
      <c r="R335" s="124"/>
      <c r="S335" s="123"/>
      <c r="T335" s="124"/>
      <c r="U335" s="75">
        <f t="shared" si="66"/>
        <v>400000</v>
      </c>
      <c r="V335" s="674">
        <f t="shared" si="64"/>
        <v>0</v>
      </c>
      <c r="W335" s="75"/>
      <c r="X335" s="75">
        <f t="shared" si="67"/>
        <v>200000</v>
      </c>
      <c r="Y335" s="75"/>
      <c r="Z335" s="75"/>
      <c r="AA335" s="75">
        <f t="shared" si="68"/>
        <v>400000</v>
      </c>
      <c r="AB335" s="75"/>
      <c r="AC335" s="75"/>
      <c r="AD335" s="132"/>
      <c r="AE335" s="598"/>
      <c r="AF335" s="347"/>
      <c r="AG335" s="75">
        <v>202500</v>
      </c>
      <c r="AH335" s="370">
        <v>1000000</v>
      </c>
      <c r="AI335" s="75"/>
      <c r="AJ335" s="75"/>
      <c r="AK335" s="75"/>
      <c r="AL335" s="75"/>
      <c r="AM335" s="75"/>
      <c r="AN335" s="64" t="s">
        <v>39</v>
      </c>
      <c r="AO335" s="165"/>
      <c r="AP335" s="165"/>
      <c r="AQ335" s="413"/>
      <c r="AR335" s="64"/>
      <c r="AS335" s="475"/>
      <c r="AT335" s="64"/>
      <c r="AU335" s="646"/>
      <c r="AV335" s="1274"/>
    </row>
    <row r="336" spans="1:49" outlineLevel="4" x14ac:dyDescent="0.25">
      <c r="A336" s="63" t="str">
        <f t="shared" si="65"/>
        <v>1.3.1.9.5.61</v>
      </c>
      <c r="B336" s="64">
        <v>1</v>
      </c>
      <c r="C336" s="64">
        <v>3</v>
      </c>
      <c r="D336" s="64">
        <v>1</v>
      </c>
      <c r="E336" s="64">
        <v>9</v>
      </c>
      <c r="F336" s="64">
        <v>5</v>
      </c>
      <c r="G336" s="64">
        <v>61</v>
      </c>
      <c r="H336" s="65"/>
      <c r="I336" s="65"/>
      <c r="J336" s="66"/>
      <c r="K336" s="125" t="s">
        <v>390</v>
      </c>
      <c r="L336" s="64"/>
      <c r="M336" s="128" t="s">
        <v>381</v>
      </c>
      <c r="N336" s="64"/>
      <c r="O336" s="64"/>
      <c r="P336" s="69"/>
      <c r="Q336" s="69"/>
      <c r="R336" s="124"/>
      <c r="S336" s="123"/>
      <c r="T336" s="124"/>
      <c r="U336" s="75">
        <f t="shared" si="66"/>
        <v>400000</v>
      </c>
      <c r="V336" s="674">
        <f t="shared" si="64"/>
        <v>0</v>
      </c>
      <c r="W336" s="75"/>
      <c r="X336" s="75">
        <f t="shared" si="67"/>
        <v>200000</v>
      </c>
      <c r="Y336" s="75"/>
      <c r="Z336" s="75"/>
      <c r="AA336" s="75">
        <f t="shared" si="68"/>
        <v>400000</v>
      </c>
      <c r="AB336" s="75"/>
      <c r="AC336" s="75"/>
      <c r="AD336" s="132"/>
      <c r="AE336" s="598"/>
      <c r="AF336" s="347"/>
      <c r="AG336" s="75">
        <v>202500</v>
      </c>
      <c r="AH336" s="370">
        <v>1000000</v>
      </c>
      <c r="AI336" s="75"/>
      <c r="AJ336" s="75"/>
      <c r="AK336" s="75"/>
      <c r="AL336" s="75"/>
      <c r="AM336" s="75"/>
      <c r="AN336" s="64" t="s">
        <v>39</v>
      </c>
      <c r="AO336" s="165"/>
      <c r="AP336" s="165"/>
      <c r="AQ336" s="413"/>
      <c r="AR336" s="64"/>
      <c r="AS336" s="475"/>
      <c r="AT336" s="64"/>
      <c r="AU336" s="646"/>
      <c r="AV336" s="1274"/>
    </row>
    <row r="337" spans="1:49" outlineLevel="4" x14ac:dyDescent="0.25">
      <c r="A337" s="63" t="str">
        <f t="shared" si="65"/>
        <v>1.3.1.9.5.62</v>
      </c>
      <c r="B337" s="64">
        <v>1</v>
      </c>
      <c r="C337" s="64">
        <v>3</v>
      </c>
      <c r="D337" s="64">
        <v>1</v>
      </c>
      <c r="E337" s="64">
        <v>9</v>
      </c>
      <c r="F337" s="64">
        <v>5</v>
      </c>
      <c r="G337" s="64">
        <v>62</v>
      </c>
      <c r="H337" s="65"/>
      <c r="I337" s="65"/>
      <c r="J337" s="66"/>
      <c r="K337" s="125" t="s">
        <v>1725</v>
      </c>
      <c r="L337" s="64"/>
      <c r="M337" s="128" t="s">
        <v>381</v>
      </c>
      <c r="N337" s="64"/>
      <c r="O337" s="64"/>
      <c r="P337" s="69"/>
      <c r="Q337" s="69"/>
      <c r="R337" s="124"/>
      <c r="S337" s="123"/>
      <c r="T337" s="124"/>
      <c r="U337" s="75">
        <f t="shared" si="66"/>
        <v>400000</v>
      </c>
      <c r="V337" s="674">
        <f t="shared" si="64"/>
        <v>0</v>
      </c>
      <c r="W337" s="75"/>
      <c r="X337" s="75">
        <f t="shared" si="67"/>
        <v>200000</v>
      </c>
      <c r="Y337" s="75"/>
      <c r="Z337" s="75"/>
      <c r="AA337" s="75">
        <f t="shared" si="68"/>
        <v>400000</v>
      </c>
      <c r="AB337" s="75"/>
      <c r="AC337" s="75"/>
      <c r="AD337" s="132"/>
      <c r="AE337" s="598"/>
      <c r="AF337" s="347"/>
      <c r="AG337" s="75">
        <v>202500</v>
      </c>
      <c r="AH337" s="370">
        <v>1000000</v>
      </c>
      <c r="AI337" s="75"/>
      <c r="AJ337" s="75"/>
      <c r="AK337" s="75"/>
      <c r="AL337" s="75"/>
      <c r="AM337" s="75"/>
      <c r="AN337" s="64" t="s">
        <v>39</v>
      </c>
      <c r="AO337" s="165"/>
      <c r="AP337" s="165"/>
      <c r="AQ337" s="413"/>
      <c r="AR337" s="64"/>
      <c r="AS337" s="475"/>
      <c r="AT337" s="64"/>
      <c r="AU337" s="646"/>
      <c r="AV337" s="1274"/>
    </row>
    <row r="338" spans="1:49" outlineLevel="4" x14ac:dyDescent="0.25">
      <c r="A338" s="63" t="str">
        <f t="shared" si="65"/>
        <v>1.3.1.9.5.63</v>
      </c>
      <c r="B338" s="64">
        <v>1</v>
      </c>
      <c r="C338" s="64">
        <v>3</v>
      </c>
      <c r="D338" s="64">
        <v>1</v>
      </c>
      <c r="E338" s="64">
        <v>9</v>
      </c>
      <c r="F338" s="64">
        <v>5</v>
      </c>
      <c r="G338" s="64">
        <v>63</v>
      </c>
      <c r="H338" s="65"/>
      <c r="I338" s="65"/>
      <c r="J338" s="66"/>
      <c r="K338" s="125" t="s">
        <v>391</v>
      </c>
      <c r="L338" s="64"/>
      <c r="M338" s="128" t="s">
        <v>381</v>
      </c>
      <c r="N338" s="64"/>
      <c r="O338" s="64"/>
      <c r="P338" s="69"/>
      <c r="Q338" s="69"/>
      <c r="R338" s="124"/>
      <c r="S338" s="123"/>
      <c r="T338" s="124"/>
      <c r="U338" s="75">
        <f t="shared" si="66"/>
        <v>400000</v>
      </c>
      <c r="V338" s="674">
        <f t="shared" si="64"/>
        <v>0</v>
      </c>
      <c r="W338" s="75"/>
      <c r="X338" s="75">
        <f t="shared" si="67"/>
        <v>200000</v>
      </c>
      <c r="Y338" s="75"/>
      <c r="Z338" s="75"/>
      <c r="AA338" s="75">
        <f t="shared" si="68"/>
        <v>400000</v>
      </c>
      <c r="AB338" s="75"/>
      <c r="AC338" s="75"/>
      <c r="AD338" s="132"/>
      <c r="AE338" s="598"/>
      <c r="AF338" s="347"/>
      <c r="AG338" s="75">
        <v>202500</v>
      </c>
      <c r="AH338" s="370">
        <v>1000000</v>
      </c>
      <c r="AI338" s="75"/>
      <c r="AJ338" s="75"/>
      <c r="AK338" s="75"/>
      <c r="AL338" s="75"/>
      <c r="AM338" s="75"/>
      <c r="AN338" s="64" t="s">
        <v>39</v>
      </c>
      <c r="AO338" s="165"/>
      <c r="AP338" s="165"/>
      <c r="AQ338" s="413"/>
      <c r="AR338" s="64"/>
      <c r="AS338" s="475"/>
      <c r="AT338" s="64"/>
      <c r="AU338" s="646"/>
      <c r="AV338" s="1274"/>
    </row>
    <row r="339" spans="1:49" outlineLevel="4" x14ac:dyDescent="0.25">
      <c r="A339" s="63" t="str">
        <f t="shared" si="65"/>
        <v>1.3.1.9.5.64</v>
      </c>
      <c r="B339" s="64">
        <v>1</v>
      </c>
      <c r="C339" s="64">
        <v>3</v>
      </c>
      <c r="D339" s="64">
        <v>1</v>
      </c>
      <c r="E339" s="64">
        <v>9</v>
      </c>
      <c r="F339" s="64">
        <v>5</v>
      </c>
      <c r="G339" s="64">
        <v>64</v>
      </c>
      <c r="H339" s="65"/>
      <c r="I339" s="65"/>
      <c r="J339" s="66"/>
      <c r="K339" s="125" t="s">
        <v>392</v>
      </c>
      <c r="L339" s="64"/>
      <c r="M339" s="128" t="s">
        <v>381</v>
      </c>
      <c r="N339" s="64"/>
      <c r="O339" s="64"/>
      <c r="P339" s="69"/>
      <c r="Q339" s="69"/>
      <c r="R339" s="124"/>
      <c r="S339" s="123"/>
      <c r="T339" s="124"/>
      <c r="U339" s="75">
        <f t="shared" si="66"/>
        <v>400000</v>
      </c>
      <c r="V339" s="674">
        <f t="shared" si="64"/>
        <v>0</v>
      </c>
      <c r="W339" s="75"/>
      <c r="X339" s="75">
        <f t="shared" si="67"/>
        <v>200000</v>
      </c>
      <c r="Y339" s="75"/>
      <c r="Z339" s="75"/>
      <c r="AA339" s="75">
        <f t="shared" si="68"/>
        <v>400000</v>
      </c>
      <c r="AB339" s="75"/>
      <c r="AC339" s="75"/>
      <c r="AD339" s="132"/>
      <c r="AE339" s="598"/>
      <c r="AF339" s="347"/>
      <c r="AG339" s="75">
        <v>202500</v>
      </c>
      <c r="AH339" s="370">
        <v>1000000</v>
      </c>
      <c r="AI339" s="75"/>
      <c r="AJ339" s="75"/>
      <c r="AK339" s="75"/>
      <c r="AL339" s="75"/>
      <c r="AM339" s="75"/>
      <c r="AN339" s="64" t="s">
        <v>39</v>
      </c>
      <c r="AO339" s="165"/>
      <c r="AP339" s="165"/>
      <c r="AQ339" s="413"/>
      <c r="AR339" s="64"/>
      <c r="AS339" s="475"/>
      <c r="AT339" s="64"/>
      <c r="AU339" s="646"/>
      <c r="AV339" s="1274"/>
    </row>
    <row r="340" spans="1:49" ht="30" outlineLevel="4" x14ac:dyDescent="0.25">
      <c r="A340" s="63" t="str">
        <f t="shared" si="65"/>
        <v>1.3.1.9.6.58</v>
      </c>
      <c r="B340" s="64">
        <v>1</v>
      </c>
      <c r="C340" s="64">
        <v>3</v>
      </c>
      <c r="D340" s="64">
        <v>1</v>
      </c>
      <c r="E340" s="64">
        <v>9</v>
      </c>
      <c r="F340" s="64">
        <v>6</v>
      </c>
      <c r="G340" s="64">
        <v>58</v>
      </c>
      <c r="H340" s="65"/>
      <c r="I340" s="65"/>
      <c r="J340" s="66"/>
      <c r="K340" s="103" t="s">
        <v>393</v>
      </c>
      <c r="L340" s="64" t="s">
        <v>72</v>
      </c>
      <c r="M340" s="64" t="s">
        <v>73</v>
      </c>
      <c r="N340" s="64" t="s">
        <v>74</v>
      </c>
      <c r="O340" s="64" t="s">
        <v>367</v>
      </c>
      <c r="P340" s="69">
        <v>44200</v>
      </c>
      <c r="Q340" s="69">
        <v>44561</v>
      </c>
      <c r="R340" s="124">
        <v>70</v>
      </c>
      <c r="S340" s="123" t="s">
        <v>394</v>
      </c>
      <c r="T340" s="124">
        <v>70</v>
      </c>
      <c r="U340" s="75">
        <f t="shared" ref="U340:U346" si="69">+AH340/2</f>
        <v>1000000</v>
      </c>
      <c r="V340" s="674">
        <f t="shared" si="64"/>
        <v>0</v>
      </c>
      <c r="W340" s="75">
        <v>0</v>
      </c>
      <c r="X340" s="75">
        <f t="shared" ref="X340:X346" si="70">+AH340/2</f>
        <v>1000000</v>
      </c>
      <c r="Y340" s="75"/>
      <c r="Z340" s="75">
        <v>0</v>
      </c>
      <c r="AA340" s="75"/>
      <c r="AB340" s="75"/>
      <c r="AC340" s="75">
        <v>0</v>
      </c>
      <c r="AD340" s="75"/>
      <c r="AE340" s="592"/>
      <c r="AF340" s="347">
        <v>70</v>
      </c>
      <c r="AG340" s="75">
        <v>895000</v>
      </c>
      <c r="AH340" s="370">
        <f>14000000/7</f>
        <v>2000000</v>
      </c>
      <c r="AI340" s="75"/>
      <c r="AJ340" s="75"/>
      <c r="AK340" s="75"/>
      <c r="AL340" s="75"/>
      <c r="AM340" s="75"/>
      <c r="AN340" s="64" t="s">
        <v>39</v>
      </c>
      <c r="AO340" s="165"/>
      <c r="AP340" s="165"/>
      <c r="AQ340" s="413"/>
      <c r="AR340" s="64"/>
      <c r="AS340" s="475"/>
      <c r="AT340" s="64"/>
      <c r="AU340" s="646"/>
      <c r="AV340" s="1274" t="s">
        <v>395</v>
      </c>
      <c r="AW340" s="2">
        <v>8938500</v>
      </c>
    </row>
    <row r="341" spans="1:49" ht="30" outlineLevel="4" x14ac:dyDescent="0.25">
      <c r="A341" s="63" t="str">
        <f t="shared" si="65"/>
        <v>1.3.1.9.6.59</v>
      </c>
      <c r="B341" s="64">
        <v>1</v>
      </c>
      <c r="C341" s="64">
        <v>3</v>
      </c>
      <c r="D341" s="64">
        <v>1</v>
      </c>
      <c r="E341" s="64">
        <v>9</v>
      </c>
      <c r="F341" s="64">
        <v>6</v>
      </c>
      <c r="G341" s="64">
        <v>59</v>
      </c>
      <c r="H341" s="65"/>
      <c r="I341" s="65"/>
      <c r="J341" s="66"/>
      <c r="K341" s="103" t="s">
        <v>396</v>
      </c>
      <c r="L341" s="64"/>
      <c r="M341" s="64"/>
      <c r="N341" s="64"/>
      <c r="O341" s="64"/>
      <c r="P341" s="69">
        <v>44200</v>
      </c>
      <c r="Q341" s="69">
        <v>44561</v>
      </c>
      <c r="R341" s="124"/>
      <c r="S341" s="123"/>
      <c r="T341" s="124"/>
      <c r="U341" s="75">
        <f t="shared" si="69"/>
        <v>1000000</v>
      </c>
      <c r="V341" s="674">
        <f t="shared" si="64"/>
        <v>0</v>
      </c>
      <c r="W341" s="75"/>
      <c r="X341" s="75">
        <f t="shared" si="70"/>
        <v>1000000</v>
      </c>
      <c r="Y341" s="75"/>
      <c r="Z341" s="75"/>
      <c r="AA341" s="75"/>
      <c r="AB341" s="75"/>
      <c r="AC341" s="75"/>
      <c r="AD341" s="75"/>
      <c r="AE341" s="592"/>
      <c r="AF341" s="347"/>
      <c r="AG341" s="75">
        <v>895000</v>
      </c>
      <c r="AH341" s="370">
        <f t="shared" ref="AH341:AH346" si="71">14000000/7</f>
        <v>2000000</v>
      </c>
      <c r="AI341" s="75"/>
      <c r="AJ341" s="75"/>
      <c r="AK341" s="75"/>
      <c r="AL341" s="75"/>
      <c r="AM341" s="75"/>
      <c r="AN341" s="64" t="s">
        <v>39</v>
      </c>
      <c r="AO341" s="165"/>
      <c r="AP341" s="165"/>
      <c r="AQ341" s="413"/>
      <c r="AR341" s="64"/>
      <c r="AS341" s="475"/>
      <c r="AT341" s="64"/>
      <c r="AU341" s="646"/>
      <c r="AV341" s="1274"/>
      <c r="AW341" s="2">
        <v>1835600</v>
      </c>
    </row>
    <row r="342" spans="1:49" ht="30" outlineLevel="4" x14ac:dyDescent="0.25">
      <c r="A342" s="63" t="str">
        <f t="shared" si="65"/>
        <v>1.3.1.9.6.60</v>
      </c>
      <c r="B342" s="64">
        <v>1</v>
      </c>
      <c r="C342" s="64">
        <v>3</v>
      </c>
      <c r="D342" s="64">
        <v>1</v>
      </c>
      <c r="E342" s="64">
        <v>9</v>
      </c>
      <c r="F342" s="64">
        <v>6</v>
      </c>
      <c r="G342" s="64">
        <v>60</v>
      </c>
      <c r="H342" s="65"/>
      <c r="I342" s="65"/>
      <c r="J342" s="66"/>
      <c r="K342" s="103" t="s">
        <v>397</v>
      </c>
      <c r="L342" s="64"/>
      <c r="M342" s="64"/>
      <c r="N342" s="64"/>
      <c r="O342" s="64"/>
      <c r="P342" s="69">
        <v>44200</v>
      </c>
      <c r="Q342" s="69">
        <v>44561</v>
      </c>
      <c r="R342" s="124"/>
      <c r="S342" s="123"/>
      <c r="T342" s="124"/>
      <c r="U342" s="75">
        <f t="shared" si="69"/>
        <v>1000000</v>
      </c>
      <c r="V342" s="674">
        <f t="shared" si="64"/>
        <v>0</v>
      </c>
      <c r="W342" s="75"/>
      <c r="X342" s="75">
        <f t="shared" si="70"/>
        <v>1000000</v>
      </c>
      <c r="Y342" s="75"/>
      <c r="Z342" s="75"/>
      <c r="AA342" s="75"/>
      <c r="AB342" s="75"/>
      <c r="AC342" s="75"/>
      <c r="AD342" s="75"/>
      <c r="AE342" s="592"/>
      <c r="AF342" s="347"/>
      <c r="AG342" s="75">
        <v>895000</v>
      </c>
      <c r="AH342" s="370">
        <f t="shared" si="71"/>
        <v>2000000</v>
      </c>
      <c r="AI342" s="75"/>
      <c r="AJ342" s="75"/>
      <c r="AK342" s="75"/>
      <c r="AL342" s="75"/>
      <c r="AM342" s="75"/>
      <c r="AN342" s="64" t="s">
        <v>39</v>
      </c>
      <c r="AO342" s="165"/>
      <c r="AP342" s="165"/>
      <c r="AQ342" s="413"/>
      <c r="AR342" s="64"/>
      <c r="AS342" s="475"/>
      <c r="AT342" s="64"/>
      <c r="AU342" s="646"/>
      <c r="AV342" s="1274"/>
      <c r="AW342" s="2">
        <v>2450400</v>
      </c>
    </row>
    <row r="343" spans="1:49" ht="30" outlineLevel="4" x14ac:dyDescent="0.25">
      <c r="A343" s="63" t="str">
        <f t="shared" si="65"/>
        <v>1.3.1.9.6.61</v>
      </c>
      <c r="B343" s="64">
        <v>1</v>
      </c>
      <c r="C343" s="64">
        <v>3</v>
      </c>
      <c r="D343" s="64">
        <v>1</v>
      </c>
      <c r="E343" s="64">
        <v>9</v>
      </c>
      <c r="F343" s="64">
        <v>6</v>
      </c>
      <c r="G343" s="64">
        <v>61</v>
      </c>
      <c r="H343" s="65"/>
      <c r="I343" s="65"/>
      <c r="J343" s="66"/>
      <c r="K343" s="103" t="s">
        <v>398</v>
      </c>
      <c r="L343" s="64"/>
      <c r="M343" s="64"/>
      <c r="N343" s="64"/>
      <c r="O343" s="64"/>
      <c r="P343" s="69">
        <v>44200</v>
      </c>
      <c r="Q343" s="69">
        <v>44561</v>
      </c>
      <c r="R343" s="124"/>
      <c r="S343" s="123"/>
      <c r="T343" s="124"/>
      <c r="U343" s="75">
        <f t="shared" si="69"/>
        <v>1000000</v>
      </c>
      <c r="V343" s="674">
        <f t="shared" si="64"/>
        <v>0</v>
      </c>
      <c r="W343" s="75"/>
      <c r="X343" s="75">
        <f t="shared" si="70"/>
        <v>1000000</v>
      </c>
      <c r="Y343" s="75"/>
      <c r="Z343" s="75"/>
      <c r="AA343" s="75"/>
      <c r="AB343" s="75"/>
      <c r="AC343" s="75"/>
      <c r="AD343" s="75"/>
      <c r="AE343" s="592"/>
      <c r="AF343" s="347"/>
      <c r="AG343" s="75">
        <v>895000</v>
      </c>
      <c r="AH343" s="370">
        <f t="shared" si="71"/>
        <v>2000000</v>
      </c>
      <c r="AI343" s="75"/>
      <c r="AJ343" s="75"/>
      <c r="AK343" s="75"/>
      <c r="AL343" s="75"/>
      <c r="AM343" s="75"/>
      <c r="AN343" s="64" t="s">
        <v>39</v>
      </c>
      <c r="AO343" s="165"/>
      <c r="AP343" s="165"/>
      <c r="AQ343" s="413"/>
      <c r="AR343" s="64"/>
      <c r="AS343" s="475"/>
      <c r="AT343" s="64"/>
      <c r="AU343" s="646"/>
      <c r="AV343" s="1274"/>
      <c r="AW343" s="2">
        <v>474000</v>
      </c>
    </row>
    <row r="344" spans="1:49" ht="30" outlineLevel="4" x14ac:dyDescent="0.25">
      <c r="A344" s="63" t="str">
        <f t="shared" si="65"/>
        <v>1.3.1.9.6.62</v>
      </c>
      <c r="B344" s="64">
        <v>1</v>
      </c>
      <c r="C344" s="64">
        <v>3</v>
      </c>
      <c r="D344" s="64">
        <v>1</v>
      </c>
      <c r="E344" s="64">
        <v>9</v>
      </c>
      <c r="F344" s="64">
        <v>6</v>
      </c>
      <c r="G344" s="64">
        <v>62</v>
      </c>
      <c r="H344" s="65"/>
      <c r="I344" s="65"/>
      <c r="J344" s="66"/>
      <c r="K344" s="103" t="s">
        <v>1726</v>
      </c>
      <c r="L344" s="64"/>
      <c r="M344" s="64"/>
      <c r="N344" s="64"/>
      <c r="O344" s="64"/>
      <c r="P344" s="69">
        <v>44200</v>
      </c>
      <c r="Q344" s="69">
        <v>44561</v>
      </c>
      <c r="R344" s="124"/>
      <c r="S344" s="123"/>
      <c r="T344" s="124"/>
      <c r="U344" s="75">
        <f t="shared" si="69"/>
        <v>1000000</v>
      </c>
      <c r="V344" s="674">
        <f t="shared" si="64"/>
        <v>0</v>
      </c>
      <c r="W344" s="75"/>
      <c r="X344" s="75">
        <f t="shared" si="70"/>
        <v>1000000</v>
      </c>
      <c r="Y344" s="75"/>
      <c r="Z344" s="75"/>
      <c r="AA344" s="75"/>
      <c r="AB344" s="75"/>
      <c r="AC344" s="75"/>
      <c r="AD344" s="75"/>
      <c r="AE344" s="592"/>
      <c r="AF344" s="347"/>
      <c r="AG344" s="75">
        <v>895000</v>
      </c>
      <c r="AH344" s="370">
        <f t="shared" si="71"/>
        <v>2000000</v>
      </c>
      <c r="AI344" s="75"/>
      <c r="AJ344" s="75"/>
      <c r="AK344" s="75"/>
      <c r="AL344" s="75"/>
      <c r="AM344" s="75"/>
      <c r="AN344" s="64" t="s">
        <v>39</v>
      </c>
      <c r="AO344" s="165"/>
      <c r="AP344" s="165"/>
      <c r="AQ344" s="413"/>
      <c r="AR344" s="64"/>
      <c r="AS344" s="475"/>
      <c r="AT344" s="64"/>
      <c r="AU344" s="646"/>
      <c r="AV344" s="1274"/>
      <c r="AW344" s="2">
        <v>636000</v>
      </c>
    </row>
    <row r="345" spans="1:49" ht="30" outlineLevel="4" x14ac:dyDescent="0.25">
      <c r="A345" s="63" t="str">
        <f t="shared" si="65"/>
        <v>1.3.1.9.6.63</v>
      </c>
      <c r="B345" s="64">
        <v>1</v>
      </c>
      <c r="C345" s="64">
        <v>3</v>
      </c>
      <c r="D345" s="64">
        <v>1</v>
      </c>
      <c r="E345" s="64">
        <v>9</v>
      </c>
      <c r="F345" s="64">
        <v>6</v>
      </c>
      <c r="G345" s="64">
        <v>63</v>
      </c>
      <c r="H345" s="65"/>
      <c r="I345" s="65"/>
      <c r="J345" s="66"/>
      <c r="K345" s="103" t="s">
        <v>399</v>
      </c>
      <c r="L345" s="64"/>
      <c r="M345" s="64"/>
      <c r="N345" s="64"/>
      <c r="O345" s="64"/>
      <c r="P345" s="69">
        <v>44200</v>
      </c>
      <c r="Q345" s="69">
        <v>44561</v>
      </c>
      <c r="R345" s="124"/>
      <c r="S345" s="123"/>
      <c r="T345" s="124"/>
      <c r="U345" s="75">
        <f t="shared" si="69"/>
        <v>1000000</v>
      </c>
      <c r="V345" s="674">
        <f t="shared" si="64"/>
        <v>0</v>
      </c>
      <c r="W345" s="75"/>
      <c r="X345" s="75">
        <f t="shared" si="70"/>
        <v>1000000</v>
      </c>
      <c r="Y345" s="75"/>
      <c r="Z345" s="75"/>
      <c r="AA345" s="75"/>
      <c r="AB345" s="75"/>
      <c r="AC345" s="75"/>
      <c r="AD345" s="75"/>
      <c r="AE345" s="592"/>
      <c r="AF345" s="347"/>
      <c r="AG345" s="75">
        <v>895000</v>
      </c>
      <c r="AH345" s="370">
        <f t="shared" si="71"/>
        <v>2000000</v>
      </c>
      <c r="AI345" s="75"/>
      <c r="AJ345" s="75"/>
      <c r="AK345" s="75"/>
      <c r="AL345" s="75"/>
      <c r="AM345" s="75"/>
      <c r="AN345" s="64" t="s">
        <v>39</v>
      </c>
      <c r="AO345" s="165"/>
      <c r="AP345" s="165"/>
      <c r="AQ345" s="413"/>
      <c r="AR345" s="64"/>
      <c r="AS345" s="475"/>
      <c r="AT345" s="64"/>
      <c r="AU345" s="646"/>
      <c r="AV345" s="1274"/>
      <c r="AW345" s="2">
        <v>5250000</v>
      </c>
    </row>
    <row r="346" spans="1:49" ht="30" outlineLevel="4" x14ac:dyDescent="0.25">
      <c r="A346" s="63" t="str">
        <f t="shared" si="65"/>
        <v>1.3.1.9.6.64</v>
      </c>
      <c r="B346" s="64">
        <v>1</v>
      </c>
      <c r="C346" s="64">
        <v>3</v>
      </c>
      <c r="D346" s="64">
        <v>1</v>
      </c>
      <c r="E346" s="64">
        <v>9</v>
      </c>
      <c r="F346" s="64">
        <v>6</v>
      </c>
      <c r="G346" s="64">
        <v>64</v>
      </c>
      <c r="H346" s="65"/>
      <c r="I346" s="65"/>
      <c r="J346" s="66"/>
      <c r="K346" s="103" t="s">
        <v>400</v>
      </c>
      <c r="L346" s="64"/>
      <c r="M346" s="64"/>
      <c r="N346" s="64"/>
      <c r="O346" s="64"/>
      <c r="P346" s="69">
        <v>44200</v>
      </c>
      <c r="Q346" s="69">
        <v>44561</v>
      </c>
      <c r="R346" s="124"/>
      <c r="S346" s="123"/>
      <c r="T346" s="124"/>
      <c r="U346" s="155">
        <f t="shared" si="69"/>
        <v>1000000</v>
      </c>
      <c r="V346" s="674">
        <f t="shared" si="64"/>
        <v>0</v>
      </c>
      <c r="W346" s="155"/>
      <c r="X346" s="155">
        <f t="shared" si="70"/>
        <v>1000000</v>
      </c>
      <c r="Y346" s="155"/>
      <c r="Z346" s="155"/>
      <c r="AA346" s="155"/>
      <c r="AB346" s="155"/>
      <c r="AC346" s="75"/>
      <c r="AD346" s="75"/>
      <c r="AE346" s="592"/>
      <c r="AF346" s="347"/>
      <c r="AG346" s="75">
        <v>895000</v>
      </c>
      <c r="AH346" s="370">
        <f t="shared" si="71"/>
        <v>2000000</v>
      </c>
      <c r="AI346" s="75"/>
      <c r="AJ346" s="75"/>
      <c r="AK346" s="75"/>
      <c r="AL346" s="75"/>
      <c r="AM346" s="75"/>
      <c r="AN346" s="64" t="s">
        <v>39</v>
      </c>
      <c r="AO346" s="165"/>
      <c r="AP346" s="165"/>
      <c r="AQ346" s="413"/>
      <c r="AR346" s="64"/>
      <c r="AS346" s="475"/>
      <c r="AT346" s="64"/>
      <c r="AU346" s="646"/>
      <c r="AV346" s="1274"/>
      <c r="AW346" s="2">
        <v>1364434</v>
      </c>
    </row>
    <row r="347" spans="1:49" ht="39" customHeight="1" outlineLevel="4" x14ac:dyDescent="0.25">
      <c r="A347" s="63" t="str">
        <f t="shared" si="65"/>
        <v>1.3.1.9.7.58</v>
      </c>
      <c r="B347" s="64">
        <v>1</v>
      </c>
      <c r="C347" s="64">
        <v>3</v>
      </c>
      <c r="D347" s="64">
        <v>1</v>
      </c>
      <c r="E347" s="64">
        <v>9</v>
      </c>
      <c r="F347" s="64">
        <v>7</v>
      </c>
      <c r="G347" s="64">
        <v>58</v>
      </c>
      <c r="H347" s="65"/>
      <c r="I347" s="65"/>
      <c r="J347" s="66"/>
      <c r="K347" s="65" t="s">
        <v>401</v>
      </c>
      <c r="L347" s="64" t="s">
        <v>72</v>
      </c>
      <c r="M347" s="64" t="s">
        <v>73</v>
      </c>
      <c r="N347" s="64" t="s">
        <v>74</v>
      </c>
      <c r="O347" s="64" t="s">
        <v>367</v>
      </c>
      <c r="P347" s="69">
        <v>44200</v>
      </c>
      <c r="Q347" s="69">
        <v>44316</v>
      </c>
      <c r="R347" s="156">
        <v>0.6</v>
      </c>
      <c r="S347" s="123" t="s">
        <v>402</v>
      </c>
      <c r="T347" s="124">
        <v>10250</v>
      </c>
      <c r="U347" s="155">
        <f>+AH347*0.3</f>
        <v>6771428.5714285709</v>
      </c>
      <c r="V347" s="702">
        <f t="shared" si="64"/>
        <v>16328857.109999999</v>
      </c>
      <c r="W347" s="155"/>
      <c r="X347" s="155">
        <f>+AH347*0.3</f>
        <v>6771428.5714285709</v>
      </c>
      <c r="Y347" s="155"/>
      <c r="Z347" s="155"/>
      <c r="AA347" s="155">
        <f>+AH347*0.3</f>
        <v>6771428.5714285709</v>
      </c>
      <c r="AB347" s="155"/>
      <c r="AC347" s="75"/>
      <c r="AD347" s="155">
        <f>+AH347-U347-X347-AA347</f>
        <v>2257142.8571428582</v>
      </c>
      <c r="AE347" s="599"/>
      <c r="AF347" s="347" t="s">
        <v>403</v>
      </c>
      <c r="AG347" s="75">
        <v>33387687.48</v>
      </c>
      <c r="AH347" s="370">
        <f>158000000/7</f>
        <v>22571428.571428571</v>
      </c>
      <c r="AI347" s="75"/>
      <c r="AJ347" s="75">
        <f>1038228.57+1061942.84+3723474.29+5098514.29+1938297.14+1445085.71+958171.43+1065142.84</f>
        <v>16328857.109999999</v>
      </c>
      <c r="AK347" s="75"/>
      <c r="AL347" s="75"/>
      <c r="AM347" s="75"/>
      <c r="AN347" s="64" t="s">
        <v>39</v>
      </c>
      <c r="AO347" s="165"/>
      <c r="AP347" s="582" t="s">
        <v>1898</v>
      </c>
      <c r="AQ347" s="413"/>
      <c r="AR347" s="64"/>
      <c r="AS347" s="475"/>
      <c r="AT347" s="64"/>
      <c r="AU347" s="651" t="s">
        <v>1993</v>
      </c>
      <c r="AV347" s="1340" t="s">
        <v>1992</v>
      </c>
    </row>
    <row r="348" spans="1:49" ht="45" outlineLevel="4" x14ac:dyDescent="0.25">
      <c r="A348" s="63" t="str">
        <f t="shared" si="65"/>
        <v>1.3.1.9.7.59</v>
      </c>
      <c r="B348" s="64">
        <v>1</v>
      </c>
      <c r="C348" s="64">
        <v>3</v>
      </c>
      <c r="D348" s="64">
        <v>1</v>
      </c>
      <c r="E348" s="64">
        <v>9</v>
      </c>
      <c r="F348" s="64">
        <v>7</v>
      </c>
      <c r="G348" s="64">
        <v>59</v>
      </c>
      <c r="H348" s="65"/>
      <c r="I348" s="65"/>
      <c r="J348" s="66"/>
      <c r="K348" s="65" t="s">
        <v>404</v>
      </c>
      <c r="L348" s="64"/>
      <c r="M348" s="64"/>
      <c r="N348" s="64"/>
      <c r="O348" s="64"/>
      <c r="P348" s="69">
        <v>44200</v>
      </c>
      <c r="Q348" s="69">
        <v>44316</v>
      </c>
      <c r="R348" s="156">
        <v>0.6</v>
      </c>
      <c r="S348" s="123"/>
      <c r="T348" s="124"/>
      <c r="U348" s="155">
        <f t="shared" ref="U348:U353" si="72">+AH348*0.3</f>
        <v>6471428.5739999991</v>
      </c>
      <c r="V348" s="702">
        <f t="shared" si="64"/>
        <v>16328857.150000002</v>
      </c>
      <c r="W348" s="155"/>
      <c r="X348" s="155">
        <f t="shared" ref="X348:X353" si="73">+AH348*0.3</f>
        <v>6471428.5739999991</v>
      </c>
      <c r="Y348" s="155"/>
      <c r="Z348" s="155"/>
      <c r="AA348" s="155">
        <f t="shared" ref="AA348:AA353" si="74">+AH348*0.3</f>
        <v>6471428.5739999991</v>
      </c>
      <c r="AB348" s="155"/>
      <c r="AC348" s="75"/>
      <c r="AD348" s="155">
        <f t="shared" ref="AD348:AD353" si="75">+AH348-U348-X348-AA348</f>
        <v>2157142.8580000009</v>
      </c>
      <c r="AE348" s="599"/>
      <c r="AF348" s="347"/>
      <c r="AG348" s="75">
        <v>33387687.48</v>
      </c>
      <c r="AH348" s="370">
        <v>21571428.579999998</v>
      </c>
      <c r="AI348" s="75"/>
      <c r="AJ348" s="75">
        <f>1038228.57+1061942.86+3723474.29+5098514.29+1938297.14+1445085.71+958171.43+1065142.86</f>
        <v>16328857.150000002</v>
      </c>
      <c r="AK348" s="75"/>
      <c r="AL348" s="75"/>
      <c r="AM348" s="75"/>
      <c r="AN348" s="64" t="s">
        <v>39</v>
      </c>
      <c r="AO348" s="165"/>
      <c r="AP348" s="582" t="s">
        <v>1898</v>
      </c>
      <c r="AQ348" s="413"/>
      <c r="AR348" s="64"/>
      <c r="AS348" s="475"/>
      <c r="AT348" s="64"/>
      <c r="AU348" s="651" t="s">
        <v>1993</v>
      </c>
      <c r="AV348" s="1340"/>
    </row>
    <row r="349" spans="1:49" ht="45" outlineLevel="4" x14ac:dyDescent="0.25">
      <c r="A349" s="63" t="str">
        <f t="shared" si="65"/>
        <v>1.3.1.9.7.60</v>
      </c>
      <c r="B349" s="64">
        <v>1</v>
      </c>
      <c r="C349" s="64">
        <v>3</v>
      </c>
      <c r="D349" s="64">
        <v>1</v>
      </c>
      <c r="E349" s="64">
        <v>9</v>
      </c>
      <c r="F349" s="64">
        <v>7</v>
      </c>
      <c r="G349" s="64">
        <v>60</v>
      </c>
      <c r="H349" s="65"/>
      <c r="I349" s="65"/>
      <c r="J349" s="66"/>
      <c r="K349" s="65" t="s">
        <v>405</v>
      </c>
      <c r="L349" s="64"/>
      <c r="M349" s="64"/>
      <c r="N349" s="64"/>
      <c r="O349" s="64"/>
      <c r="P349" s="69">
        <v>44200</v>
      </c>
      <c r="Q349" s="69">
        <v>44316</v>
      </c>
      <c r="R349" s="156">
        <v>0.6</v>
      </c>
      <c r="S349" s="123"/>
      <c r="T349" s="124"/>
      <c r="U349" s="155">
        <f t="shared" si="72"/>
        <v>6771428.5714285709</v>
      </c>
      <c r="V349" s="702">
        <f t="shared" si="64"/>
        <v>16328857.140000001</v>
      </c>
      <c r="W349" s="155"/>
      <c r="X349" s="155">
        <f t="shared" si="73"/>
        <v>6771428.5714285709</v>
      </c>
      <c r="Y349" s="155"/>
      <c r="Z349" s="155"/>
      <c r="AA349" s="155">
        <f t="shared" si="74"/>
        <v>6771428.5714285709</v>
      </c>
      <c r="AB349" s="155"/>
      <c r="AC349" s="75"/>
      <c r="AD349" s="155">
        <f t="shared" si="75"/>
        <v>2257142.8571428582</v>
      </c>
      <c r="AE349" s="599"/>
      <c r="AF349" s="347"/>
      <c r="AG349" s="75">
        <v>33387687.48</v>
      </c>
      <c r="AH349" s="370">
        <f t="shared" ref="AH349:AH353" si="76">158000000/7</f>
        <v>22571428.571428571</v>
      </c>
      <c r="AI349" s="75"/>
      <c r="AJ349" s="75">
        <f>1038228.57+1061942.86+3723474.29+5098514.28+1938297.14+1445085.71+958171.43+1065142.86</f>
        <v>16328857.140000001</v>
      </c>
      <c r="AK349" s="75"/>
      <c r="AL349" s="75"/>
      <c r="AM349" s="75"/>
      <c r="AN349" s="64" t="s">
        <v>39</v>
      </c>
      <c r="AO349" s="165"/>
      <c r="AP349" s="582" t="s">
        <v>1898</v>
      </c>
      <c r="AQ349" s="413"/>
      <c r="AR349" s="64"/>
      <c r="AS349" s="475"/>
      <c r="AT349" s="64"/>
      <c r="AU349" s="651" t="s">
        <v>1993</v>
      </c>
      <c r="AV349" s="1340"/>
    </row>
    <row r="350" spans="1:49" ht="45" outlineLevel="4" x14ac:dyDescent="0.25">
      <c r="A350" s="63" t="str">
        <f t="shared" si="65"/>
        <v>1.3.1.9.7.61</v>
      </c>
      <c r="B350" s="64">
        <v>1</v>
      </c>
      <c r="C350" s="64">
        <v>3</v>
      </c>
      <c r="D350" s="64">
        <v>1</v>
      </c>
      <c r="E350" s="64">
        <v>9</v>
      </c>
      <c r="F350" s="64">
        <v>7</v>
      </c>
      <c r="G350" s="64">
        <v>61</v>
      </c>
      <c r="H350" s="65"/>
      <c r="I350" s="65"/>
      <c r="J350" s="66"/>
      <c r="K350" s="65" t="s">
        <v>406</v>
      </c>
      <c r="L350" s="64"/>
      <c r="M350" s="64"/>
      <c r="N350" s="64"/>
      <c r="O350" s="64"/>
      <c r="P350" s="69">
        <v>44200</v>
      </c>
      <c r="Q350" s="69">
        <v>44316</v>
      </c>
      <c r="R350" s="156">
        <v>0.6</v>
      </c>
      <c r="S350" s="123"/>
      <c r="T350" s="124"/>
      <c r="U350" s="155">
        <f t="shared" si="72"/>
        <v>6771428.5714285709</v>
      </c>
      <c r="V350" s="702">
        <f t="shared" si="64"/>
        <v>16328857.140000001</v>
      </c>
      <c r="W350" s="155"/>
      <c r="X350" s="155">
        <f t="shared" si="73"/>
        <v>6771428.5714285709</v>
      </c>
      <c r="Y350" s="155"/>
      <c r="Z350" s="155"/>
      <c r="AA350" s="155">
        <f t="shared" si="74"/>
        <v>6771428.5714285709</v>
      </c>
      <c r="AB350" s="155"/>
      <c r="AC350" s="75"/>
      <c r="AD350" s="155">
        <f t="shared" si="75"/>
        <v>2257142.8571428582</v>
      </c>
      <c r="AE350" s="599"/>
      <c r="AF350" s="347"/>
      <c r="AG350" s="75">
        <v>33387687.48</v>
      </c>
      <c r="AH350" s="370">
        <f t="shared" si="76"/>
        <v>22571428.571428571</v>
      </c>
      <c r="AI350" s="75"/>
      <c r="AJ350" s="75">
        <f>1038228.57+1061942.86+3723474.29+5098514.28+1938297.14+1445085.71+958171.43+1065142.86</f>
        <v>16328857.140000001</v>
      </c>
      <c r="AK350" s="75"/>
      <c r="AL350" s="75"/>
      <c r="AM350" s="75"/>
      <c r="AN350" s="64" t="s">
        <v>39</v>
      </c>
      <c r="AO350" s="165"/>
      <c r="AP350" s="582" t="s">
        <v>1898</v>
      </c>
      <c r="AQ350" s="413"/>
      <c r="AR350" s="64"/>
      <c r="AS350" s="475"/>
      <c r="AT350" s="64"/>
      <c r="AU350" s="651" t="s">
        <v>1993</v>
      </c>
      <c r="AV350" s="1340"/>
    </row>
    <row r="351" spans="1:49" ht="45" outlineLevel="4" x14ac:dyDescent="0.25">
      <c r="A351" s="63" t="str">
        <f t="shared" si="65"/>
        <v>1.3.1.9.7.62</v>
      </c>
      <c r="B351" s="64">
        <v>1</v>
      </c>
      <c r="C351" s="64">
        <v>3</v>
      </c>
      <c r="D351" s="64">
        <v>1</v>
      </c>
      <c r="E351" s="64">
        <v>9</v>
      </c>
      <c r="F351" s="64">
        <v>7</v>
      </c>
      <c r="G351" s="64">
        <v>62</v>
      </c>
      <c r="H351" s="65"/>
      <c r="I351" s="65"/>
      <c r="J351" s="66"/>
      <c r="K351" s="65" t="s">
        <v>1727</v>
      </c>
      <c r="L351" s="64"/>
      <c r="M351" s="64"/>
      <c r="N351" s="64"/>
      <c r="O351" s="64"/>
      <c r="P351" s="69">
        <v>44200</v>
      </c>
      <c r="Q351" s="69">
        <v>44316</v>
      </c>
      <c r="R351" s="156">
        <v>0.6</v>
      </c>
      <c r="S351" s="123"/>
      <c r="T351" s="124"/>
      <c r="U351" s="155">
        <f t="shared" si="72"/>
        <v>6771428.5714285709</v>
      </c>
      <c r="V351" s="702">
        <f t="shared" si="64"/>
        <v>16328857.140000001</v>
      </c>
      <c r="W351" s="155"/>
      <c r="X351" s="155">
        <f t="shared" si="73"/>
        <v>6771428.5714285709</v>
      </c>
      <c r="Y351" s="155"/>
      <c r="Z351" s="155"/>
      <c r="AA351" s="155">
        <f t="shared" si="74"/>
        <v>6771428.5714285709</v>
      </c>
      <c r="AB351" s="155"/>
      <c r="AC351" s="75"/>
      <c r="AD351" s="155">
        <f t="shared" si="75"/>
        <v>2257142.8571428582</v>
      </c>
      <c r="AE351" s="599"/>
      <c r="AF351" s="347"/>
      <c r="AG351" s="75">
        <v>33387687.48</v>
      </c>
      <c r="AH351" s="370">
        <f t="shared" si="76"/>
        <v>22571428.571428571</v>
      </c>
      <c r="AI351" s="75"/>
      <c r="AJ351" s="75">
        <f>1038228.57+1061942.86+3723474.29+5098514.28+1938297.14+1445085.71+958171.43+1065142.86</f>
        <v>16328857.140000001</v>
      </c>
      <c r="AK351" s="75"/>
      <c r="AL351" s="75"/>
      <c r="AM351" s="75"/>
      <c r="AN351" s="64" t="s">
        <v>39</v>
      </c>
      <c r="AO351" s="165"/>
      <c r="AP351" s="582" t="s">
        <v>1898</v>
      </c>
      <c r="AQ351" s="413"/>
      <c r="AR351" s="64"/>
      <c r="AS351" s="475"/>
      <c r="AT351" s="64"/>
      <c r="AU351" s="651" t="s">
        <v>1993</v>
      </c>
      <c r="AV351" s="1340"/>
    </row>
    <row r="352" spans="1:49" ht="45" outlineLevel="4" x14ac:dyDescent="0.25">
      <c r="A352" s="63" t="str">
        <f t="shared" si="65"/>
        <v>1.3.1.9.7.63</v>
      </c>
      <c r="B352" s="64">
        <v>1</v>
      </c>
      <c r="C352" s="64">
        <v>3</v>
      </c>
      <c r="D352" s="64">
        <v>1</v>
      </c>
      <c r="E352" s="64">
        <v>9</v>
      </c>
      <c r="F352" s="64">
        <v>7</v>
      </c>
      <c r="G352" s="64">
        <v>63</v>
      </c>
      <c r="H352" s="65"/>
      <c r="I352" s="65"/>
      <c r="J352" s="66"/>
      <c r="K352" s="65" t="s">
        <v>407</v>
      </c>
      <c r="L352" s="64"/>
      <c r="M352" s="64"/>
      <c r="N352" s="64"/>
      <c r="O352" s="64"/>
      <c r="P352" s="69">
        <v>44200</v>
      </c>
      <c r="Q352" s="69">
        <v>44316</v>
      </c>
      <c r="R352" s="156">
        <v>0.6</v>
      </c>
      <c r="S352" s="123"/>
      <c r="T352" s="124"/>
      <c r="U352" s="155">
        <f t="shared" si="72"/>
        <v>6771428.5714285709</v>
      </c>
      <c r="V352" s="702">
        <f t="shared" si="64"/>
        <v>16328857.109999999</v>
      </c>
      <c r="W352" s="155"/>
      <c r="X352" s="155">
        <f t="shared" si="73"/>
        <v>6771428.5714285709</v>
      </c>
      <c r="Y352" s="155"/>
      <c r="Z352" s="155"/>
      <c r="AA352" s="155">
        <f t="shared" si="74"/>
        <v>6771428.5714285709</v>
      </c>
      <c r="AB352" s="155"/>
      <c r="AC352" s="75"/>
      <c r="AD352" s="155">
        <f t="shared" si="75"/>
        <v>2257142.8571428582</v>
      </c>
      <c r="AE352" s="599"/>
      <c r="AF352" s="347"/>
      <c r="AG352" s="75">
        <v>33387687.48</v>
      </c>
      <c r="AH352" s="370">
        <f t="shared" si="76"/>
        <v>22571428.571428571</v>
      </c>
      <c r="AI352" s="75"/>
      <c r="AJ352" s="75">
        <f>1038228.57+1061942.86+3723474.26+5098514.28+1938297.14+1445085.71+958171.43+1065142.86</f>
        <v>16328857.109999999</v>
      </c>
      <c r="AK352" s="75"/>
      <c r="AL352" s="75"/>
      <c r="AM352" s="75"/>
      <c r="AN352" s="64" t="s">
        <v>39</v>
      </c>
      <c r="AO352" s="165"/>
      <c r="AP352" s="582" t="s">
        <v>1898</v>
      </c>
      <c r="AQ352" s="413"/>
      <c r="AR352" s="64"/>
      <c r="AS352" s="475"/>
      <c r="AT352" s="64"/>
      <c r="AU352" s="651" t="s">
        <v>1993</v>
      </c>
      <c r="AV352" s="1340"/>
    </row>
    <row r="353" spans="1:48" ht="45" outlineLevel="4" x14ac:dyDescent="0.25">
      <c r="A353" s="63" t="str">
        <f t="shared" si="65"/>
        <v>1.3.1.9.7.64</v>
      </c>
      <c r="B353" s="64">
        <v>1</v>
      </c>
      <c r="C353" s="64">
        <v>3</v>
      </c>
      <c r="D353" s="64">
        <v>1</v>
      </c>
      <c r="E353" s="64">
        <v>9</v>
      </c>
      <c r="F353" s="64">
        <v>7</v>
      </c>
      <c r="G353" s="64">
        <v>64</v>
      </c>
      <c r="H353" s="65"/>
      <c r="I353" s="65"/>
      <c r="J353" s="66"/>
      <c r="K353" s="65" t="s">
        <v>408</v>
      </c>
      <c r="L353" s="64"/>
      <c r="M353" s="64"/>
      <c r="N353" s="64"/>
      <c r="O353" s="64"/>
      <c r="P353" s="69">
        <v>44200</v>
      </c>
      <c r="Q353" s="69">
        <v>44316</v>
      </c>
      <c r="R353" s="156">
        <v>0.6</v>
      </c>
      <c r="S353" s="123"/>
      <c r="T353" s="124"/>
      <c r="U353" s="155">
        <f t="shared" si="72"/>
        <v>6771428.5714285709</v>
      </c>
      <c r="V353" s="702">
        <f t="shared" si="64"/>
        <v>16328857.210000001</v>
      </c>
      <c r="W353" s="155"/>
      <c r="X353" s="155">
        <f t="shared" si="73"/>
        <v>6771428.5714285709</v>
      </c>
      <c r="Y353" s="155"/>
      <c r="Z353" s="155"/>
      <c r="AA353" s="155">
        <f t="shared" si="74"/>
        <v>6771428.5714285709</v>
      </c>
      <c r="AB353" s="155"/>
      <c r="AC353" s="75"/>
      <c r="AD353" s="155">
        <f t="shared" si="75"/>
        <v>2257142.8571428582</v>
      </c>
      <c r="AE353" s="599"/>
      <c r="AF353" s="347"/>
      <c r="AG353" s="75">
        <v>33387687.48</v>
      </c>
      <c r="AH353" s="370">
        <f t="shared" si="76"/>
        <v>22571428.571428571</v>
      </c>
      <c r="AI353" s="75"/>
      <c r="AJ353" s="75">
        <f>1038228.58+1061942.86+3723474.29+5098514.3+1938297.16+1445085.74+958171.42+1065142.86</f>
        <v>16328857.210000001</v>
      </c>
      <c r="AK353" s="75"/>
      <c r="AL353" s="75"/>
      <c r="AM353" s="75"/>
      <c r="AN353" s="64" t="s">
        <v>39</v>
      </c>
      <c r="AO353" s="165"/>
      <c r="AP353" s="582" t="s">
        <v>1898</v>
      </c>
      <c r="AQ353" s="413"/>
      <c r="AR353" s="64"/>
      <c r="AS353" s="475"/>
      <c r="AT353" s="64"/>
      <c r="AU353" s="651" t="s">
        <v>1993</v>
      </c>
      <c r="AV353" s="1340"/>
    </row>
    <row r="354" spans="1:48" outlineLevel="4" x14ac:dyDescent="0.25">
      <c r="A354" s="63" t="str">
        <f t="shared" si="65"/>
        <v>1.3.1.9.8.58</v>
      </c>
      <c r="B354" s="64">
        <v>1</v>
      </c>
      <c r="C354" s="64">
        <v>3</v>
      </c>
      <c r="D354" s="64">
        <v>1</v>
      </c>
      <c r="E354" s="64">
        <v>9</v>
      </c>
      <c r="F354" s="64">
        <v>8</v>
      </c>
      <c r="G354" s="64">
        <v>58</v>
      </c>
      <c r="H354" s="65"/>
      <c r="I354" s="65"/>
      <c r="J354" s="66"/>
      <c r="K354" s="125" t="s">
        <v>409</v>
      </c>
      <c r="L354" s="64" t="s">
        <v>72</v>
      </c>
      <c r="M354" s="64" t="s">
        <v>73</v>
      </c>
      <c r="N354" s="64" t="s">
        <v>74</v>
      </c>
      <c r="O354" s="64" t="s">
        <v>367</v>
      </c>
      <c r="P354" s="69">
        <v>44200</v>
      </c>
      <c r="Q354" s="69">
        <v>44561</v>
      </c>
      <c r="R354" s="156"/>
      <c r="S354" s="123"/>
      <c r="T354" s="124"/>
      <c r="U354" s="155"/>
      <c r="V354" s="674">
        <f t="shared" si="64"/>
        <v>0</v>
      </c>
      <c r="W354" s="155">
        <v>0</v>
      </c>
      <c r="X354" s="155">
        <f>$AH354/2</f>
        <v>125000</v>
      </c>
      <c r="Y354" s="155"/>
      <c r="Z354" s="155">
        <v>0</v>
      </c>
      <c r="AA354" s="155">
        <f>$AH354/2</f>
        <v>125000</v>
      </c>
      <c r="AB354" s="155"/>
      <c r="AC354" s="75">
        <v>0</v>
      </c>
      <c r="AD354" s="75"/>
      <c r="AE354" s="592"/>
      <c r="AF354" s="347"/>
      <c r="AG354" s="75">
        <v>178571.43</v>
      </c>
      <c r="AH354" s="370">
        <v>250000</v>
      </c>
      <c r="AI354" s="75"/>
      <c r="AJ354" s="75"/>
      <c r="AK354" s="75"/>
      <c r="AL354" s="75"/>
      <c r="AM354" s="75"/>
      <c r="AN354" s="64" t="s">
        <v>39</v>
      </c>
      <c r="AO354" s="165"/>
      <c r="AP354" s="165"/>
      <c r="AQ354" s="413"/>
      <c r="AR354" s="64"/>
      <c r="AS354" s="475"/>
      <c r="AT354" s="64"/>
      <c r="AU354" s="646"/>
      <c r="AV354" s="1341" t="s">
        <v>410</v>
      </c>
    </row>
    <row r="355" spans="1:48" outlineLevel="4" x14ac:dyDescent="0.25">
      <c r="A355" s="63" t="str">
        <f t="shared" si="65"/>
        <v>1.3.1.9.8.59</v>
      </c>
      <c r="B355" s="64">
        <v>1</v>
      </c>
      <c r="C355" s="64">
        <v>3</v>
      </c>
      <c r="D355" s="64">
        <v>1</v>
      </c>
      <c r="E355" s="64">
        <v>9</v>
      </c>
      <c r="F355" s="64">
        <v>8</v>
      </c>
      <c r="G355" s="64">
        <v>59</v>
      </c>
      <c r="H355" s="65"/>
      <c r="I355" s="65"/>
      <c r="J355" s="66"/>
      <c r="K355" s="125" t="s">
        <v>411</v>
      </c>
      <c r="L355" s="64"/>
      <c r="M355" s="64"/>
      <c r="N355" s="64"/>
      <c r="O355" s="64"/>
      <c r="P355" s="69">
        <v>44200</v>
      </c>
      <c r="Q355" s="69">
        <v>44561</v>
      </c>
      <c r="R355" s="124"/>
      <c r="S355" s="123"/>
      <c r="T355" s="124"/>
      <c r="U355" s="155"/>
      <c r="V355" s="674">
        <f t="shared" si="64"/>
        <v>0</v>
      </c>
      <c r="W355" s="155"/>
      <c r="X355" s="155">
        <f t="shared" ref="X355:X360" si="77">$AH355/2</f>
        <v>100000</v>
      </c>
      <c r="Y355" s="155"/>
      <c r="Z355" s="155"/>
      <c r="AA355" s="155">
        <f t="shared" ref="AA355:AA360" si="78">$AH355/2</f>
        <v>100000</v>
      </c>
      <c r="AB355" s="155"/>
      <c r="AC355" s="75"/>
      <c r="AD355" s="75"/>
      <c r="AE355" s="592"/>
      <c r="AF355" s="347"/>
      <c r="AG355" s="75">
        <v>178571.43</v>
      </c>
      <c r="AH355" s="370">
        <v>200000</v>
      </c>
      <c r="AI355" s="78"/>
      <c r="AJ355" s="78"/>
      <c r="AK355" s="157"/>
      <c r="AL355" s="157"/>
      <c r="AM355" s="157"/>
      <c r="AN355" s="64" t="s">
        <v>39</v>
      </c>
      <c r="AO355" s="165"/>
      <c r="AP355" s="165"/>
      <c r="AQ355" s="413"/>
      <c r="AR355" s="64"/>
      <c r="AS355" s="475"/>
      <c r="AT355" s="64"/>
      <c r="AU355" s="646"/>
      <c r="AV355" s="1341"/>
    </row>
    <row r="356" spans="1:48" outlineLevel="4" x14ac:dyDescent="0.25">
      <c r="A356" s="63" t="str">
        <f t="shared" si="65"/>
        <v>1.3.1.9.8.60</v>
      </c>
      <c r="B356" s="64">
        <v>1</v>
      </c>
      <c r="C356" s="64">
        <v>3</v>
      </c>
      <c r="D356" s="64">
        <v>1</v>
      </c>
      <c r="E356" s="64">
        <v>9</v>
      </c>
      <c r="F356" s="64">
        <v>8</v>
      </c>
      <c r="G356" s="64">
        <v>60</v>
      </c>
      <c r="H356" s="65"/>
      <c r="I356" s="65"/>
      <c r="J356" s="66"/>
      <c r="K356" s="125" t="s">
        <v>412</v>
      </c>
      <c r="L356" s="64"/>
      <c r="M356" s="64"/>
      <c r="N356" s="64"/>
      <c r="O356" s="64"/>
      <c r="P356" s="69">
        <v>44200</v>
      </c>
      <c r="Q356" s="69">
        <v>44561</v>
      </c>
      <c r="R356" s="124"/>
      <c r="S356" s="123"/>
      <c r="T356" s="124"/>
      <c r="U356" s="155">
        <f t="shared" ref="U356" si="79">$AH356/2</f>
        <v>125000</v>
      </c>
      <c r="V356" s="674">
        <f t="shared" si="64"/>
        <v>0</v>
      </c>
      <c r="W356" s="155"/>
      <c r="X356" s="155">
        <f t="shared" si="77"/>
        <v>125000</v>
      </c>
      <c r="Y356" s="155"/>
      <c r="Z356" s="155"/>
      <c r="AA356" s="155"/>
      <c r="AB356" s="155"/>
      <c r="AC356" s="75"/>
      <c r="AD356" s="75"/>
      <c r="AE356" s="592"/>
      <c r="AF356" s="347"/>
      <c r="AG356" s="75">
        <v>178571.43</v>
      </c>
      <c r="AH356" s="370">
        <v>250000</v>
      </c>
      <c r="AI356" s="78"/>
      <c r="AJ356" s="78"/>
      <c r="AK356" s="75"/>
      <c r="AL356" s="75"/>
      <c r="AM356" s="75"/>
      <c r="AN356" s="64" t="s">
        <v>39</v>
      </c>
      <c r="AO356" s="165"/>
      <c r="AP356" s="165"/>
      <c r="AQ356" s="413"/>
      <c r="AR356" s="64"/>
      <c r="AS356" s="475"/>
      <c r="AT356" s="64"/>
      <c r="AU356" s="646"/>
      <c r="AV356" s="1341"/>
    </row>
    <row r="357" spans="1:48" outlineLevel="4" x14ac:dyDescent="0.25">
      <c r="A357" s="63" t="str">
        <f t="shared" si="65"/>
        <v>1.3.1.9.8.61</v>
      </c>
      <c r="B357" s="64">
        <v>1</v>
      </c>
      <c r="C357" s="64">
        <v>3</v>
      </c>
      <c r="D357" s="64">
        <v>1</v>
      </c>
      <c r="E357" s="64">
        <v>9</v>
      </c>
      <c r="F357" s="64">
        <v>8</v>
      </c>
      <c r="G357" s="64">
        <v>61</v>
      </c>
      <c r="H357" s="65"/>
      <c r="I357" s="65"/>
      <c r="J357" s="66"/>
      <c r="K357" s="125" t="s">
        <v>413</v>
      </c>
      <c r="L357" s="64"/>
      <c r="M357" s="64"/>
      <c r="N357" s="64"/>
      <c r="O357" s="64"/>
      <c r="P357" s="69">
        <v>44200</v>
      </c>
      <c r="Q357" s="69">
        <v>44561</v>
      </c>
      <c r="R357" s="124"/>
      <c r="S357" s="123"/>
      <c r="T357" s="124"/>
      <c r="U357" s="155"/>
      <c r="V357" s="674">
        <f t="shared" si="64"/>
        <v>0</v>
      </c>
      <c r="W357" s="155"/>
      <c r="X357" s="155">
        <f t="shared" si="77"/>
        <v>125000</v>
      </c>
      <c r="Y357" s="155"/>
      <c r="Z357" s="155"/>
      <c r="AA357" s="155">
        <f t="shared" si="78"/>
        <v>125000</v>
      </c>
      <c r="AB357" s="155"/>
      <c r="AC357" s="75"/>
      <c r="AD357" s="75"/>
      <c r="AE357" s="592"/>
      <c r="AF357" s="347"/>
      <c r="AG357" s="75">
        <v>178571.43</v>
      </c>
      <c r="AH357" s="370">
        <v>250000</v>
      </c>
      <c r="AI357" s="78"/>
      <c r="AJ357" s="78"/>
      <c r="AK357" s="75"/>
      <c r="AL357" s="75"/>
      <c r="AM357" s="75"/>
      <c r="AN357" s="64" t="s">
        <v>39</v>
      </c>
      <c r="AO357" s="165"/>
      <c r="AP357" s="165"/>
      <c r="AQ357" s="413"/>
      <c r="AR357" s="64"/>
      <c r="AS357" s="475"/>
      <c r="AT357" s="64"/>
      <c r="AU357" s="646"/>
      <c r="AV357" s="1341"/>
    </row>
    <row r="358" spans="1:48" outlineLevel="4" x14ac:dyDescent="0.25">
      <c r="A358" s="63" t="str">
        <f t="shared" si="65"/>
        <v>1.3.1.9.8.62</v>
      </c>
      <c r="B358" s="64">
        <v>1</v>
      </c>
      <c r="C358" s="64">
        <v>3</v>
      </c>
      <c r="D358" s="64">
        <v>1</v>
      </c>
      <c r="E358" s="64">
        <v>9</v>
      </c>
      <c r="F358" s="64">
        <v>8</v>
      </c>
      <c r="G358" s="64">
        <v>62</v>
      </c>
      <c r="H358" s="65"/>
      <c r="I358" s="65"/>
      <c r="J358" s="66"/>
      <c r="K358" s="125" t="s">
        <v>1728</v>
      </c>
      <c r="L358" s="64"/>
      <c r="M358" s="64"/>
      <c r="N358" s="64"/>
      <c r="O358" s="64"/>
      <c r="P358" s="69">
        <v>44200</v>
      </c>
      <c r="Q358" s="69">
        <v>44561</v>
      </c>
      <c r="R358" s="124"/>
      <c r="S358" s="123"/>
      <c r="T358" s="124"/>
      <c r="U358" s="155"/>
      <c r="V358" s="674">
        <f t="shared" si="64"/>
        <v>0</v>
      </c>
      <c r="W358" s="155"/>
      <c r="X358" s="155">
        <f t="shared" si="77"/>
        <v>125000</v>
      </c>
      <c r="Y358" s="155"/>
      <c r="Z358" s="155"/>
      <c r="AA358" s="155">
        <f t="shared" si="78"/>
        <v>125000</v>
      </c>
      <c r="AB358" s="155"/>
      <c r="AC358" s="75"/>
      <c r="AD358" s="75"/>
      <c r="AE358" s="592"/>
      <c r="AF358" s="347"/>
      <c r="AG358" s="75">
        <v>178571.43</v>
      </c>
      <c r="AH358" s="370">
        <v>250000</v>
      </c>
      <c r="AI358" s="78"/>
      <c r="AJ358" s="78"/>
      <c r="AK358" s="157"/>
      <c r="AL358" s="157"/>
      <c r="AM358" s="157"/>
      <c r="AN358" s="64" t="s">
        <v>39</v>
      </c>
      <c r="AO358" s="165"/>
      <c r="AP358" s="165"/>
      <c r="AQ358" s="413"/>
      <c r="AR358" s="64"/>
      <c r="AS358" s="475"/>
      <c r="AT358" s="64"/>
      <c r="AU358" s="646"/>
      <c r="AV358" s="1341"/>
    </row>
    <row r="359" spans="1:48" outlineLevel="4" x14ac:dyDescent="0.25">
      <c r="A359" s="63" t="str">
        <f t="shared" si="65"/>
        <v>1.3.1.9.8.63</v>
      </c>
      <c r="B359" s="64">
        <v>1</v>
      </c>
      <c r="C359" s="64">
        <v>3</v>
      </c>
      <c r="D359" s="64">
        <v>1</v>
      </c>
      <c r="E359" s="64">
        <v>9</v>
      </c>
      <c r="F359" s="64">
        <v>8</v>
      </c>
      <c r="G359" s="64">
        <v>63</v>
      </c>
      <c r="H359" s="65"/>
      <c r="I359" s="65"/>
      <c r="J359" s="66"/>
      <c r="K359" s="125" t="s">
        <v>414</v>
      </c>
      <c r="L359" s="64"/>
      <c r="M359" s="64"/>
      <c r="N359" s="64"/>
      <c r="O359" s="64"/>
      <c r="P359" s="69">
        <v>44200</v>
      </c>
      <c r="Q359" s="69">
        <v>44561</v>
      </c>
      <c r="R359" s="124"/>
      <c r="S359" s="123"/>
      <c r="T359" s="124"/>
      <c r="U359" s="155"/>
      <c r="V359" s="674">
        <f t="shared" si="64"/>
        <v>0</v>
      </c>
      <c r="W359" s="155"/>
      <c r="X359" s="155">
        <f t="shared" si="77"/>
        <v>125000</v>
      </c>
      <c r="Y359" s="155"/>
      <c r="Z359" s="155"/>
      <c r="AA359" s="155">
        <f t="shared" si="78"/>
        <v>125000</v>
      </c>
      <c r="AB359" s="155"/>
      <c r="AC359" s="75"/>
      <c r="AD359" s="75"/>
      <c r="AE359" s="592"/>
      <c r="AF359" s="347"/>
      <c r="AG359" s="75">
        <v>178571.43</v>
      </c>
      <c r="AH359" s="370">
        <v>250000</v>
      </c>
      <c r="AI359" s="78"/>
      <c r="AJ359" s="78"/>
      <c r="AK359" s="157"/>
      <c r="AL359" s="157"/>
      <c r="AM359" s="157"/>
      <c r="AN359" s="64" t="s">
        <v>39</v>
      </c>
      <c r="AO359" s="165"/>
      <c r="AP359" s="165"/>
      <c r="AQ359" s="413"/>
      <c r="AR359" s="64"/>
      <c r="AS359" s="475"/>
      <c r="AT359" s="64"/>
      <c r="AU359" s="646"/>
      <c r="AV359" s="1341"/>
    </row>
    <row r="360" spans="1:48" outlineLevel="4" x14ac:dyDescent="0.25">
      <c r="A360" s="63" t="str">
        <f t="shared" si="65"/>
        <v>1.3.1.9.8.64</v>
      </c>
      <c r="B360" s="64">
        <v>1</v>
      </c>
      <c r="C360" s="64">
        <v>3</v>
      </c>
      <c r="D360" s="64">
        <v>1</v>
      </c>
      <c r="E360" s="64">
        <v>9</v>
      </c>
      <c r="F360" s="64">
        <v>8</v>
      </c>
      <c r="G360" s="64">
        <v>64</v>
      </c>
      <c r="H360" s="65"/>
      <c r="I360" s="65"/>
      <c r="J360" s="66"/>
      <c r="K360" s="125" t="s">
        <v>415</v>
      </c>
      <c r="L360" s="64"/>
      <c r="M360" s="64"/>
      <c r="N360" s="64"/>
      <c r="O360" s="64"/>
      <c r="P360" s="69">
        <v>44200</v>
      </c>
      <c r="Q360" s="69">
        <v>44561</v>
      </c>
      <c r="R360" s="124"/>
      <c r="S360" s="123"/>
      <c r="T360" s="124"/>
      <c r="U360" s="155"/>
      <c r="V360" s="674">
        <f t="shared" si="64"/>
        <v>0</v>
      </c>
      <c r="W360" s="155"/>
      <c r="X360" s="155">
        <f t="shared" si="77"/>
        <v>125000</v>
      </c>
      <c r="Y360" s="155"/>
      <c r="Z360" s="155"/>
      <c r="AA360" s="155">
        <f t="shared" si="78"/>
        <v>125000</v>
      </c>
      <c r="AB360" s="155"/>
      <c r="AC360" s="75"/>
      <c r="AD360" s="75"/>
      <c r="AE360" s="592"/>
      <c r="AF360" s="347"/>
      <c r="AG360" s="75">
        <v>178571.43</v>
      </c>
      <c r="AH360" s="370">
        <v>250000</v>
      </c>
      <c r="AI360" s="75"/>
      <c r="AJ360" s="75"/>
      <c r="AK360" s="75"/>
      <c r="AL360" s="75"/>
      <c r="AM360" s="75"/>
      <c r="AN360" s="64" t="s">
        <v>39</v>
      </c>
      <c r="AO360" s="165"/>
      <c r="AP360" s="165"/>
      <c r="AQ360" s="413"/>
      <c r="AR360" s="189"/>
      <c r="AS360" s="64"/>
      <c r="AT360" s="460"/>
      <c r="AU360" s="646"/>
      <c r="AV360" s="1341"/>
    </row>
    <row r="361" spans="1:48" outlineLevel="4" x14ac:dyDescent="0.25">
      <c r="A361" s="63" t="str">
        <f t="shared" si="65"/>
        <v>1.3.1.9.9.58</v>
      </c>
      <c r="B361" s="64">
        <v>1</v>
      </c>
      <c r="C361" s="64">
        <v>3</v>
      </c>
      <c r="D361" s="64">
        <v>1</v>
      </c>
      <c r="E361" s="64">
        <v>9</v>
      </c>
      <c r="F361" s="64">
        <v>9</v>
      </c>
      <c r="G361" s="64">
        <v>58</v>
      </c>
      <c r="H361" s="65"/>
      <c r="I361" s="65"/>
      <c r="J361" s="66"/>
      <c r="K361" s="65" t="s">
        <v>416</v>
      </c>
      <c r="L361" s="64" t="s">
        <v>72</v>
      </c>
      <c r="M361" s="64" t="s">
        <v>73</v>
      </c>
      <c r="N361" s="64" t="s">
        <v>74</v>
      </c>
      <c r="O361" s="64" t="s">
        <v>367</v>
      </c>
      <c r="P361" s="69">
        <v>44200</v>
      </c>
      <c r="Q361" s="69">
        <v>44561</v>
      </c>
      <c r="R361" s="124"/>
      <c r="S361" s="123"/>
      <c r="T361" s="124"/>
      <c r="U361" s="155"/>
      <c r="V361" s="674">
        <f t="shared" si="64"/>
        <v>0</v>
      </c>
      <c r="W361" s="155"/>
      <c r="X361" s="155"/>
      <c r="Y361" s="155"/>
      <c r="Z361" s="155"/>
      <c r="AA361" s="155"/>
      <c r="AB361" s="155"/>
      <c r="AC361" s="75"/>
      <c r="AD361" s="75"/>
      <c r="AE361" s="592"/>
      <c r="AF361" s="347"/>
      <c r="AG361" s="75">
        <v>0</v>
      </c>
      <c r="AH361" s="370">
        <v>0</v>
      </c>
      <c r="AI361" s="75"/>
      <c r="AJ361" s="75"/>
      <c r="AK361" s="75"/>
      <c r="AL361" s="75"/>
      <c r="AM361" s="75"/>
      <c r="AN361" s="64" t="s">
        <v>39</v>
      </c>
      <c r="AO361" s="64"/>
      <c r="AP361" s="64"/>
      <c r="AQ361" s="189"/>
      <c r="AR361" s="64"/>
      <c r="AS361" s="480"/>
      <c r="AT361" s="64"/>
      <c r="AU361" s="646"/>
      <c r="AV361" s="185"/>
    </row>
    <row r="362" spans="1:48" outlineLevel="4" x14ac:dyDescent="0.25">
      <c r="A362" s="63" t="str">
        <f t="shared" si="65"/>
        <v>1.3.1.9.9.59</v>
      </c>
      <c r="B362" s="64">
        <v>1</v>
      </c>
      <c r="C362" s="64">
        <v>3</v>
      </c>
      <c r="D362" s="64">
        <v>1</v>
      </c>
      <c r="E362" s="64">
        <v>9</v>
      </c>
      <c r="F362" s="64">
        <v>9</v>
      </c>
      <c r="G362" s="64">
        <v>59</v>
      </c>
      <c r="H362" s="65"/>
      <c r="I362" s="65"/>
      <c r="J362" s="66"/>
      <c r="K362" s="65" t="s">
        <v>417</v>
      </c>
      <c r="L362" s="64"/>
      <c r="M362" s="64"/>
      <c r="N362" s="64"/>
      <c r="O362" s="64"/>
      <c r="P362" s="69">
        <v>44200</v>
      </c>
      <c r="Q362" s="69">
        <v>44561</v>
      </c>
      <c r="R362" s="124"/>
      <c r="S362" s="123"/>
      <c r="T362" s="124"/>
      <c r="U362" s="75"/>
      <c r="V362" s="674">
        <f t="shared" si="64"/>
        <v>0</v>
      </c>
      <c r="W362" s="75"/>
      <c r="X362" s="75"/>
      <c r="Y362" s="75"/>
      <c r="Z362" s="75"/>
      <c r="AA362" s="75"/>
      <c r="AB362" s="75"/>
      <c r="AC362" s="75"/>
      <c r="AD362" s="75"/>
      <c r="AE362" s="592"/>
      <c r="AF362" s="347"/>
      <c r="AG362" s="75">
        <v>0</v>
      </c>
      <c r="AH362" s="370">
        <v>0</v>
      </c>
      <c r="AI362" s="75"/>
      <c r="AJ362" s="75"/>
      <c r="AK362" s="75"/>
      <c r="AL362" s="75"/>
      <c r="AM362" s="75"/>
      <c r="AN362" s="64" t="s">
        <v>39</v>
      </c>
      <c r="AO362" s="64"/>
      <c r="AP362" s="64"/>
      <c r="AQ362" s="189"/>
      <c r="AR362" s="64"/>
      <c r="AS362" s="476"/>
      <c r="AT362" s="64"/>
      <c r="AU362" s="646"/>
      <c r="AV362" s="185"/>
    </row>
    <row r="363" spans="1:48" outlineLevel="4" x14ac:dyDescent="0.25">
      <c r="A363" s="63" t="str">
        <f t="shared" si="65"/>
        <v>1.3.1.9.9.60</v>
      </c>
      <c r="B363" s="64">
        <v>1</v>
      </c>
      <c r="C363" s="64">
        <v>3</v>
      </c>
      <c r="D363" s="64">
        <v>1</v>
      </c>
      <c r="E363" s="64">
        <v>9</v>
      </c>
      <c r="F363" s="64">
        <v>9</v>
      </c>
      <c r="G363" s="64">
        <v>60</v>
      </c>
      <c r="H363" s="65"/>
      <c r="I363" s="65"/>
      <c r="J363" s="66"/>
      <c r="K363" s="65" t="s">
        <v>418</v>
      </c>
      <c r="L363" s="64"/>
      <c r="M363" s="64"/>
      <c r="N363" s="64"/>
      <c r="O363" s="64"/>
      <c r="P363" s="69">
        <v>44200</v>
      </c>
      <c r="Q363" s="69">
        <v>44561</v>
      </c>
      <c r="R363" s="124"/>
      <c r="S363" s="123"/>
      <c r="T363" s="124"/>
      <c r="U363" s="75"/>
      <c r="V363" s="674">
        <f t="shared" si="64"/>
        <v>0</v>
      </c>
      <c r="W363" s="75"/>
      <c r="X363" s="75"/>
      <c r="Y363" s="75"/>
      <c r="Z363" s="75"/>
      <c r="AA363" s="75"/>
      <c r="AB363" s="75"/>
      <c r="AC363" s="75"/>
      <c r="AD363" s="75"/>
      <c r="AE363" s="592"/>
      <c r="AF363" s="347"/>
      <c r="AG363" s="75">
        <v>0</v>
      </c>
      <c r="AH363" s="370">
        <v>0</v>
      </c>
      <c r="AI363" s="75"/>
      <c r="AJ363" s="75"/>
      <c r="AK363" s="75"/>
      <c r="AL363" s="75"/>
      <c r="AM363" s="75"/>
      <c r="AN363" s="64" t="s">
        <v>39</v>
      </c>
      <c r="AO363" s="64"/>
      <c r="AP363" s="64"/>
      <c r="AQ363" s="189"/>
      <c r="AR363" s="64"/>
      <c r="AS363" s="476"/>
      <c r="AT363" s="64"/>
      <c r="AU363" s="646"/>
      <c r="AV363" s="185"/>
    </row>
    <row r="364" spans="1:48" outlineLevel="4" x14ac:dyDescent="0.25">
      <c r="A364" s="63" t="str">
        <f t="shared" si="65"/>
        <v>1.3.1.9.9.61</v>
      </c>
      <c r="B364" s="64">
        <v>1</v>
      </c>
      <c r="C364" s="64">
        <v>3</v>
      </c>
      <c r="D364" s="64">
        <v>1</v>
      </c>
      <c r="E364" s="64">
        <v>9</v>
      </c>
      <c r="F364" s="64">
        <v>9</v>
      </c>
      <c r="G364" s="64">
        <v>61</v>
      </c>
      <c r="H364" s="65"/>
      <c r="I364" s="65"/>
      <c r="J364" s="66"/>
      <c r="K364" s="65" t="s">
        <v>419</v>
      </c>
      <c r="L364" s="64"/>
      <c r="M364" s="64"/>
      <c r="N364" s="64"/>
      <c r="O364" s="64"/>
      <c r="P364" s="69">
        <v>44200</v>
      </c>
      <c r="Q364" s="69">
        <v>44561</v>
      </c>
      <c r="R364" s="124"/>
      <c r="S364" s="123"/>
      <c r="T364" s="124"/>
      <c r="U364" s="75"/>
      <c r="V364" s="674">
        <f t="shared" si="64"/>
        <v>0</v>
      </c>
      <c r="W364" s="75"/>
      <c r="X364" s="75"/>
      <c r="Y364" s="75"/>
      <c r="Z364" s="75"/>
      <c r="AA364" s="75"/>
      <c r="AB364" s="75"/>
      <c r="AC364" s="75"/>
      <c r="AD364" s="75"/>
      <c r="AE364" s="592"/>
      <c r="AF364" s="347"/>
      <c r="AG364" s="75">
        <v>0</v>
      </c>
      <c r="AH364" s="370">
        <v>0</v>
      </c>
      <c r="AI364" s="75"/>
      <c r="AJ364" s="75"/>
      <c r="AK364" s="75"/>
      <c r="AL364" s="75"/>
      <c r="AM364" s="75"/>
      <c r="AN364" s="64" t="s">
        <v>39</v>
      </c>
      <c r="AO364" s="64"/>
      <c r="AP364" s="64"/>
      <c r="AQ364" s="189"/>
      <c r="AR364" s="64"/>
      <c r="AS364" s="476"/>
      <c r="AT364" s="64"/>
      <c r="AU364" s="646"/>
      <c r="AV364" s="185"/>
    </row>
    <row r="365" spans="1:48" outlineLevel="4" x14ac:dyDescent="0.25">
      <c r="A365" s="63" t="str">
        <f t="shared" si="65"/>
        <v>1.3.1.9.9.62</v>
      </c>
      <c r="B365" s="64">
        <v>1</v>
      </c>
      <c r="C365" s="64">
        <v>3</v>
      </c>
      <c r="D365" s="64">
        <v>1</v>
      </c>
      <c r="E365" s="64">
        <v>9</v>
      </c>
      <c r="F365" s="64">
        <v>9</v>
      </c>
      <c r="G365" s="64">
        <v>62</v>
      </c>
      <c r="H365" s="65"/>
      <c r="I365" s="65"/>
      <c r="J365" s="66"/>
      <c r="K365" s="65" t="s">
        <v>1729</v>
      </c>
      <c r="L365" s="64"/>
      <c r="M365" s="64"/>
      <c r="N365" s="64"/>
      <c r="O365" s="64"/>
      <c r="P365" s="69">
        <v>44200</v>
      </c>
      <c r="Q365" s="69">
        <v>44561</v>
      </c>
      <c r="R365" s="124"/>
      <c r="S365" s="123"/>
      <c r="T365" s="124"/>
      <c r="U365" s="75"/>
      <c r="V365" s="674">
        <f t="shared" si="64"/>
        <v>0</v>
      </c>
      <c r="W365" s="75"/>
      <c r="X365" s="75"/>
      <c r="Y365" s="75"/>
      <c r="Z365" s="75"/>
      <c r="AA365" s="75"/>
      <c r="AB365" s="75"/>
      <c r="AC365" s="75"/>
      <c r="AD365" s="75"/>
      <c r="AE365" s="592"/>
      <c r="AF365" s="347"/>
      <c r="AG365" s="75">
        <v>0</v>
      </c>
      <c r="AH365" s="370">
        <v>0</v>
      </c>
      <c r="AI365" s="75"/>
      <c r="AJ365" s="75"/>
      <c r="AK365" s="75"/>
      <c r="AL365" s="75"/>
      <c r="AM365" s="75"/>
      <c r="AN365" s="64" t="s">
        <v>39</v>
      </c>
      <c r="AO365" s="64"/>
      <c r="AP365" s="64"/>
      <c r="AQ365" s="189"/>
      <c r="AR365" s="64"/>
      <c r="AS365" s="476"/>
      <c r="AT365" s="64"/>
      <c r="AU365" s="646"/>
      <c r="AV365" s="185"/>
    </row>
    <row r="366" spans="1:48" outlineLevel="4" x14ac:dyDescent="0.25">
      <c r="A366" s="63" t="str">
        <f t="shared" si="65"/>
        <v>1.3.1.9.9.63</v>
      </c>
      <c r="B366" s="64">
        <v>1</v>
      </c>
      <c r="C366" s="64">
        <v>3</v>
      </c>
      <c r="D366" s="64">
        <v>1</v>
      </c>
      <c r="E366" s="64">
        <v>9</v>
      </c>
      <c r="F366" s="64">
        <v>9</v>
      </c>
      <c r="G366" s="64">
        <v>63</v>
      </c>
      <c r="H366" s="65"/>
      <c r="I366" s="65"/>
      <c r="J366" s="66"/>
      <c r="K366" s="65" t="s">
        <v>420</v>
      </c>
      <c r="L366" s="64"/>
      <c r="M366" s="64"/>
      <c r="N366" s="64"/>
      <c r="O366" s="64"/>
      <c r="P366" s="69">
        <v>44200</v>
      </c>
      <c r="Q366" s="69">
        <v>44561</v>
      </c>
      <c r="R366" s="124"/>
      <c r="S366" s="123"/>
      <c r="T366" s="124"/>
      <c r="U366" s="75"/>
      <c r="V366" s="674">
        <f t="shared" si="64"/>
        <v>0</v>
      </c>
      <c r="W366" s="75"/>
      <c r="X366" s="75"/>
      <c r="Y366" s="75"/>
      <c r="Z366" s="75"/>
      <c r="AA366" s="75"/>
      <c r="AB366" s="75"/>
      <c r="AC366" s="75"/>
      <c r="AD366" s="75"/>
      <c r="AE366" s="592"/>
      <c r="AF366" s="347"/>
      <c r="AG366" s="75">
        <v>0</v>
      </c>
      <c r="AH366" s="370">
        <v>0</v>
      </c>
      <c r="AI366" s="75"/>
      <c r="AJ366" s="75"/>
      <c r="AK366" s="75"/>
      <c r="AL366" s="75"/>
      <c r="AM366" s="75"/>
      <c r="AN366" s="64" t="s">
        <v>39</v>
      </c>
      <c r="AO366" s="64"/>
      <c r="AP366" s="64"/>
      <c r="AQ366" s="189"/>
      <c r="AR366" s="64"/>
      <c r="AS366" s="476"/>
      <c r="AT366" s="64"/>
      <c r="AU366" s="646"/>
      <c r="AV366" s="185"/>
    </row>
    <row r="367" spans="1:48" outlineLevel="4" x14ac:dyDescent="0.25">
      <c r="A367" s="63" t="str">
        <f t="shared" si="65"/>
        <v>1.3.1.9.9.64</v>
      </c>
      <c r="B367" s="64">
        <v>1</v>
      </c>
      <c r="C367" s="64">
        <v>3</v>
      </c>
      <c r="D367" s="64">
        <v>1</v>
      </c>
      <c r="E367" s="64">
        <v>9</v>
      </c>
      <c r="F367" s="64">
        <v>9</v>
      </c>
      <c r="G367" s="64">
        <v>64</v>
      </c>
      <c r="H367" s="65"/>
      <c r="I367" s="65"/>
      <c r="J367" s="66"/>
      <c r="K367" s="65" t="s">
        <v>421</v>
      </c>
      <c r="L367" s="64"/>
      <c r="M367" s="64"/>
      <c r="N367" s="64"/>
      <c r="O367" s="64"/>
      <c r="P367" s="69">
        <v>44200</v>
      </c>
      <c r="Q367" s="69">
        <v>44561</v>
      </c>
      <c r="R367" s="124"/>
      <c r="S367" s="123"/>
      <c r="T367" s="124"/>
      <c r="U367" s="75"/>
      <c r="V367" s="674">
        <f t="shared" si="64"/>
        <v>0</v>
      </c>
      <c r="W367" s="75"/>
      <c r="X367" s="75"/>
      <c r="Y367" s="75"/>
      <c r="Z367" s="75"/>
      <c r="AA367" s="75"/>
      <c r="AB367" s="75"/>
      <c r="AC367" s="75"/>
      <c r="AD367" s="75"/>
      <c r="AE367" s="592"/>
      <c r="AF367" s="347"/>
      <c r="AG367" s="75">
        <v>0</v>
      </c>
      <c r="AH367" s="370">
        <v>0</v>
      </c>
      <c r="AI367" s="75"/>
      <c r="AJ367" s="75"/>
      <c r="AK367" s="75"/>
      <c r="AL367" s="75"/>
      <c r="AM367" s="75"/>
      <c r="AN367" s="64" t="s">
        <v>39</v>
      </c>
      <c r="AO367" s="64"/>
      <c r="AP367" s="64"/>
      <c r="AQ367" s="189"/>
      <c r="AR367" s="64"/>
      <c r="AS367" s="476"/>
      <c r="AT367" s="64"/>
      <c r="AU367" s="646"/>
      <c r="AV367" s="185"/>
    </row>
    <row r="368" spans="1:48" ht="30" outlineLevel="4" x14ac:dyDescent="0.25">
      <c r="A368" s="63" t="str">
        <f t="shared" si="65"/>
        <v>1.3.1.9.10.58</v>
      </c>
      <c r="B368" s="64">
        <v>1</v>
      </c>
      <c r="C368" s="64">
        <v>3</v>
      </c>
      <c r="D368" s="64">
        <v>1</v>
      </c>
      <c r="E368" s="64">
        <v>9</v>
      </c>
      <c r="F368" s="64">
        <v>10</v>
      </c>
      <c r="G368" s="64">
        <v>58</v>
      </c>
      <c r="H368" s="65"/>
      <c r="I368" s="65"/>
      <c r="J368" s="66"/>
      <c r="K368" s="86" t="s">
        <v>1840</v>
      </c>
      <c r="L368" s="64" t="s">
        <v>72</v>
      </c>
      <c r="M368" s="64" t="s">
        <v>422</v>
      </c>
      <c r="N368" s="64" t="s">
        <v>423</v>
      </c>
      <c r="O368" s="64" t="s">
        <v>246</v>
      </c>
      <c r="P368" s="69">
        <v>44200</v>
      </c>
      <c r="Q368" s="69">
        <v>44561</v>
      </c>
      <c r="R368" s="124"/>
      <c r="S368" s="123"/>
      <c r="T368" s="124"/>
      <c r="U368" s="75"/>
      <c r="V368" s="674">
        <f t="shared" si="64"/>
        <v>0</v>
      </c>
      <c r="W368" s="75"/>
      <c r="X368" s="75"/>
      <c r="Y368" s="75"/>
      <c r="Z368" s="75"/>
      <c r="AA368" s="75"/>
      <c r="AB368" s="75"/>
      <c r="AC368" s="75"/>
      <c r="AD368" s="75"/>
      <c r="AE368" s="592"/>
      <c r="AF368" s="347"/>
      <c r="AG368" s="75">
        <v>0</v>
      </c>
      <c r="AH368" s="370">
        <v>0</v>
      </c>
      <c r="AI368" s="75"/>
      <c r="AJ368" s="75"/>
      <c r="AK368" s="75"/>
      <c r="AL368" s="75"/>
      <c r="AM368" s="75"/>
      <c r="AN368" s="64" t="s">
        <v>181</v>
      </c>
      <c r="AO368" s="64"/>
      <c r="AP368" s="64"/>
      <c r="AQ368" s="189"/>
      <c r="AR368" s="64"/>
      <c r="AS368" s="476"/>
      <c r="AT368" s="64"/>
      <c r="AU368" s="646"/>
      <c r="AV368" s="185"/>
    </row>
    <row r="369" spans="1:49" outlineLevel="4" x14ac:dyDescent="0.25">
      <c r="A369" s="63" t="str">
        <f t="shared" si="65"/>
        <v>1.3.1.9.10.59</v>
      </c>
      <c r="B369" s="64">
        <v>1</v>
      </c>
      <c r="C369" s="64">
        <v>3</v>
      </c>
      <c r="D369" s="64">
        <v>1</v>
      </c>
      <c r="E369" s="64">
        <v>9</v>
      </c>
      <c r="F369" s="64">
        <v>10</v>
      </c>
      <c r="G369" s="64">
        <v>59</v>
      </c>
      <c r="H369" s="65"/>
      <c r="I369" s="65"/>
      <c r="J369" s="66"/>
      <c r="K369" s="125" t="s">
        <v>1841</v>
      </c>
      <c r="L369" s="64"/>
      <c r="M369" s="64"/>
      <c r="N369" s="64"/>
      <c r="O369" s="64"/>
      <c r="P369" s="69">
        <v>44200</v>
      </c>
      <c r="Q369" s="69">
        <v>44561</v>
      </c>
      <c r="R369" s="124"/>
      <c r="S369" s="123"/>
      <c r="T369" s="124"/>
      <c r="U369" s="75"/>
      <c r="V369" s="674">
        <f t="shared" si="64"/>
        <v>0</v>
      </c>
      <c r="W369" s="75"/>
      <c r="X369" s="75"/>
      <c r="Y369" s="75"/>
      <c r="Z369" s="75"/>
      <c r="AA369" s="75"/>
      <c r="AB369" s="75"/>
      <c r="AC369" s="75"/>
      <c r="AD369" s="75"/>
      <c r="AE369" s="592"/>
      <c r="AF369" s="347"/>
      <c r="AG369" s="75">
        <v>0</v>
      </c>
      <c r="AH369" s="370">
        <v>0</v>
      </c>
      <c r="AI369" s="75"/>
      <c r="AJ369" s="75"/>
      <c r="AK369" s="75"/>
      <c r="AL369" s="75"/>
      <c r="AM369" s="75"/>
      <c r="AN369" s="64" t="s">
        <v>181</v>
      </c>
      <c r="AO369" s="64"/>
      <c r="AP369" s="64"/>
      <c r="AQ369" s="189"/>
      <c r="AR369" s="64"/>
      <c r="AS369" s="476"/>
      <c r="AT369" s="64"/>
      <c r="AU369" s="646"/>
      <c r="AV369" s="185"/>
    </row>
    <row r="370" spans="1:49" outlineLevel="4" x14ac:dyDescent="0.25">
      <c r="A370" s="63" t="str">
        <f t="shared" si="65"/>
        <v>1.3.1.9.10.60</v>
      </c>
      <c r="B370" s="64">
        <v>1</v>
      </c>
      <c r="C370" s="64">
        <v>3</v>
      </c>
      <c r="D370" s="64">
        <v>1</v>
      </c>
      <c r="E370" s="64">
        <v>9</v>
      </c>
      <c r="F370" s="64">
        <v>10</v>
      </c>
      <c r="G370" s="64">
        <v>60</v>
      </c>
      <c r="H370" s="65"/>
      <c r="I370" s="65"/>
      <c r="J370" s="66"/>
      <c r="K370" s="125" t="s">
        <v>1842</v>
      </c>
      <c r="L370" s="64"/>
      <c r="M370" s="64"/>
      <c r="N370" s="64"/>
      <c r="O370" s="64"/>
      <c r="P370" s="69">
        <v>44200</v>
      </c>
      <c r="Q370" s="69">
        <v>44561</v>
      </c>
      <c r="R370" s="124"/>
      <c r="S370" s="123"/>
      <c r="T370" s="124"/>
      <c r="U370" s="75"/>
      <c r="V370" s="674">
        <f t="shared" ref="V370:V433" si="80">+AJ370</f>
        <v>0</v>
      </c>
      <c r="W370" s="75"/>
      <c r="X370" s="75"/>
      <c r="Y370" s="75"/>
      <c r="Z370" s="75"/>
      <c r="AA370" s="75"/>
      <c r="AB370" s="75"/>
      <c r="AC370" s="75"/>
      <c r="AD370" s="75"/>
      <c r="AE370" s="592"/>
      <c r="AF370" s="347"/>
      <c r="AG370" s="75">
        <v>0</v>
      </c>
      <c r="AH370" s="370">
        <v>0</v>
      </c>
      <c r="AI370" s="75"/>
      <c r="AJ370" s="75"/>
      <c r="AK370" s="75"/>
      <c r="AL370" s="75"/>
      <c r="AM370" s="75"/>
      <c r="AN370" s="64" t="s">
        <v>181</v>
      </c>
      <c r="AO370" s="64"/>
      <c r="AP370" s="64"/>
      <c r="AQ370" s="189"/>
      <c r="AR370" s="64"/>
      <c r="AS370" s="476"/>
      <c r="AT370" s="64"/>
      <c r="AU370" s="646"/>
      <c r="AV370" s="185"/>
    </row>
    <row r="371" spans="1:49" outlineLevel="4" x14ac:dyDescent="0.25">
      <c r="A371" s="63" t="str">
        <f t="shared" si="65"/>
        <v>1.3.1.9.10.61</v>
      </c>
      <c r="B371" s="64">
        <v>1</v>
      </c>
      <c r="C371" s="64">
        <v>3</v>
      </c>
      <c r="D371" s="64">
        <v>1</v>
      </c>
      <c r="E371" s="64">
        <v>9</v>
      </c>
      <c r="F371" s="64">
        <v>10</v>
      </c>
      <c r="G371" s="64">
        <v>61</v>
      </c>
      <c r="H371" s="65"/>
      <c r="I371" s="65"/>
      <c r="J371" s="66"/>
      <c r="K371" s="125" t="s">
        <v>1843</v>
      </c>
      <c r="L371" s="64"/>
      <c r="M371" s="64"/>
      <c r="N371" s="64"/>
      <c r="O371" s="64"/>
      <c r="P371" s="69">
        <v>44200</v>
      </c>
      <c r="Q371" s="69">
        <v>44561</v>
      </c>
      <c r="R371" s="124"/>
      <c r="S371" s="123"/>
      <c r="T371" s="124"/>
      <c r="U371" s="75"/>
      <c r="V371" s="674">
        <f t="shared" si="80"/>
        <v>0</v>
      </c>
      <c r="W371" s="75"/>
      <c r="X371" s="75"/>
      <c r="Y371" s="75"/>
      <c r="Z371" s="75"/>
      <c r="AA371" s="75"/>
      <c r="AB371" s="75"/>
      <c r="AC371" s="75"/>
      <c r="AD371" s="75"/>
      <c r="AE371" s="592"/>
      <c r="AF371" s="347"/>
      <c r="AG371" s="75">
        <v>0</v>
      </c>
      <c r="AH371" s="370">
        <v>0</v>
      </c>
      <c r="AI371" s="75"/>
      <c r="AJ371" s="75"/>
      <c r="AK371" s="75"/>
      <c r="AL371" s="75"/>
      <c r="AM371" s="75"/>
      <c r="AN371" s="64" t="s">
        <v>181</v>
      </c>
      <c r="AO371" s="64"/>
      <c r="AP371" s="64"/>
      <c r="AQ371" s="189"/>
      <c r="AR371" s="64"/>
      <c r="AS371" s="476"/>
      <c r="AT371" s="64"/>
      <c r="AU371" s="646"/>
      <c r="AV371" s="185"/>
    </row>
    <row r="372" spans="1:49" outlineLevel="4" x14ac:dyDescent="0.25">
      <c r="A372" s="63" t="str">
        <f t="shared" si="65"/>
        <v>1.3.1.9.10.62</v>
      </c>
      <c r="B372" s="64">
        <v>1</v>
      </c>
      <c r="C372" s="64">
        <v>3</v>
      </c>
      <c r="D372" s="64">
        <v>1</v>
      </c>
      <c r="E372" s="64">
        <v>9</v>
      </c>
      <c r="F372" s="64">
        <v>10</v>
      </c>
      <c r="G372" s="64">
        <v>62</v>
      </c>
      <c r="H372" s="65"/>
      <c r="I372" s="65"/>
      <c r="J372" s="66"/>
      <c r="K372" s="125" t="s">
        <v>1844</v>
      </c>
      <c r="L372" s="64"/>
      <c r="M372" s="64"/>
      <c r="N372" s="64"/>
      <c r="O372" s="64"/>
      <c r="P372" s="69">
        <v>44200</v>
      </c>
      <c r="Q372" s="69">
        <v>44561</v>
      </c>
      <c r="R372" s="124"/>
      <c r="S372" s="123"/>
      <c r="T372" s="124"/>
      <c r="U372" s="75"/>
      <c r="V372" s="674">
        <f t="shared" si="80"/>
        <v>0</v>
      </c>
      <c r="W372" s="75"/>
      <c r="X372" s="75"/>
      <c r="Y372" s="75"/>
      <c r="Z372" s="75"/>
      <c r="AA372" s="75"/>
      <c r="AB372" s="75"/>
      <c r="AC372" s="75"/>
      <c r="AD372" s="75"/>
      <c r="AE372" s="592"/>
      <c r="AF372" s="347"/>
      <c r="AG372" s="75">
        <v>0</v>
      </c>
      <c r="AH372" s="370">
        <v>0</v>
      </c>
      <c r="AI372" s="75"/>
      <c r="AJ372" s="75"/>
      <c r="AK372" s="75"/>
      <c r="AL372" s="75"/>
      <c r="AM372" s="75"/>
      <c r="AN372" s="64" t="s">
        <v>181</v>
      </c>
      <c r="AO372" s="64"/>
      <c r="AP372" s="64"/>
      <c r="AQ372" s="189"/>
      <c r="AR372" s="64"/>
      <c r="AS372" s="476"/>
      <c r="AT372" s="64"/>
      <c r="AU372" s="646"/>
      <c r="AV372" s="185"/>
    </row>
    <row r="373" spans="1:49" outlineLevel="4" x14ac:dyDescent="0.25">
      <c r="A373" s="63" t="str">
        <f t="shared" si="65"/>
        <v>1.3.1.9.10.63</v>
      </c>
      <c r="B373" s="64">
        <v>1</v>
      </c>
      <c r="C373" s="64">
        <v>3</v>
      </c>
      <c r="D373" s="64">
        <v>1</v>
      </c>
      <c r="E373" s="64">
        <v>9</v>
      </c>
      <c r="F373" s="64">
        <v>10</v>
      </c>
      <c r="G373" s="64">
        <v>63</v>
      </c>
      <c r="H373" s="65"/>
      <c r="I373" s="65"/>
      <c r="J373" s="66"/>
      <c r="K373" s="125" t="s">
        <v>1845</v>
      </c>
      <c r="L373" s="64" t="s">
        <v>72</v>
      </c>
      <c r="M373" s="64" t="s">
        <v>424</v>
      </c>
      <c r="N373" s="64" t="s">
        <v>360</v>
      </c>
      <c r="O373" s="64" t="s">
        <v>425</v>
      </c>
      <c r="P373" s="69">
        <v>44197</v>
      </c>
      <c r="Q373" s="69">
        <v>44561</v>
      </c>
      <c r="R373" s="124"/>
      <c r="S373" s="123"/>
      <c r="T373" s="124"/>
      <c r="U373" s="75"/>
      <c r="V373" s="674">
        <f t="shared" si="80"/>
        <v>0</v>
      </c>
      <c r="W373" s="75"/>
      <c r="X373" s="75"/>
      <c r="Y373" s="75"/>
      <c r="Z373" s="75"/>
      <c r="AA373" s="75"/>
      <c r="AB373" s="75"/>
      <c r="AC373" s="75"/>
      <c r="AD373" s="75"/>
      <c r="AE373" s="592"/>
      <c r="AF373" s="347" t="s">
        <v>426</v>
      </c>
      <c r="AG373" s="75">
        <v>0</v>
      </c>
      <c r="AH373" s="370">
        <v>0</v>
      </c>
      <c r="AI373" s="75"/>
      <c r="AJ373" s="75"/>
      <c r="AK373" s="75"/>
      <c r="AL373" s="75"/>
      <c r="AM373" s="75"/>
      <c r="AN373" s="64" t="s">
        <v>181</v>
      </c>
      <c r="AO373" s="64"/>
      <c r="AP373" s="64"/>
      <c r="AQ373" s="189"/>
      <c r="AR373" s="64"/>
      <c r="AS373" s="476"/>
      <c r="AT373" s="64"/>
      <c r="AU373" s="646"/>
      <c r="AV373" s="335"/>
    </row>
    <row r="374" spans="1:49" outlineLevel="4" x14ac:dyDescent="0.25">
      <c r="A374" s="63" t="str">
        <f t="shared" si="65"/>
        <v>1.3.1.9.10.64</v>
      </c>
      <c r="B374" s="64">
        <v>1</v>
      </c>
      <c r="C374" s="64">
        <v>3</v>
      </c>
      <c r="D374" s="64">
        <v>1</v>
      </c>
      <c r="E374" s="64">
        <v>9</v>
      </c>
      <c r="F374" s="64">
        <v>10</v>
      </c>
      <c r="G374" s="64">
        <v>64</v>
      </c>
      <c r="H374" s="65"/>
      <c r="I374" s="65"/>
      <c r="J374" s="66"/>
      <c r="K374" s="125" t="s">
        <v>1846</v>
      </c>
      <c r="L374" s="64"/>
      <c r="M374" s="64"/>
      <c r="N374" s="64"/>
      <c r="O374" s="64"/>
      <c r="P374" s="64"/>
      <c r="Q374" s="64"/>
      <c r="R374" s="124"/>
      <c r="S374" s="123"/>
      <c r="T374" s="124"/>
      <c r="U374" s="75"/>
      <c r="V374" s="674">
        <f t="shared" si="80"/>
        <v>0</v>
      </c>
      <c r="W374" s="75"/>
      <c r="X374" s="75"/>
      <c r="Y374" s="75"/>
      <c r="Z374" s="75"/>
      <c r="AA374" s="75"/>
      <c r="AB374" s="75"/>
      <c r="AC374" s="75"/>
      <c r="AD374" s="75"/>
      <c r="AE374" s="592"/>
      <c r="AF374" s="347"/>
      <c r="AG374" s="75">
        <v>0</v>
      </c>
      <c r="AH374" s="370">
        <v>0</v>
      </c>
      <c r="AI374" s="75"/>
      <c r="AJ374" s="75"/>
      <c r="AK374" s="75"/>
      <c r="AL374" s="75"/>
      <c r="AM374" s="75"/>
      <c r="AN374" s="64" t="s">
        <v>181</v>
      </c>
      <c r="AO374" s="64"/>
      <c r="AP374" s="64"/>
      <c r="AQ374" s="189"/>
      <c r="AR374" s="64"/>
      <c r="AS374" s="476"/>
      <c r="AT374" s="64"/>
      <c r="AU374" s="646"/>
      <c r="AV374" s="185"/>
    </row>
    <row r="375" spans="1:49" ht="30" outlineLevel="4" x14ac:dyDescent="0.25">
      <c r="A375" s="63" t="str">
        <f t="shared" si="65"/>
        <v>1.3.1.9.11.58</v>
      </c>
      <c r="B375" s="64">
        <v>1</v>
      </c>
      <c r="C375" s="64">
        <v>3</v>
      </c>
      <c r="D375" s="64">
        <v>1</v>
      </c>
      <c r="E375" s="64">
        <v>9</v>
      </c>
      <c r="F375" s="64">
        <v>11</v>
      </c>
      <c r="G375" s="100">
        <v>58</v>
      </c>
      <c r="H375" s="65"/>
      <c r="I375" s="65"/>
      <c r="J375" s="66"/>
      <c r="K375" s="67" t="s">
        <v>427</v>
      </c>
      <c r="L375" s="64" t="s">
        <v>72</v>
      </c>
      <c r="M375" s="64" t="s">
        <v>73</v>
      </c>
      <c r="N375" s="64" t="s">
        <v>74</v>
      </c>
      <c r="O375" s="64" t="s">
        <v>367</v>
      </c>
      <c r="P375" s="69" t="s">
        <v>428</v>
      </c>
      <c r="Q375" s="69">
        <v>44526</v>
      </c>
      <c r="R375" s="124" t="s">
        <v>429</v>
      </c>
      <c r="S375" s="123" t="s">
        <v>248</v>
      </c>
      <c r="T375" s="124">
        <v>0</v>
      </c>
      <c r="U375" s="75">
        <v>1000000</v>
      </c>
      <c r="V375" s="674">
        <f t="shared" si="80"/>
        <v>0</v>
      </c>
      <c r="W375" s="75">
        <v>2500</v>
      </c>
      <c r="X375" s="75">
        <v>16142857.140000001</v>
      </c>
      <c r="Y375" s="75"/>
      <c r="Z375" s="75">
        <v>1000</v>
      </c>
      <c r="AA375" s="75">
        <v>16142857</v>
      </c>
      <c r="AB375" s="75"/>
      <c r="AC375" s="75">
        <v>1500</v>
      </c>
      <c r="AD375" s="75">
        <f>+U375-1000000</f>
        <v>0</v>
      </c>
      <c r="AE375" s="592"/>
      <c r="AF375" s="347" t="e">
        <f>+(R375*252)*1.15</f>
        <v>#VALUE!</v>
      </c>
      <c r="AG375" s="75">
        <v>14038808.720000001</v>
      </c>
      <c r="AH375" s="370">
        <v>33285714.289999999</v>
      </c>
      <c r="AI375" s="75"/>
      <c r="AJ375" s="75"/>
      <c r="AK375" s="75"/>
      <c r="AL375" s="75"/>
      <c r="AM375" s="75"/>
      <c r="AN375" s="64" t="s">
        <v>39</v>
      </c>
      <c r="AO375" s="165"/>
      <c r="AP375" s="165"/>
      <c r="AQ375" s="413"/>
      <c r="AR375" s="64"/>
      <c r="AS375" s="475"/>
      <c r="AT375" s="64"/>
      <c r="AU375" s="646"/>
      <c r="AV375" s="1268" t="s">
        <v>1998</v>
      </c>
    </row>
    <row r="376" spans="1:49" ht="30" outlineLevel="4" x14ac:dyDescent="0.25">
      <c r="A376" s="63" t="str">
        <f t="shared" si="65"/>
        <v>1.3.1.9.11.59</v>
      </c>
      <c r="B376" s="64">
        <v>1</v>
      </c>
      <c r="C376" s="64">
        <v>3</v>
      </c>
      <c r="D376" s="64">
        <v>1</v>
      </c>
      <c r="E376" s="64">
        <v>9</v>
      </c>
      <c r="F376" s="64">
        <v>11</v>
      </c>
      <c r="G376" s="100">
        <v>59</v>
      </c>
      <c r="H376" s="65"/>
      <c r="I376" s="65"/>
      <c r="J376" s="66"/>
      <c r="K376" s="67" t="s">
        <v>430</v>
      </c>
      <c r="L376" s="64"/>
      <c r="M376" s="64"/>
      <c r="N376" s="64"/>
      <c r="O376" s="64"/>
      <c r="P376" s="69">
        <v>44287</v>
      </c>
      <c r="Q376" s="69">
        <v>44526</v>
      </c>
      <c r="R376" s="124" t="s">
        <v>429</v>
      </c>
      <c r="S376" s="123" t="s">
        <v>248</v>
      </c>
      <c r="T376" s="124">
        <v>0</v>
      </c>
      <c r="U376" s="157">
        <v>1000000</v>
      </c>
      <c r="V376" s="702">
        <f t="shared" si="80"/>
        <v>352000</v>
      </c>
      <c r="W376" s="75">
        <v>3579</v>
      </c>
      <c r="X376" s="75">
        <v>16142857.140000001</v>
      </c>
      <c r="Y376" s="75"/>
      <c r="Z376" s="75">
        <v>16142857</v>
      </c>
      <c r="AA376" s="75">
        <v>16142857</v>
      </c>
      <c r="AB376" s="75"/>
      <c r="AC376" s="75">
        <v>3580</v>
      </c>
      <c r="AD376" s="75">
        <f>+U376-1000000</f>
        <v>0</v>
      </c>
      <c r="AE376" s="592"/>
      <c r="AF376" s="347" t="e">
        <f>+R376*252*1.1</f>
        <v>#VALUE!</v>
      </c>
      <c r="AG376" s="75">
        <v>13358620.960000001</v>
      </c>
      <c r="AH376" s="370">
        <v>33285714.289999999</v>
      </c>
      <c r="AI376" s="75"/>
      <c r="AJ376" s="75">
        <f>48000+304000</f>
        <v>352000</v>
      </c>
      <c r="AK376" s="75"/>
      <c r="AL376" s="75"/>
      <c r="AM376" s="75"/>
      <c r="AN376" s="64" t="s">
        <v>39</v>
      </c>
      <c r="AO376" s="165"/>
      <c r="AP376" s="165"/>
      <c r="AQ376" s="413"/>
      <c r="AR376" s="64"/>
      <c r="AS376" s="475"/>
      <c r="AT376" s="64"/>
      <c r="AU376" s="646" t="s">
        <v>1996</v>
      </c>
      <c r="AV376" s="1268"/>
      <c r="AW376" s="2" t="s">
        <v>431</v>
      </c>
    </row>
    <row r="377" spans="1:49" ht="30" outlineLevel="4" x14ac:dyDescent="0.25">
      <c r="A377" s="63" t="str">
        <f t="shared" si="65"/>
        <v>1.3.1.9.11.60</v>
      </c>
      <c r="B377" s="64">
        <v>1</v>
      </c>
      <c r="C377" s="64">
        <v>3</v>
      </c>
      <c r="D377" s="64">
        <v>1</v>
      </c>
      <c r="E377" s="64">
        <v>9</v>
      </c>
      <c r="F377" s="64">
        <v>11</v>
      </c>
      <c r="G377" s="100">
        <v>60</v>
      </c>
      <c r="H377" s="65"/>
      <c r="I377" s="65"/>
      <c r="J377" s="66"/>
      <c r="K377" s="67" t="s">
        <v>432</v>
      </c>
      <c r="L377" s="64"/>
      <c r="M377" s="64"/>
      <c r="N377" s="64"/>
      <c r="O377" s="64"/>
      <c r="P377" s="69">
        <v>44287</v>
      </c>
      <c r="Q377" s="69">
        <v>44512</v>
      </c>
      <c r="R377" s="124" t="s">
        <v>429</v>
      </c>
      <c r="S377" s="123" t="s">
        <v>248</v>
      </c>
      <c r="T377" s="124">
        <v>5000</v>
      </c>
      <c r="U377" s="157">
        <f t="shared" ref="U377" si="81">+AH377*0.3</f>
        <v>9985714.2780000009</v>
      </c>
      <c r="V377" s="702">
        <f t="shared" si="80"/>
        <v>2152332</v>
      </c>
      <c r="W377" s="75"/>
      <c r="X377" s="75">
        <v>11650000.140000001</v>
      </c>
      <c r="Y377" s="75"/>
      <c r="Z377" s="75"/>
      <c r="AA377" s="75">
        <v>11650000.140000001</v>
      </c>
      <c r="AB377" s="75"/>
      <c r="AC377" s="75"/>
      <c r="AD377" s="75">
        <v>0</v>
      </c>
      <c r="AE377" s="592"/>
      <c r="AF377" s="347" t="e">
        <f>+R377*210*(1.5)</f>
        <v>#VALUE!</v>
      </c>
      <c r="AG377" s="75">
        <v>15637408.84</v>
      </c>
      <c r="AH377" s="370">
        <v>33285714.260000002</v>
      </c>
      <c r="AI377" s="75"/>
      <c r="AJ377" s="75">
        <f>1214673.6+937658.4</f>
        <v>2152332</v>
      </c>
      <c r="AK377" s="75"/>
      <c r="AL377" s="75"/>
      <c r="AM377" s="75"/>
      <c r="AN377" s="64" t="s">
        <v>39</v>
      </c>
      <c r="AO377" s="165"/>
      <c r="AP377" s="165"/>
      <c r="AQ377" s="413"/>
      <c r="AR377" s="64"/>
      <c r="AS377" s="475"/>
      <c r="AT377" s="64"/>
      <c r="AU377" s="646" t="s">
        <v>1997</v>
      </c>
      <c r="AV377" s="1268"/>
      <c r="AW377" s="2" t="s">
        <v>433</v>
      </c>
    </row>
    <row r="378" spans="1:49" ht="30" outlineLevel="4" x14ac:dyDescent="0.25">
      <c r="A378" s="63" t="str">
        <f>CONCATENATE(B378,".",C378,".",D378,".",E378,".",F378,".",G378)</f>
        <v>1.3.1.9.11.61</v>
      </c>
      <c r="B378" s="64">
        <v>1</v>
      </c>
      <c r="C378" s="64">
        <v>3</v>
      </c>
      <c r="D378" s="64">
        <v>1</v>
      </c>
      <c r="E378" s="64">
        <v>9</v>
      </c>
      <c r="F378" s="64">
        <v>11</v>
      </c>
      <c r="G378" s="100">
        <v>61</v>
      </c>
      <c r="H378" s="65"/>
      <c r="I378" s="65"/>
      <c r="J378" s="66"/>
      <c r="K378" s="67" t="s">
        <v>434</v>
      </c>
      <c r="L378" s="64"/>
      <c r="M378" s="64"/>
      <c r="N378" s="64"/>
      <c r="O378" s="64"/>
      <c r="P378" s="69">
        <v>44287</v>
      </c>
      <c r="Q378" s="69">
        <v>44512</v>
      </c>
      <c r="R378" s="124" t="s">
        <v>1920</v>
      </c>
      <c r="S378" s="123" t="s">
        <v>248</v>
      </c>
      <c r="T378" s="124">
        <v>0</v>
      </c>
      <c r="U378" s="157">
        <v>1000000</v>
      </c>
      <c r="V378" s="702">
        <f t="shared" si="80"/>
        <v>2234860</v>
      </c>
      <c r="W378" s="75">
        <v>5000</v>
      </c>
      <c r="X378" s="75">
        <v>16142857.140000001</v>
      </c>
      <c r="Y378" s="75"/>
      <c r="Z378" s="75">
        <v>5000</v>
      </c>
      <c r="AA378" s="75">
        <v>16142857</v>
      </c>
      <c r="AB378" s="75"/>
      <c r="AC378" s="75">
        <v>0</v>
      </c>
      <c r="AD378" s="75">
        <f t="shared" ref="AD378:AD381" si="82">+U378-1000000</f>
        <v>0</v>
      </c>
      <c r="AE378" s="592"/>
      <c r="AF378" s="347" t="e">
        <f>+R378*252*1.1</f>
        <v>#VALUE!</v>
      </c>
      <c r="AG378" s="75">
        <v>15637408.84</v>
      </c>
      <c r="AH378" s="370">
        <v>33285714.289999999</v>
      </c>
      <c r="AI378" s="75"/>
      <c r="AJ378" s="75">
        <f>1816540+418320</f>
        <v>2234860</v>
      </c>
      <c r="AK378" s="75"/>
      <c r="AL378" s="75"/>
      <c r="AM378" s="75"/>
      <c r="AN378" s="64" t="s">
        <v>39</v>
      </c>
      <c r="AO378" s="165"/>
      <c r="AP378" s="165"/>
      <c r="AQ378" s="413"/>
      <c r="AR378" s="64"/>
      <c r="AS378" s="475"/>
      <c r="AT378" s="64"/>
      <c r="AU378" s="646" t="s">
        <v>1947</v>
      </c>
      <c r="AV378" s="1268"/>
      <c r="AW378" s="2" t="s">
        <v>435</v>
      </c>
    </row>
    <row r="379" spans="1:49" ht="30" outlineLevel="4" x14ac:dyDescent="0.25">
      <c r="A379" s="63" t="str">
        <f t="shared" si="65"/>
        <v>1.3.1.9.11.62</v>
      </c>
      <c r="B379" s="64">
        <v>1</v>
      </c>
      <c r="C379" s="64">
        <v>3</v>
      </c>
      <c r="D379" s="64">
        <v>1</v>
      </c>
      <c r="E379" s="64">
        <v>9</v>
      </c>
      <c r="F379" s="64">
        <v>11</v>
      </c>
      <c r="G379" s="100">
        <v>62</v>
      </c>
      <c r="H379" s="65"/>
      <c r="I379" s="65"/>
      <c r="J379" s="66"/>
      <c r="K379" s="67" t="s">
        <v>1730</v>
      </c>
      <c r="L379" s="64"/>
      <c r="M379" s="64"/>
      <c r="N379" s="64"/>
      <c r="O379" s="64"/>
      <c r="P379" s="69">
        <v>44287</v>
      </c>
      <c r="Q379" s="69">
        <v>44512</v>
      </c>
      <c r="R379" s="124" t="s">
        <v>429</v>
      </c>
      <c r="S379" s="123" t="s">
        <v>248</v>
      </c>
      <c r="T379" s="124">
        <v>0</v>
      </c>
      <c r="U379" s="157">
        <v>1000000</v>
      </c>
      <c r="V379" s="702">
        <f t="shared" si="80"/>
        <v>2677300</v>
      </c>
      <c r="W379" s="75">
        <v>3240</v>
      </c>
      <c r="X379" s="75">
        <v>16142857.140000001</v>
      </c>
      <c r="Y379" s="75"/>
      <c r="Z379" s="75">
        <v>2931</v>
      </c>
      <c r="AA379" s="75">
        <v>16142857</v>
      </c>
      <c r="AB379" s="75"/>
      <c r="AC379" s="75">
        <v>2930</v>
      </c>
      <c r="AD379" s="75">
        <f t="shared" si="82"/>
        <v>0</v>
      </c>
      <c r="AE379" s="592"/>
      <c r="AF379" s="347" t="e">
        <f>+R379*252*1.1</f>
        <v>#VALUE!</v>
      </c>
      <c r="AG379" s="75">
        <v>15637408.84</v>
      </c>
      <c r="AH379" s="370">
        <v>33285714.289999999</v>
      </c>
      <c r="AI379" s="75"/>
      <c r="AJ379" s="75">
        <f>1360800+480000+836500</f>
        <v>2677300</v>
      </c>
      <c r="AK379" s="75"/>
      <c r="AL379" s="75"/>
      <c r="AM379" s="75"/>
      <c r="AN379" s="64" t="s">
        <v>39</v>
      </c>
      <c r="AO379" s="165"/>
      <c r="AP379" s="165"/>
      <c r="AQ379" s="413"/>
      <c r="AR379" s="64"/>
      <c r="AS379" s="475"/>
      <c r="AT379" s="64"/>
      <c r="AU379" s="646" t="s">
        <v>1995</v>
      </c>
      <c r="AV379" s="1268"/>
    </row>
    <row r="380" spans="1:49" ht="30" outlineLevel="4" x14ac:dyDescent="0.25">
      <c r="A380" s="63" t="str">
        <f t="shared" si="65"/>
        <v>1.3.1.9.11.63</v>
      </c>
      <c r="B380" s="64">
        <v>1</v>
      </c>
      <c r="C380" s="64">
        <v>3</v>
      </c>
      <c r="D380" s="64">
        <v>1</v>
      </c>
      <c r="E380" s="64">
        <v>9</v>
      </c>
      <c r="F380" s="64">
        <v>11</v>
      </c>
      <c r="G380" s="100">
        <v>63</v>
      </c>
      <c r="H380" s="65"/>
      <c r="I380" s="65"/>
      <c r="J380" s="66"/>
      <c r="K380" s="67" t="s">
        <v>436</v>
      </c>
      <c r="L380" s="64" t="s">
        <v>72</v>
      </c>
      <c r="M380" s="64" t="s">
        <v>437</v>
      </c>
      <c r="N380" s="64" t="s">
        <v>226</v>
      </c>
      <c r="O380" s="64" t="s">
        <v>236</v>
      </c>
      <c r="P380" s="69">
        <v>44287</v>
      </c>
      <c r="Q380" s="69">
        <v>44526</v>
      </c>
      <c r="R380" s="124" t="s">
        <v>429</v>
      </c>
      <c r="S380" s="123" t="s">
        <v>248</v>
      </c>
      <c r="T380" s="124">
        <v>0</v>
      </c>
      <c r="U380" s="157">
        <v>1000000</v>
      </c>
      <c r="V380" s="674">
        <f t="shared" si="80"/>
        <v>0</v>
      </c>
      <c r="W380" s="75">
        <v>3701</v>
      </c>
      <c r="X380" s="75">
        <v>16142857.140000001</v>
      </c>
      <c r="Y380" s="75"/>
      <c r="Z380" s="75">
        <v>0</v>
      </c>
      <c r="AA380" s="75">
        <v>16142857</v>
      </c>
      <c r="AB380" s="75"/>
      <c r="AC380" s="75">
        <v>0</v>
      </c>
      <c r="AD380" s="75">
        <f t="shared" si="82"/>
        <v>0</v>
      </c>
      <c r="AE380" s="592"/>
      <c r="AF380" s="347" t="e">
        <f>R380*252*1.1</f>
        <v>#VALUE!</v>
      </c>
      <c r="AG380" s="75">
        <v>15637408.84</v>
      </c>
      <c r="AH380" s="370">
        <v>33285714.289999999</v>
      </c>
      <c r="AI380" s="75"/>
      <c r="AJ380" s="75"/>
      <c r="AK380" s="75"/>
      <c r="AL380" s="75"/>
      <c r="AM380" s="75"/>
      <c r="AN380" s="64" t="s">
        <v>39</v>
      </c>
      <c r="AO380" s="165"/>
      <c r="AP380" s="165"/>
      <c r="AQ380" s="413"/>
      <c r="AR380" s="64"/>
      <c r="AS380" s="475"/>
      <c r="AT380" s="64"/>
      <c r="AU380" s="646"/>
      <c r="AV380" s="1268"/>
    </row>
    <row r="381" spans="1:49" ht="29.1" customHeight="1" outlineLevel="4" x14ac:dyDescent="0.25">
      <c r="A381" s="63" t="str">
        <f t="shared" si="65"/>
        <v>1.3.1.9.11.64</v>
      </c>
      <c r="B381" s="64">
        <v>1</v>
      </c>
      <c r="C381" s="64">
        <v>3</v>
      </c>
      <c r="D381" s="64">
        <v>1</v>
      </c>
      <c r="E381" s="64">
        <v>9</v>
      </c>
      <c r="F381" s="64">
        <v>11</v>
      </c>
      <c r="G381" s="100">
        <v>64</v>
      </c>
      <c r="H381" s="65"/>
      <c r="I381" s="65"/>
      <c r="J381" s="66"/>
      <c r="K381" s="67" t="s">
        <v>438</v>
      </c>
      <c r="L381" s="64"/>
      <c r="M381" s="64"/>
      <c r="N381" s="64"/>
      <c r="O381" s="64"/>
      <c r="P381" s="69">
        <v>44287</v>
      </c>
      <c r="Q381" s="69">
        <v>44512</v>
      </c>
      <c r="R381" s="124" t="s">
        <v>429</v>
      </c>
      <c r="S381" s="123" t="s">
        <v>248</v>
      </c>
      <c r="T381" s="124">
        <v>0</v>
      </c>
      <c r="U381" s="157">
        <v>1000000</v>
      </c>
      <c r="V381" s="674">
        <f t="shared" si="80"/>
        <v>446880</v>
      </c>
      <c r="W381" s="75">
        <f>5149+23</f>
        <v>5172</v>
      </c>
      <c r="X381" s="75">
        <v>16142857.140000001</v>
      </c>
      <c r="Y381" s="75"/>
      <c r="Z381" s="75">
        <v>0</v>
      </c>
      <c r="AA381" s="75">
        <v>16142857</v>
      </c>
      <c r="AB381" s="75"/>
      <c r="AC381" s="75">
        <v>3089</v>
      </c>
      <c r="AD381" s="75">
        <f t="shared" si="82"/>
        <v>0</v>
      </c>
      <c r="AE381" s="592"/>
      <c r="AF381" s="347" t="e">
        <f>R381*252*1.1</f>
        <v>#VALUE!</v>
      </c>
      <c r="AG381" s="75">
        <v>15637408.84</v>
      </c>
      <c r="AH381" s="370">
        <v>33285714.289999999</v>
      </c>
      <c r="AI381" s="75"/>
      <c r="AJ381" s="75">
        <v>446880</v>
      </c>
      <c r="AK381" s="75"/>
      <c r="AL381" s="75"/>
      <c r="AM381" s="75"/>
      <c r="AN381" s="64" t="s">
        <v>39</v>
      </c>
      <c r="AO381" s="165"/>
      <c r="AP381" s="165"/>
      <c r="AQ381" s="413"/>
      <c r="AR381" s="64"/>
      <c r="AS381" s="475"/>
      <c r="AT381" s="64"/>
      <c r="AU381" s="646">
        <v>572</v>
      </c>
      <c r="AV381" s="1268"/>
    </row>
    <row r="382" spans="1:49" ht="30" outlineLevel="4" x14ac:dyDescent="0.25">
      <c r="A382" s="63" t="str">
        <f t="shared" si="65"/>
        <v>1.3.1.9.12.58</v>
      </c>
      <c r="B382" s="64">
        <v>1</v>
      </c>
      <c r="C382" s="64">
        <v>3</v>
      </c>
      <c r="D382" s="64">
        <v>1</v>
      </c>
      <c r="E382" s="64">
        <v>9</v>
      </c>
      <c r="F382" s="64">
        <v>12</v>
      </c>
      <c r="G382" s="64">
        <v>58</v>
      </c>
      <c r="H382" s="65"/>
      <c r="I382" s="65"/>
      <c r="J382" s="66"/>
      <c r="K382" s="67" t="s">
        <v>439</v>
      </c>
      <c r="L382" s="64" t="s">
        <v>72</v>
      </c>
      <c r="M382" s="64" t="s">
        <v>73</v>
      </c>
      <c r="N382" s="64" t="s">
        <v>74</v>
      </c>
      <c r="O382" s="64" t="s">
        <v>367</v>
      </c>
      <c r="P382" s="69"/>
      <c r="Q382" s="69"/>
      <c r="R382" s="124">
        <v>3</v>
      </c>
      <c r="S382" s="123"/>
      <c r="T382" s="124"/>
      <c r="U382" s="75"/>
      <c r="V382" s="674">
        <f t="shared" si="80"/>
        <v>0</v>
      </c>
      <c r="W382" s="75">
        <v>2</v>
      </c>
      <c r="X382" s="75"/>
      <c r="Y382" s="75"/>
      <c r="Z382" s="75"/>
      <c r="AA382" s="75"/>
      <c r="AB382" s="75"/>
      <c r="AC382" s="75">
        <v>1</v>
      </c>
      <c r="AD382" s="75"/>
      <c r="AE382" s="592"/>
      <c r="AF382" s="348" t="s">
        <v>440</v>
      </c>
      <c r="AG382" s="129">
        <v>0</v>
      </c>
      <c r="AH382" s="370">
        <v>0</v>
      </c>
      <c r="AI382" s="75"/>
      <c r="AJ382" s="75"/>
      <c r="AK382" s="75"/>
      <c r="AL382" s="75"/>
      <c r="AM382" s="75"/>
      <c r="AN382" s="64" t="s">
        <v>39</v>
      </c>
      <c r="AO382" s="64"/>
      <c r="AP382" s="64"/>
      <c r="AQ382" s="189"/>
      <c r="AR382" s="64"/>
      <c r="AS382" s="476"/>
      <c r="AT382" s="64"/>
      <c r="AU382" s="646"/>
      <c r="AV382" s="335" t="s">
        <v>127</v>
      </c>
    </row>
    <row r="383" spans="1:49" ht="30" outlineLevel="4" x14ac:dyDescent="0.25">
      <c r="A383" s="63" t="str">
        <f t="shared" si="65"/>
        <v>1.3.1.9.12.59</v>
      </c>
      <c r="B383" s="64">
        <v>1</v>
      </c>
      <c r="C383" s="64">
        <v>3</v>
      </c>
      <c r="D383" s="64">
        <v>1</v>
      </c>
      <c r="E383" s="64">
        <v>9</v>
      </c>
      <c r="F383" s="64">
        <v>12</v>
      </c>
      <c r="G383" s="64">
        <v>59</v>
      </c>
      <c r="H383" s="65"/>
      <c r="I383" s="65"/>
      <c r="J383" s="66"/>
      <c r="K383" s="67" t="s">
        <v>441</v>
      </c>
      <c r="L383" s="64"/>
      <c r="M383" s="64"/>
      <c r="N383" s="64"/>
      <c r="O383" s="64"/>
      <c r="P383" s="69"/>
      <c r="Q383" s="69"/>
      <c r="R383" s="124"/>
      <c r="S383" s="123"/>
      <c r="T383" s="124"/>
      <c r="U383" s="75"/>
      <c r="V383" s="674">
        <f t="shared" si="80"/>
        <v>0</v>
      </c>
      <c r="W383" s="75"/>
      <c r="X383" s="75"/>
      <c r="Y383" s="75"/>
      <c r="Z383" s="75"/>
      <c r="AA383" s="75"/>
      <c r="AB383" s="75"/>
      <c r="AC383" s="75"/>
      <c r="AD383" s="75"/>
      <c r="AE383" s="592"/>
      <c r="AF383" s="348"/>
      <c r="AG383" s="129">
        <v>0</v>
      </c>
      <c r="AH383" s="370">
        <v>0</v>
      </c>
      <c r="AI383" s="75"/>
      <c r="AJ383" s="75"/>
      <c r="AK383" s="75"/>
      <c r="AL383" s="75"/>
      <c r="AM383" s="75"/>
      <c r="AN383" s="64" t="s">
        <v>39</v>
      </c>
      <c r="AO383" s="64"/>
      <c r="AP383" s="64"/>
      <c r="AQ383" s="189"/>
      <c r="AR383" s="64"/>
      <c r="AS383" s="476"/>
      <c r="AT383" s="64"/>
      <c r="AU383" s="646"/>
      <c r="AV383" s="335" t="s">
        <v>127</v>
      </c>
    </row>
    <row r="384" spans="1:49" ht="30" outlineLevel="4" x14ac:dyDescent="0.25">
      <c r="A384" s="63" t="str">
        <f t="shared" si="65"/>
        <v>1.3.1.9.12.60</v>
      </c>
      <c r="B384" s="64">
        <v>1</v>
      </c>
      <c r="C384" s="64">
        <v>3</v>
      </c>
      <c r="D384" s="64">
        <v>1</v>
      </c>
      <c r="E384" s="64">
        <v>9</v>
      </c>
      <c r="F384" s="64">
        <v>12</v>
      </c>
      <c r="G384" s="64">
        <v>60</v>
      </c>
      <c r="H384" s="65"/>
      <c r="I384" s="65"/>
      <c r="J384" s="66"/>
      <c r="K384" s="67" t="s">
        <v>442</v>
      </c>
      <c r="L384" s="64"/>
      <c r="M384" s="64"/>
      <c r="N384" s="64"/>
      <c r="O384" s="64"/>
      <c r="P384" s="69"/>
      <c r="Q384" s="69"/>
      <c r="R384" s="124"/>
      <c r="S384" s="123"/>
      <c r="T384" s="124"/>
      <c r="U384" s="75"/>
      <c r="V384" s="674">
        <f t="shared" si="80"/>
        <v>0</v>
      </c>
      <c r="W384" s="75"/>
      <c r="X384" s="75"/>
      <c r="Y384" s="75"/>
      <c r="Z384" s="75"/>
      <c r="AA384" s="75"/>
      <c r="AB384" s="75"/>
      <c r="AC384" s="75"/>
      <c r="AD384" s="75"/>
      <c r="AE384" s="592"/>
      <c r="AF384" s="348"/>
      <c r="AG384" s="129">
        <v>0</v>
      </c>
      <c r="AH384" s="370">
        <v>0</v>
      </c>
      <c r="AI384" s="75"/>
      <c r="AJ384" s="75"/>
      <c r="AK384" s="75"/>
      <c r="AL384" s="75"/>
      <c r="AM384" s="75"/>
      <c r="AN384" s="64" t="s">
        <v>39</v>
      </c>
      <c r="AO384" s="64"/>
      <c r="AP384" s="64"/>
      <c r="AQ384" s="189"/>
      <c r="AR384" s="64"/>
      <c r="AS384" s="476"/>
      <c r="AT384" s="64"/>
      <c r="AU384" s="646"/>
      <c r="AV384" s="335" t="s">
        <v>127</v>
      </c>
    </row>
    <row r="385" spans="1:56" ht="30" outlineLevel="4" x14ac:dyDescent="0.25">
      <c r="A385" s="63" t="str">
        <f t="shared" si="65"/>
        <v>1.3.1.9.12.61</v>
      </c>
      <c r="B385" s="64">
        <v>1</v>
      </c>
      <c r="C385" s="64">
        <v>3</v>
      </c>
      <c r="D385" s="64">
        <v>1</v>
      </c>
      <c r="E385" s="64">
        <v>9</v>
      </c>
      <c r="F385" s="64">
        <v>12</v>
      </c>
      <c r="G385" s="64">
        <v>61</v>
      </c>
      <c r="H385" s="65"/>
      <c r="I385" s="65"/>
      <c r="J385" s="66"/>
      <c r="K385" s="67" t="s">
        <v>443</v>
      </c>
      <c r="L385" s="64" t="s">
        <v>359</v>
      </c>
      <c r="M385" s="64" t="s">
        <v>279</v>
      </c>
      <c r="N385" s="64" t="s">
        <v>226</v>
      </c>
      <c r="O385" s="64" t="s">
        <v>444</v>
      </c>
      <c r="P385" s="69"/>
      <c r="Q385" s="69"/>
      <c r="R385" s="124">
        <v>4</v>
      </c>
      <c r="S385" s="123"/>
      <c r="T385" s="124">
        <v>1</v>
      </c>
      <c r="U385" s="75"/>
      <c r="V385" s="674">
        <f t="shared" si="80"/>
        <v>0</v>
      </c>
      <c r="W385" s="75">
        <v>1</v>
      </c>
      <c r="X385" s="75"/>
      <c r="Y385" s="75"/>
      <c r="Z385" s="75">
        <v>1</v>
      </c>
      <c r="AA385" s="75"/>
      <c r="AB385" s="75"/>
      <c r="AC385" s="75">
        <v>1</v>
      </c>
      <c r="AD385" s="75"/>
      <c r="AE385" s="592"/>
      <c r="AF385" s="348" t="s">
        <v>445</v>
      </c>
      <c r="AG385" s="129">
        <v>0</v>
      </c>
      <c r="AH385" s="370">
        <v>0</v>
      </c>
      <c r="AI385" s="75"/>
      <c r="AJ385" s="75"/>
      <c r="AK385" s="75"/>
      <c r="AL385" s="75"/>
      <c r="AM385" s="75"/>
      <c r="AN385" s="64" t="s">
        <v>39</v>
      </c>
      <c r="AO385" s="64"/>
      <c r="AP385" s="64"/>
      <c r="AQ385" s="189"/>
      <c r="AR385" s="64"/>
      <c r="AS385" s="476"/>
      <c r="AT385" s="64"/>
      <c r="AU385" s="646"/>
      <c r="AV385" s="335" t="s">
        <v>127</v>
      </c>
    </row>
    <row r="386" spans="1:56" ht="30" outlineLevel="4" x14ac:dyDescent="0.25">
      <c r="A386" s="63" t="str">
        <f t="shared" si="65"/>
        <v>1.3.1.9.12.62</v>
      </c>
      <c r="B386" s="64">
        <v>1</v>
      </c>
      <c r="C386" s="64">
        <v>3</v>
      </c>
      <c r="D386" s="64">
        <v>1</v>
      </c>
      <c r="E386" s="64">
        <v>9</v>
      </c>
      <c r="F386" s="64">
        <v>12</v>
      </c>
      <c r="G386" s="64">
        <v>62</v>
      </c>
      <c r="H386" s="65"/>
      <c r="I386" s="65"/>
      <c r="J386" s="66"/>
      <c r="K386" s="67" t="s">
        <v>1731</v>
      </c>
      <c r="L386" s="64"/>
      <c r="M386" s="64"/>
      <c r="N386" s="64"/>
      <c r="O386" s="64"/>
      <c r="P386" s="69"/>
      <c r="Q386" s="69"/>
      <c r="R386" s="124"/>
      <c r="S386" s="123"/>
      <c r="T386" s="124"/>
      <c r="U386" s="75"/>
      <c r="V386" s="674">
        <f t="shared" si="80"/>
        <v>0</v>
      </c>
      <c r="W386" s="75"/>
      <c r="X386" s="75"/>
      <c r="Y386" s="75"/>
      <c r="Z386" s="75"/>
      <c r="AA386" s="75"/>
      <c r="AB386" s="75"/>
      <c r="AC386" s="75"/>
      <c r="AD386" s="75"/>
      <c r="AE386" s="592"/>
      <c r="AF386" s="348"/>
      <c r="AG386" s="129">
        <v>0</v>
      </c>
      <c r="AH386" s="370">
        <v>0</v>
      </c>
      <c r="AI386" s="75"/>
      <c r="AJ386" s="75"/>
      <c r="AK386" s="75"/>
      <c r="AL386" s="75"/>
      <c r="AM386" s="75"/>
      <c r="AN386" s="64" t="s">
        <v>39</v>
      </c>
      <c r="AO386" s="64"/>
      <c r="AP386" s="64"/>
      <c r="AQ386" s="189"/>
      <c r="AR386" s="64"/>
      <c r="AS386" s="476"/>
      <c r="AT386" s="64"/>
      <c r="AU386" s="646"/>
      <c r="AV386" s="335" t="s">
        <v>127</v>
      </c>
    </row>
    <row r="387" spans="1:56" ht="30" outlineLevel="4" x14ac:dyDescent="0.25">
      <c r="A387" s="63" t="str">
        <f t="shared" si="65"/>
        <v>1.3.1.9.12.63</v>
      </c>
      <c r="B387" s="64">
        <v>1</v>
      </c>
      <c r="C387" s="64">
        <v>3</v>
      </c>
      <c r="D387" s="64">
        <v>1</v>
      </c>
      <c r="E387" s="64">
        <v>9</v>
      </c>
      <c r="F387" s="64">
        <v>12</v>
      </c>
      <c r="G387" s="64">
        <v>63</v>
      </c>
      <c r="H387" s="65"/>
      <c r="I387" s="65"/>
      <c r="J387" s="66"/>
      <c r="K387" s="67" t="s">
        <v>446</v>
      </c>
      <c r="L387" s="64"/>
      <c r="M387" s="64"/>
      <c r="N387" s="64"/>
      <c r="O387" s="64"/>
      <c r="P387" s="69"/>
      <c r="Q387" s="69"/>
      <c r="R387" s="124"/>
      <c r="S387" s="123"/>
      <c r="T387" s="124"/>
      <c r="U387" s="75"/>
      <c r="V387" s="674">
        <f t="shared" si="80"/>
        <v>0</v>
      </c>
      <c r="W387" s="75"/>
      <c r="X387" s="75"/>
      <c r="Y387" s="75"/>
      <c r="Z387" s="75"/>
      <c r="AA387" s="75"/>
      <c r="AB387" s="75"/>
      <c r="AC387" s="75"/>
      <c r="AD387" s="75"/>
      <c r="AE387" s="592"/>
      <c r="AF387" s="348"/>
      <c r="AG387" s="129">
        <v>0</v>
      </c>
      <c r="AH387" s="370">
        <v>0</v>
      </c>
      <c r="AI387" s="75"/>
      <c r="AJ387" s="75"/>
      <c r="AK387" s="75"/>
      <c r="AL387" s="75"/>
      <c r="AM387" s="75"/>
      <c r="AN387" s="64" t="s">
        <v>39</v>
      </c>
      <c r="AO387" s="64"/>
      <c r="AP387" s="64"/>
      <c r="AQ387" s="189"/>
      <c r="AR387" s="64"/>
      <c r="AS387" s="476"/>
      <c r="AT387" s="64"/>
      <c r="AU387" s="646"/>
      <c r="AV387" s="335" t="s">
        <v>127</v>
      </c>
    </row>
    <row r="388" spans="1:56" ht="30" outlineLevel="4" x14ac:dyDescent="0.25">
      <c r="A388" s="63" t="str">
        <f t="shared" si="65"/>
        <v>1.3.1.9.12.64</v>
      </c>
      <c r="B388" s="64">
        <v>1</v>
      </c>
      <c r="C388" s="64">
        <v>3</v>
      </c>
      <c r="D388" s="64">
        <v>1</v>
      </c>
      <c r="E388" s="64">
        <v>9</v>
      </c>
      <c r="F388" s="64">
        <v>12</v>
      </c>
      <c r="G388" s="64">
        <v>64</v>
      </c>
      <c r="H388" s="65"/>
      <c r="I388" s="65"/>
      <c r="J388" s="66"/>
      <c r="K388" s="67" t="s">
        <v>447</v>
      </c>
      <c r="L388" s="64"/>
      <c r="M388" s="64"/>
      <c r="N388" s="64"/>
      <c r="O388" s="64"/>
      <c r="P388" s="69"/>
      <c r="Q388" s="69"/>
      <c r="R388" s="124"/>
      <c r="S388" s="123"/>
      <c r="T388" s="124"/>
      <c r="U388" s="75"/>
      <c r="V388" s="674">
        <f t="shared" si="80"/>
        <v>0</v>
      </c>
      <c r="W388" s="75"/>
      <c r="X388" s="75"/>
      <c r="Y388" s="75"/>
      <c r="Z388" s="75"/>
      <c r="AA388" s="75"/>
      <c r="AB388" s="75"/>
      <c r="AC388" s="75"/>
      <c r="AD388" s="75"/>
      <c r="AE388" s="592"/>
      <c r="AF388" s="348"/>
      <c r="AG388" s="129">
        <v>0</v>
      </c>
      <c r="AH388" s="370">
        <v>0</v>
      </c>
      <c r="AI388" s="75"/>
      <c r="AJ388" s="75"/>
      <c r="AK388" s="75"/>
      <c r="AL388" s="75"/>
      <c r="AM388" s="75"/>
      <c r="AN388" s="64" t="s">
        <v>39</v>
      </c>
      <c r="AO388" s="64"/>
      <c r="AP388" s="64"/>
      <c r="AQ388" s="189"/>
      <c r="AR388" s="64"/>
      <c r="AS388" s="476"/>
      <c r="AT388" s="64"/>
      <c r="AU388" s="646"/>
      <c r="AV388" s="335" t="s">
        <v>127</v>
      </c>
    </row>
    <row r="389" spans="1:56" outlineLevel="4" x14ac:dyDescent="0.25">
      <c r="A389" s="63" t="str">
        <f t="shared" si="65"/>
        <v>1.3.1.9.13.58</v>
      </c>
      <c r="B389" s="64">
        <v>1</v>
      </c>
      <c r="C389" s="64">
        <v>3</v>
      </c>
      <c r="D389" s="64">
        <v>1</v>
      </c>
      <c r="E389" s="64">
        <v>9</v>
      </c>
      <c r="F389" s="64">
        <v>13</v>
      </c>
      <c r="G389" s="64">
        <v>58</v>
      </c>
      <c r="H389" s="65"/>
      <c r="I389" s="65"/>
      <c r="J389" s="66"/>
      <c r="K389" s="125" t="s">
        <v>448</v>
      </c>
      <c r="L389" s="64" t="s">
        <v>72</v>
      </c>
      <c r="M389" s="64" t="s">
        <v>73</v>
      </c>
      <c r="N389" s="64" t="s">
        <v>74</v>
      </c>
      <c r="O389" s="64" t="s">
        <v>367</v>
      </c>
      <c r="P389" s="64"/>
      <c r="Q389" s="64"/>
      <c r="R389" s="124"/>
      <c r="S389" s="123"/>
      <c r="T389" s="124"/>
      <c r="U389" s="75"/>
      <c r="V389" s="674">
        <f t="shared" si="80"/>
        <v>0</v>
      </c>
      <c r="W389" s="75"/>
      <c r="X389" s="75"/>
      <c r="Y389" s="75"/>
      <c r="Z389" s="75"/>
      <c r="AA389" s="75"/>
      <c r="AB389" s="75"/>
      <c r="AC389" s="75"/>
      <c r="AD389" s="75"/>
      <c r="AE389" s="592"/>
      <c r="AF389" s="347"/>
      <c r="AG389" s="75">
        <v>0</v>
      </c>
      <c r="AH389" s="370">
        <v>0</v>
      </c>
      <c r="AI389" s="75"/>
      <c r="AJ389" s="75"/>
      <c r="AK389" s="75"/>
      <c r="AL389" s="75"/>
      <c r="AM389" s="75"/>
      <c r="AN389" s="64" t="s">
        <v>39</v>
      </c>
      <c r="AO389" s="64"/>
      <c r="AP389" s="64"/>
      <c r="AQ389" s="189"/>
      <c r="AR389" s="64"/>
      <c r="AS389" s="476"/>
      <c r="AT389" s="64"/>
      <c r="AU389" s="646"/>
      <c r="AV389" s="185"/>
    </row>
    <row r="390" spans="1:56" outlineLevel="4" x14ac:dyDescent="0.25">
      <c r="A390" s="63" t="str">
        <f t="shared" si="65"/>
        <v>1.3.1.9.13.59</v>
      </c>
      <c r="B390" s="64">
        <v>1</v>
      </c>
      <c r="C390" s="64">
        <v>3</v>
      </c>
      <c r="D390" s="64">
        <v>1</v>
      </c>
      <c r="E390" s="64">
        <v>9</v>
      </c>
      <c r="F390" s="64">
        <v>13</v>
      </c>
      <c r="G390" s="64">
        <v>59</v>
      </c>
      <c r="H390" s="65"/>
      <c r="I390" s="65"/>
      <c r="J390" s="66"/>
      <c r="K390" s="125" t="s">
        <v>449</v>
      </c>
      <c r="L390" s="64"/>
      <c r="M390" s="64"/>
      <c r="N390" s="64"/>
      <c r="O390" s="64"/>
      <c r="P390" s="64"/>
      <c r="Q390" s="64"/>
      <c r="R390" s="124"/>
      <c r="S390" s="123"/>
      <c r="T390" s="124"/>
      <c r="U390" s="75"/>
      <c r="V390" s="674">
        <f t="shared" si="80"/>
        <v>0</v>
      </c>
      <c r="W390" s="75"/>
      <c r="X390" s="75"/>
      <c r="Y390" s="75"/>
      <c r="Z390" s="75"/>
      <c r="AA390" s="75"/>
      <c r="AB390" s="75"/>
      <c r="AC390" s="75"/>
      <c r="AD390" s="75"/>
      <c r="AE390" s="592"/>
      <c r="AF390" s="347"/>
      <c r="AG390" s="75">
        <v>0</v>
      </c>
      <c r="AH390" s="370">
        <v>0</v>
      </c>
      <c r="AI390" s="75"/>
      <c r="AJ390" s="75"/>
      <c r="AK390" s="75"/>
      <c r="AL390" s="75"/>
      <c r="AM390" s="75"/>
      <c r="AN390" s="64" t="s">
        <v>39</v>
      </c>
      <c r="AO390" s="64"/>
      <c r="AP390" s="64"/>
      <c r="AQ390" s="189"/>
      <c r="AR390" s="64"/>
      <c r="AS390" s="476"/>
      <c r="AT390" s="64"/>
      <c r="AU390" s="646"/>
      <c r="AV390" s="185"/>
    </row>
    <row r="391" spans="1:56" outlineLevel="4" x14ac:dyDescent="0.25">
      <c r="A391" s="63" t="str">
        <f t="shared" si="65"/>
        <v>1.3.1.9.13.60</v>
      </c>
      <c r="B391" s="64">
        <v>1</v>
      </c>
      <c r="C391" s="64">
        <v>3</v>
      </c>
      <c r="D391" s="64">
        <v>1</v>
      </c>
      <c r="E391" s="64">
        <v>9</v>
      </c>
      <c r="F391" s="64">
        <v>13</v>
      </c>
      <c r="G391" s="64">
        <v>60</v>
      </c>
      <c r="H391" s="65"/>
      <c r="I391" s="65"/>
      <c r="J391" s="66"/>
      <c r="K391" s="125" t="s">
        <v>450</v>
      </c>
      <c r="L391" s="64"/>
      <c r="M391" s="64"/>
      <c r="N391" s="64"/>
      <c r="O391" s="64"/>
      <c r="P391" s="64"/>
      <c r="Q391" s="64"/>
      <c r="R391" s="124"/>
      <c r="S391" s="123"/>
      <c r="T391" s="124"/>
      <c r="U391" s="75"/>
      <c r="V391" s="674">
        <f t="shared" si="80"/>
        <v>0</v>
      </c>
      <c r="W391" s="75"/>
      <c r="X391" s="75"/>
      <c r="Y391" s="75"/>
      <c r="Z391" s="75"/>
      <c r="AA391" s="75"/>
      <c r="AB391" s="75"/>
      <c r="AC391" s="75"/>
      <c r="AD391" s="75"/>
      <c r="AE391" s="592"/>
      <c r="AF391" s="347"/>
      <c r="AG391" s="75">
        <v>0</v>
      </c>
      <c r="AH391" s="370">
        <v>0</v>
      </c>
      <c r="AI391" s="75"/>
      <c r="AJ391" s="75"/>
      <c r="AK391" s="75"/>
      <c r="AL391" s="75"/>
      <c r="AM391" s="75"/>
      <c r="AN391" s="64" t="s">
        <v>39</v>
      </c>
      <c r="AO391" s="64"/>
      <c r="AP391" s="64"/>
      <c r="AQ391" s="189"/>
      <c r="AR391" s="64"/>
      <c r="AS391" s="476"/>
      <c r="AT391" s="64"/>
      <c r="AU391" s="646"/>
      <c r="AV391" s="185"/>
    </row>
    <row r="392" spans="1:56" outlineLevel="4" x14ac:dyDescent="0.25">
      <c r="A392" s="63" t="str">
        <f t="shared" si="65"/>
        <v>1.3.1.9.13.61</v>
      </c>
      <c r="B392" s="64">
        <v>1</v>
      </c>
      <c r="C392" s="64">
        <v>3</v>
      </c>
      <c r="D392" s="64">
        <v>1</v>
      </c>
      <c r="E392" s="64">
        <v>9</v>
      </c>
      <c r="F392" s="64">
        <v>13</v>
      </c>
      <c r="G392" s="64">
        <v>61</v>
      </c>
      <c r="H392" s="65"/>
      <c r="I392" s="65"/>
      <c r="J392" s="66"/>
      <c r="K392" s="125" t="s">
        <v>451</v>
      </c>
      <c r="L392" s="64"/>
      <c r="M392" s="64"/>
      <c r="N392" s="64"/>
      <c r="O392" s="64"/>
      <c r="P392" s="64"/>
      <c r="Q392" s="64"/>
      <c r="R392" s="124"/>
      <c r="S392" s="123"/>
      <c r="T392" s="124"/>
      <c r="U392" s="75"/>
      <c r="V392" s="674">
        <f t="shared" si="80"/>
        <v>0</v>
      </c>
      <c r="W392" s="75"/>
      <c r="X392" s="75"/>
      <c r="Y392" s="75"/>
      <c r="Z392" s="75"/>
      <c r="AA392" s="75"/>
      <c r="AB392" s="75"/>
      <c r="AC392" s="75"/>
      <c r="AD392" s="75"/>
      <c r="AE392" s="592"/>
      <c r="AF392" s="347"/>
      <c r="AG392" s="75">
        <v>0</v>
      </c>
      <c r="AH392" s="370">
        <v>0</v>
      </c>
      <c r="AI392" s="75"/>
      <c r="AJ392" s="75"/>
      <c r="AK392" s="75"/>
      <c r="AL392" s="75"/>
      <c r="AM392" s="75"/>
      <c r="AN392" s="64" t="s">
        <v>39</v>
      </c>
      <c r="AO392" s="64"/>
      <c r="AP392" s="64"/>
      <c r="AQ392" s="189"/>
      <c r="AR392" s="64"/>
      <c r="AS392" s="476"/>
      <c r="AT392" s="64"/>
      <c r="AU392" s="646"/>
      <c r="AV392" s="185"/>
    </row>
    <row r="393" spans="1:56" outlineLevel="4" x14ac:dyDescent="0.25">
      <c r="A393" s="63" t="str">
        <f t="shared" si="65"/>
        <v>1.3.1.9.13.62</v>
      </c>
      <c r="B393" s="64">
        <v>1</v>
      </c>
      <c r="C393" s="64">
        <v>3</v>
      </c>
      <c r="D393" s="64">
        <v>1</v>
      </c>
      <c r="E393" s="64">
        <v>9</v>
      </c>
      <c r="F393" s="64">
        <v>13</v>
      </c>
      <c r="G393" s="64">
        <v>62</v>
      </c>
      <c r="H393" s="65"/>
      <c r="I393" s="65"/>
      <c r="J393" s="66"/>
      <c r="K393" s="125" t="s">
        <v>1732</v>
      </c>
      <c r="L393" s="64"/>
      <c r="M393" s="64"/>
      <c r="N393" s="64"/>
      <c r="O393" s="64"/>
      <c r="P393" s="64"/>
      <c r="Q393" s="64"/>
      <c r="R393" s="124"/>
      <c r="S393" s="123"/>
      <c r="T393" s="124"/>
      <c r="U393" s="75"/>
      <c r="V393" s="674">
        <f t="shared" si="80"/>
        <v>0</v>
      </c>
      <c r="W393" s="75"/>
      <c r="X393" s="75"/>
      <c r="Y393" s="75"/>
      <c r="Z393" s="75"/>
      <c r="AA393" s="75"/>
      <c r="AB393" s="75"/>
      <c r="AC393" s="75"/>
      <c r="AD393" s="75"/>
      <c r="AE393" s="592"/>
      <c r="AF393" s="347"/>
      <c r="AG393" s="75">
        <v>0</v>
      </c>
      <c r="AH393" s="370">
        <v>0</v>
      </c>
      <c r="AI393" s="75"/>
      <c r="AJ393" s="75"/>
      <c r="AK393" s="75"/>
      <c r="AL393" s="75"/>
      <c r="AM393" s="75"/>
      <c r="AN393" s="64" t="s">
        <v>39</v>
      </c>
      <c r="AO393" s="64"/>
      <c r="AP393" s="64"/>
      <c r="AQ393" s="189"/>
      <c r="AR393" s="64"/>
      <c r="AS393" s="476"/>
      <c r="AT393" s="64"/>
      <c r="AU393" s="646"/>
      <c r="AV393" s="185"/>
    </row>
    <row r="394" spans="1:56" outlineLevel="4" x14ac:dyDescent="0.25">
      <c r="A394" s="63" t="str">
        <f t="shared" si="65"/>
        <v>1.3.1.9.13.63</v>
      </c>
      <c r="B394" s="64">
        <v>1</v>
      </c>
      <c r="C394" s="64">
        <v>3</v>
      </c>
      <c r="D394" s="64">
        <v>1</v>
      </c>
      <c r="E394" s="64">
        <v>9</v>
      </c>
      <c r="F394" s="64">
        <v>13</v>
      </c>
      <c r="G394" s="64">
        <v>63</v>
      </c>
      <c r="H394" s="65"/>
      <c r="I394" s="65"/>
      <c r="J394" s="66"/>
      <c r="K394" s="125" t="s">
        <v>452</v>
      </c>
      <c r="L394" s="64"/>
      <c r="M394" s="64"/>
      <c r="N394" s="64"/>
      <c r="O394" s="64"/>
      <c r="P394" s="64"/>
      <c r="Q394" s="64"/>
      <c r="R394" s="124"/>
      <c r="S394" s="123"/>
      <c r="T394" s="124"/>
      <c r="U394" s="75"/>
      <c r="V394" s="674">
        <f t="shared" si="80"/>
        <v>0</v>
      </c>
      <c r="W394" s="75"/>
      <c r="X394" s="75"/>
      <c r="Y394" s="75"/>
      <c r="Z394" s="75"/>
      <c r="AA394" s="75"/>
      <c r="AB394" s="75"/>
      <c r="AC394" s="75"/>
      <c r="AD394" s="75"/>
      <c r="AE394" s="592"/>
      <c r="AF394" s="347"/>
      <c r="AG394" s="75">
        <v>0</v>
      </c>
      <c r="AH394" s="370">
        <v>0</v>
      </c>
      <c r="AI394" s="75"/>
      <c r="AJ394" s="75"/>
      <c r="AK394" s="75"/>
      <c r="AL394" s="75"/>
      <c r="AM394" s="75"/>
      <c r="AN394" s="64" t="s">
        <v>39</v>
      </c>
      <c r="AO394" s="64"/>
      <c r="AP394" s="64"/>
      <c r="AQ394" s="189"/>
      <c r="AR394" s="64"/>
      <c r="AS394" s="476"/>
      <c r="AT394" s="64"/>
      <c r="AU394" s="646"/>
      <c r="AV394" s="185"/>
    </row>
    <row r="395" spans="1:56" outlineLevel="4" x14ac:dyDescent="0.25">
      <c r="A395" s="63" t="str">
        <f t="shared" si="65"/>
        <v>1.3.1.9.13.64</v>
      </c>
      <c r="B395" s="64">
        <v>1</v>
      </c>
      <c r="C395" s="64">
        <v>3</v>
      </c>
      <c r="D395" s="64">
        <v>1</v>
      </c>
      <c r="E395" s="64">
        <v>9</v>
      </c>
      <c r="F395" s="64">
        <v>13</v>
      </c>
      <c r="G395" s="64">
        <v>64</v>
      </c>
      <c r="H395" s="65"/>
      <c r="I395" s="65"/>
      <c r="J395" s="66"/>
      <c r="K395" s="125" t="s">
        <v>453</v>
      </c>
      <c r="L395" s="64"/>
      <c r="M395" s="64"/>
      <c r="N395" s="64"/>
      <c r="O395" s="64"/>
      <c r="P395" s="64"/>
      <c r="Q395" s="64"/>
      <c r="R395" s="124"/>
      <c r="S395" s="123"/>
      <c r="T395" s="124"/>
      <c r="U395" s="75"/>
      <c r="V395" s="674">
        <f t="shared" si="80"/>
        <v>0</v>
      </c>
      <c r="W395" s="75"/>
      <c r="X395" s="75"/>
      <c r="Y395" s="75"/>
      <c r="Z395" s="75"/>
      <c r="AA395" s="75"/>
      <c r="AB395" s="75"/>
      <c r="AC395" s="75"/>
      <c r="AD395" s="75"/>
      <c r="AE395" s="592"/>
      <c r="AF395" s="347"/>
      <c r="AG395" s="75">
        <v>0</v>
      </c>
      <c r="AH395" s="370">
        <v>0</v>
      </c>
      <c r="AI395" s="75"/>
      <c r="AJ395" s="75"/>
      <c r="AK395" s="75"/>
      <c r="AL395" s="75"/>
      <c r="AM395" s="75"/>
      <c r="AN395" s="64" t="s">
        <v>39</v>
      </c>
      <c r="AO395" s="64"/>
      <c r="AP395" s="64"/>
      <c r="AQ395" s="189"/>
      <c r="AR395" s="64"/>
      <c r="AS395" s="476"/>
      <c r="AT395" s="64"/>
      <c r="AU395" s="646"/>
      <c r="AV395" s="185"/>
    </row>
    <row r="396" spans="1:56" ht="32.450000000000003" customHeight="1" outlineLevel="4" x14ac:dyDescent="0.25">
      <c r="A396" s="63" t="str">
        <f t="shared" si="65"/>
        <v>1.3.1.9.14.58</v>
      </c>
      <c r="B396" s="64">
        <v>1</v>
      </c>
      <c r="C396" s="64">
        <v>3</v>
      </c>
      <c r="D396" s="64">
        <v>1</v>
      </c>
      <c r="E396" s="64">
        <v>9</v>
      </c>
      <c r="F396" s="64">
        <v>14</v>
      </c>
      <c r="G396" s="64">
        <v>58</v>
      </c>
      <c r="H396" s="65"/>
      <c r="I396" s="65"/>
      <c r="J396" s="66"/>
      <c r="K396" s="86" t="s">
        <v>454</v>
      </c>
      <c r="L396" s="64" t="s">
        <v>246</v>
      </c>
      <c r="M396" s="64" t="s">
        <v>240</v>
      </c>
      <c r="N396" s="64" t="s">
        <v>247</v>
      </c>
      <c r="O396" s="64" t="s">
        <v>241</v>
      </c>
      <c r="P396" s="69">
        <v>44315</v>
      </c>
      <c r="Q396" s="69">
        <v>44377</v>
      </c>
      <c r="R396" s="158">
        <v>20000</v>
      </c>
      <c r="S396" s="123" t="s">
        <v>248</v>
      </c>
      <c r="T396" s="159">
        <v>0</v>
      </c>
      <c r="U396" s="160"/>
      <c r="V396" s="674">
        <f t="shared" si="80"/>
        <v>0</v>
      </c>
      <c r="W396" s="161">
        <v>7000</v>
      </c>
      <c r="X396" s="160">
        <f>3975000/2</f>
        <v>1987500</v>
      </c>
      <c r="Y396" s="160"/>
      <c r="Z396" s="161">
        <v>7000</v>
      </c>
      <c r="AA396" s="160">
        <f t="shared" ref="AA396:AA402" si="83">3975000/2</f>
        <v>1987500</v>
      </c>
      <c r="AB396" s="160"/>
      <c r="AC396" s="75">
        <v>6000</v>
      </c>
      <c r="AD396" s="132"/>
      <c r="AE396" s="598"/>
      <c r="AF396" s="347">
        <f>+R396*15*1.1</f>
        <v>330000</v>
      </c>
      <c r="AG396" s="75">
        <v>0</v>
      </c>
      <c r="AH396" s="375">
        <f>+U396+X396+AA396</f>
        <v>3975000</v>
      </c>
      <c r="AI396" s="129"/>
      <c r="AJ396" s="129"/>
      <c r="AK396" s="129"/>
      <c r="AL396" s="129"/>
      <c r="AM396" s="129"/>
      <c r="AN396" s="64" t="s">
        <v>39</v>
      </c>
      <c r="AO396" s="165"/>
      <c r="AP396" s="165"/>
      <c r="AQ396" s="413"/>
      <c r="AR396" s="64"/>
      <c r="AS396" s="475"/>
      <c r="AT396" s="64"/>
      <c r="AU396" s="646"/>
      <c r="AV396" s="1274" t="s">
        <v>455</v>
      </c>
      <c r="AW396" s="2" t="s">
        <v>456</v>
      </c>
    </row>
    <row r="397" spans="1:56" ht="51" customHeight="1" outlineLevel="4" x14ac:dyDescent="0.25">
      <c r="A397" s="63" t="str">
        <f t="shared" si="65"/>
        <v>1.3.1.9.14.59</v>
      </c>
      <c r="B397" s="64">
        <v>1</v>
      </c>
      <c r="C397" s="64">
        <v>3</v>
      </c>
      <c r="D397" s="64">
        <v>1</v>
      </c>
      <c r="E397" s="64">
        <v>9</v>
      </c>
      <c r="F397" s="64">
        <v>14</v>
      </c>
      <c r="G397" s="64">
        <v>59</v>
      </c>
      <c r="H397" s="65"/>
      <c r="I397" s="65"/>
      <c r="J397" s="66"/>
      <c r="K397" s="125" t="s">
        <v>457</v>
      </c>
      <c r="L397" s="64" t="s">
        <v>246</v>
      </c>
      <c r="M397" s="64" t="s">
        <v>240</v>
      </c>
      <c r="N397" s="64" t="s">
        <v>247</v>
      </c>
      <c r="O397" s="64" t="s">
        <v>241</v>
      </c>
      <c r="P397" s="69">
        <v>44315</v>
      </c>
      <c r="Q397" s="69">
        <v>44377</v>
      </c>
      <c r="R397" s="124">
        <v>6000</v>
      </c>
      <c r="S397" s="123" t="s">
        <v>248</v>
      </c>
      <c r="T397" s="159">
        <v>0</v>
      </c>
      <c r="U397" s="160"/>
      <c r="V397" s="674">
        <f t="shared" si="80"/>
        <v>0</v>
      </c>
      <c r="W397" s="161">
        <v>2000</v>
      </c>
      <c r="X397" s="160">
        <f t="shared" ref="X397:X402" si="84">3975000/2</f>
        <v>1987500</v>
      </c>
      <c r="Y397" s="160"/>
      <c r="Z397" s="161">
        <v>2000</v>
      </c>
      <c r="AA397" s="160">
        <f t="shared" si="83"/>
        <v>1987500</v>
      </c>
      <c r="AB397" s="160"/>
      <c r="AC397" s="75">
        <v>2000</v>
      </c>
      <c r="AD397" s="132"/>
      <c r="AE397" s="598"/>
      <c r="AF397" s="347">
        <f>R397*19*1.1</f>
        <v>125400.00000000001</v>
      </c>
      <c r="AG397" s="75">
        <v>0</v>
      </c>
      <c r="AH397" s="375">
        <f t="shared" ref="AH397:AH402" si="85">+U397+X397+AA397</f>
        <v>3975000</v>
      </c>
      <c r="AI397" s="129"/>
      <c r="AJ397" s="129"/>
      <c r="AK397" s="129"/>
      <c r="AL397" s="129"/>
      <c r="AM397" s="129"/>
      <c r="AN397" s="64" t="s">
        <v>39</v>
      </c>
      <c r="AO397" s="165"/>
      <c r="AP397" s="165"/>
      <c r="AQ397" s="413"/>
      <c r="AR397" s="64"/>
      <c r="AS397" s="475"/>
      <c r="AT397" s="64"/>
      <c r="AU397" s="646"/>
      <c r="AV397" s="1274"/>
      <c r="AW397" s="2" t="s">
        <v>458</v>
      </c>
    </row>
    <row r="398" spans="1:56" ht="23.45" customHeight="1" outlineLevel="4" x14ac:dyDescent="0.25">
      <c r="A398" s="63" t="str">
        <f t="shared" si="65"/>
        <v>1.3.1.9.14.60</v>
      </c>
      <c r="B398" s="64">
        <v>1</v>
      </c>
      <c r="C398" s="64">
        <v>3</v>
      </c>
      <c r="D398" s="64">
        <v>1</v>
      </c>
      <c r="E398" s="64">
        <v>9</v>
      </c>
      <c r="F398" s="64">
        <v>14</v>
      </c>
      <c r="G398" s="64">
        <v>60</v>
      </c>
      <c r="H398" s="65"/>
      <c r="I398" s="65"/>
      <c r="J398" s="66"/>
      <c r="K398" s="125" t="s">
        <v>459</v>
      </c>
      <c r="L398" s="64" t="s">
        <v>246</v>
      </c>
      <c r="M398" s="64" t="s">
        <v>240</v>
      </c>
      <c r="N398" s="64" t="s">
        <v>247</v>
      </c>
      <c r="O398" s="64" t="s">
        <v>241</v>
      </c>
      <c r="P398" s="69">
        <v>44315</v>
      </c>
      <c r="Q398" s="69">
        <v>44377</v>
      </c>
      <c r="R398" s="124">
        <v>3000</v>
      </c>
      <c r="S398" s="123" t="s">
        <v>248</v>
      </c>
      <c r="T398" s="159">
        <v>0</v>
      </c>
      <c r="U398" s="160"/>
      <c r="V398" s="674">
        <f t="shared" si="80"/>
        <v>0</v>
      </c>
      <c r="W398" s="161">
        <v>1000</v>
      </c>
      <c r="X398" s="160">
        <f t="shared" si="84"/>
        <v>1987500</v>
      </c>
      <c r="Y398" s="160"/>
      <c r="Z398" s="161">
        <v>1000</v>
      </c>
      <c r="AA398" s="160">
        <f t="shared" si="83"/>
        <v>1987500</v>
      </c>
      <c r="AB398" s="160"/>
      <c r="AC398" s="75">
        <v>1000</v>
      </c>
      <c r="AD398" s="132"/>
      <c r="AE398" s="598"/>
      <c r="AF398" s="347">
        <f>R398*19</f>
        <v>57000</v>
      </c>
      <c r="AG398" s="75">
        <v>0</v>
      </c>
      <c r="AH398" s="375">
        <f t="shared" si="85"/>
        <v>3975000</v>
      </c>
      <c r="AI398" s="129"/>
      <c r="AJ398" s="129"/>
      <c r="AK398" s="129"/>
      <c r="AL398" s="129"/>
      <c r="AM398" s="129"/>
      <c r="AN398" s="64" t="s">
        <v>39</v>
      </c>
      <c r="AO398" s="165"/>
      <c r="AP398" s="165"/>
      <c r="AQ398" s="413"/>
      <c r="AR398" s="64"/>
      <c r="AS398" s="475"/>
      <c r="AT398" s="64"/>
      <c r="AU398" s="646"/>
      <c r="AV398" s="1274"/>
      <c r="AW398" s="162">
        <v>34000000</v>
      </c>
    </row>
    <row r="399" spans="1:56" ht="23.45" customHeight="1" outlineLevel="4" x14ac:dyDescent="0.25">
      <c r="A399" s="63" t="str">
        <f t="shared" si="65"/>
        <v>1.3.1.9.14.61</v>
      </c>
      <c r="B399" s="64">
        <v>1</v>
      </c>
      <c r="C399" s="64">
        <v>3</v>
      </c>
      <c r="D399" s="64">
        <v>1</v>
      </c>
      <c r="E399" s="64">
        <v>9</v>
      </c>
      <c r="F399" s="64">
        <v>14</v>
      </c>
      <c r="G399" s="64">
        <v>61</v>
      </c>
      <c r="H399" s="65"/>
      <c r="I399" s="65"/>
      <c r="J399" s="66"/>
      <c r="K399" s="125" t="s">
        <v>460</v>
      </c>
      <c r="L399" s="64" t="s">
        <v>246</v>
      </c>
      <c r="M399" s="64" t="s">
        <v>240</v>
      </c>
      <c r="N399" s="64" t="s">
        <v>247</v>
      </c>
      <c r="O399" s="64" t="s">
        <v>241</v>
      </c>
      <c r="P399" s="69">
        <v>44315</v>
      </c>
      <c r="Q399" s="69">
        <v>44377</v>
      </c>
      <c r="R399" s="124">
        <v>4500</v>
      </c>
      <c r="S399" s="123" t="s">
        <v>248</v>
      </c>
      <c r="T399" s="159">
        <v>0</v>
      </c>
      <c r="U399" s="160"/>
      <c r="V399" s="674">
        <f t="shared" si="80"/>
        <v>0</v>
      </c>
      <c r="W399" s="161">
        <v>1500</v>
      </c>
      <c r="X399" s="160">
        <f t="shared" si="84"/>
        <v>1987500</v>
      </c>
      <c r="Y399" s="160"/>
      <c r="Z399" s="161">
        <v>1500</v>
      </c>
      <c r="AA399" s="160">
        <f t="shared" si="83"/>
        <v>1987500</v>
      </c>
      <c r="AB399" s="160"/>
      <c r="AC399" s="75">
        <v>1500</v>
      </c>
      <c r="AD399" s="163"/>
      <c r="AE399" s="600"/>
      <c r="AF399" s="347">
        <f>R399*19</f>
        <v>85500</v>
      </c>
      <c r="AG399" s="75"/>
      <c r="AH399" s="375">
        <f t="shared" si="85"/>
        <v>3975000</v>
      </c>
      <c r="AI399" s="129"/>
      <c r="AJ399" s="129"/>
      <c r="AK399" s="129"/>
      <c r="AL399" s="129"/>
      <c r="AM399" s="129"/>
      <c r="AN399" s="64" t="s">
        <v>39</v>
      </c>
      <c r="AO399" s="165"/>
      <c r="AP399" s="165"/>
      <c r="AQ399" s="413"/>
      <c r="AR399" s="64"/>
      <c r="AS399" s="475"/>
      <c r="AT399" s="64"/>
      <c r="AU399" s="646"/>
      <c r="AV399" s="1274"/>
      <c r="AW399" s="162">
        <f>+AW398-6175000</f>
        <v>27825000</v>
      </c>
      <c r="AY399" s="2">
        <v>603500</v>
      </c>
      <c r="BD399" s="162">
        <v>11700000</v>
      </c>
    </row>
    <row r="400" spans="1:56" ht="23.45" customHeight="1" outlineLevel="4" x14ac:dyDescent="0.25">
      <c r="A400" s="63" t="str">
        <f t="shared" si="65"/>
        <v>1.3.1.9.14.62</v>
      </c>
      <c r="B400" s="64">
        <v>1</v>
      </c>
      <c r="C400" s="64">
        <v>3</v>
      </c>
      <c r="D400" s="64">
        <v>1</v>
      </c>
      <c r="E400" s="64">
        <v>9</v>
      </c>
      <c r="F400" s="64">
        <v>14</v>
      </c>
      <c r="G400" s="64">
        <v>62</v>
      </c>
      <c r="H400" s="65"/>
      <c r="I400" s="65"/>
      <c r="J400" s="66"/>
      <c r="K400" s="125" t="s">
        <v>1733</v>
      </c>
      <c r="L400" s="64" t="s">
        <v>246</v>
      </c>
      <c r="M400" s="64" t="s">
        <v>240</v>
      </c>
      <c r="N400" s="64" t="s">
        <v>247</v>
      </c>
      <c r="O400" s="64" t="s">
        <v>241</v>
      </c>
      <c r="P400" s="69">
        <v>44315</v>
      </c>
      <c r="Q400" s="69"/>
      <c r="R400" s="124">
        <v>4500</v>
      </c>
      <c r="S400" s="123" t="s">
        <v>248</v>
      </c>
      <c r="T400" s="159">
        <v>0</v>
      </c>
      <c r="U400" s="160"/>
      <c r="V400" s="674">
        <f t="shared" si="80"/>
        <v>0</v>
      </c>
      <c r="W400" s="161">
        <v>1500</v>
      </c>
      <c r="X400" s="160">
        <f t="shared" si="84"/>
        <v>1987500</v>
      </c>
      <c r="Y400" s="160"/>
      <c r="Z400" s="161">
        <v>1500</v>
      </c>
      <c r="AA400" s="160">
        <f t="shared" si="83"/>
        <v>1987500</v>
      </c>
      <c r="AB400" s="160"/>
      <c r="AC400" s="75">
        <v>1500</v>
      </c>
      <c r="AD400" s="163"/>
      <c r="AE400" s="600"/>
      <c r="AF400" s="347">
        <f>R400*19</f>
        <v>85500</v>
      </c>
      <c r="AG400" s="75">
        <v>0</v>
      </c>
      <c r="AH400" s="375">
        <f t="shared" si="85"/>
        <v>3975000</v>
      </c>
      <c r="AI400" s="129"/>
      <c r="AJ400" s="129"/>
      <c r="AK400" s="129"/>
      <c r="AL400" s="129"/>
      <c r="AM400" s="129"/>
      <c r="AN400" s="64" t="s">
        <v>39</v>
      </c>
      <c r="AO400" s="165"/>
      <c r="AP400" s="165"/>
      <c r="AQ400" s="413"/>
      <c r="AR400" s="64"/>
      <c r="AS400" s="475"/>
      <c r="AT400" s="64"/>
      <c r="AU400" s="646"/>
      <c r="AV400" s="1274"/>
      <c r="AW400" s="162">
        <f>+AW399/7</f>
        <v>3975000</v>
      </c>
      <c r="AY400" s="2">
        <v>1988560</v>
      </c>
      <c r="BD400" s="162">
        <v>6240000</v>
      </c>
    </row>
    <row r="401" spans="1:56" ht="23.45" customHeight="1" outlineLevel="4" x14ac:dyDescent="0.25">
      <c r="A401" s="63" t="str">
        <f t="shared" si="65"/>
        <v>1.3.1.9.14.63</v>
      </c>
      <c r="B401" s="64">
        <v>1</v>
      </c>
      <c r="C401" s="64">
        <v>3</v>
      </c>
      <c r="D401" s="64">
        <v>1</v>
      </c>
      <c r="E401" s="64">
        <v>9</v>
      </c>
      <c r="F401" s="64">
        <v>14</v>
      </c>
      <c r="G401" s="64">
        <v>63</v>
      </c>
      <c r="H401" s="65"/>
      <c r="I401" s="65"/>
      <c r="J401" s="66"/>
      <c r="K401" s="125" t="s">
        <v>461</v>
      </c>
      <c r="L401" s="64" t="s">
        <v>246</v>
      </c>
      <c r="M401" s="64" t="s">
        <v>240</v>
      </c>
      <c r="N401" s="64" t="s">
        <v>247</v>
      </c>
      <c r="O401" s="64" t="s">
        <v>241</v>
      </c>
      <c r="P401" s="69">
        <v>44315</v>
      </c>
      <c r="Q401" s="69">
        <v>44377</v>
      </c>
      <c r="R401" s="124">
        <v>4000</v>
      </c>
      <c r="S401" s="123" t="s">
        <v>248</v>
      </c>
      <c r="T401" s="159">
        <v>0</v>
      </c>
      <c r="U401" s="160"/>
      <c r="V401" s="674">
        <f t="shared" si="80"/>
        <v>0</v>
      </c>
      <c r="W401" s="161">
        <v>1500</v>
      </c>
      <c r="X401" s="160">
        <f t="shared" si="84"/>
        <v>1987500</v>
      </c>
      <c r="Y401" s="160"/>
      <c r="Z401" s="161">
        <v>1500</v>
      </c>
      <c r="AA401" s="160">
        <f t="shared" si="83"/>
        <v>1987500</v>
      </c>
      <c r="AB401" s="160"/>
      <c r="AC401" s="75">
        <v>1000</v>
      </c>
      <c r="AD401" s="163"/>
      <c r="AE401" s="600"/>
      <c r="AF401" s="347">
        <f>R401*19*1.1</f>
        <v>83600</v>
      </c>
      <c r="AG401" s="75"/>
      <c r="AH401" s="375">
        <f t="shared" si="85"/>
        <v>3975000</v>
      </c>
      <c r="AI401" s="129"/>
      <c r="AJ401" s="129"/>
      <c r="AK401" s="129"/>
      <c r="AL401" s="129"/>
      <c r="AM401" s="129"/>
      <c r="AN401" s="64" t="s">
        <v>39</v>
      </c>
      <c r="AO401" s="165"/>
      <c r="AP401" s="165"/>
      <c r="AQ401" s="413"/>
      <c r="AR401" s="64"/>
      <c r="AS401" s="475"/>
      <c r="AT401" s="64"/>
      <c r="AU401" s="646"/>
      <c r="AV401" s="1274"/>
      <c r="AY401" s="2">
        <v>806484</v>
      </c>
      <c r="BD401" s="162">
        <v>3040000</v>
      </c>
    </row>
    <row r="402" spans="1:56" ht="23.45" customHeight="1" outlineLevel="4" x14ac:dyDescent="0.25">
      <c r="A402" s="164" t="str">
        <f t="shared" si="65"/>
        <v>1.3.1.9.14.64</v>
      </c>
      <c r="B402" s="165">
        <v>1</v>
      </c>
      <c r="C402" s="165">
        <v>3</v>
      </c>
      <c r="D402" s="165">
        <v>1</v>
      </c>
      <c r="E402" s="165">
        <v>9</v>
      </c>
      <c r="F402" s="165">
        <v>14</v>
      </c>
      <c r="G402" s="165">
        <v>64</v>
      </c>
      <c r="H402" s="166"/>
      <c r="I402" s="166"/>
      <c r="J402" s="167"/>
      <c r="K402" s="168" t="s">
        <v>462</v>
      </c>
      <c r="L402" s="165" t="s">
        <v>246</v>
      </c>
      <c r="M402" s="165" t="s">
        <v>240</v>
      </c>
      <c r="N402" s="165" t="s">
        <v>247</v>
      </c>
      <c r="O402" s="165" t="s">
        <v>241</v>
      </c>
      <c r="P402" s="169">
        <v>44315</v>
      </c>
      <c r="Q402" s="169">
        <v>44344</v>
      </c>
      <c r="R402" s="124">
        <v>8000</v>
      </c>
      <c r="S402" s="123" t="s">
        <v>248</v>
      </c>
      <c r="T402" s="159">
        <v>0</v>
      </c>
      <c r="U402" s="160"/>
      <c r="V402" s="674">
        <f t="shared" si="80"/>
        <v>0</v>
      </c>
      <c r="W402" s="161">
        <v>3000</v>
      </c>
      <c r="X402" s="160">
        <f t="shared" si="84"/>
        <v>1987500</v>
      </c>
      <c r="Y402" s="160"/>
      <c r="Z402" s="161">
        <v>3000</v>
      </c>
      <c r="AA402" s="160">
        <f t="shared" si="83"/>
        <v>1987500</v>
      </c>
      <c r="AB402" s="160"/>
      <c r="AC402" s="75">
        <v>2000</v>
      </c>
      <c r="AD402" s="163"/>
      <c r="AE402" s="600"/>
      <c r="AF402" s="347">
        <f>R402*19</f>
        <v>152000</v>
      </c>
      <c r="AG402" s="75">
        <v>0</v>
      </c>
      <c r="AH402" s="375">
        <f t="shared" si="85"/>
        <v>3975000</v>
      </c>
      <c r="AI402" s="129"/>
      <c r="AJ402" s="129"/>
      <c r="AK402" s="129"/>
      <c r="AL402" s="129"/>
      <c r="AM402" s="129"/>
      <c r="AN402" s="64" t="s">
        <v>39</v>
      </c>
      <c r="AO402" s="165"/>
      <c r="AP402" s="165"/>
      <c r="AQ402" s="413"/>
      <c r="AR402" s="64"/>
      <c r="AS402" s="475"/>
      <c r="AT402" s="64"/>
      <c r="AU402" s="646"/>
      <c r="AV402" s="1274"/>
      <c r="AY402" s="2">
        <f>SUBTOTAL(9,AY399:AY401)</f>
        <v>3398544</v>
      </c>
      <c r="BD402" s="162">
        <v>3200000</v>
      </c>
    </row>
    <row r="403" spans="1:56" ht="30" outlineLevel="4" x14ac:dyDescent="0.25">
      <c r="A403" s="63" t="str">
        <f t="shared" si="65"/>
        <v>1.3.1.9.15.58</v>
      </c>
      <c r="B403" s="64">
        <v>1</v>
      </c>
      <c r="C403" s="64">
        <v>3</v>
      </c>
      <c r="D403" s="64">
        <v>1</v>
      </c>
      <c r="E403" s="64">
        <v>9</v>
      </c>
      <c r="F403" s="64">
        <v>15</v>
      </c>
      <c r="G403" s="64">
        <v>58</v>
      </c>
      <c r="H403" s="65"/>
      <c r="I403" s="65"/>
      <c r="J403" s="65"/>
      <c r="K403" s="86" t="s">
        <v>463</v>
      </c>
      <c r="L403" s="64" t="s">
        <v>72</v>
      </c>
      <c r="M403" s="64" t="s">
        <v>73</v>
      </c>
      <c r="N403" s="64" t="s">
        <v>464</v>
      </c>
      <c r="O403" s="64" t="s">
        <v>367</v>
      </c>
      <c r="P403" s="64"/>
      <c r="Q403" s="64"/>
      <c r="R403" s="124"/>
      <c r="S403" s="123"/>
      <c r="T403" s="124"/>
      <c r="U403" s="132"/>
      <c r="V403" s="674">
        <f t="shared" si="80"/>
        <v>0</v>
      </c>
      <c r="W403" s="75"/>
      <c r="X403" s="132"/>
      <c r="Y403" s="132"/>
      <c r="Z403" s="75"/>
      <c r="AA403" s="132"/>
      <c r="AB403" s="132"/>
      <c r="AC403" s="75"/>
      <c r="AD403" s="132"/>
      <c r="AE403" s="598"/>
      <c r="AF403" s="347"/>
      <c r="AG403" s="75"/>
      <c r="AH403" s="370">
        <v>0</v>
      </c>
      <c r="AI403" s="75"/>
      <c r="AJ403" s="75"/>
      <c r="AK403" s="75"/>
      <c r="AL403" s="75"/>
      <c r="AM403" s="75"/>
      <c r="AN403" s="64" t="s">
        <v>39</v>
      </c>
      <c r="AO403" s="64"/>
      <c r="AP403" s="64"/>
      <c r="AQ403" s="189"/>
      <c r="AR403" s="64"/>
      <c r="AS403" s="476"/>
      <c r="AT403" s="64"/>
      <c r="AU403" s="646"/>
      <c r="AV403" s="185"/>
    </row>
    <row r="404" spans="1:56" ht="30" outlineLevel="4" x14ac:dyDescent="0.25">
      <c r="A404" s="63" t="str">
        <f t="shared" si="65"/>
        <v>1.3.1.9.15.59</v>
      </c>
      <c r="B404" s="64">
        <v>1</v>
      </c>
      <c r="C404" s="64">
        <v>3</v>
      </c>
      <c r="D404" s="64">
        <v>1</v>
      </c>
      <c r="E404" s="64">
        <v>9</v>
      </c>
      <c r="F404" s="64">
        <v>15</v>
      </c>
      <c r="G404" s="64">
        <v>59</v>
      </c>
      <c r="H404" s="65"/>
      <c r="I404" s="65"/>
      <c r="J404" s="66"/>
      <c r="K404" s="86" t="s">
        <v>465</v>
      </c>
      <c r="L404" s="64" t="s">
        <v>72</v>
      </c>
      <c r="M404" s="64" t="s">
        <v>73</v>
      </c>
      <c r="N404" s="64" t="s">
        <v>464</v>
      </c>
      <c r="O404" s="64" t="s">
        <v>367</v>
      </c>
      <c r="P404" s="64"/>
      <c r="Q404" s="64"/>
      <c r="R404" s="124"/>
      <c r="S404" s="123"/>
      <c r="T404" s="124"/>
      <c r="U404" s="75"/>
      <c r="V404" s="674">
        <f t="shared" si="80"/>
        <v>0</v>
      </c>
      <c r="W404" s="75"/>
      <c r="X404" s="75"/>
      <c r="Y404" s="75"/>
      <c r="Z404" s="75"/>
      <c r="AA404" s="75"/>
      <c r="AB404" s="75"/>
      <c r="AC404" s="75"/>
      <c r="AD404" s="75"/>
      <c r="AE404" s="592"/>
      <c r="AF404" s="347"/>
      <c r="AG404" s="75">
        <v>0</v>
      </c>
      <c r="AH404" s="370">
        <v>0</v>
      </c>
      <c r="AI404" s="75"/>
      <c r="AJ404" s="75"/>
      <c r="AK404" s="75"/>
      <c r="AL404" s="75"/>
      <c r="AM404" s="75"/>
      <c r="AN404" s="64" t="s">
        <v>39</v>
      </c>
      <c r="AO404" s="64"/>
      <c r="AP404" s="64"/>
      <c r="AQ404" s="189"/>
      <c r="AR404" s="64"/>
      <c r="AS404" s="476"/>
      <c r="AT404" s="64"/>
      <c r="AU404" s="646"/>
      <c r="AV404" s="185"/>
    </row>
    <row r="405" spans="1:56" ht="30" outlineLevel="4" x14ac:dyDescent="0.25">
      <c r="A405" s="63" t="str">
        <f t="shared" si="65"/>
        <v>1.3.1.9.15.60</v>
      </c>
      <c r="B405" s="64">
        <v>1</v>
      </c>
      <c r="C405" s="64">
        <v>3</v>
      </c>
      <c r="D405" s="64">
        <v>1</v>
      </c>
      <c r="E405" s="64">
        <v>9</v>
      </c>
      <c r="F405" s="64">
        <v>15</v>
      </c>
      <c r="G405" s="64">
        <v>60</v>
      </c>
      <c r="H405" s="65"/>
      <c r="I405" s="65"/>
      <c r="J405" s="65"/>
      <c r="K405" s="86" t="s">
        <v>466</v>
      </c>
      <c r="L405" s="64" t="s">
        <v>72</v>
      </c>
      <c r="M405" s="64" t="s">
        <v>73</v>
      </c>
      <c r="N405" s="64" t="s">
        <v>464</v>
      </c>
      <c r="O405" s="64" t="s">
        <v>367</v>
      </c>
      <c r="P405" s="64"/>
      <c r="Q405" s="64"/>
      <c r="R405" s="124"/>
      <c r="S405" s="123"/>
      <c r="T405" s="124"/>
      <c r="U405" s="75"/>
      <c r="V405" s="674">
        <f t="shared" si="80"/>
        <v>0</v>
      </c>
      <c r="W405" s="75"/>
      <c r="X405" s="75"/>
      <c r="Y405" s="75"/>
      <c r="Z405" s="75"/>
      <c r="AA405" s="75"/>
      <c r="AB405" s="75"/>
      <c r="AC405" s="75"/>
      <c r="AD405" s="75"/>
      <c r="AE405" s="592"/>
      <c r="AF405" s="347"/>
      <c r="AG405" s="75"/>
      <c r="AH405" s="370">
        <v>0</v>
      </c>
      <c r="AI405" s="75"/>
      <c r="AJ405" s="75"/>
      <c r="AK405" s="75"/>
      <c r="AL405" s="75"/>
      <c r="AM405" s="75"/>
      <c r="AN405" s="64" t="s">
        <v>39</v>
      </c>
      <c r="AO405" s="64"/>
      <c r="AP405" s="64"/>
      <c r="AQ405" s="189"/>
      <c r="AR405" s="64"/>
      <c r="AS405" s="476"/>
      <c r="AT405" s="64"/>
      <c r="AU405" s="646"/>
      <c r="AV405" s="185"/>
    </row>
    <row r="406" spans="1:56" ht="30" outlineLevel="4" x14ac:dyDescent="0.25">
      <c r="A406" s="63" t="str">
        <f t="shared" si="65"/>
        <v>1.3.1.9.15.61</v>
      </c>
      <c r="B406" s="64">
        <v>1</v>
      </c>
      <c r="C406" s="64">
        <v>3</v>
      </c>
      <c r="D406" s="64">
        <v>1</v>
      </c>
      <c r="E406" s="64">
        <v>9</v>
      </c>
      <c r="F406" s="64">
        <v>15</v>
      </c>
      <c r="G406" s="64">
        <v>61</v>
      </c>
      <c r="H406" s="65"/>
      <c r="I406" s="65"/>
      <c r="J406" s="66"/>
      <c r="K406" s="86" t="s">
        <v>467</v>
      </c>
      <c r="L406" s="64" t="s">
        <v>72</v>
      </c>
      <c r="M406" s="64" t="s">
        <v>73</v>
      </c>
      <c r="N406" s="64" t="s">
        <v>464</v>
      </c>
      <c r="O406" s="64" t="s">
        <v>367</v>
      </c>
      <c r="P406" s="64"/>
      <c r="Q406" s="64"/>
      <c r="R406" s="124"/>
      <c r="S406" s="123"/>
      <c r="T406" s="124"/>
      <c r="U406" s="75"/>
      <c r="V406" s="674">
        <f t="shared" si="80"/>
        <v>0</v>
      </c>
      <c r="W406" s="75"/>
      <c r="X406" s="75"/>
      <c r="Y406" s="75"/>
      <c r="Z406" s="75"/>
      <c r="AA406" s="75"/>
      <c r="AB406" s="75"/>
      <c r="AC406" s="75"/>
      <c r="AD406" s="75"/>
      <c r="AE406" s="592"/>
      <c r="AF406" s="347"/>
      <c r="AG406" s="75">
        <v>0</v>
      </c>
      <c r="AH406" s="370">
        <v>0</v>
      </c>
      <c r="AI406" s="75"/>
      <c r="AJ406" s="75"/>
      <c r="AK406" s="75"/>
      <c r="AL406" s="75"/>
      <c r="AM406" s="75"/>
      <c r="AN406" s="64" t="s">
        <v>39</v>
      </c>
      <c r="AO406" s="64"/>
      <c r="AP406" s="64"/>
      <c r="AQ406" s="189"/>
      <c r="AR406" s="64"/>
      <c r="AS406" s="476"/>
      <c r="AT406" s="64"/>
      <c r="AU406" s="646"/>
      <c r="AV406" s="185"/>
    </row>
    <row r="407" spans="1:56" ht="30" outlineLevel="4" x14ac:dyDescent="0.25">
      <c r="A407" s="63" t="str">
        <f t="shared" si="65"/>
        <v>1.3.1.9.15.62</v>
      </c>
      <c r="B407" s="64">
        <v>1</v>
      </c>
      <c r="C407" s="64">
        <v>3</v>
      </c>
      <c r="D407" s="64">
        <v>1</v>
      </c>
      <c r="E407" s="64">
        <v>9</v>
      </c>
      <c r="F407" s="64">
        <v>15</v>
      </c>
      <c r="G407" s="64">
        <v>62</v>
      </c>
      <c r="H407" s="65"/>
      <c r="I407" s="65"/>
      <c r="J407" s="65"/>
      <c r="K407" s="86" t="s">
        <v>1734</v>
      </c>
      <c r="L407" s="64" t="s">
        <v>72</v>
      </c>
      <c r="M407" s="64" t="s">
        <v>73</v>
      </c>
      <c r="N407" s="64" t="s">
        <v>464</v>
      </c>
      <c r="O407" s="64" t="s">
        <v>367</v>
      </c>
      <c r="P407" s="64"/>
      <c r="Q407" s="64"/>
      <c r="R407" s="124"/>
      <c r="S407" s="123"/>
      <c r="T407" s="124"/>
      <c r="U407" s="75"/>
      <c r="V407" s="674">
        <f t="shared" si="80"/>
        <v>0</v>
      </c>
      <c r="W407" s="75"/>
      <c r="X407" s="75"/>
      <c r="Y407" s="75"/>
      <c r="Z407" s="75"/>
      <c r="AA407" s="75"/>
      <c r="AB407" s="75"/>
      <c r="AC407" s="75"/>
      <c r="AD407" s="75"/>
      <c r="AE407" s="592"/>
      <c r="AF407" s="347"/>
      <c r="AG407" s="75"/>
      <c r="AH407" s="370">
        <v>0</v>
      </c>
      <c r="AI407" s="75"/>
      <c r="AJ407" s="75"/>
      <c r="AK407" s="75"/>
      <c r="AL407" s="75"/>
      <c r="AM407" s="75"/>
      <c r="AN407" s="64" t="s">
        <v>39</v>
      </c>
      <c r="AO407" s="64"/>
      <c r="AP407" s="64"/>
      <c r="AQ407" s="189"/>
      <c r="AR407" s="64"/>
      <c r="AS407" s="476"/>
      <c r="AT407" s="64"/>
      <c r="AU407" s="646"/>
      <c r="AV407" s="185"/>
    </row>
    <row r="408" spans="1:56" ht="30" outlineLevel="4" x14ac:dyDescent="0.25">
      <c r="A408" s="63" t="str">
        <f t="shared" si="65"/>
        <v>1.3.1.9.15.63</v>
      </c>
      <c r="B408" s="64">
        <v>1</v>
      </c>
      <c r="C408" s="64">
        <v>3</v>
      </c>
      <c r="D408" s="64">
        <v>1</v>
      </c>
      <c r="E408" s="64">
        <v>9</v>
      </c>
      <c r="F408" s="64">
        <v>15</v>
      </c>
      <c r="G408" s="64">
        <v>63</v>
      </c>
      <c r="H408" s="65"/>
      <c r="I408" s="65"/>
      <c r="J408" s="66"/>
      <c r="K408" s="86" t="s">
        <v>468</v>
      </c>
      <c r="L408" s="64" t="s">
        <v>72</v>
      </c>
      <c r="M408" s="64" t="s">
        <v>73</v>
      </c>
      <c r="N408" s="64" t="s">
        <v>464</v>
      </c>
      <c r="O408" s="64" t="s">
        <v>367</v>
      </c>
      <c r="P408" s="64"/>
      <c r="Q408" s="64"/>
      <c r="R408" s="124"/>
      <c r="S408" s="123"/>
      <c r="T408" s="124"/>
      <c r="U408" s="75"/>
      <c r="V408" s="674">
        <f t="shared" si="80"/>
        <v>0</v>
      </c>
      <c r="W408" s="75"/>
      <c r="X408" s="75"/>
      <c r="Y408" s="75"/>
      <c r="Z408" s="75"/>
      <c r="AA408" s="75"/>
      <c r="AB408" s="75"/>
      <c r="AC408" s="75"/>
      <c r="AD408" s="75"/>
      <c r="AE408" s="592"/>
      <c r="AF408" s="347"/>
      <c r="AG408" s="75">
        <v>0</v>
      </c>
      <c r="AH408" s="370">
        <v>0</v>
      </c>
      <c r="AI408" s="75"/>
      <c r="AJ408" s="75"/>
      <c r="AK408" s="75"/>
      <c r="AL408" s="75"/>
      <c r="AM408" s="75"/>
      <c r="AN408" s="64" t="s">
        <v>39</v>
      </c>
      <c r="AO408" s="64"/>
      <c r="AP408" s="64"/>
      <c r="AQ408" s="189"/>
      <c r="AR408" s="64"/>
      <c r="AS408" s="476"/>
      <c r="AT408" s="64"/>
      <c r="AU408" s="646"/>
      <c r="AV408" s="185"/>
    </row>
    <row r="409" spans="1:56" ht="30" outlineLevel="4" x14ac:dyDescent="0.25">
      <c r="A409" s="63" t="str">
        <f t="shared" si="65"/>
        <v>1.3.1.9.15.64</v>
      </c>
      <c r="B409" s="64">
        <v>1</v>
      </c>
      <c r="C409" s="64">
        <v>3</v>
      </c>
      <c r="D409" s="64">
        <v>1</v>
      </c>
      <c r="E409" s="64">
        <v>9</v>
      </c>
      <c r="F409" s="64">
        <v>15</v>
      </c>
      <c r="G409" s="64">
        <v>64</v>
      </c>
      <c r="H409" s="65"/>
      <c r="I409" s="65"/>
      <c r="J409" s="65"/>
      <c r="K409" s="86" t="s">
        <v>469</v>
      </c>
      <c r="L409" s="64" t="s">
        <v>72</v>
      </c>
      <c r="M409" s="64" t="s">
        <v>73</v>
      </c>
      <c r="N409" s="64" t="s">
        <v>464</v>
      </c>
      <c r="O409" s="64" t="s">
        <v>367</v>
      </c>
      <c r="P409" s="64"/>
      <c r="Q409" s="64"/>
      <c r="R409" s="124"/>
      <c r="S409" s="123"/>
      <c r="T409" s="124"/>
      <c r="U409" s="75"/>
      <c r="V409" s="674">
        <f t="shared" si="80"/>
        <v>0</v>
      </c>
      <c r="W409" s="75"/>
      <c r="X409" s="75"/>
      <c r="Y409" s="75"/>
      <c r="Z409" s="75"/>
      <c r="AA409" s="75"/>
      <c r="AB409" s="75"/>
      <c r="AC409" s="75"/>
      <c r="AD409" s="75"/>
      <c r="AE409" s="592"/>
      <c r="AF409" s="347"/>
      <c r="AG409" s="75"/>
      <c r="AH409" s="370">
        <v>0</v>
      </c>
      <c r="AI409" s="75"/>
      <c r="AJ409" s="75"/>
      <c r="AK409" s="75"/>
      <c r="AL409" s="75"/>
      <c r="AM409" s="75"/>
      <c r="AN409" s="64" t="s">
        <v>39</v>
      </c>
      <c r="AO409" s="64"/>
      <c r="AP409" s="64"/>
      <c r="AQ409" s="189"/>
      <c r="AR409" s="64"/>
      <c r="AS409" s="476"/>
      <c r="AT409" s="64"/>
      <c r="AU409" s="646"/>
      <c r="AV409" s="185"/>
    </row>
    <row r="410" spans="1:56" ht="30" outlineLevel="4" x14ac:dyDescent="0.25">
      <c r="A410" s="63" t="str">
        <f t="shared" si="65"/>
        <v>1.3.1.9.16.58</v>
      </c>
      <c r="B410" s="64">
        <v>1</v>
      </c>
      <c r="C410" s="64">
        <v>3</v>
      </c>
      <c r="D410" s="64">
        <v>1</v>
      </c>
      <c r="E410" s="64">
        <v>9</v>
      </c>
      <c r="F410" s="64">
        <v>16</v>
      </c>
      <c r="G410" s="64">
        <v>58</v>
      </c>
      <c r="H410" s="65"/>
      <c r="I410" s="65"/>
      <c r="J410" s="66"/>
      <c r="K410" s="86" t="s">
        <v>470</v>
      </c>
      <c r="L410" s="64" t="s">
        <v>72</v>
      </c>
      <c r="M410" s="64" t="s">
        <v>73</v>
      </c>
      <c r="N410" s="64" t="s">
        <v>464</v>
      </c>
      <c r="O410" s="64" t="s">
        <v>367</v>
      </c>
      <c r="P410" s="64"/>
      <c r="Q410" s="64"/>
      <c r="R410" s="124"/>
      <c r="S410" s="123"/>
      <c r="T410" s="124"/>
      <c r="U410" s="75"/>
      <c r="V410" s="674">
        <f t="shared" si="80"/>
        <v>0</v>
      </c>
      <c r="W410" s="75"/>
      <c r="X410" s="75"/>
      <c r="Y410" s="75"/>
      <c r="Z410" s="75"/>
      <c r="AA410" s="75"/>
      <c r="AB410" s="75"/>
      <c r="AC410" s="75"/>
      <c r="AD410" s="75"/>
      <c r="AE410" s="592"/>
      <c r="AF410" s="347"/>
      <c r="AG410" s="75">
        <v>0</v>
      </c>
      <c r="AH410" s="370">
        <v>0</v>
      </c>
      <c r="AI410" s="75"/>
      <c r="AJ410" s="75"/>
      <c r="AK410" s="75"/>
      <c r="AL410" s="75"/>
      <c r="AM410" s="75"/>
      <c r="AN410" s="64" t="s">
        <v>39</v>
      </c>
      <c r="AO410" s="64"/>
      <c r="AP410" s="64"/>
      <c r="AQ410" s="189"/>
      <c r="AR410" s="64"/>
      <c r="AS410" s="476"/>
      <c r="AT410" s="64"/>
      <c r="AU410" s="646"/>
      <c r="AV410" s="185"/>
    </row>
    <row r="411" spans="1:56" ht="30" outlineLevel="4" x14ac:dyDescent="0.25">
      <c r="A411" s="63" t="str">
        <f t="shared" si="65"/>
        <v>1.3.1.9.16.59</v>
      </c>
      <c r="B411" s="64">
        <v>1</v>
      </c>
      <c r="C411" s="64">
        <v>3</v>
      </c>
      <c r="D411" s="64">
        <v>1</v>
      </c>
      <c r="E411" s="64">
        <v>9</v>
      </c>
      <c r="F411" s="64">
        <v>16</v>
      </c>
      <c r="G411" s="64">
        <v>59</v>
      </c>
      <c r="H411" s="65"/>
      <c r="I411" s="65"/>
      <c r="J411" s="65"/>
      <c r="K411" s="86" t="s">
        <v>471</v>
      </c>
      <c r="L411" s="64" t="s">
        <v>72</v>
      </c>
      <c r="M411" s="64" t="s">
        <v>73</v>
      </c>
      <c r="N411" s="64" t="s">
        <v>464</v>
      </c>
      <c r="O411" s="64" t="s">
        <v>367</v>
      </c>
      <c r="P411" s="64"/>
      <c r="Q411" s="64"/>
      <c r="R411" s="124"/>
      <c r="S411" s="123"/>
      <c r="T411" s="124"/>
      <c r="U411" s="75"/>
      <c r="V411" s="674">
        <f t="shared" si="80"/>
        <v>0</v>
      </c>
      <c r="W411" s="75"/>
      <c r="X411" s="75"/>
      <c r="Y411" s="75"/>
      <c r="Z411" s="75"/>
      <c r="AA411" s="75"/>
      <c r="AB411" s="75"/>
      <c r="AC411" s="75"/>
      <c r="AD411" s="75"/>
      <c r="AE411" s="592"/>
      <c r="AF411" s="347"/>
      <c r="AG411" s="75">
        <v>0</v>
      </c>
      <c r="AH411" s="370">
        <v>0</v>
      </c>
      <c r="AI411" s="75"/>
      <c r="AJ411" s="75"/>
      <c r="AK411" s="75"/>
      <c r="AL411" s="75"/>
      <c r="AM411" s="75"/>
      <c r="AN411" s="64" t="s">
        <v>39</v>
      </c>
      <c r="AO411" s="64"/>
      <c r="AP411" s="64"/>
      <c r="AQ411" s="189"/>
      <c r="AR411" s="64"/>
      <c r="AS411" s="476"/>
      <c r="AT411" s="64"/>
      <c r="AU411" s="646"/>
      <c r="AV411" s="185"/>
    </row>
    <row r="412" spans="1:56" ht="30" outlineLevel="4" x14ac:dyDescent="0.25">
      <c r="A412" s="63" t="str">
        <f t="shared" si="65"/>
        <v>1.3.1.9.16.60</v>
      </c>
      <c r="B412" s="64">
        <v>1</v>
      </c>
      <c r="C412" s="64">
        <v>3</v>
      </c>
      <c r="D412" s="64">
        <v>1</v>
      </c>
      <c r="E412" s="64">
        <v>9</v>
      </c>
      <c r="F412" s="64">
        <v>16</v>
      </c>
      <c r="G412" s="64">
        <v>60</v>
      </c>
      <c r="H412" s="65"/>
      <c r="I412" s="65"/>
      <c r="J412" s="66"/>
      <c r="K412" s="86" t="s">
        <v>472</v>
      </c>
      <c r="L412" s="64" t="s">
        <v>72</v>
      </c>
      <c r="M412" s="64" t="s">
        <v>73</v>
      </c>
      <c r="N412" s="64" t="s">
        <v>464</v>
      </c>
      <c r="O412" s="64" t="s">
        <v>367</v>
      </c>
      <c r="P412" s="64"/>
      <c r="Q412" s="64"/>
      <c r="R412" s="124"/>
      <c r="S412" s="123"/>
      <c r="T412" s="124"/>
      <c r="U412" s="75"/>
      <c r="V412" s="674">
        <f t="shared" si="80"/>
        <v>0</v>
      </c>
      <c r="W412" s="75"/>
      <c r="X412" s="75"/>
      <c r="Y412" s="75"/>
      <c r="Z412" s="75"/>
      <c r="AA412" s="75"/>
      <c r="AB412" s="75"/>
      <c r="AC412" s="75"/>
      <c r="AD412" s="75"/>
      <c r="AE412" s="592"/>
      <c r="AF412" s="347"/>
      <c r="AG412" s="75">
        <v>0</v>
      </c>
      <c r="AH412" s="370">
        <v>0</v>
      </c>
      <c r="AI412" s="75"/>
      <c r="AJ412" s="75"/>
      <c r="AK412" s="75"/>
      <c r="AL412" s="75"/>
      <c r="AM412" s="75"/>
      <c r="AN412" s="64" t="s">
        <v>39</v>
      </c>
      <c r="AO412" s="64"/>
      <c r="AP412" s="64"/>
      <c r="AQ412" s="189"/>
      <c r="AR412" s="64"/>
      <c r="AS412" s="476"/>
      <c r="AT412" s="64"/>
      <c r="AU412" s="646"/>
      <c r="AV412" s="185"/>
    </row>
    <row r="413" spans="1:56" ht="30" outlineLevel="4" x14ac:dyDescent="0.25">
      <c r="A413" s="63" t="str">
        <f t="shared" si="65"/>
        <v>1.3.1.9.16.61</v>
      </c>
      <c r="B413" s="64">
        <v>1</v>
      </c>
      <c r="C413" s="64">
        <v>3</v>
      </c>
      <c r="D413" s="64">
        <v>1</v>
      </c>
      <c r="E413" s="64">
        <v>9</v>
      </c>
      <c r="F413" s="64">
        <v>16</v>
      </c>
      <c r="G413" s="64">
        <v>61</v>
      </c>
      <c r="H413" s="65"/>
      <c r="I413" s="65"/>
      <c r="J413" s="65"/>
      <c r="K413" s="86" t="s">
        <v>473</v>
      </c>
      <c r="L413" s="64" t="s">
        <v>72</v>
      </c>
      <c r="M413" s="64" t="s">
        <v>73</v>
      </c>
      <c r="N413" s="64" t="s">
        <v>464</v>
      </c>
      <c r="O413" s="64" t="s">
        <v>367</v>
      </c>
      <c r="P413" s="64"/>
      <c r="Q413" s="64"/>
      <c r="R413" s="124"/>
      <c r="S413" s="123"/>
      <c r="T413" s="124"/>
      <c r="U413" s="75"/>
      <c r="V413" s="674">
        <f t="shared" si="80"/>
        <v>0</v>
      </c>
      <c r="W413" s="75"/>
      <c r="X413" s="75"/>
      <c r="Y413" s="75"/>
      <c r="Z413" s="75"/>
      <c r="AA413" s="75"/>
      <c r="AB413" s="75"/>
      <c r="AC413" s="75"/>
      <c r="AD413" s="75"/>
      <c r="AE413" s="592"/>
      <c r="AF413" s="347"/>
      <c r="AG413" s="75">
        <v>0</v>
      </c>
      <c r="AH413" s="370">
        <v>0</v>
      </c>
      <c r="AI413" s="75"/>
      <c r="AJ413" s="75"/>
      <c r="AK413" s="75"/>
      <c r="AL413" s="75"/>
      <c r="AM413" s="75"/>
      <c r="AN413" s="64" t="s">
        <v>39</v>
      </c>
      <c r="AO413" s="64"/>
      <c r="AP413" s="64"/>
      <c r="AQ413" s="189"/>
      <c r="AR413" s="64"/>
      <c r="AS413" s="476"/>
      <c r="AT413" s="64"/>
      <c r="AU413" s="646"/>
      <c r="AV413" s="185"/>
    </row>
    <row r="414" spans="1:56" ht="30" outlineLevel="4" x14ac:dyDescent="0.25">
      <c r="A414" s="63" t="str">
        <f t="shared" si="65"/>
        <v>1.3.1.9.16.62</v>
      </c>
      <c r="B414" s="64">
        <v>1</v>
      </c>
      <c r="C414" s="64">
        <v>3</v>
      </c>
      <c r="D414" s="64">
        <v>1</v>
      </c>
      <c r="E414" s="64">
        <v>9</v>
      </c>
      <c r="F414" s="64">
        <v>16</v>
      </c>
      <c r="G414" s="64">
        <v>62</v>
      </c>
      <c r="H414" s="65"/>
      <c r="I414" s="65"/>
      <c r="J414" s="66"/>
      <c r="K414" s="86" t="s">
        <v>1735</v>
      </c>
      <c r="L414" s="64" t="s">
        <v>72</v>
      </c>
      <c r="M414" s="64" t="s">
        <v>73</v>
      </c>
      <c r="N414" s="64" t="s">
        <v>464</v>
      </c>
      <c r="O414" s="64" t="s">
        <v>367</v>
      </c>
      <c r="P414" s="64"/>
      <c r="Q414" s="64"/>
      <c r="R414" s="124"/>
      <c r="S414" s="123"/>
      <c r="T414" s="124"/>
      <c r="U414" s="75"/>
      <c r="V414" s="674">
        <f t="shared" si="80"/>
        <v>0</v>
      </c>
      <c r="W414" s="75"/>
      <c r="X414" s="75"/>
      <c r="Y414" s="75"/>
      <c r="Z414" s="75"/>
      <c r="AA414" s="75"/>
      <c r="AB414" s="75"/>
      <c r="AC414" s="75"/>
      <c r="AD414" s="75"/>
      <c r="AE414" s="592"/>
      <c r="AF414" s="347"/>
      <c r="AG414" s="75">
        <v>0</v>
      </c>
      <c r="AH414" s="370">
        <v>0</v>
      </c>
      <c r="AI414" s="75"/>
      <c r="AJ414" s="75"/>
      <c r="AK414" s="75"/>
      <c r="AL414" s="75"/>
      <c r="AM414" s="75"/>
      <c r="AN414" s="64" t="s">
        <v>39</v>
      </c>
      <c r="AO414" s="64"/>
      <c r="AP414" s="64"/>
      <c r="AQ414" s="189"/>
      <c r="AR414" s="64"/>
      <c r="AS414" s="476"/>
      <c r="AT414" s="64"/>
      <c r="AU414" s="646"/>
      <c r="AV414" s="185"/>
    </row>
    <row r="415" spans="1:56" ht="30" outlineLevel="4" x14ac:dyDescent="0.25">
      <c r="A415" s="63" t="str">
        <f t="shared" si="65"/>
        <v>1.3.1.9.16.63</v>
      </c>
      <c r="B415" s="64">
        <v>1</v>
      </c>
      <c r="C415" s="64">
        <v>3</v>
      </c>
      <c r="D415" s="64">
        <v>1</v>
      </c>
      <c r="E415" s="64">
        <v>9</v>
      </c>
      <c r="F415" s="64">
        <v>16</v>
      </c>
      <c r="G415" s="64">
        <v>63</v>
      </c>
      <c r="H415" s="65"/>
      <c r="I415" s="65"/>
      <c r="J415" s="65"/>
      <c r="K415" s="86" t="s">
        <v>474</v>
      </c>
      <c r="L415" s="64" t="s">
        <v>72</v>
      </c>
      <c r="M415" s="64" t="s">
        <v>73</v>
      </c>
      <c r="N415" s="64" t="s">
        <v>464</v>
      </c>
      <c r="O415" s="64" t="s">
        <v>367</v>
      </c>
      <c r="P415" s="64"/>
      <c r="Q415" s="64"/>
      <c r="R415" s="124"/>
      <c r="S415" s="123"/>
      <c r="T415" s="124"/>
      <c r="U415" s="75"/>
      <c r="V415" s="674">
        <f t="shared" si="80"/>
        <v>0</v>
      </c>
      <c r="W415" s="75"/>
      <c r="X415" s="75"/>
      <c r="Y415" s="75"/>
      <c r="Z415" s="75"/>
      <c r="AA415" s="75"/>
      <c r="AB415" s="75"/>
      <c r="AC415" s="75"/>
      <c r="AD415" s="75"/>
      <c r="AE415" s="592"/>
      <c r="AF415" s="347"/>
      <c r="AG415" s="75">
        <v>0</v>
      </c>
      <c r="AH415" s="370">
        <v>0</v>
      </c>
      <c r="AI415" s="75"/>
      <c r="AJ415" s="75"/>
      <c r="AK415" s="75"/>
      <c r="AL415" s="75"/>
      <c r="AM415" s="75"/>
      <c r="AN415" s="64" t="s">
        <v>39</v>
      </c>
      <c r="AO415" s="64"/>
      <c r="AP415" s="64"/>
      <c r="AQ415" s="189"/>
      <c r="AR415" s="64"/>
      <c r="AS415" s="476"/>
      <c r="AT415" s="64"/>
      <c r="AU415" s="646"/>
      <c r="AV415" s="185"/>
    </row>
    <row r="416" spans="1:56" ht="30" outlineLevel="4" x14ac:dyDescent="0.25">
      <c r="A416" s="63" t="str">
        <f t="shared" si="65"/>
        <v>1.3.1.9.16.64</v>
      </c>
      <c r="B416" s="64">
        <v>1</v>
      </c>
      <c r="C416" s="64">
        <v>3</v>
      </c>
      <c r="D416" s="64">
        <v>1</v>
      </c>
      <c r="E416" s="64">
        <v>9</v>
      </c>
      <c r="F416" s="64">
        <v>16</v>
      </c>
      <c r="G416" s="64">
        <v>64</v>
      </c>
      <c r="H416" s="65"/>
      <c r="I416" s="65"/>
      <c r="J416" s="66"/>
      <c r="K416" s="86" t="s">
        <v>475</v>
      </c>
      <c r="L416" s="64" t="s">
        <v>72</v>
      </c>
      <c r="M416" s="64" t="s">
        <v>73</v>
      </c>
      <c r="N416" s="64" t="s">
        <v>464</v>
      </c>
      <c r="O416" s="64" t="s">
        <v>367</v>
      </c>
      <c r="P416" s="64"/>
      <c r="Q416" s="64"/>
      <c r="R416" s="124"/>
      <c r="S416" s="123"/>
      <c r="T416" s="124"/>
      <c r="U416" s="75"/>
      <c r="V416" s="674">
        <f t="shared" si="80"/>
        <v>0</v>
      </c>
      <c r="W416" s="75"/>
      <c r="X416" s="75"/>
      <c r="Y416" s="75"/>
      <c r="Z416" s="75"/>
      <c r="AA416" s="75"/>
      <c r="AB416" s="75"/>
      <c r="AC416" s="75"/>
      <c r="AD416" s="75"/>
      <c r="AE416" s="592"/>
      <c r="AF416" s="347"/>
      <c r="AG416" s="75">
        <v>0</v>
      </c>
      <c r="AH416" s="370">
        <v>0</v>
      </c>
      <c r="AI416" s="75"/>
      <c r="AJ416" s="75"/>
      <c r="AK416" s="75"/>
      <c r="AL416" s="75"/>
      <c r="AM416" s="75"/>
      <c r="AN416" s="64" t="s">
        <v>39</v>
      </c>
      <c r="AO416" s="64"/>
      <c r="AP416" s="64"/>
      <c r="AQ416" s="189"/>
      <c r="AR416" s="64"/>
      <c r="AS416" s="476"/>
      <c r="AT416" s="64"/>
      <c r="AU416" s="646"/>
      <c r="AV416" s="185"/>
    </row>
    <row r="417" spans="1:48" outlineLevel="4" x14ac:dyDescent="0.25">
      <c r="A417" s="63" t="str">
        <f t="shared" si="65"/>
        <v>1.3.1.9.17.58</v>
      </c>
      <c r="B417" s="64">
        <v>1</v>
      </c>
      <c r="C417" s="64">
        <v>3</v>
      </c>
      <c r="D417" s="64">
        <v>1</v>
      </c>
      <c r="E417" s="64">
        <v>9</v>
      </c>
      <c r="F417" s="64">
        <v>17</v>
      </c>
      <c r="G417" s="64">
        <v>58</v>
      </c>
      <c r="H417" s="65"/>
      <c r="I417" s="65"/>
      <c r="J417" s="65"/>
      <c r="K417" s="125" t="s">
        <v>476</v>
      </c>
      <c r="L417" s="64" t="s">
        <v>72</v>
      </c>
      <c r="M417" s="64" t="s">
        <v>73</v>
      </c>
      <c r="N417" s="64" t="s">
        <v>464</v>
      </c>
      <c r="O417" s="64" t="s">
        <v>367</v>
      </c>
      <c r="P417" s="64"/>
      <c r="Q417" s="64"/>
      <c r="R417" s="124"/>
      <c r="S417" s="123"/>
      <c r="T417" s="124"/>
      <c r="U417" s="75"/>
      <c r="V417" s="674">
        <f t="shared" si="80"/>
        <v>0</v>
      </c>
      <c r="W417" s="75"/>
      <c r="X417" s="75"/>
      <c r="Y417" s="75"/>
      <c r="Z417" s="75"/>
      <c r="AA417" s="75"/>
      <c r="AB417" s="75"/>
      <c r="AC417" s="75"/>
      <c r="AD417" s="75"/>
      <c r="AE417" s="592"/>
      <c r="AF417" s="347"/>
      <c r="AG417" s="75">
        <v>0</v>
      </c>
      <c r="AH417" s="370">
        <v>0</v>
      </c>
      <c r="AI417" s="75"/>
      <c r="AJ417" s="75"/>
      <c r="AK417" s="75"/>
      <c r="AL417" s="75"/>
      <c r="AM417" s="75"/>
      <c r="AN417" s="64" t="s">
        <v>39</v>
      </c>
      <c r="AO417" s="64"/>
      <c r="AP417" s="64"/>
      <c r="AQ417" s="189"/>
      <c r="AR417" s="64"/>
      <c r="AS417" s="476"/>
      <c r="AT417" s="64"/>
      <c r="AU417" s="646"/>
      <c r="AV417" s="185"/>
    </row>
    <row r="418" spans="1:48" outlineLevel="4" x14ac:dyDescent="0.25">
      <c r="A418" s="63" t="str">
        <f t="shared" si="65"/>
        <v>1.3.1.9.17.59</v>
      </c>
      <c r="B418" s="64">
        <v>1</v>
      </c>
      <c r="C418" s="64">
        <v>3</v>
      </c>
      <c r="D418" s="64">
        <v>1</v>
      </c>
      <c r="E418" s="64">
        <v>9</v>
      </c>
      <c r="F418" s="64">
        <v>17</v>
      </c>
      <c r="G418" s="64">
        <v>59</v>
      </c>
      <c r="H418" s="65"/>
      <c r="I418" s="65"/>
      <c r="J418" s="65"/>
      <c r="K418" s="125" t="s">
        <v>477</v>
      </c>
      <c r="L418" s="64" t="s">
        <v>72</v>
      </c>
      <c r="M418" s="64" t="s">
        <v>73</v>
      </c>
      <c r="N418" s="64" t="s">
        <v>464</v>
      </c>
      <c r="O418" s="64" t="s">
        <v>367</v>
      </c>
      <c r="P418" s="64"/>
      <c r="Q418" s="64"/>
      <c r="R418" s="124"/>
      <c r="S418" s="123"/>
      <c r="T418" s="124"/>
      <c r="U418" s="75"/>
      <c r="V418" s="674">
        <f t="shared" si="80"/>
        <v>0</v>
      </c>
      <c r="W418" s="75"/>
      <c r="X418" s="75"/>
      <c r="Y418" s="75"/>
      <c r="Z418" s="75"/>
      <c r="AA418" s="75"/>
      <c r="AB418" s="75"/>
      <c r="AC418" s="75"/>
      <c r="AD418" s="75"/>
      <c r="AE418" s="592"/>
      <c r="AF418" s="347"/>
      <c r="AG418" s="75">
        <v>0</v>
      </c>
      <c r="AH418" s="370">
        <v>0</v>
      </c>
      <c r="AI418" s="75"/>
      <c r="AJ418" s="75"/>
      <c r="AK418" s="75"/>
      <c r="AL418" s="75"/>
      <c r="AM418" s="75"/>
      <c r="AN418" s="64" t="s">
        <v>39</v>
      </c>
      <c r="AO418" s="64"/>
      <c r="AP418" s="64"/>
      <c r="AQ418" s="189"/>
      <c r="AR418" s="64"/>
      <c r="AS418" s="476"/>
      <c r="AT418" s="64"/>
      <c r="AU418" s="646"/>
      <c r="AV418" s="185"/>
    </row>
    <row r="419" spans="1:48" outlineLevel="4" x14ac:dyDescent="0.25">
      <c r="A419" s="63" t="str">
        <f t="shared" si="65"/>
        <v>1.3.1.9.17.60</v>
      </c>
      <c r="B419" s="64">
        <v>1</v>
      </c>
      <c r="C419" s="64">
        <v>3</v>
      </c>
      <c r="D419" s="64">
        <v>1</v>
      </c>
      <c r="E419" s="64">
        <v>9</v>
      </c>
      <c r="F419" s="64">
        <v>17</v>
      </c>
      <c r="G419" s="64">
        <v>60</v>
      </c>
      <c r="H419" s="65"/>
      <c r="I419" s="65"/>
      <c r="J419" s="65"/>
      <c r="K419" s="125" t="s">
        <v>478</v>
      </c>
      <c r="L419" s="64" t="s">
        <v>72</v>
      </c>
      <c r="M419" s="64" t="s">
        <v>73</v>
      </c>
      <c r="N419" s="64" t="s">
        <v>464</v>
      </c>
      <c r="O419" s="64" t="s">
        <v>367</v>
      </c>
      <c r="P419" s="64"/>
      <c r="Q419" s="64"/>
      <c r="R419" s="124"/>
      <c r="S419" s="123"/>
      <c r="T419" s="124"/>
      <c r="U419" s="75"/>
      <c r="V419" s="674">
        <f t="shared" si="80"/>
        <v>0</v>
      </c>
      <c r="W419" s="75"/>
      <c r="X419" s="75"/>
      <c r="Y419" s="75"/>
      <c r="Z419" s="75"/>
      <c r="AA419" s="75"/>
      <c r="AB419" s="75"/>
      <c r="AC419" s="75"/>
      <c r="AD419" s="75"/>
      <c r="AE419" s="592"/>
      <c r="AF419" s="347"/>
      <c r="AG419" s="75">
        <v>0</v>
      </c>
      <c r="AH419" s="370">
        <v>0</v>
      </c>
      <c r="AI419" s="75"/>
      <c r="AJ419" s="75"/>
      <c r="AK419" s="75"/>
      <c r="AL419" s="75"/>
      <c r="AM419" s="75"/>
      <c r="AN419" s="64" t="s">
        <v>39</v>
      </c>
      <c r="AO419" s="64"/>
      <c r="AP419" s="64"/>
      <c r="AQ419" s="189"/>
      <c r="AR419" s="64"/>
      <c r="AS419" s="476"/>
      <c r="AT419" s="64"/>
      <c r="AU419" s="646"/>
      <c r="AV419" s="185"/>
    </row>
    <row r="420" spans="1:48" outlineLevel="4" x14ac:dyDescent="0.25">
      <c r="A420" s="63" t="str">
        <f t="shared" si="65"/>
        <v>1.3.1.9.17.61</v>
      </c>
      <c r="B420" s="64">
        <v>1</v>
      </c>
      <c r="C420" s="64">
        <v>3</v>
      </c>
      <c r="D420" s="64">
        <v>1</v>
      </c>
      <c r="E420" s="64">
        <v>9</v>
      </c>
      <c r="F420" s="64">
        <v>17</v>
      </c>
      <c r="G420" s="64">
        <v>61</v>
      </c>
      <c r="H420" s="65"/>
      <c r="I420" s="65"/>
      <c r="J420" s="65"/>
      <c r="K420" s="125" t="s">
        <v>479</v>
      </c>
      <c r="L420" s="64" t="s">
        <v>72</v>
      </c>
      <c r="M420" s="64" t="s">
        <v>73</v>
      </c>
      <c r="N420" s="64" t="s">
        <v>464</v>
      </c>
      <c r="O420" s="64" t="s">
        <v>367</v>
      </c>
      <c r="P420" s="64"/>
      <c r="Q420" s="64"/>
      <c r="R420" s="124"/>
      <c r="S420" s="123"/>
      <c r="T420" s="124"/>
      <c r="U420" s="75"/>
      <c r="V420" s="674">
        <f t="shared" si="80"/>
        <v>0</v>
      </c>
      <c r="W420" s="75"/>
      <c r="X420" s="75"/>
      <c r="Y420" s="75"/>
      <c r="Z420" s="75"/>
      <c r="AA420" s="75"/>
      <c r="AB420" s="75"/>
      <c r="AC420" s="75"/>
      <c r="AD420" s="75"/>
      <c r="AE420" s="592"/>
      <c r="AF420" s="347"/>
      <c r="AG420" s="75">
        <v>0</v>
      </c>
      <c r="AH420" s="370">
        <v>0</v>
      </c>
      <c r="AI420" s="75"/>
      <c r="AJ420" s="75"/>
      <c r="AK420" s="75"/>
      <c r="AL420" s="75"/>
      <c r="AM420" s="75"/>
      <c r="AN420" s="64" t="s">
        <v>39</v>
      </c>
      <c r="AO420" s="64"/>
      <c r="AP420" s="64"/>
      <c r="AQ420" s="189"/>
      <c r="AR420" s="64"/>
      <c r="AS420" s="476"/>
      <c r="AT420" s="64"/>
      <c r="AU420" s="646"/>
      <c r="AV420" s="185"/>
    </row>
    <row r="421" spans="1:48" outlineLevel="4" x14ac:dyDescent="0.25">
      <c r="A421" s="63" t="str">
        <f t="shared" si="65"/>
        <v>1.3.1.9.17.62</v>
      </c>
      <c r="B421" s="64">
        <v>1</v>
      </c>
      <c r="C421" s="64">
        <v>3</v>
      </c>
      <c r="D421" s="64">
        <v>1</v>
      </c>
      <c r="E421" s="64">
        <v>9</v>
      </c>
      <c r="F421" s="64">
        <v>17</v>
      </c>
      <c r="G421" s="64">
        <v>62</v>
      </c>
      <c r="H421" s="65"/>
      <c r="I421" s="65"/>
      <c r="J421" s="65"/>
      <c r="K421" s="125" t="s">
        <v>1736</v>
      </c>
      <c r="L421" s="64" t="s">
        <v>72</v>
      </c>
      <c r="M421" s="64" t="s">
        <v>73</v>
      </c>
      <c r="N421" s="64" t="s">
        <v>464</v>
      </c>
      <c r="O421" s="64" t="s">
        <v>367</v>
      </c>
      <c r="P421" s="64"/>
      <c r="Q421" s="64"/>
      <c r="R421" s="124"/>
      <c r="S421" s="123"/>
      <c r="T421" s="124"/>
      <c r="U421" s="75"/>
      <c r="V421" s="674">
        <f t="shared" si="80"/>
        <v>0</v>
      </c>
      <c r="W421" s="75"/>
      <c r="X421" s="75"/>
      <c r="Y421" s="75"/>
      <c r="Z421" s="75"/>
      <c r="AA421" s="75"/>
      <c r="AB421" s="75"/>
      <c r="AC421" s="75"/>
      <c r="AD421" s="75"/>
      <c r="AE421" s="592"/>
      <c r="AF421" s="347"/>
      <c r="AG421" s="75">
        <v>0</v>
      </c>
      <c r="AH421" s="370">
        <v>0</v>
      </c>
      <c r="AI421" s="75"/>
      <c r="AJ421" s="75"/>
      <c r="AK421" s="75"/>
      <c r="AL421" s="75"/>
      <c r="AM421" s="75"/>
      <c r="AN421" s="64" t="s">
        <v>39</v>
      </c>
      <c r="AO421" s="64"/>
      <c r="AP421" s="64"/>
      <c r="AQ421" s="189"/>
      <c r="AR421" s="64"/>
      <c r="AS421" s="476"/>
      <c r="AT421" s="64"/>
      <c r="AU421" s="646"/>
      <c r="AV421" s="185"/>
    </row>
    <row r="422" spans="1:48" outlineLevel="4" x14ac:dyDescent="0.25">
      <c r="A422" s="63" t="str">
        <f t="shared" si="65"/>
        <v>1.3.1.9.17.63</v>
      </c>
      <c r="B422" s="64">
        <v>1</v>
      </c>
      <c r="C422" s="64">
        <v>3</v>
      </c>
      <c r="D422" s="64">
        <v>1</v>
      </c>
      <c r="E422" s="64">
        <v>9</v>
      </c>
      <c r="F422" s="64">
        <v>17</v>
      </c>
      <c r="G422" s="64">
        <v>63</v>
      </c>
      <c r="H422" s="65"/>
      <c r="I422" s="65"/>
      <c r="J422" s="65"/>
      <c r="K422" s="125" t="s">
        <v>480</v>
      </c>
      <c r="L422" s="64" t="s">
        <v>72</v>
      </c>
      <c r="M422" s="64" t="s">
        <v>73</v>
      </c>
      <c r="N422" s="64" t="s">
        <v>464</v>
      </c>
      <c r="O422" s="64" t="s">
        <v>367</v>
      </c>
      <c r="P422" s="64"/>
      <c r="Q422" s="64"/>
      <c r="R422" s="124"/>
      <c r="S422" s="123"/>
      <c r="T422" s="124"/>
      <c r="U422" s="75"/>
      <c r="V422" s="674">
        <f t="shared" si="80"/>
        <v>0</v>
      </c>
      <c r="W422" s="75"/>
      <c r="X422" s="75"/>
      <c r="Y422" s="75"/>
      <c r="Z422" s="75"/>
      <c r="AA422" s="75"/>
      <c r="AB422" s="75"/>
      <c r="AC422" s="75"/>
      <c r="AD422" s="75"/>
      <c r="AE422" s="592"/>
      <c r="AF422" s="347"/>
      <c r="AG422" s="75">
        <v>0</v>
      </c>
      <c r="AH422" s="370">
        <v>0</v>
      </c>
      <c r="AI422" s="75"/>
      <c r="AJ422" s="75"/>
      <c r="AK422" s="75"/>
      <c r="AL422" s="75"/>
      <c r="AM422" s="75"/>
      <c r="AN422" s="64" t="s">
        <v>39</v>
      </c>
      <c r="AO422" s="64"/>
      <c r="AP422" s="64"/>
      <c r="AQ422" s="189"/>
      <c r="AR422" s="64"/>
      <c r="AS422" s="476"/>
      <c r="AT422" s="64"/>
      <c r="AU422" s="646"/>
      <c r="AV422" s="185"/>
    </row>
    <row r="423" spans="1:48" outlineLevel="4" x14ac:dyDescent="0.25">
      <c r="A423" s="63" t="str">
        <f t="shared" si="65"/>
        <v>1.3.1.9.17.64</v>
      </c>
      <c r="B423" s="64">
        <v>1</v>
      </c>
      <c r="C423" s="64">
        <v>3</v>
      </c>
      <c r="D423" s="64">
        <v>1</v>
      </c>
      <c r="E423" s="64">
        <v>9</v>
      </c>
      <c r="F423" s="64">
        <v>17</v>
      </c>
      <c r="G423" s="64">
        <v>64</v>
      </c>
      <c r="H423" s="65"/>
      <c r="I423" s="65"/>
      <c r="J423" s="65"/>
      <c r="K423" s="125" t="s">
        <v>481</v>
      </c>
      <c r="L423" s="64" t="s">
        <v>72</v>
      </c>
      <c r="M423" s="64" t="s">
        <v>73</v>
      </c>
      <c r="N423" s="64" t="s">
        <v>464</v>
      </c>
      <c r="O423" s="64" t="s">
        <v>367</v>
      </c>
      <c r="P423" s="64"/>
      <c r="Q423" s="64"/>
      <c r="R423" s="124"/>
      <c r="S423" s="123"/>
      <c r="T423" s="124"/>
      <c r="U423" s="75"/>
      <c r="V423" s="674">
        <f t="shared" si="80"/>
        <v>0</v>
      </c>
      <c r="W423" s="75"/>
      <c r="X423" s="75"/>
      <c r="Y423" s="75"/>
      <c r="Z423" s="75"/>
      <c r="AA423" s="75"/>
      <c r="AB423" s="75"/>
      <c r="AC423" s="75"/>
      <c r="AD423" s="75"/>
      <c r="AE423" s="592"/>
      <c r="AF423" s="347"/>
      <c r="AG423" s="75">
        <v>0</v>
      </c>
      <c r="AH423" s="370">
        <v>0</v>
      </c>
      <c r="AI423" s="75"/>
      <c r="AJ423" s="75"/>
      <c r="AK423" s="75"/>
      <c r="AL423" s="75"/>
      <c r="AM423" s="75"/>
      <c r="AN423" s="64" t="s">
        <v>39</v>
      </c>
      <c r="AO423" s="64"/>
      <c r="AP423" s="64"/>
      <c r="AQ423" s="189"/>
      <c r="AR423" s="64"/>
      <c r="AS423" s="476"/>
      <c r="AT423" s="64"/>
      <c r="AU423" s="646"/>
      <c r="AV423" s="185"/>
    </row>
    <row r="424" spans="1:48" outlineLevel="4" x14ac:dyDescent="0.25">
      <c r="A424" s="63" t="str">
        <f t="shared" si="65"/>
        <v>1.3.1.9.18.58</v>
      </c>
      <c r="B424" s="64">
        <v>1</v>
      </c>
      <c r="C424" s="64">
        <v>3</v>
      </c>
      <c r="D424" s="64">
        <v>1</v>
      </c>
      <c r="E424" s="64">
        <v>9</v>
      </c>
      <c r="F424" s="64">
        <v>18</v>
      </c>
      <c r="G424" s="64">
        <v>58</v>
      </c>
      <c r="H424" s="65"/>
      <c r="I424" s="65"/>
      <c r="J424" s="65"/>
      <c r="K424" s="125" t="s">
        <v>482</v>
      </c>
      <c r="L424" s="64" t="s">
        <v>72</v>
      </c>
      <c r="M424" s="64" t="s">
        <v>73</v>
      </c>
      <c r="N424" s="64" t="s">
        <v>74</v>
      </c>
      <c r="O424" s="64" t="s">
        <v>367</v>
      </c>
      <c r="P424" s="64"/>
      <c r="Q424" s="64"/>
      <c r="R424" s="124"/>
      <c r="S424" s="123"/>
      <c r="T424" s="124"/>
      <c r="U424" s="75"/>
      <c r="V424" s="674">
        <f t="shared" si="80"/>
        <v>0</v>
      </c>
      <c r="W424" s="75"/>
      <c r="X424" s="75"/>
      <c r="Y424" s="75"/>
      <c r="Z424" s="75"/>
      <c r="AA424" s="75"/>
      <c r="AB424" s="75"/>
      <c r="AC424" s="75"/>
      <c r="AD424" s="75"/>
      <c r="AE424" s="592"/>
      <c r="AF424" s="347"/>
      <c r="AG424" s="75">
        <v>0</v>
      </c>
      <c r="AH424" s="370">
        <v>0</v>
      </c>
      <c r="AI424" s="75"/>
      <c r="AJ424" s="75"/>
      <c r="AK424" s="75"/>
      <c r="AL424" s="75"/>
      <c r="AM424" s="75"/>
      <c r="AN424" s="64" t="s">
        <v>39</v>
      </c>
      <c r="AO424" s="64"/>
      <c r="AP424" s="64"/>
      <c r="AQ424" s="189"/>
      <c r="AR424" s="64"/>
      <c r="AS424" s="476"/>
      <c r="AT424" s="64"/>
      <c r="AU424" s="646"/>
      <c r="AV424" s="185"/>
    </row>
    <row r="425" spans="1:48" outlineLevel="4" x14ac:dyDescent="0.25">
      <c r="A425" s="63" t="str">
        <f t="shared" si="65"/>
        <v>1.3.1.9.18.59</v>
      </c>
      <c r="B425" s="64">
        <v>1</v>
      </c>
      <c r="C425" s="64">
        <v>3</v>
      </c>
      <c r="D425" s="64">
        <v>1</v>
      </c>
      <c r="E425" s="64">
        <v>9</v>
      </c>
      <c r="F425" s="64">
        <v>18</v>
      </c>
      <c r="G425" s="64">
        <v>59</v>
      </c>
      <c r="H425" s="65"/>
      <c r="I425" s="65"/>
      <c r="J425" s="65"/>
      <c r="K425" s="125" t="s">
        <v>483</v>
      </c>
      <c r="L425" s="64" t="s">
        <v>72</v>
      </c>
      <c r="M425" s="64" t="s">
        <v>73</v>
      </c>
      <c r="N425" s="64" t="s">
        <v>74</v>
      </c>
      <c r="O425" s="64" t="s">
        <v>367</v>
      </c>
      <c r="P425" s="64"/>
      <c r="Q425" s="64"/>
      <c r="R425" s="124"/>
      <c r="S425" s="123"/>
      <c r="T425" s="124"/>
      <c r="U425" s="75"/>
      <c r="V425" s="674">
        <f t="shared" si="80"/>
        <v>0</v>
      </c>
      <c r="W425" s="75"/>
      <c r="X425" s="75"/>
      <c r="Y425" s="75"/>
      <c r="Z425" s="75"/>
      <c r="AA425" s="75"/>
      <c r="AB425" s="75"/>
      <c r="AC425" s="75"/>
      <c r="AD425" s="75"/>
      <c r="AE425" s="592"/>
      <c r="AF425" s="347"/>
      <c r="AG425" s="75">
        <v>0</v>
      </c>
      <c r="AH425" s="370">
        <v>0</v>
      </c>
      <c r="AI425" s="75"/>
      <c r="AJ425" s="75"/>
      <c r="AK425" s="75"/>
      <c r="AL425" s="75"/>
      <c r="AM425" s="75"/>
      <c r="AN425" s="64" t="s">
        <v>39</v>
      </c>
      <c r="AO425" s="64"/>
      <c r="AP425" s="64"/>
      <c r="AQ425" s="189"/>
      <c r="AR425" s="64"/>
      <c r="AS425" s="476"/>
      <c r="AT425" s="64"/>
      <c r="AU425" s="646"/>
      <c r="AV425" s="185"/>
    </row>
    <row r="426" spans="1:48" outlineLevel="4" x14ac:dyDescent="0.25">
      <c r="A426" s="63" t="str">
        <f t="shared" si="65"/>
        <v>1.3.1.9.18.60</v>
      </c>
      <c r="B426" s="64">
        <v>1</v>
      </c>
      <c r="C426" s="64">
        <v>3</v>
      </c>
      <c r="D426" s="64">
        <v>1</v>
      </c>
      <c r="E426" s="64">
        <v>9</v>
      </c>
      <c r="F426" s="64">
        <v>18</v>
      </c>
      <c r="G426" s="64">
        <v>60</v>
      </c>
      <c r="H426" s="65"/>
      <c r="I426" s="65"/>
      <c r="J426" s="65"/>
      <c r="K426" s="125" t="s">
        <v>484</v>
      </c>
      <c r="L426" s="64" t="s">
        <v>72</v>
      </c>
      <c r="M426" s="64" t="s">
        <v>73</v>
      </c>
      <c r="N426" s="64" t="s">
        <v>74</v>
      </c>
      <c r="O426" s="64" t="s">
        <v>367</v>
      </c>
      <c r="P426" s="64"/>
      <c r="Q426" s="64"/>
      <c r="R426" s="124"/>
      <c r="S426" s="123"/>
      <c r="T426" s="124"/>
      <c r="U426" s="75"/>
      <c r="V426" s="674">
        <f t="shared" si="80"/>
        <v>0</v>
      </c>
      <c r="W426" s="75"/>
      <c r="X426" s="75"/>
      <c r="Y426" s="75"/>
      <c r="Z426" s="75"/>
      <c r="AA426" s="75"/>
      <c r="AB426" s="75"/>
      <c r="AC426" s="75"/>
      <c r="AD426" s="75"/>
      <c r="AE426" s="592"/>
      <c r="AF426" s="347"/>
      <c r="AG426" s="75">
        <v>0</v>
      </c>
      <c r="AH426" s="370">
        <v>0</v>
      </c>
      <c r="AI426" s="75"/>
      <c r="AJ426" s="75"/>
      <c r="AK426" s="75"/>
      <c r="AL426" s="75"/>
      <c r="AM426" s="75"/>
      <c r="AN426" s="64" t="s">
        <v>39</v>
      </c>
      <c r="AO426" s="64"/>
      <c r="AP426" s="64"/>
      <c r="AQ426" s="189"/>
      <c r="AR426" s="64"/>
      <c r="AS426" s="476"/>
      <c r="AT426" s="64"/>
      <c r="AU426" s="646"/>
      <c r="AV426" s="185"/>
    </row>
    <row r="427" spans="1:48" outlineLevel="4" x14ac:dyDescent="0.25">
      <c r="A427" s="63" t="str">
        <f t="shared" si="65"/>
        <v>1.3.1.9.18.61</v>
      </c>
      <c r="B427" s="64">
        <v>1</v>
      </c>
      <c r="C427" s="64">
        <v>3</v>
      </c>
      <c r="D427" s="64">
        <v>1</v>
      </c>
      <c r="E427" s="64">
        <v>9</v>
      </c>
      <c r="F427" s="64">
        <v>18</v>
      </c>
      <c r="G427" s="64">
        <v>61</v>
      </c>
      <c r="H427" s="65"/>
      <c r="I427" s="65"/>
      <c r="J427" s="65"/>
      <c r="K427" s="125" t="s">
        <v>485</v>
      </c>
      <c r="L427" s="64" t="s">
        <v>72</v>
      </c>
      <c r="M427" s="64" t="s">
        <v>73</v>
      </c>
      <c r="N427" s="64" t="s">
        <v>74</v>
      </c>
      <c r="O427" s="64" t="s">
        <v>367</v>
      </c>
      <c r="P427" s="64"/>
      <c r="Q427" s="64"/>
      <c r="R427" s="124"/>
      <c r="S427" s="123"/>
      <c r="T427" s="124"/>
      <c r="U427" s="75"/>
      <c r="V427" s="674">
        <f t="shared" si="80"/>
        <v>0</v>
      </c>
      <c r="W427" s="75"/>
      <c r="X427" s="75"/>
      <c r="Y427" s="75"/>
      <c r="Z427" s="75"/>
      <c r="AA427" s="75"/>
      <c r="AB427" s="75"/>
      <c r="AC427" s="75"/>
      <c r="AD427" s="75"/>
      <c r="AE427" s="592"/>
      <c r="AF427" s="347"/>
      <c r="AG427" s="75">
        <v>0</v>
      </c>
      <c r="AH427" s="370">
        <v>0</v>
      </c>
      <c r="AI427" s="75"/>
      <c r="AJ427" s="75"/>
      <c r="AK427" s="75"/>
      <c r="AL427" s="75"/>
      <c r="AM427" s="75"/>
      <c r="AN427" s="64" t="s">
        <v>39</v>
      </c>
      <c r="AO427" s="64"/>
      <c r="AP427" s="64"/>
      <c r="AQ427" s="189"/>
      <c r="AR427" s="64"/>
      <c r="AS427" s="476"/>
      <c r="AT427" s="64"/>
      <c r="AU427" s="646"/>
      <c r="AV427" s="185"/>
    </row>
    <row r="428" spans="1:48" outlineLevel="4" x14ac:dyDescent="0.25">
      <c r="A428" s="63" t="str">
        <f t="shared" si="65"/>
        <v>1.3.1.9.18.62</v>
      </c>
      <c r="B428" s="64">
        <v>1</v>
      </c>
      <c r="C428" s="64">
        <v>3</v>
      </c>
      <c r="D428" s="64">
        <v>1</v>
      </c>
      <c r="E428" s="64">
        <v>9</v>
      </c>
      <c r="F428" s="64">
        <v>18</v>
      </c>
      <c r="G428" s="64">
        <v>62</v>
      </c>
      <c r="H428" s="65"/>
      <c r="I428" s="65"/>
      <c r="J428" s="65"/>
      <c r="K428" s="125" t="s">
        <v>1737</v>
      </c>
      <c r="L428" s="64" t="s">
        <v>72</v>
      </c>
      <c r="M428" s="64" t="s">
        <v>73</v>
      </c>
      <c r="N428" s="64" t="s">
        <v>74</v>
      </c>
      <c r="O428" s="64" t="s">
        <v>367</v>
      </c>
      <c r="P428" s="64"/>
      <c r="Q428" s="64"/>
      <c r="R428" s="124"/>
      <c r="S428" s="123"/>
      <c r="T428" s="124"/>
      <c r="U428" s="75"/>
      <c r="V428" s="674">
        <f t="shared" si="80"/>
        <v>0</v>
      </c>
      <c r="W428" s="75"/>
      <c r="X428" s="75"/>
      <c r="Y428" s="75"/>
      <c r="Z428" s="75"/>
      <c r="AA428" s="75"/>
      <c r="AB428" s="75"/>
      <c r="AC428" s="75"/>
      <c r="AD428" s="75"/>
      <c r="AE428" s="592"/>
      <c r="AF428" s="347"/>
      <c r="AG428" s="75">
        <v>0</v>
      </c>
      <c r="AH428" s="370">
        <v>0</v>
      </c>
      <c r="AI428" s="75"/>
      <c r="AJ428" s="75"/>
      <c r="AK428" s="75"/>
      <c r="AL428" s="75"/>
      <c r="AM428" s="75"/>
      <c r="AN428" s="64" t="s">
        <v>39</v>
      </c>
      <c r="AO428" s="64"/>
      <c r="AP428" s="64"/>
      <c r="AQ428" s="189"/>
      <c r="AR428" s="64"/>
      <c r="AS428" s="476"/>
      <c r="AT428" s="64"/>
      <c r="AU428" s="646"/>
      <c r="AV428" s="185"/>
    </row>
    <row r="429" spans="1:48" outlineLevel="4" x14ac:dyDescent="0.25">
      <c r="A429" s="63" t="str">
        <f t="shared" si="65"/>
        <v>1.3.1.9.18.63</v>
      </c>
      <c r="B429" s="64">
        <v>1</v>
      </c>
      <c r="C429" s="64">
        <v>3</v>
      </c>
      <c r="D429" s="64">
        <v>1</v>
      </c>
      <c r="E429" s="64">
        <v>9</v>
      </c>
      <c r="F429" s="64">
        <v>18</v>
      </c>
      <c r="G429" s="64">
        <v>63</v>
      </c>
      <c r="H429" s="65"/>
      <c r="I429" s="65"/>
      <c r="J429" s="65"/>
      <c r="K429" s="125" t="s">
        <v>486</v>
      </c>
      <c r="L429" s="64" t="s">
        <v>72</v>
      </c>
      <c r="M429" s="64" t="s">
        <v>73</v>
      </c>
      <c r="N429" s="64" t="s">
        <v>74</v>
      </c>
      <c r="O429" s="64" t="s">
        <v>367</v>
      </c>
      <c r="P429" s="64"/>
      <c r="Q429" s="64"/>
      <c r="R429" s="124"/>
      <c r="S429" s="123"/>
      <c r="T429" s="124"/>
      <c r="U429" s="75"/>
      <c r="V429" s="674">
        <f t="shared" si="80"/>
        <v>0</v>
      </c>
      <c r="W429" s="75"/>
      <c r="X429" s="75"/>
      <c r="Y429" s="75"/>
      <c r="Z429" s="75"/>
      <c r="AA429" s="75"/>
      <c r="AB429" s="75"/>
      <c r="AC429" s="75"/>
      <c r="AD429" s="75"/>
      <c r="AE429" s="592"/>
      <c r="AF429" s="347"/>
      <c r="AG429" s="75">
        <v>0</v>
      </c>
      <c r="AH429" s="370">
        <v>0</v>
      </c>
      <c r="AI429" s="75"/>
      <c r="AJ429" s="75"/>
      <c r="AK429" s="75"/>
      <c r="AL429" s="75"/>
      <c r="AM429" s="75"/>
      <c r="AN429" s="64" t="s">
        <v>39</v>
      </c>
      <c r="AO429" s="64"/>
      <c r="AP429" s="64"/>
      <c r="AQ429" s="189"/>
      <c r="AR429" s="64"/>
      <c r="AS429" s="476"/>
      <c r="AT429" s="64"/>
      <c r="AU429" s="646"/>
      <c r="AV429" s="185"/>
    </row>
    <row r="430" spans="1:48" outlineLevel="4" x14ac:dyDescent="0.25">
      <c r="A430" s="63" t="str">
        <f t="shared" si="65"/>
        <v>1.3.1.9.18.64</v>
      </c>
      <c r="B430" s="64">
        <v>1</v>
      </c>
      <c r="C430" s="64">
        <v>3</v>
      </c>
      <c r="D430" s="64">
        <v>1</v>
      </c>
      <c r="E430" s="64">
        <v>9</v>
      </c>
      <c r="F430" s="64">
        <v>18</v>
      </c>
      <c r="G430" s="64">
        <v>64</v>
      </c>
      <c r="H430" s="65"/>
      <c r="I430" s="65"/>
      <c r="J430" s="65"/>
      <c r="K430" s="125" t="s">
        <v>487</v>
      </c>
      <c r="L430" s="64" t="s">
        <v>72</v>
      </c>
      <c r="M430" s="64" t="s">
        <v>73</v>
      </c>
      <c r="N430" s="64" t="s">
        <v>74</v>
      </c>
      <c r="O430" s="64" t="s">
        <v>367</v>
      </c>
      <c r="P430" s="64"/>
      <c r="Q430" s="64"/>
      <c r="R430" s="124"/>
      <c r="S430" s="123"/>
      <c r="T430" s="124"/>
      <c r="U430" s="75"/>
      <c r="V430" s="674">
        <f t="shared" si="80"/>
        <v>0</v>
      </c>
      <c r="W430" s="75"/>
      <c r="X430" s="75"/>
      <c r="Y430" s="75"/>
      <c r="Z430" s="75"/>
      <c r="AA430" s="75"/>
      <c r="AB430" s="75"/>
      <c r="AC430" s="75"/>
      <c r="AD430" s="75"/>
      <c r="AE430" s="592"/>
      <c r="AF430" s="347"/>
      <c r="AG430" s="75">
        <v>0</v>
      </c>
      <c r="AH430" s="370">
        <v>0</v>
      </c>
      <c r="AI430" s="75"/>
      <c r="AJ430" s="75"/>
      <c r="AK430" s="75"/>
      <c r="AL430" s="75"/>
      <c r="AM430" s="75"/>
      <c r="AN430" s="64" t="s">
        <v>39</v>
      </c>
      <c r="AO430" s="64"/>
      <c r="AP430" s="64"/>
      <c r="AQ430" s="189"/>
      <c r="AR430" s="64"/>
      <c r="AS430" s="476"/>
      <c r="AT430" s="64"/>
      <c r="AU430" s="646"/>
      <c r="AV430" s="185"/>
    </row>
    <row r="431" spans="1:48" outlineLevel="4" x14ac:dyDescent="0.25">
      <c r="A431" s="63" t="str">
        <f t="shared" si="65"/>
        <v>1.3.1.9.19.58</v>
      </c>
      <c r="B431" s="64">
        <v>1</v>
      </c>
      <c r="C431" s="64">
        <v>3</v>
      </c>
      <c r="D431" s="64">
        <v>1</v>
      </c>
      <c r="E431" s="64">
        <v>9</v>
      </c>
      <c r="F431" s="64">
        <v>19</v>
      </c>
      <c r="G431" s="64">
        <v>58</v>
      </c>
      <c r="H431" s="65"/>
      <c r="I431" s="65"/>
      <c r="J431" s="65"/>
      <c r="K431" s="125" t="s">
        <v>488</v>
      </c>
      <c r="L431" s="64" t="s">
        <v>72</v>
      </c>
      <c r="M431" s="64" t="s">
        <v>73</v>
      </c>
      <c r="N431" s="64" t="s">
        <v>74</v>
      </c>
      <c r="O431" s="64" t="s">
        <v>367</v>
      </c>
      <c r="P431" s="69">
        <v>44200</v>
      </c>
      <c r="Q431" s="69">
        <v>44512</v>
      </c>
      <c r="R431" s="1336">
        <v>0</v>
      </c>
      <c r="S431" s="123" t="s">
        <v>489</v>
      </c>
      <c r="T431" s="124"/>
      <c r="U431" s="75"/>
      <c r="V431" s="674">
        <f t="shared" si="80"/>
        <v>0</v>
      </c>
      <c r="W431" s="75"/>
      <c r="X431" s="75"/>
      <c r="Y431" s="75"/>
      <c r="Z431" s="75"/>
      <c r="AA431" s="75"/>
      <c r="AB431" s="75"/>
      <c r="AC431" s="75"/>
      <c r="AD431" s="75"/>
      <c r="AE431" s="592"/>
      <c r="AF431" s="353" t="s">
        <v>490</v>
      </c>
      <c r="AG431" s="97">
        <v>0</v>
      </c>
      <c r="AH431" s="370">
        <v>0</v>
      </c>
      <c r="AI431" s="75"/>
      <c r="AJ431" s="75"/>
      <c r="AK431" s="75"/>
      <c r="AL431" s="75"/>
      <c r="AM431" s="75"/>
      <c r="AN431" s="64" t="s">
        <v>39</v>
      </c>
      <c r="AO431" s="64"/>
      <c r="AP431" s="64"/>
      <c r="AQ431" s="189"/>
      <c r="AR431" s="64"/>
      <c r="AS431" s="476"/>
      <c r="AT431" s="64"/>
      <c r="AU431" s="646"/>
      <c r="AV431" s="185"/>
    </row>
    <row r="432" spans="1:48" outlineLevel="4" x14ac:dyDescent="0.25">
      <c r="A432" s="63" t="str">
        <f t="shared" si="65"/>
        <v>1.3.1.9.19.59</v>
      </c>
      <c r="B432" s="64">
        <v>1</v>
      </c>
      <c r="C432" s="64">
        <v>3</v>
      </c>
      <c r="D432" s="64">
        <v>1</v>
      </c>
      <c r="E432" s="64">
        <v>9</v>
      </c>
      <c r="F432" s="64">
        <v>19</v>
      </c>
      <c r="G432" s="64">
        <v>59</v>
      </c>
      <c r="H432" s="65"/>
      <c r="I432" s="65"/>
      <c r="J432" s="65"/>
      <c r="K432" s="125" t="s">
        <v>491</v>
      </c>
      <c r="L432" s="64" t="s">
        <v>72</v>
      </c>
      <c r="M432" s="64" t="s">
        <v>73</v>
      </c>
      <c r="N432" s="64" t="s">
        <v>74</v>
      </c>
      <c r="O432" s="64" t="s">
        <v>367</v>
      </c>
      <c r="P432" s="69">
        <v>44200</v>
      </c>
      <c r="Q432" s="69">
        <v>44512</v>
      </c>
      <c r="R432" s="1336"/>
      <c r="S432" s="123"/>
      <c r="T432" s="124"/>
      <c r="U432" s="75"/>
      <c r="V432" s="674">
        <f t="shared" si="80"/>
        <v>0</v>
      </c>
      <c r="W432" s="75"/>
      <c r="X432" s="75"/>
      <c r="Y432" s="75"/>
      <c r="Z432" s="75"/>
      <c r="AA432" s="75"/>
      <c r="AB432" s="75"/>
      <c r="AC432" s="75"/>
      <c r="AD432" s="75"/>
      <c r="AE432" s="592"/>
      <c r="AF432" s="353"/>
      <c r="AG432" s="97">
        <v>0</v>
      </c>
      <c r="AH432" s="370">
        <v>0</v>
      </c>
      <c r="AI432" s="75"/>
      <c r="AJ432" s="75"/>
      <c r="AK432" s="75"/>
      <c r="AL432" s="75"/>
      <c r="AM432" s="75"/>
      <c r="AN432" s="64" t="s">
        <v>39</v>
      </c>
      <c r="AO432" s="64"/>
      <c r="AP432" s="64"/>
      <c r="AQ432" s="189"/>
      <c r="AR432" s="64"/>
      <c r="AS432" s="476"/>
      <c r="AT432" s="64"/>
      <c r="AU432" s="646"/>
      <c r="AV432" s="185"/>
    </row>
    <row r="433" spans="1:48" outlineLevel="4" x14ac:dyDescent="0.25">
      <c r="A433" s="63" t="str">
        <f t="shared" si="65"/>
        <v>1.3.1.9.19.60</v>
      </c>
      <c r="B433" s="64">
        <v>1</v>
      </c>
      <c r="C433" s="64">
        <v>3</v>
      </c>
      <c r="D433" s="64">
        <v>1</v>
      </c>
      <c r="E433" s="64">
        <v>9</v>
      </c>
      <c r="F433" s="64">
        <v>19</v>
      </c>
      <c r="G433" s="64">
        <v>60</v>
      </c>
      <c r="H433" s="65"/>
      <c r="I433" s="65"/>
      <c r="J433" s="65"/>
      <c r="K433" s="125" t="s">
        <v>492</v>
      </c>
      <c r="L433" s="64" t="s">
        <v>72</v>
      </c>
      <c r="M433" s="64" t="s">
        <v>73</v>
      </c>
      <c r="N433" s="64" t="s">
        <v>74</v>
      </c>
      <c r="O433" s="64" t="s">
        <v>367</v>
      </c>
      <c r="P433" s="69">
        <v>44200</v>
      </c>
      <c r="Q433" s="69">
        <v>44512</v>
      </c>
      <c r="R433" s="1336"/>
      <c r="S433" s="123"/>
      <c r="T433" s="124"/>
      <c r="U433" s="75"/>
      <c r="V433" s="674">
        <f t="shared" si="80"/>
        <v>0</v>
      </c>
      <c r="W433" s="75"/>
      <c r="X433" s="75"/>
      <c r="Y433" s="75"/>
      <c r="Z433" s="75"/>
      <c r="AA433" s="75"/>
      <c r="AB433" s="75"/>
      <c r="AC433" s="75"/>
      <c r="AD433" s="75"/>
      <c r="AE433" s="592"/>
      <c r="AF433" s="353"/>
      <c r="AG433" s="97">
        <v>0</v>
      </c>
      <c r="AH433" s="370">
        <v>0</v>
      </c>
      <c r="AI433" s="75"/>
      <c r="AJ433" s="75"/>
      <c r="AK433" s="75"/>
      <c r="AL433" s="75"/>
      <c r="AM433" s="75"/>
      <c r="AN433" s="64" t="s">
        <v>39</v>
      </c>
      <c r="AO433" s="64"/>
      <c r="AP433" s="64"/>
      <c r="AQ433" s="189"/>
      <c r="AR433" s="64"/>
      <c r="AS433" s="476"/>
      <c r="AT433" s="64"/>
      <c r="AU433" s="646"/>
      <c r="AV433" s="185"/>
    </row>
    <row r="434" spans="1:48" outlineLevel="4" x14ac:dyDescent="0.25">
      <c r="A434" s="63" t="str">
        <f t="shared" si="65"/>
        <v>1.3.1.9.19.61</v>
      </c>
      <c r="B434" s="64">
        <v>1</v>
      </c>
      <c r="C434" s="64">
        <v>3</v>
      </c>
      <c r="D434" s="64">
        <v>1</v>
      </c>
      <c r="E434" s="64">
        <v>9</v>
      </c>
      <c r="F434" s="64">
        <v>19</v>
      </c>
      <c r="G434" s="64">
        <v>61</v>
      </c>
      <c r="H434" s="65"/>
      <c r="I434" s="65"/>
      <c r="J434" s="65"/>
      <c r="K434" s="125" t="s">
        <v>493</v>
      </c>
      <c r="L434" s="64" t="s">
        <v>72</v>
      </c>
      <c r="M434" s="64" t="s">
        <v>73</v>
      </c>
      <c r="N434" s="64" t="s">
        <v>74</v>
      </c>
      <c r="O434" s="64" t="s">
        <v>367</v>
      </c>
      <c r="P434" s="69">
        <v>44200</v>
      </c>
      <c r="Q434" s="69">
        <v>44512</v>
      </c>
      <c r="R434" s="1336"/>
      <c r="S434" s="123"/>
      <c r="T434" s="124"/>
      <c r="U434" s="75"/>
      <c r="V434" s="674">
        <f t="shared" ref="V434:V497" si="86">+AJ434</f>
        <v>0</v>
      </c>
      <c r="W434" s="75"/>
      <c r="X434" s="75"/>
      <c r="Y434" s="75"/>
      <c r="Z434" s="75"/>
      <c r="AA434" s="75"/>
      <c r="AB434" s="75"/>
      <c r="AC434" s="75"/>
      <c r="AD434" s="75"/>
      <c r="AE434" s="592"/>
      <c r="AF434" s="353"/>
      <c r="AG434" s="97">
        <v>0</v>
      </c>
      <c r="AH434" s="370">
        <v>0</v>
      </c>
      <c r="AI434" s="75"/>
      <c r="AJ434" s="75"/>
      <c r="AK434" s="75"/>
      <c r="AL434" s="75"/>
      <c r="AM434" s="75"/>
      <c r="AN434" s="64" t="s">
        <v>39</v>
      </c>
      <c r="AO434" s="64"/>
      <c r="AP434" s="64"/>
      <c r="AQ434" s="189"/>
      <c r="AR434" s="64"/>
      <c r="AS434" s="476"/>
      <c r="AT434" s="64"/>
      <c r="AU434" s="646"/>
      <c r="AV434" s="185"/>
    </row>
    <row r="435" spans="1:48" outlineLevel="4" x14ac:dyDescent="0.25">
      <c r="A435" s="63" t="str">
        <f t="shared" si="65"/>
        <v>1.3.1.9.19.62</v>
      </c>
      <c r="B435" s="64">
        <v>1</v>
      </c>
      <c r="C435" s="64">
        <v>3</v>
      </c>
      <c r="D435" s="64">
        <v>1</v>
      </c>
      <c r="E435" s="64">
        <v>9</v>
      </c>
      <c r="F435" s="64">
        <v>19</v>
      </c>
      <c r="G435" s="64">
        <v>62</v>
      </c>
      <c r="H435" s="65"/>
      <c r="I435" s="65"/>
      <c r="J435" s="65"/>
      <c r="K435" s="125" t="s">
        <v>1738</v>
      </c>
      <c r="L435" s="64" t="s">
        <v>72</v>
      </c>
      <c r="M435" s="64" t="s">
        <v>73</v>
      </c>
      <c r="N435" s="64" t="s">
        <v>74</v>
      </c>
      <c r="O435" s="64" t="s">
        <v>367</v>
      </c>
      <c r="P435" s="69">
        <v>44200</v>
      </c>
      <c r="Q435" s="69">
        <v>44512</v>
      </c>
      <c r="R435" s="1336"/>
      <c r="S435" s="123"/>
      <c r="T435" s="124"/>
      <c r="U435" s="75"/>
      <c r="V435" s="674">
        <f t="shared" si="86"/>
        <v>0</v>
      </c>
      <c r="W435" s="75"/>
      <c r="X435" s="75"/>
      <c r="Y435" s="75"/>
      <c r="Z435" s="75"/>
      <c r="AA435" s="75"/>
      <c r="AB435" s="75"/>
      <c r="AC435" s="75"/>
      <c r="AD435" s="75"/>
      <c r="AE435" s="592"/>
      <c r="AF435" s="353"/>
      <c r="AG435" s="97">
        <v>0</v>
      </c>
      <c r="AH435" s="370">
        <v>0</v>
      </c>
      <c r="AI435" s="75"/>
      <c r="AJ435" s="75"/>
      <c r="AK435" s="75"/>
      <c r="AL435" s="75"/>
      <c r="AM435" s="75"/>
      <c r="AN435" s="64" t="s">
        <v>39</v>
      </c>
      <c r="AO435" s="64"/>
      <c r="AP435" s="64"/>
      <c r="AQ435" s="189"/>
      <c r="AR435" s="64"/>
      <c r="AS435" s="476"/>
      <c r="AT435" s="64"/>
      <c r="AU435" s="646"/>
      <c r="AV435" s="185"/>
    </row>
    <row r="436" spans="1:48" outlineLevel="4" x14ac:dyDescent="0.25">
      <c r="A436" s="63" t="str">
        <f t="shared" si="65"/>
        <v>1.3.1.9.19.63</v>
      </c>
      <c r="B436" s="64">
        <v>1</v>
      </c>
      <c r="C436" s="64">
        <v>3</v>
      </c>
      <c r="D436" s="64">
        <v>1</v>
      </c>
      <c r="E436" s="64">
        <v>9</v>
      </c>
      <c r="F436" s="64">
        <v>19</v>
      </c>
      <c r="G436" s="64">
        <v>63</v>
      </c>
      <c r="H436" s="65"/>
      <c r="I436" s="65"/>
      <c r="J436" s="65"/>
      <c r="K436" s="125" t="s">
        <v>494</v>
      </c>
      <c r="L436" s="64" t="s">
        <v>72</v>
      </c>
      <c r="M436" s="64" t="s">
        <v>73</v>
      </c>
      <c r="N436" s="64" t="s">
        <v>74</v>
      </c>
      <c r="O436" s="64" t="s">
        <v>367</v>
      </c>
      <c r="P436" s="69">
        <v>44200</v>
      </c>
      <c r="Q436" s="69">
        <v>44512</v>
      </c>
      <c r="R436" s="1336"/>
      <c r="S436" s="123"/>
      <c r="T436" s="124"/>
      <c r="U436" s="75"/>
      <c r="V436" s="674">
        <f t="shared" si="86"/>
        <v>0</v>
      </c>
      <c r="W436" s="75"/>
      <c r="X436" s="75"/>
      <c r="Y436" s="75"/>
      <c r="Z436" s="75"/>
      <c r="AA436" s="75"/>
      <c r="AB436" s="75"/>
      <c r="AC436" s="75"/>
      <c r="AD436" s="75"/>
      <c r="AE436" s="592"/>
      <c r="AF436" s="353"/>
      <c r="AG436" s="97">
        <v>0</v>
      </c>
      <c r="AH436" s="370">
        <v>0</v>
      </c>
      <c r="AI436" s="75"/>
      <c r="AJ436" s="75"/>
      <c r="AK436" s="75"/>
      <c r="AL436" s="75"/>
      <c r="AM436" s="75"/>
      <c r="AN436" s="64" t="s">
        <v>39</v>
      </c>
      <c r="AO436" s="64"/>
      <c r="AP436" s="64"/>
      <c r="AQ436" s="189"/>
      <c r="AR436" s="64"/>
      <c r="AS436" s="476"/>
      <c r="AT436" s="64"/>
      <c r="AU436" s="646"/>
      <c r="AV436" s="185"/>
    </row>
    <row r="437" spans="1:48" outlineLevel="4" x14ac:dyDescent="0.25">
      <c r="A437" s="63" t="str">
        <f t="shared" si="65"/>
        <v>1.3.1.9.19.64</v>
      </c>
      <c r="B437" s="64">
        <v>1</v>
      </c>
      <c r="C437" s="64">
        <v>3</v>
      </c>
      <c r="D437" s="64">
        <v>1</v>
      </c>
      <c r="E437" s="64">
        <v>9</v>
      </c>
      <c r="F437" s="64">
        <v>19</v>
      </c>
      <c r="G437" s="64">
        <v>64</v>
      </c>
      <c r="H437" s="65"/>
      <c r="I437" s="65"/>
      <c r="J437" s="65"/>
      <c r="K437" s="125" t="s">
        <v>495</v>
      </c>
      <c r="L437" s="64" t="s">
        <v>72</v>
      </c>
      <c r="M437" s="64" t="s">
        <v>73</v>
      </c>
      <c r="N437" s="64" t="s">
        <v>74</v>
      </c>
      <c r="O437" s="64" t="s">
        <v>367</v>
      </c>
      <c r="P437" s="69">
        <v>44200</v>
      </c>
      <c r="Q437" s="69">
        <v>44512</v>
      </c>
      <c r="R437" s="1336"/>
      <c r="S437" s="123"/>
      <c r="T437" s="124"/>
      <c r="U437" s="75"/>
      <c r="V437" s="674">
        <f t="shared" si="86"/>
        <v>0</v>
      </c>
      <c r="W437" s="75"/>
      <c r="X437" s="75"/>
      <c r="Y437" s="75"/>
      <c r="Z437" s="75"/>
      <c r="AA437" s="75"/>
      <c r="AB437" s="75"/>
      <c r="AC437" s="75"/>
      <c r="AD437" s="75"/>
      <c r="AE437" s="592"/>
      <c r="AF437" s="353"/>
      <c r="AG437" s="97">
        <v>0</v>
      </c>
      <c r="AH437" s="370">
        <v>0</v>
      </c>
      <c r="AI437" s="75"/>
      <c r="AJ437" s="75"/>
      <c r="AK437" s="75"/>
      <c r="AL437" s="75"/>
      <c r="AM437" s="75"/>
      <c r="AN437" s="64" t="s">
        <v>39</v>
      </c>
      <c r="AO437" s="64"/>
      <c r="AP437" s="64"/>
      <c r="AQ437" s="189"/>
      <c r="AR437" s="64"/>
      <c r="AS437" s="476"/>
      <c r="AT437" s="64"/>
      <c r="AU437" s="646"/>
      <c r="AV437" s="185"/>
    </row>
    <row r="438" spans="1:48" ht="30" outlineLevel="4" x14ac:dyDescent="0.25">
      <c r="A438" s="63" t="str">
        <f t="shared" si="65"/>
        <v>1.3.1.9.20.58</v>
      </c>
      <c r="B438" s="64">
        <v>1</v>
      </c>
      <c r="C438" s="64">
        <v>3</v>
      </c>
      <c r="D438" s="64">
        <v>1</v>
      </c>
      <c r="E438" s="64">
        <v>9</v>
      </c>
      <c r="F438" s="64">
        <v>20</v>
      </c>
      <c r="G438" s="64">
        <v>58</v>
      </c>
      <c r="H438" s="65"/>
      <c r="I438" s="65"/>
      <c r="J438" s="65"/>
      <c r="K438" s="86" t="s">
        <v>496</v>
      </c>
      <c r="L438" s="64" t="s">
        <v>72</v>
      </c>
      <c r="M438" s="128" t="s">
        <v>73</v>
      </c>
      <c r="N438" s="64" t="s">
        <v>74</v>
      </c>
      <c r="O438" s="64" t="s">
        <v>367</v>
      </c>
      <c r="P438" s="69">
        <v>44197</v>
      </c>
      <c r="Q438" s="69">
        <v>44377</v>
      </c>
      <c r="R438" s="1336">
        <v>325000</v>
      </c>
      <c r="S438" s="170">
        <v>0</v>
      </c>
      <c r="T438" s="170">
        <v>325000</v>
      </c>
      <c r="U438" s="97"/>
      <c r="V438" s="674">
        <f t="shared" si="86"/>
        <v>0</v>
      </c>
      <c r="W438" s="97"/>
      <c r="X438" s="97">
        <f>+AH438/2</f>
        <v>464285.71428571426</v>
      </c>
      <c r="Y438" s="97"/>
      <c r="Z438" s="97"/>
      <c r="AA438" s="97">
        <f>+AH438/2</f>
        <v>464285.71428571426</v>
      </c>
      <c r="AB438" s="97"/>
      <c r="AC438" s="75"/>
      <c r="AD438" s="75"/>
      <c r="AE438" s="592"/>
      <c r="AF438" s="259" t="s">
        <v>497</v>
      </c>
      <c r="AG438" s="75">
        <v>0</v>
      </c>
      <c r="AH438" s="370">
        <f>6500000/7</f>
        <v>928571.42857142852</v>
      </c>
      <c r="AI438" s="75"/>
      <c r="AJ438" s="75"/>
      <c r="AK438" s="75"/>
      <c r="AL438" s="75"/>
      <c r="AM438" s="75"/>
      <c r="AN438" s="64" t="s">
        <v>39</v>
      </c>
      <c r="AO438" s="165"/>
      <c r="AP438" s="165"/>
      <c r="AQ438" s="413"/>
      <c r="AR438" s="64"/>
      <c r="AS438" s="475"/>
      <c r="AT438" s="64"/>
      <c r="AU438" s="646"/>
      <c r="AV438" s="1337" t="s">
        <v>498</v>
      </c>
    </row>
    <row r="439" spans="1:48" outlineLevel="4" x14ac:dyDescent="0.25">
      <c r="A439" s="63" t="str">
        <f t="shared" si="65"/>
        <v>1.3.1.9.20.29</v>
      </c>
      <c r="B439" s="64">
        <v>1</v>
      </c>
      <c r="C439" s="64">
        <v>3</v>
      </c>
      <c r="D439" s="64">
        <v>1</v>
      </c>
      <c r="E439" s="64">
        <v>9</v>
      </c>
      <c r="F439" s="64">
        <v>20</v>
      </c>
      <c r="G439" s="64">
        <v>29</v>
      </c>
      <c r="H439" s="65"/>
      <c r="I439" s="65"/>
      <c r="J439" s="65"/>
      <c r="K439" s="125" t="s">
        <v>499</v>
      </c>
      <c r="L439" s="64" t="s">
        <v>72</v>
      </c>
      <c r="M439" s="128" t="s">
        <v>73</v>
      </c>
      <c r="N439" s="64" t="s">
        <v>74</v>
      </c>
      <c r="O439" s="64" t="s">
        <v>367</v>
      </c>
      <c r="P439" s="69">
        <v>44197</v>
      </c>
      <c r="Q439" s="69">
        <v>44377</v>
      </c>
      <c r="R439" s="1336"/>
      <c r="S439" s="170"/>
      <c r="T439" s="170"/>
      <c r="U439" s="97"/>
      <c r="V439" s="674">
        <f t="shared" si="86"/>
        <v>0</v>
      </c>
      <c r="W439" s="97"/>
      <c r="X439" s="97">
        <f t="shared" ref="X439:X444" si="87">+AH439/2</f>
        <v>464285.71428571426</v>
      </c>
      <c r="Y439" s="97"/>
      <c r="Z439" s="97"/>
      <c r="AA439" s="97">
        <f t="shared" ref="AA439:AA444" si="88">+AH439/2</f>
        <v>464285.71428571426</v>
      </c>
      <c r="AB439" s="97"/>
      <c r="AC439" s="75"/>
      <c r="AD439" s="75"/>
      <c r="AE439" s="592"/>
      <c r="AF439" s="259" t="s">
        <v>497</v>
      </c>
      <c r="AG439" s="75">
        <v>0</v>
      </c>
      <c r="AH439" s="370">
        <f t="shared" ref="AH439:AH444" si="89">6500000/7</f>
        <v>928571.42857142852</v>
      </c>
      <c r="AI439" s="75"/>
      <c r="AJ439" s="75"/>
      <c r="AK439" s="75"/>
      <c r="AL439" s="75"/>
      <c r="AM439" s="75"/>
      <c r="AN439" s="64" t="s">
        <v>39</v>
      </c>
      <c r="AO439" s="165"/>
      <c r="AP439" s="165"/>
      <c r="AQ439" s="413"/>
      <c r="AR439" s="64"/>
      <c r="AS439" s="475"/>
      <c r="AT439" s="64"/>
      <c r="AU439" s="646"/>
      <c r="AV439" s="1337"/>
    </row>
    <row r="440" spans="1:48" outlineLevel="4" x14ac:dyDescent="0.25">
      <c r="A440" s="63" t="str">
        <f t="shared" si="65"/>
        <v>1.3.1.9.20.60</v>
      </c>
      <c r="B440" s="64">
        <v>1</v>
      </c>
      <c r="C440" s="64">
        <v>3</v>
      </c>
      <c r="D440" s="64">
        <v>1</v>
      </c>
      <c r="E440" s="64">
        <v>9</v>
      </c>
      <c r="F440" s="64">
        <v>20</v>
      </c>
      <c r="G440" s="64">
        <v>60</v>
      </c>
      <c r="H440" s="65"/>
      <c r="I440" s="65"/>
      <c r="J440" s="65"/>
      <c r="K440" s="125" t="s">
        <v>500</v>
      </c>
      <c r="L440" s="64" t="s">
        <v>72</v>
      </c>
      <c r="M440" s="128" t="s">
        <v>73</v>
      </c>
      <c r="N440" s="64" t="s">
        <v>74</v>
      </c>
      <c r="O440" s="64" t="s">
        <v>367</v>
      </c>
      <c r="P440" s="69">
        <v>44197</v>
      </c>
      <c r="Q440" s="69">
        <v>44377</v>
      </c>
      <c r="R440" s="1336"/>
      <c r="S440" s="170"/>
      <c r="T440" s="170"/>
      <c r="U440" s="97"/>
      <c r="V440" s="674">
        <f t="shared" si="86"/>
        <v>0</v>
      </c>
      <c r="W440" s="97"/>
      <c r="X440" s="97">
        <f t="shared" si="87"/>
        <v>464285.71428571426</v>
      </c>
      <c r="Y440" s="97"/>
      <c r="Z440" s="97"/>
      <c r="AA440" s="97">
        <f t="shared" si="88"/>
        <v>464285.71428571426</v>
      </c>
      <c r="AB440" s="97"/>
      <c r="AC440" s="75"/>
      <c r="AD440" s="75"/>
      <c r="AE440" s="592"/>
      <c r="AF440" s="259" t="s">
        <v>497</v>
      </c>
      <c r="AG440" s="75">
        <v>0</v>
      </c>
      <c r="AH440" s="370">
        <f t="shared" si="89"/>
        <v>928571.42857142852</v>
      </c>
      <c r="AI440" s="75"/>
      <c r="AJ440" s="75"/>
      <c r="AK440" s="75"/>
      <c r="AL440" s="75"/>
      <c r="AM440" s="75"/>
      <c r="AN440" s="64" t="s">
        <v>39</v>
      </c>
      <c r="AO440" s="165"/>
      <c r="AP440" s="165"/>
      <c r="AQ440" s="413"/>
      <c r="AR440" s="64"/>
      <c r="AS440" s="475"/>
      <c r="AT440" s="64"/>
      <c r="AU440" s="646"/>
      <c r="AV440" s="1337"/>
    </row>
    <row r="441" spans="1:48" outlineLevel="4" x14ac:dyDescent="0.25">
      <c r="A441" s="63" t="str">
        <f t="shared" si="65"/>
        <v>1.3.1.9.20.61</v>
      </c>
      <c r="B441" s="64">
        <v>1</v>
      </c>
      <c r="C441" s="64">
        <v>3</v>
      </c>
      <c r="D441" s="64">
        <v>1</v>
      </c>
      <c r="E441" s="64">
        <v>9</v>
      </c>
      <c r="F441" s="64">
        <v>20</v>
      </c>
      <c r="G441" s="64">
        <v>61</v>
      </c>
      <c r="H441" s="65"/>
      <c r="I441" s="65"/>
      <c r="J441" s="65"/>
      <c r="K441" s="125" t="s">
        <v>501</v>
      </c>
      <c r="L441" s="64" t="s">
        <v>72</v>
      </c>
      <c r="M441" s="128" t="s">
        <v>73</v>
      </c>
      <c r="N441" s="64" t="s">
        <v>74</v>
      </c>
      <c r="O441" s="64" t="s">
        <v>367</v>
      </c>
      <c r="P441" s="69">
        <v>44197</v>
      </c>
      <c r="Q441" s="69">
        <v>44377</v>
      </c>
      <c r="R441" s="1336"/>
      <c r="S441" s="170"/>
      <c r="T441" s="170"/>
      <c r="U441" s="97"/>
      <c r="V441" s="702">
        <f t="shared" si="86"/>
        <v>358400</v>
      </c>
      <c r="W441" s="97"/>
      <c r="X441" s="97">
        <f t="shared" si="87"/>
        <v>464285.71428571426</v>
      </c>
      <c r="Y441" s="97"/>
      <c r="Z441" s="97"/>
      <c r="AA441" s="97">
        <f t="shared" si="88"/>
        <v>464285.71428571426</v>
      </c>
      <c r="AB441" s="97"/>
      <c r="AC441" s="75"/>
      <c r="AD441" s="75"/>
      <c r="AE441" s="592"/>
      <c r="AF441" s="259" t="s">
        <v>497</v>
      </c>
      <c r="AG441" s="75">
        <v>0</v>
      </c>
      <c r="AH441" s="370">
        <f t="shared" si="89"/>
        <v>928571.42857142852</v>
      </c>
      <c r="AI441" s="75"/>
      <c r="AJ441" s="75">
        <v>358400</v>
      </c>
      <c r="AK441" s="75"/>
      <c r="AL441" s="75"/>
      <c r="AM441" s="75"/>
      <c r="AN441" s="64" t="s">
        <v>39</v>
      </c>
      <c r="AO441" s="165"/>
      <c r="AP441" s="165"/>
      <c r="AQ441" s="413"/>
      <c r="AR441" s="64"/>
      <c r="AS441" s="475"/>
      <c r="AT441" s="64"/>
      <c r="AU441" s="646">
        <v>411</v>
      </c>
      <c r="AV441" s="1337"/>
    </row>
    <row r="442" spans="1:48" outlineLevel="4" x14ac:dyDescent="0.25">
      <c r="A442" s="63" t="str">
        <f t="shared" si="65"/>
        <v>1.3.1.9.20.62</v>
      </c>
      <c r="B442" s="64">
        <v>1</v>
      </c>
      <c r="C442" s="64">
        <v>3</v>
      </c>
      <c r="D442" s="64">
        <v>1</v>
      </c>
      <c r="E442" s="64">
        <v>9</v>
      </c>
      <c r="F442" s="64">
        <v>20</v>
      </c>
      <c r="G442" s="64">
        <v>62</v>
      </c>
      <c r="H442" s="65"/>
      <c r="I442" s="65"/>
      <c r="J442" s="65"/>
      <c r="K442" s="125" t="s">
        <v>1739</v>
      </c>
      <c r="L442" s="64" t="s">
        <v>72</v>
      </c>
      <c r="M442" s="128" t="s">
        <v>73</v>
      </c>
      <c r="N442" s="64" t="s">
        <v>74</v>
      </c>
      <c r="O442" s="64" t="s">
        <v>367</v>
      </c>
      <c r="P442" s="69">
        <v>44197</v>
      </c>
      <c r="Q442" s="69">
        <v>44377</v>
      </c>
      <c r="R442" s="1336"/>
      <c r="S442" s="170"/>
      <c r="T442" s="170"/>
      <c r="U442" s="97"/>
      <c r="V442" s="674">
        <f t="shared" si="86"/>
        <v>0</v>
      </c>
      <c r="W442" s="97"/>
      <c r="X442" s="97">
        <f t="shared" si="87"/>
        <v>464285.71428571426</v>
      </c>
      <c r="Y442" s="97"/>
      <c r="Z442" s="97"/>
      <c r="AA442" s="97">
        <f t="shared" si="88"/>
        <v>464285.71428571426</v>
      </c>
      <c r="AB442" s="97"/>
      <c r="AC442" s="75"/>
      <c r="AD442" s="75"/>
      <c r="AE442" s="592"/>
      <c r="AF442" s="259" t="s">
        <v>497</v>
      </c>
      <c r="AG442" s="75">
        <v>0</v>
      </c>
      <c r="AH442" s="370">
        <f t="shared" si="89"/>
        <v>928571.42857142852</v>
      </c>
      <c r="AI442" s="75"/>
      <c r="AJ442" s="75"/>
      <c r="AK442" s="75"/>
      <c r="AL442" s="75"/>
      <c r="AM442" s="75"/>
      <c r="AN442" s="64" t="s">
        <v>39</v>
      </c>
      <c r="AO442" s="165"/>
      <c r="AP442" s="165"/>
      <c r="AQ442" s="413"/>
      <c r="AR442" s="64"/>
      <c r="AS442" s="475"/>
      <c r="AT442" s="64"/>
      <c r="AU442" s="646"/>
      <c r="AV442" s="1337"/>
    </row>
    <row r="443" spans="1:48" outlineLevel="4" x14ac:dyDescent="0.25">
      <c r="A443" s="63" t="str">
        <f t="shared" si="65"/>
        <v>1.3.1.9.20.63</v>
      </c>
      <c r="B443" s="64">
        <v>1</v>
      </c>
      <c r="C443" s="64">
        <v>3</v>
      </c>
      <c r="D443" s="64">
        <v>1</v>
      </c>
      <c r="E443" s="64">
        <v>9</v>
      </c>
      <c r="F443" s="64">
        <v>20</v>
      </c>
      <c r="G443" s="64">
        <v>63</v>
      </c>
      <c r="H443" s="65"/>
      <c r="I443" s="65"/>
      <c r="J443" s="65"/>
      <c r="K443" s="125" t="s">
        <v>502</v>
      </c>
      <c r="L443" s="64" t="s">
        <v>72</v>
      </c>
      <c r="M443" s="128" t="s">
        <v>73</v>
      </c>
      <c r="N443" s="64" t="s">
        <v>74</v>
      </c>
      <c r="O443" s="64" t="s">
        <v>367</v>
      </c>
      <c r="P443" s="69">
        <v>44197</v>
      </c>
      <c r="Q443" s="69">
        <v>44377</v>
      </c>
      <c r="R443" s="1336"/>
      <c r="S443" s="170"/>
      <c r="T443" s="170"/>
      <c r="U443" s="97"/>
      <c r="V443" s="674">
        <f t="shared" si="86"/>
        <v>0</v>
      </c>
      <c r="W443" s="97"/>
      <c r="X443" s="97">
        <f t="shared" si="87"/>
        <v>464285.71428571426</v>
      </c>
      <c r="Y443" s="97"/>
      <c r="Z443" s="97"/>
      <c r="AA443" s="97">
        <f t="shared" si="88"/>
        <v>464285.71428571426</v>
      </c>
      <c r="AB443" s="97"/>
      <c r="AC443" s="75"/>
      <c r="AD443" s="75"/>
      <c r="AE443" s="592"/>
      <c r="AF443" s="259" t="s">
        <v>497</v>
      </c>
      <c r="AG443" s="75">
        <v>0</v>
      </c>
      <c r="AH443" s="370">
        <f t="shared" si="89"/>
        <v>928571.42857142852</v>
      </c>
      <c r="AI443" s="75"/>
      <c r="AJ443" s="75"/>
      <c r="AK443" s="75"/>
      <c r="AL443" s="75"/>
      <c r="AM443" s="75"/>
      <c r="AN443" s="64" t="s">
        <v>39</v>
      </c>
      <c r="AO443" s="165"/>
      <c r="AP443" s="165"/>
      <c r="AQ443" s="413"/>
      <c r="AR443" s="64"/>
      <c r="AS443" s="475"/>
      <c r="AT443" s="64"/>
      <c r="AU443" s="646"/>
      <c r="AV443" s="1337"/>
    </row>
    <row r="444" spans="1:48" outlineLevel="4" x14ac:dyDescent="0.25">
      <c r="A444" s="63" t="str">
        <f t="shared" si="65"/>
        <v>1.3.1.9.20.64</v>
      </c>
      <c r="B444" s="64">
        <v>1</v>
      </c>
      <c r="C444" s="64">
        <v>3</v>
      </c>
      <c r="D444" s="64">
        <v>1</v>
      </c>
      <c r="E444" s="64">
        <v>9</v>
      </c>
      <c r="F444" s="64">
        <v>20</v>
      </c>
      <c r="G444" s="64">
        <v>64</v>
      </c>
      <c r="H444" s="65"/>
      <c r="I444" s="65"/>
      <c r="J444" s="65"/>
      <c r="K444" s="125" t="s">
        <v>503</v>
      </c>
      <c r="L444" s="64" t="s">
        <v>72</v>
      </c>
      <c r="M444" s="128" t="s">
        <v>73</v>
      </c>
      <c r="N444" s="64" t="s">
        <v>74</v>
      </c>
      <c r="O444" s="64" t="s">
        <v>367</v>
      </c>
      <c r="P444" s="69">
        <v>44197</v>
      </c>
      <c r="Q444" s="69">
        <v>44377</v>
      </c>
      <c r="R444" s="1336"/>
      <c r="S444" s="170"/>
      <c r="T444" s="170"/>
      <c r="U444" s="97"/>
      <c r="V444" s="674">
        <f t="shared" si="86"/>
        <v>0</v>
      </c>
      <c r="W444" s="97"/>
      <c r="X444" s="97">
        <f t="shared" si="87"/>
        <v>464285.71428571426</v>
      </c>
      <c r="Y444" s="97"/>
      <c r="Z444" s="97"/>
      <c r="AA444" s="97">
        <f t="shared" si="88"/>
        <v>464285.71428571426</v>
      </c>
      <c r="AB444" s="97"/>
      <c r="AC444" s="75"/>
      <c r="AD444" s="75"/>
      <c r="AE444" s="592"/>
      <c r="AF444" s="259" t="s">
        <v>497</v>
      </c>
      <c r="AG444" s="75">
        <v>0</v>
      </c>
      <c r="AH444" s="370">
        <f t="shared" si="89"/>
        <v>928571.42857142852</v>
      </c>
      <c r="AI444" s="75"/>
      <c r="AJ444" s="75"/>
      <c r="AK444" s="75"/>
      <c r="AL444" s="75"/>
      <c r="AM444" s="75"/>
      <c r="AN444" s="64" t="s">
        <v>39</v>
      </c>
      <c r="AO444" s="165"/>
      <c r="AP444" s="165"/>
      <c r="AQ444" s="413"/>
      <c r="AR444" s="64"/>
      <c r="AS444" s="475"/>
      <c r="AT444" s="64"/>
      <c r="AU444" s="646"/>
      <c r="AV444" s="1337"/>
    </row>
    <row r="445" spans="1:48" ht="30" outlineLevel="4" x14ac:dyDescent="0.25">
      <c r="A445" s="63" t="str">
        <f t="shared" si="65"/>
        <v>1.3.1.9.21.58</v>
      </c>
      <c r="B445" s="64">
        <v>1</v>
      </c>
      <c r="C445" s="64">
        <v>3</v>
      </c>
      <c r="D445" s="64">
        <v>1</v>
      </c>
      <c r="E445" s="64">
        <v>9</v>
      </c>
      <c r="F445" s="64">
        <v>21</v>
      </c>
      <c r="G445" s="64">
        <v>58</v>
      </c>
      <c r="H445" s="65"/>
      <c r="I445" s="65"/>
      <c r="J445" s="65"/>
      <c r="K445" s="86" t="s">
        <v>504</v>
      </c>
      <c r="L445" s="64" t="s">
        <v>72</v>
      </c>
      <c r="M445" s="64" t="s">
        <v>255</v>
      </c>
      <c r="N445" s="64" t="s">
        <v>265</v>
      </c>
      <c r="O445" s="64" t="s">
        <v>264</v>
      </c>
      <c r="P445" s="69"/>
      <c r="Q445" s="69"/>
      <c r="R445" s="124"/>
      <c r="S445" s="123"/>
      <c r="T445" s="124"/>
      <c r="U445" s="75"/>
      <c r="V445" s="674">
        <f t="shared" si="86"/>
        <v>0</v>
      </c>
      <c r="W445" s="75"/>
      <c r="X445" s="75"/>
      <c r="Y445" s="75"/>
      <c r="Z445" s="75"/>
      <c r="AA445" s="75"/>
      <c r="AB445" s="75"/>
      <c r="AC445" s="75"/>
      <c r="AD445" s="75"/>
      <c r="AE445" s="592"/>
      <c r="AF445" s="347"/>
      <c r="AG445" s="75">
        <v>0</v>
      </c>
      <c r="AH445" s="370">
        <v>0</v>
      </c>
      <c r="AI445" s="75"/>
      <c r="AJ445" s="75"/>
      <c r="AK445" s="75"/>
      <c r="AL445" s="75"/>
      <c r="AM445" s="75"/>
      <c r="AN445" s="64" t="s">
        <v>39</v>
      </c>
      <c r="AO445" s="64"/>
      <c r="AP445" s="64"/>
      <c r="AQ445" s="189"/>
      <c r="AR445" s="64"/>
      <c r="AS445" s="476"/>
      <c r="AT445" s="64"/>
      <c r="AU445" s="646"/>
      <c r="AV445" s="185"/>
    </row>
    <row r="446" spans="1:48" ht="30" outlineLevel="4" x14ac:dyDescent="0.25">
      <c r="A446" s="63" t="str">
        <f t="shared" si="65"/>
        <v>1.3.1.9.21.59</v>
      </c>
      <c r="B446" s="64">
        <v>1</v>
      </c>
      <c r="C446" s="64">
        <v>3</v>
      </c>
      <c r="D446" s="64">
        <v>1</v>
      </c>
      <c r="E446" s="64">
        <v>9</v>
      </c>
      <c r="F446" s="64">
        <v>21</v>
      </c>
      <c r="G446" s="64">
        <v>59</v>
      </c>
      <c r="H446" s="65"/>
      <c r="I446" s="65"/>
      <c r="J446" s="65"/>
      <c r="K446" s="86" t="s">
        <v>505</v>
      </c>
      <c r="L446" s="64" t="s">
        <v>72</v>
      </c>
      <c r="M446" s="64" t="s">
        <v>255</v>
      </c>
      <c r="N446" s="64" t="s">
        <v>265</v>
      </c>
      <c r="O446" s="64" t="s">
        <v>264</v>
      </c>
      <c r="P446" s="69"/>
      <c r="Q446" s="69"/>
      <c r="R446" s="124"/>
      <c r="S446" s="123"/>
      <c r="T446" s="124"/>
      <c r="U446" s="75"/>
      <c r="V446" s="674">
        <f t="shared" si="86"/>
        <v>0</v>
      </c>
      <c r="W446" s="75"/>
      <c r="X446" s="75"/>
      <c r="Y446" s="75"/>
      <c r="Z446" s="75"/>
      <c r="AA446" s="75"/>
      <c r="AB446" s="75"/>
      <c r="AC446" s="75"/>
      <c r="AD446" s="75"/>
      <c r="AE446" s="592"/>
      <c r="AF446" s="347"/>
      <c r="AG446" s="75">
        <v>0</v>
      </c>
      <c r="AH446" s="370">
        <v>0</v>
      </c>
      <c r="AI446" s="75"/>
      <c r="AJ446" s="75"/>
      <c r="AK446" s="75"/>
      <c r="AL446" s="75"/>
      <c r="AM446" s="75"/>
      <c r="AN446" s="64" t="s">
        <v>39</v>
      </c>
      <c r="AO446" s="64"/>
      <c r="AP446" s="64"/>
      <c r="AQ446" s="189"/>
      <c r="AR446" s="64"/>
      <c r="AS446" s="476"/>
      <c r="AT446" s="64"/>
      <c r="AU446" s="646"/>
      <c r="AV446" s="185"/>
    </row>
    <row r="447" spans="1:48" ht="30" outlineLevel="4" x14ac:dyDescent="0.25">
      <c r="A447" s="63" t="str">
        <f t="shared" si="65"/>
        <v>1.3.1.9.21.60</v>
      </c>
      <c r="B447" s="64">
        <v>1</v>
      </c>
      <c r="C447" s="64">
        <v>3</v>
      </c>
      <c r="D447" s="64">
        <v>1</v>
      </c>
      <c r="E447" s="64">
        <v>9</v>
      </c>
      <c r="F447" s="64">
        <v>21</v>
      </c>
      <c r="G447" s="64">
        <v>60</v>
      </c>
      <c r="H447" s="65"/>
      <c r="I447" s="65"/>
      <c r="J447" s="65"/>
      <c r="K447" s="86" t="s">
        <v>506</v>
      </c>
      <c r="L447" s="64" t="s">
        <v>72</v>
      </c>
      <c r="M447" s="64" t="s">
        <v>255</v>
      </c>
      <c r="N447" s="64" t="s">
        <v>265</v>
      </c>
      <c r="O447" s="64" t="s">
        <v>264</v>
      </c>
      <c r="P447" s="69"/>
      <c r="Q447" s="69"/>
      <c r="R447" s="124"/>
      <c r="S447" s="123"/>
      <c r="T447" s="124"/>
      <c r="U447" s="75"/>
      <c r="V447" s="674">
        <f t="shared" si="86"/>
        <v>0</v>
      </c>
      <c r="W447" s="75"/>
      <c r="X447" s="75"/>
      <c r="Y447" s="75"/>
      <c r="Z447" s="75"/>
      <c r="AA447" s="75"/>
      <c r="AB447" s="75"/>
      <c r="AC447" s="75"/>
      <c r="AD447" s="75"/>
      <c r="AE447" s="592"/>
      <c r="AF447" s="347"/>
      <c r="AG447" s="75">
        <v>0</v>
      </c>
      <c r="AH447" s="370">
        <v>0</v>
      </c>
      <c r="AI447" s="75"/>
      <c r="AJ447" s="75"/>
      <c r="AK447" s="75"/>
      <c r="AL447" s="75"/>
      <c r="AM447" s="75"/>
      <c r="AN447" s="64" t="s">
        <v>39</v>
      </c>
      <c r="AO447" s="64"/>
      <c r="AP447" s="64"/>
      <c r="AQ447" s="189"/>
      <c r="AR447" s="64"/>
      <c r="AS447" s="476"/>
      <c r="AT447" s="64"/>
      <c r="AU447" s="646"/>
      <c r="AV447" s="185"/>
    </row>
    <row r="448" spans="1:48" ht="30" outlineLevel="4" x14ac:dyDescent="0.25">
      <c r="A448" s="63" t="str">
        <f t="shared" si="65"/>
        <v>1.3.1.9.21.61</v>
      </c>
      <c r="B448" s="64">
        <v>1</v>
      </c>
      <c r="C448" s="64">
        <v>3</v>
      </c>
      <c r="D448" s="64">
        <v>1</v>
      </c>
      <c r="E448" s="64">
        <v>9</v>
      </c>
      <c r="F448" s="64">
        <v>21</v>
      </c>
      <c r="G448" s="64">
        <v>61</v>
      </c>
      <c r="H448" s="65"/>
      <c r="I448" s="65"/>
      <c r="J448" s="65"/>
      <c r="K448" s="86" t="s">
        <v>507</v>
      </c>
      <c r="L448" s="64" t="s">
        <v>72</v>
      </c>
      <c r="M448" s="64" t="s">
        <v>255</v>
      </c>
      <c r="N448" s="64" t="s">
        <v>265</v>
      </c>
      <c r="O448" s="64" t="s">
        <v>264</v>
      </c>
      <c r="P448" s="69"/>
      <c r="Q448" s="69"/>
      <c r="R448" s="124"/>
      <c r="S448" s="123"/>
      <c r="T448" s="124"/>
      <c r="U448" s="75"/>
      <c r="V448" s="674">
        <f t="shared" si="86"/>
        <v>0</v>
      </c>
      <c r="W448" s="75"/>
      <c r="X448" s="75"/>
      <c r="Y448" s="75"/>
      <c r="Z448" s="75"/>
      <c r="AA448" s="75"/>
      <c r="AB448" s="75"/>
      <c r="AC448" s="75"/>
      <c r="AD448" s="75"/>
      <c r="AE448" s="592"/>
      <c r="AF448" s="347"/>
      <c r="AG448" s="75">
        <v>0</v>
      </c>
      <c r="AH448" s="370">
        <v>0</v>
      </c>
      <c r="AI448" s="75"/>
      <c r="AJ448" s="75"/>
      <c r="AK448" s="75"/>
      <c r="AL448" s="75"/>
      <c r="AM448" s="75"/>
      <c r="AN448" s="64" t="s">
        <v>39</v>
      </c>
      <c r="AO448" s="64"/>
      <c r="AP448" s="64"/>
      <c r="AQ448" s="189"/>
      <c r="AR448" s="64"/>
      <c r="AS448" s="476"/>
      <c r="AT448" s="64"/>
      <c r="AU448" s="646"/>
      <c r="AV448" s="185"/>
    </row>
    <row r="449" spans="1:56" ht="30" outlineLevel="4" x14ac:dyDescent="0.25">
      <c r="A449" s="63" t="str">
        <f t="shared" si="65"/>
        <v>1.3.1.9.21.62</v>
      </c>
      <c r="B449" s="64">
        <v>1</v>
      </c>
      <c r="C449" s="64">
        <v>3</v>
      </c>
      <c r="D449" s="64">
        <v>1</v>
      </c>
      <c r="E449" s="64">
        <v>9</v>
      </c>
      <c r="F449" s="64">
        <v>21</v>
      </c>
      <c r="G449" s="64">
        <v>62</v>
      </c>
      <c r="H449" s="65"/>
      <c r="I449" s="65"/>
      <c r="J449" s="65"/>
      <c r="K449" s="86" t="s">
        <v>1740</v>
      </c>
      <c r="L449" s="64" t="s">
        <v>72</v>
      </c>
      <c r="M449" s="64" t="s">
        <v>255</v>
      </c>
      <c r="N449" s="64" t="s">
        <v>265</v>
      </c>
      <c r="O449" s="64" t="s">
        <v>264</v>
      </c>
      <c r="P449" s="69"/>
      <c r="Q449" s="69"/>
      <c r="R449" s="124"/>
      <c r="S449" s="123"/>
      <c r="T449" s="124"/>
      <c r="U449" s="75"/>
      <c r="V449" s="674">
        <f t="shared" si="86"/>
        <v>0</v>
      </c>
      <c r="W449" s="75"/>
      <c r="X449" s="75"/>
      <c r="Y449" s="75"/>
      <c r="Z449" s="75"/>
      <c r="AA449" s="75"/>
      <c r="AB449" s="75"/>
      <c r="AC449" s="75"/>
      <c r="AD449" s="75"/>
      <c r="AE449" s="592"/>
      <c r="AF449" s="347"/>
      <c r="AG449" s="75">
        <v>0</v>
      </c>
      <c r="AH449" s="370">
        <v>0</v>
      </c>
      <c r="AI449" s="75"/>
      <c r="AJ449" s="75"/>
      <c r="AK449" s="75"/>
      <c r="AL449" s="75"/>
      <c r="AM449" s="75"/>
      <c r="AN449" s="64" t="s">
        <v>39</v>
      </c>
      <c r="AO449" s="64"/>
      <c r="AP449" s="64"/>
      <c r="AQ449" s="189"/>
      <c r="AR449" s="64"/>
      <c r="AS449" s="476"/>
      <c r="AT449" s="64"/>
      <c r="AU449" s="646"/>
      <c r="AV449" s="185"/>
    </row>
    <row r="450" spans="1:56" ht="30" outlineLevel="4" x14ac:dyDescent="0.25">
      <c r="A450" s="63" t="str">
        <f t="shared" si="65"/>
        <v>1.3.1.9.21.63</v>
      </c>
      <c r="B450" s="64">
        <v>1</v>
      </c>
      <c r="C450" s="64">
        <v>3</v>
      </c>
      <c r="D450" s="64">
        <v>1</v>
      </c>
      <c r="E450" s="64">
        <v>9</v>
      </c>
      <c r="F450" s="64">
        <v>21</v>
      </c>
      <c r="G450" s="64">
        <v>63</v>
      </c>
      <c r="H450" s="65"/>
      <c r="I450" s="65"/>
      <c r="J450" s="65"/>
      <c r="K450" s="86" t="s">
        <v>508</v>
      </c>
      <c r="L450" s="64" t="s">
        <v>72</v>
      </c>
      <c r="M450" s="64" t="s">
        <v>255</v>
      </c>
      <c r="N450" s="64" t="s">
        <v>265</v>
      </c>
      <c r="O450" s="64" t="s">
        <v>264</v>
      </c>
      <c r="P450" s="69"/>
      <c r="Q450" s="69"/>
      <c r="R450" s="124"/>
      <c r="S450" s="123"/>
      <c r="T450" s="124"/>
      <c r="U450" s="75"/>
      <c r="V450" s="674">
        <f t="shared" si="86"/>
        <v>0</v>
      </c>
      <c r="W450" s="75"/>
      <c r="X450" s="75"/>
      <c r="Y450" s="75"/>
      <c r="Z450" s="75"/>
      <c r="AA450" s="75"/>
      <c r="AB450" s="75"/>
      <c r="AC450" s="75"/>
      <c r="AD450" s="75"/>
      <c r="AE450" s="592"/>
      <c r="AF450" s="347"/>
      <c r="AG450" s="75">
        <v>0</v>
      </c>
      <c r="AH450" s="370">
        <v>0</v>
      </c>
      <c r="AI450" s="75"/>
      <c r="AJ450" s="75"/>
      <c r="AK450" s="75"/>
      <c r="AL450" s="75"/>
      <c r="AM450" s="75"/>
      <c r="AN450" s="64" t="s">
        <v>39</v>
      </c>
      <c r="AO450" s="64"/>
      <c r="AP450" s="64"/>
      <c r="AQ450" s="189"/>
      <c r="AR450" s="64"/>
      <c r="AS450" s="476"/>
      <c r="AT450" s="64"/>
      <c r="AU450" s="646"/>
      <c r="AV450" s="185"/>
    </row>
    <row r="451" spans="1:56" ht="30" outlineLevel="4" x14ac:dyDescent="0.25">
      <c r="A451" s="63" t="str">
        <f t="shared" si="65"/>
        <v>1.3.1.9.21.64</v>
      </c>
      <c r="B451" s="64">
        <v>1</v>
      </c>
      <c r="C451" s="64">
        <v>3</v>
      </c>
      <c r="D451" s="64">
        <v>1</v>
      </c>
      <c r="E451" s="64">
        <v>9</v>
      </c>
      <c r="F451" s="64">
        <v>21</v>
      </c>
      <c r="G451" s="64">
        <v>64</v>
      </c>
      <c r="H451" s="65"/>
      <c r="I451" s="65"/>
      <c r="J451" s="65"/>
      <c r="K451" s="86" t="s">
        <v>509</v>
      </c>
      <c r="L451" s="64" t="s">
        <v>72</v>
      </c>
      <c r="M451" s="64" t="s">
        <v>255</v>
      </c>
      <c r="N451" s="64" t="s">
        <v>265</v>
      </c>
      <c r="O451" s="64" t="s">
        <v>264</v>
      </c>
      <c r="P451" s="69"/>
      <c r="Q451" s="69"/>
      <c r="R451" s="124"/>
      <c r="S451" s="123"/>
      <c r="T451" s="124"/>
      <c r="U451" s="75"/>
      <c r="V451" s="674">
        <f t="shared" si="86"/>
        <v>0</v>
      </c>
      <c r="W451" s="75"/>
      <c r="X451" s="75"/>
      <c r="Y451" s="75"/>
      <c r="Z451" s="75"/>
      <c r="AA451" s="75"/>
      <c r="AB451" s="75"/>
      <c r="AC451" s="75"/>
      <c r="AD451" s="75"/>
      <c r="AE451" s="592"/>
      <c r="AF451" s="347"/>
      <c r="AG451" s="75">
        <v>0</v>
      </c>
      <c r="AH451" s="370">
        <v>0</v>
      </c>
      <c r="AI451" s="75"/>
      <c r="AJ451" s="75"/>
      <c r="AK451" s="75"/>
      <c r="AL451" s="75"/>
      <c r="AM451" s="75"/>
      <c r="AN451" s="64" t="s">
        <v>39</v>
      </c>
      <c r="AO451" s="64"/>
      <c r="AP451" s="64"/>
      <c r="AQ451" s="189"/>
      <c r="AR451" s="64"/>
      <c r="AS451" s="476"/>
      <c r="AT451" s="64"/>
      <c r="AU451" s="646"/>
      <c r="AV451" s="185"/>
    </row>
    <row r="452" spans="1:56" ht="30" outlineLevel="4" x14ac:dyDescent="0.25">
      <c r="A452" s="63" t="str">
        <f t="shared" si="65"/>
        <v>1.3.1.9.22.58</v>
      </c>
      <c r="B452" s="64">
        <v>1</v>
      </c>
      <c r="C452" s="64">
        <v>3</v>
      </c>
      <c r="D452" s="64">
        <v>1</v>
      </c>
      <c r="E452" s="64">
        <v>9</v>
      </c>
      <c r="F452" s="64">
        <v>22</v>
      </c>
      <c r="G452" s="64">
        <v>58</v>
      </c>
      <c r="H452" s="65"/>
      <c r="I452" s="65"/>
      <c r="J452" s="65"/>
      <c r="K452" s="86" t="s">
        <v>510</v>
      </c>
      <c r="L452" s="64" t="s">
        <v>72</v>
      </c>
      <c r="M452" s="64" t="s">
        <v>255</v>
      </c>
      <c r="N452" s="64" t="s">
        <v>265</v>
      </c>
      <c r="O452" s="64" t="s">
        <v>264</v>
      </c>
      <c r="P452" s="69"/>
      <c r="Q452" s="69"/>
      <c r="R452" s="170"/>
      <c r="S452" s="170"/>
      <c r="T452" s="170"/>
      <c r="U452" s="97"/>
      <c r="V452" s="674">
        <f t="shared" si="86"/>
        <v>0</v>
      </c>
      <c r="W452" s="97"/>
      <c r="X452" s="97"/>
      <c r="Y452" s="97"/>
      <c r="Z452" s="97"/>
      <c r="AA452" s="97"/>
      <c r="AB452" s="97"/>
      <c r="AC452" s="75"/>
      <c r="AD452" s="75"/>
      <c r="AE452" s="592"/>
      <c r="AF452" s="353"/>
      <c r="AG452" s="97">
        <v>0</v>
      </c>
      <c r="AH452" s="370">
        <v>0</v>
      </c>
      <c r="AI452" s="75"/>
      <c r="AJ452" s="75"/>
      <c r="AK452" s="75"/>
      <c r="AL452" s="75"/>
      <c r="AM452" s="75"/>
      <c r="AN452" s="64" t="s">
        <v>39</v>
      </c>
      <c r="AO452" s="64"/>
      <c r="AP452" s="64"/>
      <c r="AQ452" s="189"/>
      <c r="AR452" s="64"/>
      <c r="AS452" s="476"/>
      <c r="AT452" s="64"/>
      <c r="AU452" s="646"/>
      <c r="AV452" s="185"/>
      <c r="BD452" s="162">
        <v>6500000</v>
      </c>
    </row>
    <row r="453" spans="1:56" ht="30" outlineLevel="4" x14ac:dyDescent="0.25">
      <c r="A453" s="63" t="str">
        <f t="shared" si="65"/>
        <v>1.3.1.9.22.59</v>
      </c>
      <c r="B453" s="64">
        <v>1</v>
      </c>
      <c r="C453" s="64">
        <v>3</v>
      </c>
      <c r="D453" s="64">
        <v>1</v>
      </c>
      <c r="E453" s="64">
        <v>9</v>
      </c>
      <c r="F453" s="64">
        <v>22</v>
      </c>
      <c r="G453" s="64">
        <v>59</v>
      </c>
      <c r="H453" s="65"/>
      <c r="I453" s="65"/>
      <c r="J453" s="65"/>
      <c r="K453" s="86" t="s">
        <v>511</v>
      </c>
      <c r="L453" s="64" t="s">
        <v>72</v>
      </c>
      <c r="M453" s="64" t="s">
        <v>255</v>
      </c>
      <c r="N453" s="64" t="s">
        <v>265</v>
      </c>
      <c r="O453" s="64" t="s">
        <v>264</v>
      </c>
      <c r="P453" s="69"/>
      <c r="Q453" s="69"/>
      <c r="R453" s="170"/>
      <c r="S453" s="170"/>
      <c r="T453" s="170"/>
      <c r="U453" s="97"/>
      <c r="V453" s="674">
        <f t="shared" si="86"/>
        <v>0</v>
      </c>
      <c r="W453" s="97"/>
      <c r="X453" s="97"/>
      <c r="Y453" s="97"/>
      <c r="Z453" s="97"/>
      <c r="AA453" s="97"/>
      <c r="AB453" s="97"/>
      <c r="AC453" s="75"/>
      <c r="AD453" s="75"/>
      <c r="AE453" s="592"/>
      <c r="AF453" s="353"/>
      <c r="AG453" s="97">
        <v>0</v>
      </c>
      <c r="AH453" s="370">
        <v>0</v>
      </c>
      <c r="AI453" s="75"/>
      <c r="AJ453" s="75"/>
      <c r="AK453" s="75"/>
      <c r="AL453" s="75"/>
      <c r="AM453" s="75"/>
      <c r="AN453" s="64" t="s">
        <v>39</v>
      </c>
      <c r="AO453" s="64"/>
      <c r="AP453" s="64"/>
      <c r="AQ453" s="189"/>
      <c r="AR453" s="64"/>
      <c r="AS453" s="476"/>
      <c r="AT453" s="64"/>
      <c r="AU453" s="646"/>
      <c r="AV453" s="185"/>
      <c r="BD453" s="162">
        <f>SUBTOTAL(9,BD399:BD452)</f>
        <v>30680000</v>
      </c>
    </row>
    <row r="454" spans="1:56" ht="30" outlineLevel="4" x14ac:dyDescent="0.25">
      <c r="A454" s="63" t="str">
        <f t="shared" si="65"/>
        <v>1.3.1.9.22.60</v>
      </c>
      <c r="B454" s="64">
        <v>1</v>
      </c>
      <c r="C454" s="64">
        <v>3</v>
      </c>
      <c r="D454" s="64">
        <v>1</v>
      </c>
      <c r="E454" s="64">
        <v>9</v>
      </c>
      <c r="F454" s="64">
        <v>22</v>
      </c>
      <c r="G454" s="64">
        <v>60</v>
      </c>
      <c r="H454" s="65"/>
      <c r="I454" s="65"/>
      <c r="J454" s="65"/>
      <c r="K454" s="86" t="s">
        <v>512</v>
      </c>
      <c r="L454" s="64" t="s">
        <v>72</v>
      </c>
      <c r="M454" s="64" t="s">
        <v>255</v>
      </c>
      <c r="N454" s="64" t="s">
        <v>265</v>
      </c>
      <c r="O454" s="64" t="s">
        <v>264</v>
      </c>
      <c r="P454" s="69"/>
      <c r="Q454" s="69"/>
      <c r="R454" s="170"/>
      <c r="S454" s="170"/>
      <c r="T454" s="170"/>
      <c r="U454" s="97"/>
      <c r="V454" s="674">
        <f t="shared" si="86"/>
        <v>0</v>
      </c>
      <c r="W454" s="97"/>
      <c r="X454" s="97"/>
      <c r="Y454" s="97"/>
      <c r="Z454" s="97"/>
      <c r="AA454" s="97"/>
      <c r="AB454" s="97"/>
      <c r="AC454" s="75"/>
      <c r="AD454" s="75"/>
      <c r="AE454" s="592"/>
      <c r="AF454" s="353"/>
      <c r="AG454" s="97">
        <v>0</v>
      </c>
      <c r="AH454" s="370">
        <v>0</v>
      </c>
      <c r="AI454" s="75"/>
      <c r="AJ454" s="75"/>
      <c r="AK454" s="75"/>
      <c r="AL454" s="75"/>
      <c r="AM454" s="75"/>
      <c r="AN454" s="64" t="s">
        <v>39</v>
      </c>
      <c r="AO454" s="64"/>
      <c r="AP454" s="64"/>
      <c r="AQ454" s="189"/>
      <c r="AR454" s="64"/>
      <c r="AS454" s="476"/>
      <c r="AT454" s="64"/>
      <c r="AU454" s="646"/>
      <c r="AV454" s="185"/>
      <c r="BD454" s="162">
        <v>34000000</v>
      </c>
    </row>
    <row r="455" spans="1:56" ht="30" outlineLevel="4" x14ac:dyDescent="0.25">
      <c r="A455" s="63" t="str">
        <f t="shared" si="65"/>
        <v>1.3.1.9.22.61</v>
      </c>
      <c r="B455" s="64">
        <v>1</v>
      </c>
      <c r="C455" s="64">
        <v>3</v>
      </c>
      <c r="D455" s="64">
        <v>1</v>
      </c>
      <c r="E455" s="64">
        <v>9</v>
      </c>
      <c r="F455" s="64">
        <v>22</v>
      </c>
      <c r="G455" s="64">
        <v>61</v>
      </c>
      <c r="H455" s="65"/>
      <c r="I455" s="65"/>
      <c r="J455" s="65"/>
      <c r="K455" s="86" t="s">
        <v>513</v>
      </c>
      <c r="L455" s="64" t="s">
        <v>72</v>
      </c>
      <c r="M455" s="64" t="s">
        <v>255</v>
      </c>
      <c r="N455" s="64" t="s">
        <v>265</v>
      </c>
      <c r="O455" s="64" t="s">
        <v>264</v>
      </c>
      <c r="P455" s="69"/>
      <c r="Q455" s="69"/>
      <c r="R455" s="170"/>
      <c r="S455" s="170"/>
      <c r="T455" s="170"/>
      <c r="U455" s="97"/>
      <c r="V455" s="674">
        <f t="shared" si="86"/>
        <v>0</v>
      </c>
      <c r="W455" s="97"/>
      <c r="X455" s="97"/>
      <c r="Y455" s="97"/>
      <c r="Z455" s="97"/>
      <c r="AA455" s="97"/>
      <c r="AB455" s="97"/>
      <c r="AC455" s="75"/>
      <c r="AD455" s="75"/>
      <c r="AE455" s="592"/>
      <c r="AF455" s="353"/>
      <c r="AG455" s="97">
        <v>0</v>
      </c>
      <c r="AH455" s="370">
        <v>0</v>
      </c>
      <c r="AI455" s="75"/>
      <c r="AJ455" s="75"/>
      <c r="AK455" s="75"/>
      <c r="AL455" s="75"/>
      <c r="AM455" s="75"/>
      <c r="AN455" s="64" t="s">
        <v>39</v>
      </c>
      <c r="AO455" s="64"/>
      <c r="AP455" s="64"/>
      <c r="AQ455" s="189"/>
      <c r="AR455" s="64"/>
      <c r="AS455" s="476"/>
      <c r="AT455" s="64"/>
      <c r="AU455" s="646"/>
      <c r="AV455" s="185"/>
      <c r="BD455" s="162">
        <f>+BD453+BD454</f>
        <v>64680000</v>
      </c>
    </row>
    <row r="456" spans="1:56" ht="30" outlineLevel="4" x14ac:dyDescent="0.25">
      <c r="A456" s="63" t="str">
        <f t="shared" si="65"/>
        <v>1.3.1.9.22.62</v>
      </c>
      <c r="B456" s="64">
        <v>1</v>
      </c>
      <c r="C456" s="64">
        <v>3</v>
      </c>
      <c r="D456" s="64">
        <v>1</v>
      </c>
      <c r="E456" s="64">
        <v>9</v>
      </c>
      <c r="F456" s="64">
        <v>22</v>
      </c>
      <c r="G456" s="64">
        <v>62</v>
      </c>
      <c r="H456" s="65"/>
      <c r="I456" s="65"/>
      <c r="J456" s="65"/>
      <c r="K456" s="86" t="s">
        <v>1741</v>
      </c>
      <c r="L456" s="64" t="s">
        <v>72</v>
      </c>
      <c r="M456" s="64" t="s">
        <v>255</v>
      </c>
      <c r="N456" s="64" t="s">
        <v>265</v>
      </c>
      <c r="O456" s="64" t="s">
        <v>264</v>
      </c>
      <c r="P456" s="69"/>
      <c r="Q456" s="69"/>
      <c r="R456" s="170"/>
      <c r="S456" s="170"/>
      <c r="T456" s="170"/>
      <c r="U456" s="97"/>
      <c r="V456" s="674">
        <f t="shared" si="86"/>
        <v>0</v>
      </c>
      <c r="W456" s="97"/>
      <c r="X456" s="97"/>
      <c r="Y456" s="97"/>
      <c r="Z456" s="97"/>
      <c r="AA456" s="97"/>
      <c r="AB456" s="97"/>
      <c r="AC456" s="75"/>
      <c r="AD456" s="75"/>
      <c r="AE456" s="592"/>
      <c r="AF456" s="353"/>
      <c r="AG456" s="97">
        <v>0</v>
      </c>
      <c r="AH456" s="370">
        <v>0</v>
      </c>
      <c r="AI456" s="75"/>
      <c r="AJ456" s="75"/>
      <c r="AK456" s="75"/>
      <c r="AL456" s="75"/>
      <c r="AM456" s="75"/>
      <c r="AN456" s="64" t="s">
        <v>39</v>
      </c>
      <c r="AO456" s="64"/>
      <c r="AP456" s="64"/>
      <c r="AQ456" s="189"/>
      <c r="AR456" s="64"/>
      <c r="AS456" s="476"/>
      <c r="AT456" s="64"/>
      <c r="AU456" s="646"/>
      <c r="AV456" s="185"/>
    </row>
    <row r="457" spans="1:56" ht="30" outlineLevel="4" x14ac:dyDescent="0.25">
      <c r="A457" s="63" t="str">
        <f t="shared" si="65"/>
        <v>1.3.1.9.22.63</v>
      </c>
      <c r="B457" s="64">
        <v>1</v>
      </c>
      <c r="C457" s="64">
        <v>3</v>
      </c>
      <c r="D457" s="64">
        <v>1</v>
      </c>
      <c r="E457" s="64">
        <v>9</v>
      </c>
      <c r="F457" s="64">
        <v>22</v>
      </c>
      <c r="G457" s="64">
        <v>63</v>
      </c>
      <c r="H457" s="65"/>
      <c r="I457" s="65"/>
      <c r="J457" s="65"/>
      <c r="K457" s="86" t="s">
        <v>514</v>
      </c>
      <c r="L457" s="64" t="s">
        <v>72</v>
      </c>
      <c r="M457" s="64" t="s">
        <v>255</v>
      </c>
      <c r="N457" s="64" t="s">
        <v>265</v>
      </c>
      <c r="O457" s="64" t="s">
        <v>264</v>
      </c>
      <c r="P457" s="69"/>
      <c r="Q457" s="69"/>
      <c r="R457" s="170"/>
      <c r="S457" s="170"/>
      <c r="T457" s="170"/>
      <c r="U457" s="97"/>
      <c r="V457" s="674">
        <f t="shared" si="86"/>
        <v>0</v>
      </c>
      <c r="W457" s="97"/>
      <c r="X457" s="97"/>
      <c r="Y457" s="97"/>
      <c r="Z457" s="97"/>
      <c r="AA457" s="97"/>
      <c r="AB457" s="97"/>
      <c r="AC457" s="75"/>
      <c r="AD457" s="75"/>
      <c r="AE457" s="592"/>
      <c r="AF457" s="353"/>
      <c r="AG457" s="97">
        <v>0</v>
      </c>
      <c r="AH457" s="370">
        <v>0</v>
      </c>
      <c r="AI457" s="75"/>
      <c r="AJ457" s="75"/>
      <c r="AK457" s="75"/>
      <c r="AL457" s="75"/>
      <c r="AM457" s="75"/>
      <c r="AN457" s="64" t="s">
        <v>39</v>
      </c>
      <c r="AO457" s="64"/>
      <c r="AP457" s="64"/>
      <c r="AQ457" s="189"/>
      <c r="AR457" s="64"/>
      <c r="AS457" s="476"/>
      <c r="AT457" s="64"/>
      <c r="AU457" s="646"/>
      <c r="AV457" s="185"/>
    </row>
    <row r="458" spans="1:56" ht="30" outlineLevel="4" x14ac:dyDescent="0.25">
      <c r="A458" s="63" t="str">
        <f t="shared" si="65"/>
        <v>1.3.1.9.22.64</v>
      </c>
      <c r="B458" s="64">
        <v>1</v>
      </c>
      <c r="C458" s="64">
        <v>3</v>
      </c>
      <c r="D458" s="64">
        <v>1</v>
      </c>
      <c r="E458" s="64">
        <v>9</v>
      </c>
      <c r="F458" s="64">
        <v>22</v>
      </c>
      <c r="G458" s="64">
        <v>64</v>
      </c>
      <c r="H458" s="65"/>
      <c r="I458" s="65"/>
      <c r="J458" s="65"/>
      <c r="K458" s="86" t="s">
        <v>515</v>
      </c>
      <c r="L458" s="64" t="s">
        <v>72</v>
      </c>
      <c r="M458" s="64" t="s">
        <v>255</v>
      </c>
      <c r="N458" s="64" t="s">
        <v>265</v>
      </c>
      <c r="O458" s="64" t="s">
        <v>264</v>
      </c>
      <c r="P458" s="69"/>
      <c r="Q458" s="69"/>
      <c r="R458" s="170"/>
      <c r="S458" s="170"/>
      <c r="T458" s="170"/>
      <c r="U458" s="97"/>
      <c r="V458" s="674">
        <f t="shared" si="86"/>
        <v>0</v>
      </c>
      <c r="W458" s="97"/>
      <c r="X458" s="97"/>
      <c r="Y458" s="97"/>
      <c r="Z458" s="97"/>
      <c r="AA458" s="97"/>
      <c r="AB458" s="97"/>
      <c r="AC458" s="75"/>
      <c r="AD458" s="75"/>
      <c r="AE458" s="592"/>
      <c r="AF458" s="353"/>
      <c r="AG458" s="97">
        <v>0</v>
      </c>
      <c r="AH458" s="370">
        <v>0</v>
      </c>
      <c r="AI458" s="75"/>
      <c r="AJ458" s="75"/>
      <c r="AK458" s="75"/>
      <c r="AL458" s="75"/>
      <c r="AM458" s="75"/>
      <c r="AN458" s="64" t="s">
        <v>39</v>
      </c>
      <c r="AO458" s="64"/>
      <c r="AP458" s="64"/>
      <c r="AQ458" s="189"/>
      <c r="AR458" s="64"/>
      <c r="AS458" s="476"/>
      <c r="AT458" s="64"/>
      <c r="AU458" s="646"/>
      <c r="AV458" s="185"/>
    </row>
    <row r="459" spans="1:56" outlineLevel="4" x14ac:dyDescent="0.25">
      <c r="A459" s="63" t="str">
        <f t="shared" si="65"/>
        <v>1.3.1.9.23.0</v>
      </c>
      <c r="B459" s="64">
        <v>1</v>
      </c>
      <c r="C459" s="64">
        <v>3</v>
      </c>
      <c r="D459" s="64">
        <v>1</v>
      </c>
      <c r="E459" s="64">
        <v>9</v>
      </c>
      <c r="F459" s="64">
        <v>23</v>
      </c>
      <c r="G459" s="64">
        <v>0</v>
      </c>
      <c r="H459" s="65"/>
      <c r="I459" s="65"/>
      <c r="J459" s="65"/>
      <c r="K459" s="86" t="s">
        <v>1855</v>
      </c>
      <c r="L459" s="64" t="s">
        <v>72</v>
      </c>
      <c r="M459" s="64" t="s">
        <v>422</v>
      </c>
      <c r="N459" s="64" t="s">
        <v>423</v>
      </c>
      <c r="O459" s="64" t="s">
        <v>246</v>
      </c>
      <c r="P459" s="69"/>
      <c r="Q459" s="69"/>
      <c r="R459" s="170"/>
      <c r="S459" s="170"/>
      <c r="T459" s="170"/>
      <c r="U459" s="97"/>
      <c r="V459" s="674">
        <f t="shared" si="86"/>
        <v>0</v>
      </c>
      <c r="W459" s="97"/>
      <c r="X459" s="97"/>
      <c r="Y459" s="97"/>
      <c r="Z459" s="97"/>
      <c r="AA459" s="97"/>
      <c r="AB459" s="97"/>
      <c r="AC459" s="75"/>
      <c r="AD459" s="75"/>
      <c r="AE459" s="592"/>
      <c r="AF459" s="353"/>
      <c r="AG459" s="97">
        <v>0</v>
      </c>
      <c r="AH459" s="370">
        <v>0</v>
      </c>
      <c r="AI459" s="75"/>
      <c r="AJ459" s="75"/>
      <c r="AK459" s="75"/>
      <c r="AL459" s="75"/>
      <c r="AM459" s="75"/>
      <c r="AN459" s="64" t="s">
        <v>39</v>
      </c>
      <c r="AO459" s="64"/>
      <c r="AP459" s="64"/>
      <c r="AQ459" s="189"/>
      <c r="AR459" s="64"/>
      <c r="AS459" s="476"/>
      <c r="AT459" s="64"/>
      <c r="AU459" s="646"/>
      <c r="AV459" s="441"/>
    </row>
    <row r="460" spans="1:56" ht="29.1" customHeight="1" outlineLevel="4" x14ac:dyDescent="0.25">
      <c r="A460" s="63" t="str">
        <f t="shared" si="65"/>
        <v>1.3.1.9.24.0</v>
      </c>
      <c r="B460" s="64">
        <v>1</v>
      </c>
      <c r="C460" s="64">
        <v>3</v>
      </c>
      <c r="D460" s="64">
        <v>1</v>
      </c>
      <c r="E460" s="64">
        <v>9</v>
      </c>
      <c r="F460" s="64">
        <v>24</v>
      </c>
      <c r="G460" s="64">
        <v>0</v>
      </c>
      <c r="H460" s="65"/>
      <c r="I460" s="65"/>
      <c r="J460" s="65"/>
      <c r="K460" s="86" t="s">
        <v>1856</v>
      </c>
      <c r="L460" s="64" t="s">
        <v>72</v>
      </c>
      <c r="M460" s="64" t="s">
        <v>73</v>
      </c>
      <c r="N460" s="64" t="s">
        <v>516</v>
      </c>
      <c r="O460" s="64" t="s">
        <v>367</v>
      </c>
      <c r="P460" s="69"/>
      <c r="Q460" s="69"/>
      <c r="R460" s="170"/>
      <c r="S460" s="170"/>
      <c r="T460" s="170"/>
      <c r="U460" s="97"/>
      <c r="V460" s="674">
        <f t="shared" si="86"/>
        <v>0</v>
      </c>
      <c r="W460" s="97"/>
      <c r="X460" s="97"/>
      <c r="Y460" s="97"/>
      <c r="Z460" s="97"/>
      <c r="AA460" s="97"/>
      <c r="AB460" s="97"/>
      <c r="AC460" s="75"/>
      <c r="AD460" s="75"/>
      <c r="AE460" s="592"/>
      <c r="AF460" s="353"/>
      <c r="AG460" s="97">
        <v>0</v>
      </c>
      <c r="AH460" s="370">
        <v>0</v>
      </c>
      <c r="AI460" s="75"/>
      <c r="AJ460" s="75"/>
      <c r="AK460" s="75"/>
      <c r="AL460" s="75"/>
      <c r="AM460" s="75"/>
      <c r="AN460" s="64" t="s">
        <v>39</v>
      </c>
      <c r="AO460" s="64"/>
      <c r="AP460" s="64"/>
      <c r="AQ460" s="189"/>
      <c r="AR460" s="64"/>
      <c r="AS460" s="476"/>
      <c r="AT460" s="64"/>
      <c r="AU460" s="646"/>
      <c r="AV460" s="442"/>
    </row>
    <row r="461" spans="1:56" outlineLevel="4" x14ac:dyDescent="0.25">
      <c r="A461" s="63" t="str">
        <f t="shared" si="65"/>
        <v>1.3.1.9.25.58</v>
      </c>
      <c r="B461" s="64">
        <v>1</v>
      </c>
      <c r="C461" s="64">
        <v>3</v>
      </c>
      <c r="D461" s="64">
        <v>1</v>
      </c>
      <c r="E461" s="64">
        <v>9</v>
      </c>
      <c r="F461" s="64">
        <v>25</v>
      </c>
      <c r="G461" s="64">
        <v>58</v>
      </c>
      <c r="H461" s="65"/>
      <c r="I461" s="65"/>
      <c r="J461" s="65"/>
      <c r="K461" s="125" t="s">
        <v>517</v>
      </c>
      <c r="L461" s="64" t="s">
        <v>72</v>
      </c>
      <c r="M461" s="64" t="s">
        <v>73</v>
      </c>
      <c r="N461" s="64" t="s">
        <v>74</v>
      </c>
      <c r="O461" s="64" t="s">
        <v>367</v>
      </c>
      <c r="P461" s="69">
        <v>44200</v>
      </c>
      <c r="Q461" s="69">
        <v>44561</v>
      </c>
      <c r="R461" s="64">
        <f t="shared" ref="R461:R467" si="90">+SUM(T461+W461+Z461+AC461)</f>
        <v>1349</v>
      </c>
      <c r="S461" s="123" t="s">
        <v>518</v>
      </c>
      <c r="T461" s="124">
        <v>337</v>
      </c>
      <c r="U461" s="75"/>
      <c r="V461" s="674">
        <f t="shared" si="86"/>
        <v>0</v>
      </c>
      <c r="W461" s="75">
        <v>337</v>
      </c>
      <c r="X461" s="75">
        <f t="shared" ref="X461:X467" si="91">+AH461/2</f>
        <v>1782142.855</v>
      </c>
      <c r="Y461" s="75"/>
      <c r="Z461" s="75">
        <v>337</v>
      </c>
      <c r="AA461" s="75">
        <f t="shared" ref="AA461:AA467" si="92">+AH461/2</f>
        <v>1782142.855</v>
      </c>
      <c r="AB461" s="75"/>
      <c r="AC461" s="75">
        <v>338</v>
      </c>
      <c r="AD461" s="75"/>
      <c r="AE461" s="592"/>
      <c r="AF461" s="1338">
        <v>9444</v>
      </c>
      <c r="AG461" s="97">
        <v>0</v>
      </c>
      <c r="AH461" s="370">
        <v>3564285.71</v>
      </c>
      <c r="AI461" s="75"/>
      <c r="AJ461" s="75"/>
      <c r="AK461" s="75"/>
      <c r="AL461" s="75"/>
      <c r="AM461" s="75"/>
      <c r="AN461" s="64" t="s">
        <v>39</v>
      </c>
      <c r="AO461" s="165"/>
      <c r="AP461" s="165"/>
      <c r="AQ461" s="413"/>
      <c r="AR461" s="64"/>
      <c r="AS461" s="475"/>
      <c r="AT461" s="64"/>
      <c r="AU461" s="646"/>
      <c r="AV461" s="1339" t="s">
        <v>519</v>
      </c>
    </row>
    <row r="462" spans="1:56" outlineLevel="4" x14ac:dyDescent="0.25">
      <c r="A462" s="63" t="str">
        <f t="shared" si="65"/>
        <v>1.3.1.9.25.59</v>
      </c>
      <c r="B462" s="64">
        <v>1</v>
      </c>
      <c r="C462" s="64">
        <v>3</v>
      </c>
      <c r="D462" s="64">
        <v>1</v>
      </c>
      <c r="E462" s="64">
        <v>9</v>
      </c>
      <c r="F462" s="64">
        <v>25</v>
      </c>
      <c r="G462" s="64">
        <v>59</v>
      </c>
      <c r="H462" s="65"/>
      <c r="I462" s="65"/>
      <c r="J462" s="65"/>
      <c r="K462" s="125" t="s">
        <v>520</v>
      </c>
      <c r="L462" s="64" t="s">
        <v>72</v>
      </c>
      <c r="M462" s="64" t="s">
        <v>73</v>
      </c>
      <c r="N462" s="64" t="s">
        <v>74</v>
      </c>
      <c r="O462" s="64" t="s">
        <v>367</v>
      </c>
      <c r="P462" s="69">
        <v>44200</v>
      </c>
      <c r="Q462" s="69">
        <v>44561</v>
      </c>
      <c r="R462" s="64">
        <f t="shared" si="90"/>
        <v>1349</v>
      </c>
      <c r="S462" s="123"/>
      <c r="T462" s="124">
        <v>337</v>
      </c>
      <c r="U462" s="75"/>
      <c r="V462" s="674">
        <f t="shared" si="86"/>
        <v>0</v>
      </c>
      <c r="W462" s="75">
        <v>337</v>
      </c>
      <c r="X462" s="75">
        <f t="shared" si="91"/>
        <v>1782142.855</v>
      </c>
      <c r="Y462" s="75"/>
      <c r="Z462" s="75">
        <v>337</v>
      </c>
      <c r="AA462" s="75">
        <f t="shared" si="92"/>
        <v>1782142.855</v>
      </c>
      <c r="AB462" s="75"/>
      <c r="AC462" s="75">
        <v>338</v>
      </c>
      <c r="AD462" s="75"/>
      <c r="AE462" s="592"/>
      <c r="AF462" s="1338"/>
      <c r="AG462" s="97">
        <v>0</v>
      </c>
      <c r="AH462" s="370">
        <v>3564285.71</v>
      </c>
      <c r="AI462" s="75"/>
      <c r="AJ462" s="75"/>
      <c r="AK462" s="75"/>
      <c r="AL462" s="75"/>
      <c r="AM462" s="75"/>
      <c r="AN462" s="64" t="s">
        <v>39</v>
      </c>
      <c r="AO462" s="165"/>
      <c r="AP462" s="165"/>
      <c r="AQ462" s="413"/>
      <c r="AR462" s="64"/>
      <c r="AS462" s="475"/>
      <c r="AT462" s="64"/>
      <c r="AU462" s="646"/>
      <c r="AV462" s="1339"/>
    </row>
    <row r="463" spans="1:56" outlineLevel="4" x14ac:dyDescent="0.25">
      <c r="A463" s="63" t="str">
        <f t="shared" si="65"/>
        <v>1.3.1.9.25.60</v>
      </c>
      <c r="B463" s="64">
        <v>1</v>
      </c>
      <c r="C463" s="64">
        <v>3</v>
      </c>
      <c r="D463" s="64">
        <v>1</v>
      </c>
      <c r="E463" s="64">
        <v>9</v>
      </c>
      <c r="F463" s="64">
        <v>25</v>
      </c>
      <c r="G463" s="64">
        <v>60</v>
      </c>
      <c r="H463" s="65"/>
      <c r="I463" s="65"/>
      <c r="J463" s="65"/>
      <c r="K463" s="125" t="s">
        <v>521</v>
      </c>
      <c r="L463" s="64" t="s">
        <v>72</v>
      </c>
      <c r="M463" s="64" t="s">
        <v>73</v>
      </c>
      <c r="N463" s="64" t="s">
        <v>74</v>
      </c>
      <c r="O463" s="64" t="s">
        <v>367</v>
      </c>
      <c r="P463" s="69">
        <v>44200</v>
      </c>
      <c r="Q463" s="69">
        <v>44561</v>
      </c>
      <c r="R463" s="64">
        <f t="shared" si="90"/>
        <v>1349</v>
      </c>
      <c r="S463" s="123"/>
      <c r="T463" s="124">
        <v>337</v>
      </c>
      <c r="U463" s="75"/>
      <c r="V463" s="674">
        <f t="shared" si="86"/>
        <v>0</v>
      </c>
      <c r="W463" s="75">
        <v>337</v>
      </c>
      <c r="X463" s="75">
        <f t="shared" si="91"/>
        <v>1782142.855</v>
      </c>
      <c r="Y463" s="75"/>
      <c r="Z463" s="75">
        <v>337</v>
      </c>
      <c r="AA463" s="75">
        <f t="shared" si="92"/>
        <v>1782142.855</v>
      </c>
      <c r="AB463" s="75"/>
      <c r="AC463" s="75">
        <v>338</v>
      </c>
      <c r="AD463" s="75"/>
      <c r="AE463" s="592"/>
      <c r="AF463" s="1338"/>
      <c r="AG463" s="97">
        <v>0</v>
      </c>
      <c r="AH463" s="370">
        <v>3564285.71</v>
      </c>
      <c r="AI463" s="75"/>
      <c r="AJ463" s="75"/>
      <c r="AK463" s="75"/>
      <c r="AL463" s="75"/>
      <c r="AM463" s="75"/>
      <c r="AN463" s="64" t="s">
        <v>39</v>
      </c>
      <c r="AO463" s="165"/>
      <c r="AP463" s="165"/>
      <c r="AQ463" s="413"/>
      <c r="AR463" s="64"/>
      <c r="AS463" s="475"/>
      <c r="AT463" s="64"/>
      <c r="AU463" s="646"/>
      <c r="AV463" s="1339"/>
    </row>
    <row r="464" spans="1:56" outlineLevel="4" x14ac:dyDescent="0.25">
      <c r="A464" s="63" t="str">
        <f t="shared" si="65"/>
        <v>1.3.1.9.25.61</v>
      </c>
      <c r="B464" s="64">
        <v>1</v>
      </c>
      <c r="C464" s="64">
        <v>3</v>
      </c>
      <c r="D464" s="64">
        <v>1</v>
      </c>
      <c r="E464" s="64">
        <v>9</v>
      </c>
      <c r="F464" s="64">
        <v>25</v>
      </c>
      <c r="G464" s="64">
        <v>61</v>
      </c>
      <c r="H464" s="65"/>
      <c r="I464" s="65"/>
      <c r="J464" s="65"/>
      <c r="K464" s="125" t="s">
        <v>522</v>
      </c>
      <c r="L464" s="64" t="s">
        <v>72</v>
      </c>
      <c r="M464" s="64" t="s">
        <v>73</v>
      </c>
      <c r="N464" s="64" t="s">
        <v>74</v>
      </c>
      <c r="O464" s="64" t="s">
        <v>367</v>
      </c>
      <c r="P464" s="69">
        <v>44200</v>
      </c>
      <c r="Q464" s="69">
        <v>44561</v>
      </c>
      <c r="R464" s="64">
        <f t="shared" si="90"/>
        <v>1349</v>
      </c>
      <c r="S464" s="123"/>
      <c r="T464" s="124">
        <v>337</v>
      </c>
      <c r="U464" s="75"/>
      <c r="V464" s="674">
        <f t="shared" si="86"/>
        <v>0</v>
      </c>
      <c r="W464" s="75">
        <v>337</v>
      </c>
      <c r="X464" s="75">
        <f t="shared" si="91"/>
        <v>1782142.855</v>
      </c>
      <c r="Y464" s="75"/>
      <c r="Z464" s="75">
        <v>337</v>
      </c>
      <c r="AA464" s="75">
        <f t="shared" si="92"/>
        <v>1782142.855</v>
      </c>
      <c r="AB464" s="75"/>
      <c r="AC464" s="75">
        <v>338</v>
      </c>
      <c r="AD464" s="75"/>
      <c r="AE464" s="592"/>
      <c r="AF464" s="1338"/>
      <c r="AG464" s="97">
        <v>0</v>
      </c>
      <c r="AH464" s="370">
        <v>3564285.71</v>
      </c>
      <c r="AI464" s="75"/>
      <c r="AJ464" s="75"/>
      <c r="AK464" s="75"/>
      <c r="AL464" s="75"/>
      <c r="AM464" s="75"/>
      <c r="AN464" s="64" t="s">
        <v>39</v>
      </c>
      <c r="AO464" s="165"/>
      <c r="AP464" s="165"/>
      <c r="AQ464" s="413"/>
      <c r="AR464" s="64"/>
      <c r="AS464" s="475"/>
      <c r="AT464" s="64"/>
      <c r="AU464" s="646"/>
      <c r="AV464" s="1339"/>
    </row>
    <row r="465" spans="1:48" outlineLevel="4" x14ac:dyDescent="0.25">
      <c r="A465" s="63" t="str">
        <f t="shared" si="65"/>
        <v>1.3.1.9.25.62</v>
      </c>
      <c r="B465" s="64">
        <v>1</v>
      </c>
      <c r="C465" s="64">
        <v>3</v>
      </c>
      <c r="D465" s="64">
        <v>1</v>
      </c>
      <c r="E465" s="64">
        <v>9</v>
      </c>
      <c r="F465" s="64">
        <v>25</v>
      </c>
      <c r="G465" s="64">
        <v>62</v>
      </c>
      <c r="H465" s="65"/>
      <c r="I465" s="65"/>
      <c r="J465" s="65"/>
      <c r="K465" s="125" t="s">
        <v>1742</v>
      </c>
      <c r="L465" s="64" t="s">
        <v>72</v>
      </c>
      <c r="M465" s="64" t="s">
        <v>73</v>
      </c>
      <c r="N465" s="64" t="s">
        <v>74</v>
      </c>
      <c r="O465" s="64" t="s">
        <v>367</v>
      </c>
      <c r="P465" s="69">
        <v>44200</v>
      </c>
      <c r="Q465" s="69">
        <v>44561</v>
      </c>
      <c r="R465" s="64">
        <f t="shared" si="90"/>
        <v>1349</v>
      </c>
      <c r="S465" s="123"/>
      <c r="T465" s="124">
        <v>337</v>
      </c>
      <c r="U465" s="75"/>
      <c r="V465" s="674">
        <f t="shared" si="86"/>
        <v>0</v>
      </c>
      <c r="W465" s="75">
        <v>337</v>
      </c>
      <c r="X465" s="75">
        <f t="shared" si="91"/>
        <v>1782142.855</v>
      </c>
      <c r="Y465" s="75"/>
      <c r="Z465" s="75">
        <v>337</v>
      </c>
      <c r="AA465" s="75">
        <f t="shared" si="92"/>
        <v>1782142.855</v>
      </c>
      <c r="AB465" s="75"/>
      <c r="AC465" s="75">
        <v>338</v>
      </c>
      <c r="AD465" s="75"/>
      <c r="AE465" s="592"/>
      <c r="AF465" s="1338"/>
      <c r="AG465" s="97">
        <v>0</v>
      </c>
      <c r="AH465" s="370">
        <v>3564285.71</v>
      </c>
      <c r="AI465" s="75"/>
      <c r="AJ465" s="75"/>
      <c r="AK465" s="75"/>
      <c r="AL465" s="75"/>
      <c r="AM465" s="75"/>
      <c r="AN465" s="64" t="s">
        <v>39</v>
      </c>
      <c r="AO465" s="165"/>
      <c r="AP465" s="165"/>
      <c r="AQ465" s="413"/>
      <c r="AR465" s="64"/>
      <c r="AS465" s="475"/>
      <c r="AT465" s="64"/>
      <c r="AU465" s="646"/>
      <c r="AV465" s="1339"/>
    </row>
    <row r="466" spans="1:48" outlineLevel="4" x14ac:dyDescent="0.25">
      <c r="A466" s="63" t="str">
        <f t="shared" si="65"/>
        <v>1.3.1.9.25.63</v>
      </c>
      <c r="B466" s="64">
        <v>1</v>
      </c>
      <c r="C466" s="64">
        <v>3</v>
      </c>
      <c r="D466" s="64">
        <v>1</v>
      </c>
      <c r="E466" s="64">
        <v>9</v>
      </c>
      <c r="F466" s="64">
        <v>25</v>
      </c>
      <c r="G466" s="64">
        <v>63</v>
      </c>
      <c r="H466" s="65"/>
      <c r="I466" s="65"/>
      <c r="J466" s="65"/>
      <c r="K466" s="125" t="s">
        <v>523</v>
      </c>
      <c r="L466" s="64" t="s">
        <v>72</v>
      </c>
      <c r="M466" s="64" t="s">
        <v>73</v>
      </c>
      <c r="N466" s="64" t="s">
        <v>74</v>
      </c>
      <c r="O466" s="64" t="s">
        <v>367</v>
      </c>
      <c r="P466" s="69">
        <v>44200</v>
      </c>
      <c r="Q466" s="69">
        <v>44561</v>
      </c>
      <c r="R466" s="64">
        <f t="shared" si="90"/>
        <v>1349</v>
      </c>
      <c r="S466" s="123"/>
      <c r="T466" s="124">
        <v>337</v>
      </c>
      <c r="U466" s="75"/>
      <c r="V466" s="674">
        <f t="shared" si="86"/>
        <v>0</v>
      </c>
      <c r="W466" s="75">
        <v>337</v>
      </c>
      <c r="X466" s="75">
        <f t="shared" si="91"/>
        <v>1782142.855</v>
      </c>
      <c r="Y466" s="75"/>
      <c r="Z466" s="75">
        <v>337</v>
      </c>
      <c r="AA466" s="75">
        <f t="shared" si="92"/>
        <v>1782142.855</v>
      </c>
      <c r="AB466" s="75"/>
      <c r="AC466" s="75">
        <v>338</v>
      </c>
      <c r="AD466" s="75"/>
      <c r="AE466" s="592"/>
      <c r="AF466" s="1338"/>
      <c r="AG466" s="97">
        <v>0</v>
      </c>
      <c r="AH466" s="370">
        <v>3564285.71</v>
      </c>
      <c r="AI466" s="75"/>
      <c r="AJ466" s="75"/>
      <c r="AK466" s="75"/>
      <c r="AL466" s="75"/>
      <c r="AM466" s="75"/>
      <c r="AN466" s="64" t="s">
        <v>39</v>
      </c>
      <c r="AO466" s="165"/>
      <c r="AP466" s="165"/>
      <c r="AQ466" s="413"/>
      <c r="AR466" s="64"/>
      <c r="AS466" s="475"/>
      <c r="AT466" s="64"/>
      <c r="AU466" s="646"/>
      <c r="AV466" s="1339"/>
    </row>
    <row r="467" spans="1:48" outlineLevel="4" x14ac:dyDescent="0.25">
      <c r="A467" s="63" t="str">
        <f t="shared" si="65"/>
        <v>1.3.1.9.25.64</v>
      </c>
      <c r="B467" s="64">
        <v>1</v>
      </c>
      <c r="C467" s="64">
        <v>3</v>
      </c>
      <c r="D467" s="64">
        <v>1</v>
      </c>
      <c r="E467" s="64">
        <v>9</v>
      </c>
      <c r="F467" s="64">
        <v>25</v>
      </c>
      <c r="G467" s="64">
        <v>64</v>
      </c>
      <c r="H467" s="65"/>
      <c r="I467" s="65"/>
      <c r="J467" s="65"/>
      <c r="K467" s="125" t="s">
        <v>524</v>
      </c>
      <c r="L467" s="64" t="s">
        <v>72</v>
      </c>
      <c r="M467" s="64" t="s">
        <v>73</v>
      </c>
      <c r="N467" s="64" t="s">
        <v>74</v>
      </c>
      <c r="O467" s="64" t="s">
        <v>367</v>
      </c>
      <c r="P467" s="69">
        <v>44200</v>
      </c>
      <c r="Q467" s="69">
        <v>44561</v>
      </c>
      <c r="R467" s="64">
        <f t="shared" si="90"/>
        <v>1350</v>
      </c>
      <c r="S467" s="123"/>
      <c r="T467" s="124">
        <v>337</v>
      </c>
      <c r="V467" s="674">
        <f t="shared" si="86"/>
        <v>0</v>
      </c>
      <c r="W467" s="75">
        <v>337</v>
      </c>
      <c r="X467" s="75">
        <f t="shared" si="91"/>
        <v>1782142.855</v>
      </c>
      <c r="Y467" s="75"/>
      <c r="Z467" s="75">
        <v>337</v>
      </c>
      <c r="AA467" s="75">
        <f t="shared" si="92"/>
        <v>1782142.855</v>
      </c>
      <c r="AB467" s="75"/>
      <c r="AC467" s="75">
        <v>339</v>
      </c>
      <c r="AD467" s="75"/>
      <c r="AE467" s="592"/>
      <c r="AF467" s="1338"/>
      <c r="AG467" s="97">
        <v>0</v>
      </c>
      <c r="AH467" s="370">
        <v>3564285.71</v>
      </c>
      <c r="AI467" s="75"/>
      <c r="AJ467" s="75"/>
      <c r="AK467" s="75"/>
      <c r="AL467" s="75"/>
      <c r="AM467" s="75"/>
      <c r="AN467" s="64" t="s">
        <v>39</v>
      </c>
      <c r="AO467" s="165"/>
      <c r="AP467" s="165"/>
      <c r="AQ467" s="413"/>
      <c r="AR467" s="64"/>
      <c r="AS467" s="475"/>
      <c r="AT467" s="64"/>
      <c r="AU467" s="646"/>
      <c r="AV467" s="1339"/>
    </row>
    <row r="468" spans="1:48" outlineLevel="4" x14ac:dyDescent="0.25">
      <c r="A468" s="63" t="str">
        <f t="shared" si="65"/>
        <v>1.3.1.9.26.58</v>
      </c>
      <c r="B468" s="64">
        <v>1</v>
      </c>
      <c r="C468" s="64">
        <v>3</v>
      </c>
      <c r="D468" s="64">
        <v>1</v>
      </c>
      <c r="E468" s="64">
        <v>9</v>
      </c>
      <c r="F468" s="64">
        <v>26</v>
      </c>
      <c r="G468" s="64">
        <v>58</v>
      </c>
      <c r="H468" s="65"/>
      <c r="I468" s="65"/>
      <c r="J468" s="65"/>
      <c r="K468" s="125" t="s">
        <v>525</v>
      </c>
      <c r="L468" s="64" t="s">
        <v>72</v>
      </c>
      <c r="M468" s="64" t="s">
        <v>73</v>
      </c>
      <c r="N468" s="64" t="s">
        <v>516</v>
      </c>
      <c r="O468" s="64" t="s">
        <v>367</v>
      </c>
      <c r="P468" s="69">
        <v>44200</v>
      </c>
      <c r="Q468" s="69">
        <v>44561</v>
      </c>
      <c r="R468" s="171">
        <v>0</v>
      </c>
      <c r="S468" s="123"/>
      <c r="T468" s="124">
        <f>+T461/4</f>
        <v>84.25</v>
      </c>
      <c r="U468" s="75"/>
      <c r="V468" s="674">
        <f t="shared" si="86"/>
        <v>0</v>
      </c>
      <c r="W468" s="75"/>
      <c r="X468" s="75">
        <f t="shared" ref="X468:X474" si="93">+AH468/3</f>
        <v>150000</v>
      </c>
      <c r="Y468" s="75"/>
      <c r="Z468" s="75"/>
      <c r="AA468" s="75">
        <f t="shared" ref="AA468:AA474" si="94">+AH468/3</f>
        <v>150000</v>
      </c>
      <c r="AB468" s="75"/>
      <c r="AC468" s="75"/>
      <c r="AD468" s="75">
        <f t="shared" ref="AD468:AD474" si="95">+AH468/3</f>
        <v>150000</v>
      </c>
      <c r="AE468" s="592"/>
      <c r="AF468" s="347"/>
      <c r="AG468" s="75">
        <v>500000</v>
      </c>
      <c r="AH468" s="370">
        <v>450000</v>
      </c>
      <c r="AI468" s="75"/>
      <c r="AJ468" s="75"/>
      <c r="AK468" s="75"/>
      <c r="AL468" s="75"/>
      <c r="AM468" s="75"/>
      <c r="AN468" s="64" t="s">
        <v>39</v>
      </c>
      <c r="AO468" s="64"/>
      <c r="AP468" s="64"/>
      <c r="AQ468" s="189"/>
      <c r="AR468" s="64"/>
      <c r="AS468" s="476"/>
      <c r="AT468" s="64"/>
      <c r="AU468" s="646"/>
      <c r="AV468" s="185"/>
    </row>
    <row r="469" spans="1:48" outlineLevel="4" x14ac:dyDescent="0.25">
      <c r="A469" s="63" t="str">
        <f t="shared" si="65"/>
        <v>1.3.1.9.26.59</v>
      </c>
      <c r="B469" s="64">
        <v>1</v>
      </c>
      <c r="C469" s="64">
        <v>3</v>
      </c>
      <c r="D469" s="64">
        <v>1</v>
      </c>
      <c r="E469" s="64">
        <v>9</v>
      </c>
      <c r="F469" s="64">
        <v>26</v>
      </c>
      <c r="G469" s="64">
        <v>59</v>
      </c>
      <c r="H469" s="65"/>
      <c r="I469" s="65"/>
      <c r="J469" s="65"/>
      <c r="K469" s="125" t="s">
        <v>526</v>
      </c>
      <c r="L469" s="64" t="s">
        <v>72</v>
      </c>
      <c r="M469" s="64" t="s">
        <v>73</v>
      </c>
      <c r="N469" s="64" t="s">
        <v>516</v>
      </c>
      <c r="O469" s="64" t="s">
        <v>367</v>
      </c>
      <c r="P469" s="69">
        <v>44200</v>
      </c>
      <c r="Q469" s="69">
        <v>44561</v>
      </c>
      <c r="R469" s="171">
        <f t="shared" ref="R469:R474" si="96">+SUM(T469+W469+Z469+AC469)</f>
        <v>0</v>
      </c>
      <c r="S469" s="123"/>
      <c r="T469" s="124"/>
      <c r="U469" s="75"/>
      <c r="V469" s="674">
        <f t="shared" si="86"/>
        <v>0</v>
      </c>
      <c r="W469" s="75"/>
      <c r="X469" s="75">
        <f t="shared" si="93"/>
        <v>150000</v>
      </c>
      <c r="Y469" s="75"/>
      <c r="Z469" s="75"/>
      <c r="AA469" s="75">
        <f t="shared" si="94"/>
        <v>150000</v>
      </c>
      <c r="AB469" s="75"/>
      <c r="AC469" s="75"/>
      <c r="AD469" s="75">
        <f t="shared" si="95"/>
        <v>150000</v>
      </c>
      <c r="AE469" s="592"/>
      <c r="AF469" s="347"/>
      <c r="AG469" s="75">
        <v>500000</v>
      </c>
      <c r="AH469" s="370">
        <v>450000</v>
      </c>
      <c r="AI469" s="75"/>
      <c r="AJ469" s="75"/>
      <c r="AK469" s="75"/>
      <c r="AL469" s="75"/>
      <c r="AM469" s="75"/>
      <c r="AN469" s="64" t="s">
        <v>39</v>
      </c>
      <c r="AO469" s="64"/>
      <c r="AP469" s="64"/>
      <c r="AQ469" s="189"/>
      <c r="AR469" s="64"/>
      <c r="AS469" s="476"/>
      <c r="AT469" s="64"/>
      <c r="AU469" s="646"/>
      <c r="AV469" s="185"/>
    </row>
    <row r="470" spans="1:48" outlineLevel="4" x14ac:dyDescent="0.25">
      <c r="A470" s="63" t="str">
        <f t="shared" si="65"/>
        <v>1.3.1.9.26.60</v>
      </c>
      <c r="B470" s="64">
        <v>1</v>
      </c>
      <c r="C470" s="64">
        <v>3</v>
      </c>
      <c r="D470" s="64">
        <v>1</v>
      </c>
      <c r="E470" s="64">
        <v>9</v>
      </c>
      <c r="F470" s="64">
        <v>26</v>
      </c>
      <c r="G470" s="64">
        <v>60</v>
      </c>
      <c r="H470" s="65"/>
      <c r="I470" s="65"/>
      <c r="J470" s="65"/>
      <c r="K470" s="125" t="s">
        <v>527</v>
      </c>
      <c r="L470" s="64" t="s">
        <v>72</v>
      </c>
      <c r="M470" s="64" t="s">
        <v>73</v>
      </c>
      <c r="N470" s="64" t="s">
        <v>516</v>
      </c>
      <c r="O470" s="64" t="s">
        <v>367</v>
      </c>
      <c r="P470" s="69">
        <v>44200</v>
      </c>
      <c r="Q470" s="69">
        <v>44561</v>
      </c>
      <c r="R470" s="171">
        <f t="shared" si="96"/>
        <v>0</v>
      </c>
      <c r="S470" s="123"/>
      <c r="T470" s="124"/>
      <c r="U470" s="75"/>
      <c r="V470" s="674">
        <f t="shared" si="86"/>
        <v>0</v>
      </c>
      <c r="W470" s="75"/>
      <c r="X470" s="75">
        <f t="shared" si="93"/>
        <v>150000</v>
      </c>
      <c r="Y470" s="75"/>
      <c r="Z470" s="75"/>
      <c r="AA470" s="75">
        <f t="shared" si="94"/>
        <v>150000</v>
      </c>
      <c r="AB470" s="75"/>
      <c r="AC470" s="75"/>
      <c r="AD470" s="75">
        <f t="shared" si="95"/>
        <v>150000</v>
      </c>
      <c r="AE470" s="592"/>
      <c r="AF470" s="347"/>
      <c r="AG470" s="75">
        <v>500000</v>
      </c>
      <c r="AH470" s="370">
        <v>450000</v>
      </c>
      <c r="AI470" s="75"/>
      <c r="AJ470" s="75"/>
      <c r="AK470" s="75"/>
      <c r="AL470" s="75"/>
      <c r="AM470" s="75"/>
      <c r="AN470" s="64" t="s">
        <v>39</v>
      </c>
      <c r="AO470" s="64"/>
      <c r="AP470" s="64"/>
      <c r="AQ470" s="189"/>
      <c r="AR470" s="64"/>
      <c r="AS470" s="476"/>
      <c r="AT470" s="64"/>
      <c r="AU470" s="646"/>
      <c r="AV470" s="185"/>
    </row>
    <row r="471" spans="1:48" outlineLevel="4" x14ac:dyDescent="0.25">
      <c r="A471" s="63" t="str">
        <f t="shared" si="65"/>
        <v>1.3.1.9.26.61</v>
      </c>
      <c r="B471" s="64">
        <v>1</v>
      </c>
      <c r="C471" s="64">
        <v>3</v>
      </c>
      <c r="D471" s="64">
        <v>1</v>
      </c>
      <c r="E471" s="64">
        <v>9</v>
      </c>
      <c r="F471" s="64">
        <v>26</v>
      </c>
      <c r="G471" s="64">
        <v>61</v>
      </c>
      <c r="H471" s="65"/>
      <c r="I471" s="65"/>
      <c r="J471" s="65"/>
      <c r="K471" s="125" t="s">
        <v>528</v>
      </c>
      <c r="L471" s="64" t="s">
        <v>72</v>
      </c>
      <c r="M471" s="64" t="s">
        <v>73</v>
      </c>
      <c r="N471" s="64" t="s">
        <v>516</v>
      </c>
      <c r="O471" s="64" t="s">
        <v>367</v>
      </c>
      <c r="P471" s="69">
        <v>44200</v>
      </c>
      <c r="Q471" s="69">
        <v>44561</v>
      </c>
      <c r="R471" s="171">
        <f t="shared" si="96"/>
        <v>0</v>
      </c>
      <c r="S471" s="123"/>
      <c r="T471" s="124"/>
      <c r="U471" s="75"/>
      <c r="V471" s="674">
        <f t="shared" si="86"/>
        <v>0</v>
      </c>
      <c r="W471" s="75"/>
      <c r="X471" s="75">
        <f t="shared" si="93"/>
        <v>150000</v>
      </c>
      <c r="Y471" s="75"/>
      <c r="Z471" s="75"/>
      <c r="AA471" s="75">
        <f t="shared" si="94"/>
        <v>150000</v>
      </c>
      <c r="AB471" s="75"/>
      <c r="AC471" s="75"/>
      <c r="AD471" s="75">
        <f t="shared" si="95"/>
        <v>150000</v>
      </c>
      <c r="AE471" s="592"/>
      <c r="AF471" s="347"/>
      <c r="AG471" s="75">
        <v>500000</v>
      </c>
      <c r="AH471" s="370">
        <v>450000</v>
      </c>
      <c r="AI471" s="75"/>
      <c r="AJ471" s="75"/>
      <c r="AK471" s="75"/>
      <c r="AL471" s="75"/>
      <c r="AM471" s="75"/>
      <c r="AN471" s="64" t="s">
        <v>39</v>
      </c>
      <c r="AO471" s="64"/>
      <c r="AP471" s="64"/>
      <c r="AQ471" s="189"/>
      <c r="AR471" s="64"/>
      <c r="AS471" s="476"/>
      <c r="AT471" s="64"/>
      <c r="AU471" s="646"/>
      <c r="AV471" s="185"/>
    </row>
    <row r="472" spans="1:48" outlineLevel="4" x14ac:dyDescent="0.25">
      <c r="A472" s="63" t="str">
        <f t="shared" si="65"/>
        <v>1.3.1.9.26.62</v>
      </c>
      <c r="B472" s="64">
        <v>1</v>
      </c>
      <c r="C472" s="64">
        <v>3</v>
      </c>
      <c r="D472" s="64">
        <v>1</v>
      </c>
      <c r="E472" s="64">
        <v>9</v>
      </c>
      <c r="F472" s="64">
        <v>26</v>
      </c>
      <c r="G472" s="64">
        <v>62</v>
      </c>
      <c r="H472" s="65"/>
      <c r="I472" s="65"/>
      <c r="J472" s="65"/>
      <c r="K472" s="125" t="s">
        <v>1743</v>
      </c>
      <c r="L472" s="64" t="s">
        <v>72</v>
      </c>
      <c r="M472" s="64" t="s">
        <v>73</v>
      </c>
      <c r="N472" s="64" t="s">
        <v>516</v>
      </c>
      <c r="O472" s="64" t="s">
        <v>367</v>
      </c>
      <c r="P472" s="69">
        <v>44200</v>
      </c>
      <c r="Q472" s="69">
        <v>44561</v>
      </c>
      <c r="R472" s="171">
        <f t="shared" si="96"/>
        <v>0</v>
      </c>
      <c r="S472" s="123"/>
      <c r="T472" s="124"/>
      <c r="U472" s="75"/>
      <c r="V472" s="674">
        <f t="shared" si="86"/>
        <v>0</v>
      </c>
      <c r="W472" s="75"/>
      <c r="X472" s="75">
        <f t="shared" si="93"/>
        <v>150000</v>
      </c>
      <c r="Y472" s="75"/>
      <c r="Z472" s="75"/>
      <c r="AA472" s="75">
        <f t="shared" si="94"/>
        <v>150000</v>
      </c>
      <c r="AB472" s="75"/>
      <c r="AC472" s="75"/>
      <c r="AD472" s="75">
        <f t="shared" si="95"/>
        <v>150000</v>
      </c>
      <c r="AE472" s="592"/>
      <c r="AF472" s="347"/>
      <c r="AG472" s="75">
        <v>500000</v>
      </c>
      <c r="AH472" s="370">
        <v>450000</v>
      </c>
      <c r="AI472" s="75"/>
      <c r="AJ472" s="75"/>
      <c r="AK472" s="75"/>
      <c r="AL472" s="75"/>
      <c r="AM472" s="75"/>
      <c r="AN472" s="64" t="s">
        <v>39</v>
      </c>
      <c r="AO472" s="64"/>
      <c r="AP472" s="64"/>
      <c r="AQ472" s="189"/>
      <c r="AR472" s="64"/>
      <c r="AS472" s="476"/>
      <c r="AT472" s="64"/>
      <c r="AU472" s="646"/>
      <c r="AV472" s="185"/>
    </row>
    <row r="473" spans="1:48" outlineLevel="4" x14ac:dyDescent="0.25">
      <c r="A473" s="63" t="str">
        <f t="shared" si="65"/>
        <v>1.3.1.9.26.63</v>
      </c>
      <c r="B473" s="64">
        <v>1</v>
      </c>
      <c r="C473" s="64">
        <v>3</v>
      </c>
      <c r="D473" s="64">
        <v>1</v>
      </c>
      <c r="E473" s="64">
        <v>9</v>
      </c>
      <c r="F473" s="64">
        <v>26</v>
      </c>
      <c r="G473" s="64">
        <v>63</v>
      </c>
      <c r="H473" s="65"/>
      <c r="I473" s="65"/>
      <c r="J473" s="65"/>
      <c r="K473" s="125" t="s">
        <v>529</v>
      </c>
      <c r="L473" s="64" t="s">
        <v>72</v>
      </c>
      <c r="M473" s="64" t="s">
        <v>73</v>
      </c>
      <c r="N473" s="64" t="s">
        <v>516</v>
      </c>
      <c r="O473" s="64" t="s">
        <v>367</v>
      </c>
      <c r="P473" s="69">
        <v>44200</v>
      </c>
      <c r="Q473" s="69">
        <v>44561</v>
      </c>
      <c r="R473" s="171">
        <f t="shared" si="96"/>
        <v>0</v>
      </c>
      <c r="S473" s="123"/>
      <c r="T473" s="124"/>
      <c r="U473" s="75"/>
      <c r="V473" s="674">
        <f t="shared" si="86"/>
        <v>0</v>
      </c>
      <c r="W473" s="75"/>
      <c r="X473" s="75">
        <f t="shared" si="93"/>
        <v>150000</v>
      </c>
      <c r="Y473" s="75"/>
      <c r="Z473" s="75"/>
      <c r="AA473" s="75">
        <f t="shared" si="94"/>
        <v>150000</v>
      </c>
      <c r="AB473" s="75"/>
      <c r="AC473" s="75"/>
      <c r="AD473" s="75">
        <f t="shared" si="95"/>
        <v>150000</v>
      </c>
      <c r="AE473" s="592"/>
      <c r="AF473" s="347"/>
      <c r="AG473" s="75">
        <v>500000</v>
      </c>
      <c r="AH473" s="370">
        <v>450000</v>
      </c>
      <c r="AI473" s="75"/>
      <c r="AJ473" s="75"/>
      <c r="AK473" s="75"/>
      <c r="AL473" s="75"/>
      <c r="AM473" s="75"/>
      <c r="AN473" s="64" t="s">
        <v>39</v>
      </c>
      <c r="AO473" s="64"/>
      <c r="AP473" s="64"/>
      <c r="AQ473" s="189"/>
      <c r="AR473" s="64"/>
      <c r="AS473" s="476"/>
      <c r="AT473" s="64"/>
      <c r="AU473" s="646"/>
      <c r="AV473" s="185"/>
    </row>
    <row r="474" spans="1:48" outlineLevel="4" x14ac:dyDescent="0.25">
      <c r="A474" s="63" t="str">
        <f t="shared" si="65"/>
        <v>1.3.1.9.26.64</v>
      </c>
      <c r="B474" s="64">
        <v>1</v>
      </c>
      <c r="C474" s="64">
        <v>3</v>
      </c>
      <c r="D474" s="64">
        <v>1</v>
      </c>
      <c r="E474" s="64">
        <v>9</v>
      </c>
      <c r="F474" s="64">
        <v>26</v>
      </c>
      <c r="G474" s="64">
        <v>64</v>
      </c>
      <c r="H474" s="65"/>
      <c r="I474" s="65"/>
      <c r="J474" s="65"/>
      <c r="K474" s="125" t="s">
        <v>530</v>
      </c>
      <c r="L474" s="64" t="s">
        <v>72</v>
      </c>
      <c r="M474" s="64" t="s">
        <v>73</v>
      </c>
      <c r="N474" s="64" t="s">
        <v>516</v>
      </c>
      <c r="O474" s="64" t="s">
        <v>367</v>
      </c>
      <c r="P474" s="69">
        <v>44200</v>
      </c>
      <c r="Q474" s="69">
        <v>44561</v>
      </c>
      <c r="R474" s="171">
        <f t="shared" si="96"/>
        <v>0</v>
      </c>
      <c r="S474" s="123"/>
      <c r="T474" s="124"/>
      <c r="U474" s="75"/>
      <c r="V474" s="674">
        <f t="shared" si="86"/>
        <v>0</v>
      </c>
      <c r="W474" s="75"/>
      <c r="X474" s="75">
        <f t="shared" si="93"/>
        <v>150000</v>
      </c>
      <c r="Y474" s="75"/>
      <c r="Z474" s="75"/>
      <c r="AA474" s="75">
        <f t="shared" si="94"/>
        <v>150000</v>
      </c>
      <c r="AB474" s="75"/>
      <c r="AC474" s="75"/>
      <c r="AD474" s="75">
        <f t="shared" si="95"/>
        <v>150000</v>
      </c>
      <c r="AE474" s="592"/>
      <c r="AF474" s="347"/>
      <c r="AG474" s="75">
        <v>500000</v>
      </c>
      <c r="AH474" s="370">
        <v>450000</v>
      </c>
      <c r="AI474" s="75"/>
      <c r="AJ474" s="75"/>
      <c r="AK474" s="75"/>
      <c r="AL474" s="75"/>
      <c r="AM474" s="75"/>
      <c r="AN474" s="64" t="s">
        <v>39</v>
      </c>
      <c r="AO474" s="64"/>
      <c r="AP474" s="64"/>
      <c r="AQ474" s="189"/>
      <c r="AR474" s="64"/>
      <c r="AS474" s="476"/>
      <c r="AT474" s="64"/>
      <c r="AU474" s="646"/>
      <c r="AV474" s="185"/>
    </row>
    <row r="475" spans="1:48" ht="30" outlineLevel="4" x14ac:dyDescent="0.25">
      <c r="A475" s="63" t="str">
        <f t="shared" si="65"/>
        <v>1.3.1.9.27.58</v>
      </c>
      <c r="B475" s="64">
        <v>1</v>
      </c>
      <c r="C475" s="64">
        <v>3</v>
      </c>
      <c r="D475" s="64">
        <v>1</v>
      </c>
      <c r="E475" s="64">
        <v>9</v>
      </c>
      <c r="F475" s="64">
        <v>27</v>
      </c>
      <c r="G475" s="64">
        <v>58</v>
      </c>
      <c r="H475" s="65"/>
      <c r="I475" s="65"/>
      <c r="J475" s="65"/>
      <c r="K475" s="67" t="s">
        <v>1857</v>
      </c>
      <c r="L475" s="64" t="s">
        <v>72</v>
      </c>
      <c r="M475" s="64" t="s">
        <v>73</v>
      </c>
      <c r="N475" s="64" t="s">
        <v>74</v>
      </c>
      <c r="O475" s="64" t="s">
        <v>367</v>
      </c>
      <c r="P475" s="69">
        <v>44571</v>
      </c>
      <c r="Q475" s="69">
        <v>44742</v>
      </c>
      <c r="R475" s="171">
        <v>1</v>
      </c>
      <c r="S475" s="170"/>
      <c r="T475" s="170">
        <v>1</v>
      </c>
      <c r="U475" s="172">
        <f>+AH475/2</f>
        <v>71428.570000000007</v>
      </c>
      <c r="V475" s="674">
        <f t="shared" si="86"/>
        <v>0</v>
      </c>
      <c r="W475" s="97"/>
      <c r="X475" s="97">
        <f>+AH475/2</f>
        <v>71428.570000000007</v>
      </c>
      <c r="Y475" s="97"/>
      <c r="Z475" s="97"/>
      <c r="AA475" s="97"/>
      <c r="AB475" s="97"/>
      <c r="AC475" s="75"/>
      <c r="AD475" s="75"/>
      <c r="AE475" s="592"/>
      <c r="AF475" s="353" t="s">
        <v>531</v>
      </c>
      <c r="AG475" s="97">
        <v>142857.14000000001</v>
      </c>
      <c r="AH475" s="370">
        <f>285714.28/2</f>
        <v>142857.14000000001</v>
      </c>
      <c r="AI475" s="75"/>
      <c r="AJ475" s="75"/>
      <c r="AK475" s="75"/>
      <c r="AL475" s="75"/>
      <c r="AM475" s="75"/>
      <c r="AN475" s="64" t="s">
        <v>39</v>
      </c>
      <c r="AO475" s="64"/>
      <c r="AP475" s="64"/>
      <c r="AQ475" s="189"/>
      <c r="AR475" s="64"/>
      <c r="AS475" s="476"/>
      <c r="AT475" s="64"/>
      <c r="AU475" s="646"/>
      <c r="AV475" s="185" t="s">
        <v>532</v>
      </c>
    </row>
    <row r="476" spans="1:48" outlineLevel="4" x14ac:dyDescent="0.25">
      <c r="A476" s="63" t="str">
        <f t="shared" si="65"/>
        <v>1.3.1.9.27.59</v>
      </c>
      <c r="B476" s="64">
        <v>1</v>
      </c>
      <c r="C476" s="64">
        <v>3</v>
      </c>
      <c r="D476" s="64">
        <v>1</v>
      </c>
      <c r="E476" s="64">
        <v>9</v>
      </c>
      <c r="F476" s="64">
        <v>27</v>
      </c>
      <c r="G476" s="64">
        <v>59</v>
      </c>
      <c r="H476" s="65"/>
      <c r="I476" s="65"/>
      <c r="J476" s="65"/>
      <c r="K476" s="65" t="s">
        <v>1858</v>
      </c>
      <c r="L476" s="64" t="s">
        <v>72</v>
      </c>
      <c r="M476" s="64" t="s">
        <v>73</v>
      </c>
      <c r="N476" s="64" t="s">
        <v>74</v>
      </c>
      <c r="O476" s="64" t="s">
        <v>367</v>
      </c>
      <c r="P476" s="69">
        <v>44571</v>
      </c>
      <c r="Q476" s="69">
        <v>44742</v>
      </c>
      <c r="R476" s="171">
        <v>1</v>
      </c>
      <c r="S476" s="170"/>
      <c r="T476" s="170"/>
      <c r="U476" s="172">
        <f t="shared" ref="U476:U481" si="97">+AH476/2</f>
        <v>71428.570000000007</v>
      </c>
      <c r="V476" s="674">
        <f t="shared" si="86"/>
        <v>0</v>
      </c>
      <c r="W476" s="97"/>
      <c r="X476" s="97">
        <f t="shared" ref="X476:X481" si="98">+AH476/2</f>
        <v>71428.570000000007</v>
      </c>
      <c r="Y476" s="97"/>
      <c r="Z476" s="97"/>
      <c r="AA476" s="97"/>
      <c r="AB476" s="97"/>
      <c r="AC476" s="75"/>
      <c r="AD476" s="75"/>
      <c r="AE476" s="592"/>
      <c r="AF476" s="353"/>
      <c r="AG476" s="97">
        <v>142857.14000000001</v>
      </c>
      <c r="AH476" s="370">
        <f t="shared" ref="AH476:AH481" si="99">285714.28/2</f>
        <v>142857.14000000001</v>
      </c>
      <c r="AI476" s="75"/>
      <c r="AJ476" s="75"/>
      <c r="AK476" s="75"/>
      <c r="AL476" s="75"/>
      <c r="AM476" s="75"/>
      <c r="AN476" s="64" t="s">
        <v>39</v>
      </c>
      <c r="AO476" s="64"/>
      <c r="AP476" s="64"/>
      <c r="AQ476" s="189"/>
      <c r="AR476" s="64"/>
      <c r="AS476" s="476"/>
      <c r="AT476" s="64"/>
      <c r="AU476" s="646"/>
      <c r="AV476" s="185" t="s">
        <v>532</v>
      </c>
    </row>
    <row r="477" spans="1:48" outlineLevel="4" x14ac:dyDescent="0.25">
      <c r="A477" s="63" t="str">
        <f t="shared" si="65"/>
        <v>1.3.1.9.27.60</v>
      </c>
      <c r="B477" s="64">
        <v>1</v>
      </c>
      <c r="C477" s="64">
        <v>3</v>
      </c>
      <c r="D477" s="64">
        <v>1</v>
      </c>
      <c r="E477" s="64">
        <v>9</v>
      </c>
      <c r="F477" s="64">
        <v>27</v>
      </c>
      <c r="G477" s="64">
        <v>60</v>
      </c>
      <c r="H477" s="65"/>
      <c r="I477" s="65"/>
      <c r="J477" s="65"/>
      <c r="K477" s="65" t="s">
        <v>1859</v>
      </c>
      <c r="L477" s="64" t="s">
        <v>72</v>
      </c>
      <c r="M477" s="64" t="s">
        <v>73</v>
      </c>
      <c r="N477" s="64" t="s">
        <v>74</v>
      </c>
      <c r="O477" s="64" t="s">
        <v>367</v>
      </c>
      <c r="P477" s="69">
        <v>44571</v>
      </c>
      <c r="Q477" s="69">
        <v>44742</v>
      </c>
      <c r="R477" s="171">
        <v>1</v>
      </c>
      <c r="S477" s="170"/>
      <c r="T477" s="170"/>
      <c r="U477" s="172">
        <f t="shared" si="97"/>
        <v>71428.570000000007</v>
      </c>
      <c r="V477" s="674">
        <f t="shared" si="86"/>
        <v>0</v>
      </c>
      <c r="W477" s="97"/>
      <c r="X477" s="97">
        <f t="shared" si="98"/>
        <v>71428.570000000007</v>
      </c>
      <c r="Y477" s="97"/>
      <c r="Z477" s="97"/>
      <c r="AA477" s="97"/>
      <c r="AB477" s="97"/>
      <c r="AC477" s="75"/>
      <c r="AD477" s="75"/>
      <c r="AE477" s="592"/>
      <c r="AF477" s="353"/>
      <c r="AG477" s="97">
        <v>142857.14000000001</v>
      </c>
      <c r="AH477" s="370">
        <f t="shared" si="99"/>
        <v>142857.14000000001</v>
      </c>
      <c r="AI477" s="75"/>
      <c r="AJ477" s="75"/>
      <c r="AK477" s="75"/>
      <c r="AL477" s="75"/>
      <c r="AM477" s="75"/>
      <c r="AN477" s="64" t="s">
        <v>39</v>
      </c>
      <c r="AO477" s="64"/>
      <c r="AP477" s="64"/>
      <c r="AQ477" s="189"/>
      <c r="AR477" s="64"/>
      <c r="AS477" s="476"/>
      <c r="AT477" s="64"/>
      <c r="AU477" s="646"/>
      <c r="AV477" s="185" t="s">
        <v>532</v>
      </c>
    </row>
    <row r="478" spans="1:48" outlineLevel="4" x14ac:dyDescent="0.25">
      <c r="A478" s="63" t="str">
        <f t="shared" si="65"/>
        <v>1.3.1.9.27.61</v>
      </c>
      <c r="B478" s="64">
        <v>1</v>
      </c>
      <c r="C478" s="64">
        <v>3</v>
      </c>
      <c r="D478" s="64">
        <v>1</v>
      </c>
      <c r="E478" s="64">
        <v>9</v>
      </c>
      <c r="F478" s="64">
        <v>27</v>
      </c>
      <c r="G478" s="64">
        <v>61</v>
      </c>
      <c r="H478" s="65"/>
      <c r="I478" s="65"/>
      <c r="J478" s="65"/>
      <c r="K478" s="65" t="s">
        <v>1860</v>
      </c>
      <c r="L478" s="64" t="s">
        <v>72</v>
      </c>
      <c r="M478" s="64" t="s">
        <v>73</v>
      </c>
      <c r="N478" s="64" t="s">
        <v>74</v>
      </c>
      <c r="O478" s="64" t="s">
        <v>367</v>
      </c>
      <c r="P478" s="69">
        <v>44571</v>
      </c>
      <c r="Q478" s="69">
        <v>44742</v>
      </c>
      <c r="R478" s="171">
        <v>1</v>
      </c>
      <c r="S478" s="170"/>
      <c r="T478" s="170"/>
      <c r="U478" s="172">
        <f t="shared" si="97"/>
        <v>71428.570000000007</v>
      </c>
      <c r="V478" s="674">
        <f t="shared" si="86"/>
        <v>0</v>
      </c>
      <c r="W478" s="97"/>
      <c r="X478" s="97">
        <f t="shared" si="98"/>
        <v>71428.570000000007</v>
      </c>
      <c r="Y478" s="97"/>
      <c r="Z478" s="97"/>
      <c r="AA478" s="97"/>
      <c r="AB478" s="97"/>
      <c r="AC478" s="75"/>
      <c r="AD478" s="75"/>
      <c r="AE478" s="592"/>
      <c r="AF478" s="353"/>
      <c r="AG478" s="97">
        <v>142857.14000000001</v>
      </c>
      <c r="AH478" s="370">
        <f t="shared" si="99"/>
        <v>142857.14000000001</v>
      </c>
      <c r="AI478" s="75"/>
      <c r="AJ478" s="75"/>
      <c r="AK478" s="75"/>
      <c r="AL478" s="75"/>
      <c r="AM478" s="75"/>
      <c r="AN478" s="64" t="s">
        <v>39</v>
      </c>
      <c r="AO478" s="64"/>
      <c r="AP478" s="64"/>
      <c r="AQ478" s="189"/>
      <c r="AR478" s="64"/>
      <c r="AS478" s="476"/>
      <c r="AT478" s="64"/>
      <c r="AU478" s="646"/>
      <c r="AV478" s="185" t="s">
        <v>532</v>
      </c>
    </row>
    <row r="479" spans="1:48" outlineLevel="4" x14ac:dyDescent="0.25">
      <c r="A479" s="63" t="str">
        <f t="shared" si="65"/>
        <v>1.3.1.9.27.62</v>
      </c>
      <c r="B479" s="64">
        <v>1</v>
      </c>
      <c r="C479" s="64">
        <v>3</v>
      </c>
      <c r="D479" s="64">
        <v>1</v>
      </c>
      <c r="E479" s="64">
        <v>9</v>
      </c>
      <c r="F479" s="64">
        <v>27</v>
      </c>
      <c r="G479" s="64">
        <v>62</v>
      </c>
      <c r="H479" s="65"/>
      <c r="I479" s="65"/>
      <c r="J479" s="65"/>
      <c r="K479" s="65" t="s">
        <v>1861</v>
      </c>
      <c r="L479" s="64" t="s">
        <v>72</v>
      </c>
      <c r="M479" s="64" t="s">
        <v>73</v>
      </c>
      <c r="N479" s="64" t="s">
        <v>74</v>
      </c>
      <c r="O479" s="64" t="s">
        <v>367</v>
      </c>
      <c r="P479" s="69">
        <v>44571</v>
      </c>
      <c r="Q479" s="69">
        <v>44742</v>
      </c>
      <c r="R479" s="171">
        <v>1</v>
      </c>
      <c r="S479" s="170"/>
      <c r="T479" s="170"/>
      <c r="U479" s="172">
        <f t="shared" si="97"/>
        <v>71428.570000000007</v>
      </c>
      <c r="V479" s="674">
        <f t="shared" si="86"/>
        <v>0</v>
      </c>
      <c r="W479" s="97"/>
      <c r="X479" s="97">
        <f t="shared" si="98"/>
        <v>71428.570000000007</v>
      </c>
      <c r="Y479" s="97"/>
      <c r="Z479" s="97"/>
      <c r="AA479" s="97"/>
      <c r="AB479" s="97"/>
      <c r="AC479" s="75"/>
      <c r="AD479" s="75"/>
      <c r="AE479" s="592"/>
      <c r="AF479" s="353"/>
      <c r="AG479" s="97">
        <v>142857.14000000001</v>
      </c>
      <c r="AH479" s="370">
        <f t="shared" si="99"/>
        <v>142857.14000000001</v>
      </c>
      <c r="AI479" s="75"/>
      <c r="AJ479" s="75"/>
      <c r="AK479" s="75"/>
      <c r="AL479" s="75"/>
      <c r="AM479" s="75"/>
      <c r="AN479" s="64" t="s">
        <v>39</v>
      </c>
      <c r="AO479" s="64"/>
      <c r="AP479" s="64"/>
      <c r="AQ479" s="189"/>
      <c r="AR479" s="64"/>
      <c r="AS479" s="476"/>
      <c r="AT479" s="64"/>
      <c r="AU479" s="646"/>
      <c r="AV479" s="185" t="s">
        <v>532</v>
      </c>
    </row>
    <row r="480" spans="1:48" outlineLevel="4" x14ac:dyDescent="0.25">
      <c r="A480" s="63" t="str">
        <f t="shared" si="65"/>
        <v>1.3.1.9.27.63</v>
      </c>
      <c r="B480" s="64">
        <v>1</v>
      </c>
      <c r="C480" s="64">
        <v>3</v>
      </c>
      <c r="D480" s="64">
        <v>1</v>
      </c>
      <c r="E480" s="64">
        <v>9</v>
      </c>
      <c r="F480" s="64">
        <v>27</v>
      </c>
      <c r="G480" s="64">
        <v>63</v>
      </c>
      <c r="H480" s="65"/>
      <c r="I480" s="65"/>
      <c r="J480" s="65"/>
      <c r="K480" s="65" t="s">
        <v>1862</v>
      </c>
      <c r="L480" s="64" t="s">
        <v>72</v>
      </c>
      <c r="M480" s="64" t="s">
        <v>73</v>
      </c>
      <c r="N480" s="64" t="s">
        <v>74</v>
      </c>
      <c r="O480" s="64" t="s">
        <v>367</v>
      </c>
      <c r="P480" s="69">
        <v>44571</v>
      </c>
      <c r="Q480" s="69">
        <v>44742</v>
      </c>
      <c r="R480" s="171">
        <v>1</v>
      </c>
      <c r="S480" s="170"/>
      <c r="T480" s="170"/>
      <c r="U480" s="172">
        <f t="shared" si="97"/>
        <v>71428.570000000007</v>
      </c>
      <c r="V480" s="674">
        <f t="shared" si="86"/>
        <v>0</v>
      </c>
      <c r="W480" s="97"/>
      <c r="X480" s="97">
        <f t="shared" si="98"/>
        <v>71428.570000000007</v>
      </c>
      <c r="Y480" s="97"/>
      <c r="Z480" s="97"/>
      <c r="AA480" s="97"/>
      <c r="AB480" s="97"/>
      <c r="AC480" s="75"/>
      <c r="AD480" s="75"/>
      <c r="AE480" s="592"/>
      <c r="AF480" s="353"/>
      <c r="AG480" s="97">
        <v>142857.14000000001</v>
      </c>
      <c r="AH480" s="370">
        <f t="shared" si="99"/>
        <v>142857.14000000001</v>
      </c>
      <c r="AI480" s="75"/>
      <c r="AJ480" s="75"/>
      <c r="AK480" s="75"/>
      <c r="AL480" s="75"/>
      <c r="AM480" s="75"/>
      <c r="AN480" s="64" t="s">
        <v>39</v>
      </c>
      <c r="AO480" s="64"/>
      <c r="AP480" s="64"/>
      <c r="AQ480" s="189"/>
      <c r="AR480" s="64"/>
      <c r="AS480" s="476"/>
      <c r="AT480" s="64"/>
      <c r="AU480" s="646"/>
      <c r="AV480" s="185" t="s">
        <v>532</v>
      </c>
    </row>
    <row r="481" spans="1:48" outlineLevel="4" x14ac:dyDescent="0.25">
      <c r="A481" s="63" t="str">
        <f t="shared" si="65"/>
        <v>1.3.1.9.27.64</v>
      </c>
      <c r="B481" s="64">
        <v>1</v>
      </c>
      <c r="C481" s="64">
        <v>3</v>
      </c>
      <c r="D481" s="64">
        <v>1</v>
      </c>
      <c r="E481" s="64">
        <v>9</v>
      </c>
      <c r="F481" s="64">
        <v>27</v>
      </c>
      <c r="G481" s="64">
        <v>64</v>
      </c>
      <c r="H481" s="65"/>
      <c r="I481" s="65"/>
      <c r="J481" s="65"/>
      <c r="K481" s="65" t="s">
        <v>1863</v>
      </c>
      <c r="L481" s="64" t="s">
        <v>72</v>
      </c>
      <c r="M481" s="64" t="s">
        <v>73</v>
      </c>
      <c r="N481" s="64" t="s">
        <v>74</v>
      </c>
      <c r="O481" s="64" t="s">
        <v>367</v>
      </c>
      <c r="P481" s="69">
        <v>44571</v>
      </c>
      <c r="Q481" s="69">
        <v>44742</v>
      </c>
      <c r="R481" s="171">
        <v>1</v>
      </c>
      <c r="S481" s="170"/>
      <c r="T481" s="170"/>
      <c r="U481" s="172">
        <f t="shared" si="97"/>
        <v>71428.570000000007</v>
      </c>
      <c r="V481" s="674">
        <f t="shared" si="86"/>
        <v>0</v>
      </c>
      <c r="W481" s="97"/>
      <c r="X481" s="97">
        <f t="shared" si="98"/>
        <v>71428.570000000007</v>
      </c>
      <c r="Y481" s="97"/>
      <c r="Z481" s="97"/>
      <c r="AA481" s="97"/>
      <c r="AB481" s="97"/>
      <c r="AC481" s="75"/>
      <c r="AD481" s="75"/>
      <c r="AE481" s="592"/>
      <c r="AF481" s="353"/>
      <c r="AG481" s="97">
        <v>142857.14000000001</v>
      </c>
      <c r="AH481" s="370">
        <f t="shared" si="99"/>
        <v>142857.14000000001</v>
      </c>
      <c r="AI481" s="75"/>
      <c r="AJ481" s="75"/>
      <c r="AK481" s="75"/>
      <c r="AL481" s="75"/>
      <c r="AM481" s="75"/>
      <c r="AN481" s="64" t="s">
        <v>39</v>
      </c>
      <c r="AO481" s="64"/>
      <c r="AP481" s="64"/>
      <c r="AQ481" s="189"/>
      <c r="AR481" s="64"/>
      <c r="AS481" s="476"/>
      <c r="AT481" s="64"/>
      <c r="AU481" s="646"/>
      <c r="AV481" s="185" t="s">
        <v>532</v>
      </c>
    </row>
    <row r="482" spans="1:48" outlineLevel="4" x14ac:dyDescent="0.25">
      <c r="A482" s="63" t="str">
        <f>CONCATENATE(B482,".",C482,".",D482,".",E482,".",F482,".",G482)</f>
        <v>1.3.0.9.28.58</v>
      </c>
      <c r="B482" s="64">
        <v>1</v>
      </c>
      <c r="C482" s="64">
        <v>3</v>
      </c>
      <c r="D482" s="64">
        <v>0</v>
      </c>
      <c r="E482" s="64">
        <v>9</v>
      </c>
      <c r="F482" s="64">
        <v>28</v>
      </c>
      <c r="G482" s="100">
        <v>58</v>
      </c>
      <c r="H482" s="65"/>
      <c r="I482" s="65"/>
      <c r="J482" s="65"/>
      <c r="K482" s="67" t="s">
        <v>533</v>
      </c>
      <c r="L482" s="64" t="s">
        <v>534</v>
      </c>
      <c r="M482" s="64" t="s">
        <v>73</v>
      </c>
      <c r="N482" s="64" t="s">
        <v>226</v>
      </c>
      <c r="O482" s="64" t="s">
        <v>361</v>
      </c>
      <c r="P482" s="69">
        <v>44315</v>
      </c>
      <c r="Q482" s="69">
        <v>44438</v>
      </c>
      <c r="R482" s="124">
        <v>153000</v>
      </c>
      <c r="S482" s="123" t="s">
        <v>535</v>
      </c>
      <c r="T482" s="124">
        <v>0</v>
      </c>
      <c r="U482" s="172"/>
      <c r="V482" s="674">
        <f t="shared" si="86"/>
        <v>1277714.29</v>
      </c>
      <c r="W482" s="75">
        <v>0</v>
      </c>
      <c r="X482" s="97"/>
      <c r="Y482" s="97"/>
      <c r="Z482" s="75">
        <v>100000</v>
      </c>
      <c r="AA482" s="75"/>
      <c r="AB482" s="75"/>
      <c r="AC482" s="75">
        <v>53000</v>
      </c>
      <c r="AD482" s="75"/>
      <c r="AE482" s="592"/>
      <c r="AF482" s="353"/>
      <c r="AG482" s="75">
        <v>1015000</v>
      </c>
      <c r="AH482" s="370">
        <v>0</v>
      </c>
      <c r="AI482" s="75"/>
      <c r="AJ482" s="75">
        <v>1277714.29</v>
      </c>
      <c r="AK482" s="75"/>
      <c r="AL482" s="75"/>
      <c r="AM482" s="75"/>
      <c r="AN482" s="64" t="s">
        <v>181</v>
      </c>
      <c r="AO482" s="165"/>
      <c r="AP482" s="165"/>
      <c r="AQ482" s="413"/>
      <c r="AR482" s="64"/>
      <c r="AS482" s="475"/>
      <c r="AT482" s="64"/>
      <c r="AU482" s="646"/>
      <c r="AV482" s="1274" t="s">
        <v>1999</v>
      </c>
    </row>
    <row r="483" spans="1:48" outlineLevel="4" x14ac:dyDescent="0.25">
      <c r="A483" s="63" t="str">
        <f t="shared" ref="A483:A488" si="100">CONCATENATE(B483,".",C483,".",D483,".",E483,".",F483,".",G483)</f>
        <v>1.3.0.9.28.59</v>
      </c>
      <c r="B483" s="64">
        <v>1</v>
      </c>
      <c r="C483" s="64">
        <v>3</v>
      </c>
      <c r="D483" s="64">
        <v>0</v>
      </c>
      <c r="E483" s="64">
        <v>9</v>
      </c>
      <c r="F483" s="64">
        <v>28</v>
      </c>
      <c r="G483" s="100">
        <v>59</v>
      </c>
      <c r="H483" s="65"/>
      <c r="I483" s="65"/>
      <c r="J483" s="65"/>
      <c r="K483" s="65" t="s">
        <v>536</v>
      </c>
      <c r="L483" s="64" t="s">
        <v>359</v>
      </c>
      <c r="M483" s="64" t="s">
        <v>73</v>
      </c>
      <c r="N483" s="64" t="s">
        <v>226</v>
      </c>
      <c r="O483" s="64" t="s">
        <v>361</v>
      </c>
      <c r="P483" s="69">
        <v>44315</v>
      </c>
      <c r="Q483" s="69">
        <v>44438</v>
      </c>
      <c r="R483" s="124">
        <v>153001</v>
      </c>
      <c r="S483" s="123"/>
      <c r="T483" s="124"/>
      <c r="U483" s="172"/>
      <c r="V483" s="674">
        <f t="shared" si="86"/>
        <v>1277714.29</v>
      </c>
      <c r="W483" s="75"/>
      <c r="X483" s="97"/>
      <c r="Y483" s="97"/>
      <c r="Z483" s="75"/>
      <c r="AA483" s="75"/>
      <c r="AB483" s="75"/>
      <c r="AC483" s="75"/>
      <c r="AD483" s="75"/>
      <c r="AE483" s="592"/>
      <c r="AF483" s="353"/>
      <c r="AG483" s="75">
        <v>1015000</v>
      </c>
      <c r="AH483" s="370">
        <v>0</v>
      </c>
      <c r="AI483" s="75"/>
      <c r="AJ483" s="75">
        <v>1277714.29</v>
      </c>
      <c r="AK483" s="75"/>
      <c r="AL483" s="75"/>
      <c r="AM483" s="75"/>
      <c r="AN483" s="64" t="s">
        <v>181</v>
      </c>
      <c r="AO483" s="165"/>
      <c r="AP483" s="165"/>
      <c r="AQ483" s="413"/>
      <c r="AR483" s="64"/>
      <c r="AS483" s="475"/>
      <c r="AT483" s="64"/>
      <c r="AU483" s="646"/>
      <c r="AV483" s="1274"/>
    </row>
    <row r="484" spans="1:48" outlineLevel="4" x14ac:dyDescent="0.25">
      <c r="A484" s="63" t="str">
        <f t="shared" si="100"/>
        <v>1.3.0.9.28.60</v>
      </c>
      <c r="B484" s="64">
        <v>1</v>
      </c>
      <c r="C484" s="64">
        <v>3</v>
      </c>
      <c r="D484" s="64">
        <v>0</v>
      </c>
      <c r="E484" s="64">
        <v>9</v>
      </c>
      <c r="F484" s="64">
        <v>28</v>
      </c>
      <c r="G484" s="100">
        <v>60</v>
      </c>
      <c r="H484" s="65"/>
      <c r="I484" s="65"/>
      <c r="J484" s="65"/>
      <c r="K484" s="65" t="s">
        <v>537</v>
      </c>
      <c r="L484" s="64" t="s">
        <v>359</v>
      </c>
      <c r="M484" s="64" t="s">
        <v>73</v>
      </c>
      <c r="N484" s="64" t="s">
        <v>226</v>
      </c>
      <c r="O484" s="64" t="s">
        <v>361</v>
      </c>
      <c r="P484" s="69">
        <v>44315</v>
      </c>
      <c r="Q484" s="69">
        <v>44438</v>
      </c>
      <c r="R484" s="124">
        <v>153002</v>
      </c>
      <c r="S484" s="123"/>
      <c r="T484" s="124"/>
      <c r="U484" s="172"/>
      <c r="V484" s="674">
        <f t="shared" si="86"/>
        <v>1277714.29</v>
      </c>
      <c r="W484" s="75"/>
      <c r="X484" s="97"/>
      <c r="Y484" s="97"/>
      <c r="Z484" s="75"/>
      <c r="AA484" s="75"/>
      <c r="AB484" s="75"/>
      <c r="AC484" s="75"/>
      <c r="AD484" s="75"/>
      <c r="AE484" s="592"/>
      <c r="AF484" s="353"/>
      <c r="AG484" s="75">
        <v>1015000</v>
      </c>
      <c r="AH484" s="370">
        <v>0</v>
      </c>
      <c r="AI484" s="75"/>
      <c r="AJ484" s="75">
        <v>1277714.29</v>
      </c>
      <c r="AK484" s="75"/>
      <c r="AL484" s="75"/>
      <c r="AM484" s="75"/>
      <c r="AN484" s="64" t="s">
        <v>181</v>
      </c>
      <c r="AO484" s="165"/>
      <c r="AP484" s="165"/>
      <c r="AQ484" s="413"/>
      <c r="AR484" s="64"/>
      <c r="AS484" s="475"/>
      <c r="AT484" s="64"/>
      <c r="AU484" s="646"/>
      <c r="AV484" s="1274"/>
    </row>
    <row r="485" spans="1:48" outlineLevel="4" x14ac:dyDescent="0.25">
      <c r="A485" s="63" t="str">
        <f t="shared" si="100"/>
        <v>1.3.0.9.28.61</v>
      </c>
      <c r="B485" s="64">
        <v>1</v>
      </c>
      <c r="C485" s="64">
        <v>3</v>
      </c>
      <c r="D485" s="64">
        <v>0</v>
      </c>
      <c r="E485" s="64">
        <v>9</v>
      </c>
      <c r="F485" s="64">
        <v>28</v>
      </c>
      <c r="G485" s="100">
        <v>61</v>
      </c>
      <c r="H485" s="65"/>
      <c r="I485" s="65"/>
      <c r="J485" s="65"/>
      <c r="K485" s="65" t="s">
        <v>538</v>
      </c>
      <c r="L485" s="64" t="s">
        <v>359</v>
      </c>
      <c r="M485" s="64" t="s">
        <v>73</v>
      </c>
      <c r="N485" s="64" t="s">
        <v>226</v>
      </c>
      <c r="O485" s="64" t="s">
        <v>361</v>
      </c>
      <c r="P485" s="69">
        <v>44315</v>
      </c>
      <c r="Q485" s="69">
        <v>44438</v>
      </c>
      <c r="R485" s="124">
        <v>153003</v>
      </c>
      <c r="S485" s="123"/>
      <c r="T485" s="124"/>
      <c r="U485" s="172"/>
      <c r="V485" s="674">
        <f t="shared" si="86"/>
        <v>1277714.29</v>
      </c>
      <c r="W485" s="75"/>
      <c r="X485" s="97"/>
      <c r="Y485" s="97"/>
      <c r="Z485" s="75"/>
      <c r="AA485" s="75"/>
      <c r="AB485" s="75"/>
      <c r="AC485" s="75"/>
      <c r="AD485" s="75"/>
      <c r="AE485" s="592"/>
      <c r="AF485" s="353"/>
      <c r="AG485" s="75">
        <v>1015000</v>
      </c>
      <c r="AH485" s="370">
        <v>0</v>
      </c>
      <c r="AI485" s="75"/>
      <c r="AJ485" s="75">
        <v>1277714.29</v>
      </c>
      <c r="AK485" s="75"/>
      <c r="AL485" s="75"/>
      <c r="AM485" s="75"/>
      <c r="AN485" s="64" t="s">
        <v>181</v>
      </c>
      <c r="AO485" s="165"/>
      <c r="AP485" s="165"/>
      <c r="AQ485" s="413"/>
      <c r="AR485" s="64"/>
      <c r="AS485" s="475"/>
      <c r="AT485" s="64"/>
      <c r="AU485" s="646"/>
      <c r="AV485" s="1274"/>
    </row>
    <row r="486" spans="1:48" outlineLevel="4" x14ac:dyDescent="0.25">
      <c r="A486" s="63" t="str">
        <f t="shared" si="100"/>
        <v>1.3.0.9.28.62</v>
      </c>
      <c r="B486" s="64">
        <v>1</v>
      </c>
      <c r="C486" s="64">
        <v>3</v>
      </c>
      <c r="D486" s="64">
        <v>0</v>
      </c>
      <c r="E486" s="64">
        <v>9</v>
      </c>
      <c r="F486" s="64">
        <v>28</v>
      </c>
      <c r="G486" s="100">
        <v>62</v>
      </c>
      <c r="H486" s="65"/>
      <c r="I486" s="65"/>
      <c r="J486" s="65"/>
      <c r="K486" s="65" t="s">
        <v>1744</v>
      </c>
      <c r="L486" s="64" t="s">
        <v>359</v>
      </c>
      <c r="M486" s="64" t="s">
        <v>73</v>
      </c>
      <c r="N486" s="64" t="s">
        <v>226</v>
      </c>
      <c r="O486" s="64" t="s">
        <v>361</v>
      </c>
      <c r="P486" s="69">
        <v>44315</v>
      </c>
      <c r="Q486" s="69">
        <v>44438</v>
      </c>
      <c r="R486" s="124">
        <v>153004</v>
      </c>
      <c r="S486" s="123"/>
      <c r="T486" s="124"/>
      <c r="U486" s="172"/>
      <c r="V486" s="674">
        <f t="shared" si="86"/>
        <v>1277714.29</v>
      </c>
      <c r="W486" s="75"/>
      <c r="X486" s="97"/>
      <c r="Y486" s="97"/>
      <c r="Z486" s="75"/>
      <c r="AA486" s="75"/>
      <c r="AB486" s="75"/>
      <c r="AC486" s="75"/>
      <c r="AD486" s="75"/>
      <c r="AE486" s="592"/>
      <c r="AF486" s="353"/>
      <c r="AG486" s="75">
        <v>1015000</v>
      </c>
      <c r="AH486" s="370">
        <v>0</v>
      </c>
      <c r="AI486" s="75"/>
      <c r="AJ486" s="75">
        <v>1277714.29</v>
      </c>
      <c r="AK486" s="75"/>
      <c r="AL486" s="75"/>
      <c r="AM486" s="75"/>
      <c r="AN486" s="64" t="s">
        <v>181</v>
      </c>
      <c r="AO486" s="165"/>
      <c r="AP486" s="165"/>
      <c r="AQ486" s="413"/>
      <c r="AR486" s="64"/>
      <c r="AS486" s="475"/>
      <c r="AT486" s="64"/>
      <c r="AU486" s="646"/>
      <c r="AV486" s="1274"/>
    </row>
    <row r="487" spans="1:48" outlineLevel="4" x14ac:dyDescent="0.25">
      <c r="A487" s="63" t="str">
        <f t="shared" si="100"/>
        <v>1.3.0.9.28.63</v>
      </c>
      <c r="B487" s="64">
        <v>1</v>
      </c>
      <c r="C487" s="64">
        <v>3</v>
      </c>
      <c r="D487" s="64">
        <v>0</v>
      </c>
      <c r="E487" s="64">
        <v>9</v>
      </c>
      <c r="F487" s="64">
        <v>28</v>
      </c>
      <c r="G487" s="100">
        <v>63</v>
      </c>
      <c r="H487" s="65"/>
      <c r="I487" s="65"/>
      <c r="J487" s="65"/>
      <c r="K487" s="65" t="s">
        <v>539</v>
      </c>
      <c r="L487" s="64" t="s">
        <v>359</v>
      </c>
      <c r="M487" s="64" t="s">
        <v>73</v>
      </c>
      <c r="N487" s="64" t="s">
        <v>226</v>
      </c>
      <c r="O487" s="64" t="s">
        <v>361</v>
      </c>
      <c r="P487" s="69">
        <v>44315</v>
      </c>
      <c r="Q487" s="69">
        <v>44438</v>
      </c>
      <c r="R487" s="124">
        <v>153005</v>
      </c>
      <c r="S487" s="123"/>
      <c r="T487" s="124"/>
      <c r="U487" s="172"/>
      <c r="V487" s="674">
        <f t="shared" si="86"/>
        <v>1277714.29</v>
      </c>
      <c r="W487" s="75"/>
      <c r="X487" s="97"/>
      <c r="Y487" s="97"/>
      <c r="Z487" s="75"/>
      <c r="AA487" s="75"/>
      <c r="AB487" s="75"/>
      <c r="AC487" s="75"/>
      <c r="AD487" s="75"/>
      <c r="AE487" s="592"/>
      <c r="AF487" s="353"/>
      <c r="AG487" s="75">
        <v>1015000</v>
      </c>
      <c r="AH487" s="370">
        <v>0</v>
      </c>
      <c r="AI487" s="75"/>
      <c r="AJ487" s="75">
        <v>1277714.29</v>
      </c>
      <c r="AK487" s="75"/>
      <c r="AL487" s="75"/>
      <c r="AM487" s="75"/>
      <c r="AN487" s="64" t="s">
        <v>181</v>
      </c>
      <c r="AO487" s="165"/>
      <c r="AP487" s="165"/>
      <c r="AQ487" s="413"/>
      <c r="AR487" s="64"/>
      <c r="AS487" s="475"/>
      <c r="AT487" s="64"/>
      <c r="AU487" s="646"/>
      <c r="AV487" s="1274"/>
    </row>
    <row r="488" spans="1:48" outlineLevel="4" x14ac:dyDescent="0.25">
      <c r="A488" s="63" t="str">
        <f t="shared" si="100"/>
        <v>1.3.0.9.28.64</v>
      </c>
      <c r="B488" s="64">
        <v>1</v>
      </c>
      <c r="C488" s="64">
        <v>3</v>
      </c>
      <c r="D488" s="64">
        <v>0</v>
      </c>
      <c r="E488" s="64">
        <v>9</v>
      </c>
      <c r="F488" s="64">
        <v>28</v>
      </c>
      <c r="G488" s="100">
        <v>64</v>
      </c>
      <c r="H488" s="65"/>
      <c r="I488" s="65"/>
      <c r="J488" s="65"/>
      <c r="K488" s="65" t="s">
        <v>540</v>
      </c>
      <c r="L488" s="64" t="s">
        <v>359</v>
      </c>
      <c r="M488" s="64" t="s">
        <v>73</v>
      </c>
      <c r="N488" s="64" t="s">
        <v>226</v>
      </c>
      <c r="O488" s="64" t="s">
        <v>361</v>
      </c>
      <c r="P488" s="69">
        <v>44315</v>
      </c>
      <c r="Q488" s="69">
        <v>44438</v>
      </c>
      <c r="R488" s="124">
        <v>153005</v>
      </c>
      <c r="S488" s="123"/>
      <c r="T488" s="124"/>
      <c r="U488" s="172"/>
      <c r="V488" s="674">
        <f t="shared" si="86"/>
        <v>1277714.29</v>
      </c>
      <c r="W488" s="75"/>
      <c r="X488" s="97"/>
      <c r="Y488" s="97"/>
      <c r="Z488" s="75"/>
      <c r="AA488" s="75"/>
      <c r="AB488" s="75"/>
      <c r="AC488" s="75"/>
      <c r="AD488" s="75"/>
      <c r="AE488" s="592"/>
      <c r="AF488" s="353"/>
      <c r="AG488" s="75">
        <v>1015000</v>
      </c>
      <c r="AH488" s="370">
        <v>0</v>
      </c>
      <c r="AI488" s="75"/>
      <c r="AJ488" s="75">
        <v>1277714.29</v>
      </c>
      <c r="AK488" s="75"/>
      <c r="AL488" s="75"/>
      <c r="AM488" s="75"/>
      <c r="AN488" s="64" t="s">
        <v>181</v>
      </c>
      <c r="AO488" s="165"/>
      <c r="AP488" s="165"/>
      <c r="AQ488" s="413"/>
      <c r="AR488" s="64"/>
      <c r="AS488" s="475"/>
      <c r="AT488" s="64"/>
      <c r="AU488" s="646"/>
      <c r="AV488" s="1274"/>
    </row>
    <row r="489" spans="1:48" ht="30" outlineLevel="4" x14ac:dyDescent="0.25">
      <c r="A489" s="63" t="str">
        <f t="shared" si="65"/>
        <v>1.3.1.9.29.58</v>
      </c>
      <c r="B489" s="64">
        <v>1</v>
      </c>
      <c r="C489" s="64">
        <v>3</v>
      </c>
      <c r="D489" s="64">
        <v>1</v>
      </c>
      <c r="E489" s="64">
        <v>9</v>
      </c>
      <c r="F489" s="64">
        <v>29</v>
      </c>
      <c r="G489" s="64">
        <v>58</v>
      </c>
      <c r="H489" s="65"/>
      <c r="I489" s="65"/>
      <c r="J489" s="65"/>
      <c r="K489" s="86" t="s">
        <v>541</v>
      </c>
      <c r="L489" s="64" t="s">
        <v>72</v>
      </c>
      <c r="M489" s="64" t="s">
        <v>73</v>
      </c>
      <c r="N489" s="64" t="s">
        <v>74</v>
      </c>
      <c r="O489" s="64" t="s">
        <v>542</v>
      </c>
      <c r="P489" s="69"/>
      <c r="Q489" s="69"/>
      <c r="R489" s="124"/>
      <c r="S489" s="123">
        <v>0</v>
      </c>
      <c r="T489" s="124"/>
      <c r="U489" s="75"/>
      <c r="V489" s="674">
        <f t="shared" si="86"/>
        <v>0</v>
      </c>
      <c r="W489" s="75"/>
      <c r="X489" s="75"/>
      <c r="Y489" s="75"/>
      <c r="Z489" s="75">
        <v>1</v>
      </c>
      <c r="AA489" s="75"/>
      <c r="AB489" s="75"/>
      <c r="AC489" s="75"/>
      <c r="AD489" s="75"/>
      <c r="AE489" s="592"/>
      <c r="AF489" s="347" t="s">
        <v>166</v>
      </c>
      <c r="AG489" s="510">
        <v>0</v>
      </c>
      <c r="AH489" s="370">
        <v>0</v>
      </c>
      <c r="AI489" s="75"/>
      <c r="AJ489" s="75"/>
      <c r="AK489" s="75"/>
      <c r="AL489" s="75"/>
      <c r="AM489" s="75"/>
      <c r="AN489" s="64" t="s">
        <v>39</v>
      </c>
      <c r="AO489" s="64"/>
      <c r="AP489" s="64"/>
      <c r="AQ489" s="189"/>
      <c r="AR489" s="64"/>
      <c r="AS489" s="476"/>
      <c r="AT489" s="64"/>
      <c r="AU489" s="646"/>
      <c r="AV489" s="185"/>
    </row>
    <row r="490" spans="1:48" ht="30" outlineLevel="4" x14ac:dyDescent="0.25">
      <c r="A490" s="63" t="str">
        <f t="shared" si="65"/>
        <v>1.3.1.9.29.59</v>
      </c>
      <c r="B490" s="64">
        <v>1</v>
      </c>
      <c r="C490" s="64">
        <v>3</v>
      </c>
      <c r="D490" s="64">
        <v>1</v>
      </c>
      <c r="E490" s="64">
        <v>9</v>
      </c>
      <c r="F490" s="64">
        <v>29</v>
      </c>
      <c r="G490" s="64">
        <v>59</v>
      </c>
      <c r="H490" s="65"/>
      <c r="I490" s="65"/>
      <c r="J490" s="65"/>
      <c r="K490" s="86" t="s">
        <v>543</v>
      </c>
      <c r="L490" s="64" t="s">
        <v>72</v>
      </c>
      <c r="M490" s="64" t="s">
        <v>73</v>
      </c>
      <c r="N490" s="64" t="s">
        <v>74</v>
      </c>
      <c r="O490" s="64" t="s">
        <v>542</v>
      </c>
      <c r="P490" s="69"/>
      <c r="Q490" s="69"/>
      <c r="R490" s="124"/>
      <c r="S490" s="123"/>
      <c r="T490" s="124"/>
      <c r="U490" s="75"/>
      <c r="V490" s="674">
        <f t="shared" si="86"/>
        <v>0</v>
      </c>
      <c r="W490" s="75"/>
      <c r="X490" s="75"/>
      <c r="Y490" s="75"/>
      <c r="Z490" s="75">
        <v>1</v>
      </c>
      <c r="AA490" s="75"/>
      <c r="AB490" s="75"/>
      <c r="AC490" s="75"/>
      <c r="AD490" s="75"/>
      <c r="AE490" s="592"/>
      <c r="AF490" s="347" t="s">
        <v>166</v>
      </c>
      <c r="AG490" s="510">
        <v>0</v>
      </c>
      <c r="AH490" s="370">
        <v>0</v>
      </c>
      <c r="AI490" s="75"/>
      <c r="AJ490" s="75"/>
      <c r="AK490" s="75"/>
      <c r="AL490" s="75"/>
      <c r="AM490" s="75"/>
      <c r="AN490" s="64" t="s">
        <v>39</v>
      </c>
      <c r="AO490" s="64"/>
      <c r="AP490" s="64"/>
      <c r="AQ490" s="189"/>
      <c r="AR490" s="64"/>
      <c r="AS490" s="476"/>
      <c r="AT490" s="64"/>
      <c r="AU490" s="646"/>
      <c r="AV490" s="185"/>
    </row>
    <row r="491" spans="1:48" ht="30" outlineLevel="4" x14ac:dyDescent="0.25">
      <c r="A491" s="63" t="str">
        <f t="shared" si="65"/>
        <v>1.3.1.9.29.60</v>
      </c>
      <c r="B491" s="64">
        <v>1</v>
      </c>
      <c r="C491" s="64">
        <v>3</v>
      </c>
      <c r="D491" s="64">
        <v>1</v>
      </c>
      <c r="E491" s="64">
        <v>9</v>
      </c>
      <c r="F491" s="64">
        <v>29</v>
      </c>
      <c r="G491" s="64">
        <v>60</v>
      </c>
      <c r="H491" s="65"/>
      <c r="I491" s="65"/>
      <c r="J491" s="65"/>
      <c r="K491" s="86" t="s">
        <v>544</v>
      </c>
      <c r="L491" s="64" t="s">
        <v>72</v>
      </c>
      <c r="M491" s="64" t="s">
        <v>73</v>
      </c>
      <c r="N491" s="64" t="s">
        <v>74</v>
      </c>
      <c r="O491" s="64" t="s">
        <v>542</v>
      </c>
      <c r="P491" s="69"/>
      <c r="Q491" s="69"/>
      <c r="R491" s="124"/>
      <c r="S491" s="123"/>
      <c r="T491" s="124"/>
      <c r="U491" s="75"/>
      <c r="V491" s="674">
        <f t="shared" si="86"/>
        <v>0</v>
      </c>
      <c r="W491" s="75"/>
      <c r="X491" s="75"/>
      <c r="Y491" s="75"/>
      <c r="Z491" s="75">
        <v>1</v>
      </c>
      <c r="AA491" s="75"/>
      <c r="AB491" s="75"/>
      <c r="AC491" s="75"/>
      <c r="AD491" s="75"/>
      <c r="AE491" s="592"/>
      <c r="AF491" s="347" t="s">
        <v>166</v>
      </c>
      <c r="AG491" s="510">
        <v>0</v>
      </c>
      <c r="AH491" s="370">
        <v>0</v>
      </c>
      <c r="AI491" s="75"/>
      <c r="AJ491" s="75"/>
      <c r="AK491" s="75"/>
      <c r="AL491" s="75"/>
      <c r="AM491" s="75"/>
      <c r="AN491" s="64" t="s">
        <v>39</v>
      </c>
      <c r="AO491" s="64"/>
      <c r="AP491" s="64"/>
      <c r="AQ491" s="189"/>
      <c r="AR491" s="64"/>
      <c r="AS491" s="476"/>
      <c r="AT491" s="64"/>
      <c r="AU491" s="646"/>
      <c r="AV491" s="185"/>
    </row>
    <row r="492" spans="1:48" ht="30" outlineLevel="4" x14ac:dyDescent="0.25">
      <c r="A492" s="63" t="str">
        <f t="shared" si="65"/>
        <v>1.3.1.9.29.61</v>
      </c>
      <c r="B492" s="64">
        <v>1</v>
      </c>
      <c r="C492" s="64">
        <v>3</v>
      </c>
      <c r="D492" s="64">
        <v>1</v>
      </c>
      <c r="E492" s="64">
        <v>9</v>
      </c>
      <c r="F492" s="64">
        <v>29</v>
      </c>
      <c r="G492" s="64">
        <v>61</v>
      </c>
      <c r="H492" s="65"/>
      <c r="I492" s="65"/>
      <c r="J492" s="65"/>
      <c r="K492" s="86" t="s">
        <v>545</v>
      </c>
      <c r="L492" s="64" t="s">
        <v>72</v>
      </c>
      <c r="M492" s="64" t="s">
        <v>73</v>
      </c>
      <c r="N492" s="64" t="s">
        <v>74</v>
      </c>
      <c r="O492" s="64" t="s">
        <v>542</v>
      </c>
      <c r="P492" s="69"/>
      <c r="Q492" s="69"/>
      <c r="R492" s="124"/>
      <c r="S492" s="123"/>
      <c r="T492" s="124"/>
      <c r="U492" s="75"/>
      <c r="V492" s="674">
        <f t="shared" si="86"/>
        <v>0</v>
      </c>
      <c r="W492" s="75"/>
      <c r="X492" s="75"/>
      <c r="Y492" s="75"/>
      <c r="Z492" s="75">
        <v>1</v>
      </c>
      <c r="AA492" s="75"/>
      <c r="AB492" s="75"/>
      <c r="AC492" s="75"/>
      <c r="AD492" s="75"/>
      <c r="AE492" s="592"/>
      <c r="AF492" s="347" t="s">
        <v>166</v>
      </c>
      <c r="AG492" s="510">
        <v>0</v>
      </c>
      <c r="AH492" s="370">
        <v>0</v>
      </c>
      <c r="AI492" s="75"/>
      <c r="AJ492" s="75"/>
      <c r="AK492" s="75"/>
      <c r="AL492" s="75"/>
      <c r="AM492" s="75"/>
      <c r="AN492" s="64" t="s">
        <v>39</v>
      </c>
      <c r="AO492" s="64"/>
      <c r="AP492" s="64"/>
      <c r="AQ492" s="189"/>
      <c r="AR492" s="64"/>
      <c r="AS492" s="476"/>
      <c r="AT492" s="64"/>
      <c r="AU492" s="646"/>
      <c r="AV492" s="185"/>
    </row>
    <row r="493" spans="1:48" ht="30" outlineLevel="4" x14ac:dyDescent="0.25">
      <c r="A493" s="63" t="str">
        <f t="shared" si="65"/>
        <v>1.3.1.9.29.62</v>
      </c>
      <c r="B493" s="64">
        <v>1</v>
      </c>
      <c r="C493" s="64">
        <v>3</v>
      </c>
      <c r="D493" s="64">
        <v>1</v>
      </c>
      <c r="E493" s="64">
        <v>9</v>
      </c>
      <c r="F493" s="64">
        <v>29</v>
      </c>
      <c r="G493" s="64">
        <v>62</v>
      </c>
      <c r="H493" s="65"/>
      <c r="I493" s="65"/>
      <c r="J493" s="65"/>
      <c r="K493" s="86" t="s">
        <v>1745</v>
      </c>
      <c r="L493" s="64" t="s">
        <v>72</v>
      </c>
      <c r="M493" s="64" t="s">
        <v>73</v>
      </c>
      <c r="N493" s="64" t="s">
        <v>74</v>
      </c>
      <c r="O493" s="64" t="s">
        <v>542</v>
      </c>
      <c r="P493" s="69"/>
      <c r="Q493" s="69"/>
      <c r="R493" s="124"/>
      <c r="S493" s="123"/>
      <c r="T493" s="124"/>
      <c r="U493" s="75"/>
      <c r="V493" s="674">
        <f t="shared" si="86"/>
        <v>0</v>
      </c>
      <c r="W493" s="75"/>
      <c r="X493" s="75"/>
      <c r="Y493" s="75"/>
      <c r="Z493" s="75">
        <v>1</v>
      </c>
      <c r="AA493" s="75"/>
      <c r="AB493" s="75"/>
      <c r="AC493" s="75"/>
      <c r="AD493" s="75"/>
      <c r="AE493" s="592"/>
      <c r="AF493" s="347" t="s">
        <v>166</v>
      </c>
      <c r="AG493" s="510">
        <v>0</v>
      </c>
      <c r="AH493" s="370">
        <v>0</v>
      </c>
      <c r="AI493" s="75"/>
      <c r="AJ493" s="75"/>
      <c r="AK493" s="75"/>
      <c r="AL493" s="75"/>
      <c r="AM493" s="75"/>
      <c r="AN493" s="64" t="s">
        <v>39</v>
      </c>
      <c r="AO493" s="64"/>
      <c r="AP493" s="64"/>
      <c r="AQ493" s="189"/>
      <c r="AR493" s="64"/>
      <c r="AS493" s="476"/>
      <c r="AT493" s="64"/>
      <c r="AU493" s="646"/>
      <c r="AV493" s="185"/>
    </row>
    <row r="494" spans="1:48" ht="30" outlineLevel="4" x14ac:dyDescent="0.25">
      <c r="A494" s="63" t="str">
        <f t="shared" si="65"/>
        <v>1.3.1.9.29.63</v>
      </c>
      <c r="B494" s="64">
        <v>1</v>
      </c>
      <c r="C494" s="64">
        <v>3</v>
      </c>
      <c r="D494" s="64">
        <v>1</v>
      </c>
      <c r="E494" s="64">
        <v>9</v>
      </c>
      <c r="F494" s="64">
        <v>29</v>
      </c>
      <c r="G494" s="64">
        <v>63</v>
      </c>
      <c r="H494" s="65"/>
      <c r="I494" s="65"/>
      <c r="J494" s="65"/>
      <c r="K494" s="86" t="s">
        <v>546</v>
      </c>
      <c r="L494" s="64" t="s">
        <v>72</v>
      </c>
      <c r="M494" s="64" t="s">
        <v>73</v>
      </c>
      <c r="N494" s="64" t="s">
        <v>74</v>
      </c>
      <c r="O494" s="64" t="s">
        <v>542</v>
      </c>
      <c r="P494" s="69"/>
      <c r="Q494" s="69"/>
      <c r="R494" s="124"/>
      <c r="S494" s="123"/>
      <c r="T494" s="124"/>
      <c r="U494" s="75"/>
      <c r="V494" s="674">
        <f t="shared" si="86"/>
        <v>0</v>
      </c>
      <c r="W494" s="75"/>
      <c r="X494" s="75"/>
      <c r="Y494" s="75"/>
      <c r="Z494" s="75">
        <v>1</v>
      </c>
      <c r="AA494" s="75"/>
      <c r="AB494" s="75"/>
      <c r="AC494" s="75"/>
      <c r="AD494" s="75"/>
      <c r="AE494" s="592"/>
      <c r="AF494" s="347" t="s">
        <v>166</v>
      </c>
      <c r="AG494" s="510">
        <v>0</v>
      </c>
      <c r="AH494" s="370">
        <v>0</v>
      </c>
      <c r="AI494" s="75"/>
      <c r="AJ494" s="75"/>
      <c r="AK494" s="75"/>
      <c r="AL494" s="75"/>
      <c r="AM494" s="75"/>
      <c r="AN494" s="64" t="s">
        <v>39</v>
      </c>
      <c r="AO494" s="64"/>
      <c r="AP494" s="64"/>
      <c r="AQ494" s="189"/>
      <c r="AR494" s="64"/>
      <c r="AS494" s="476"/>
      <c r="AT494" s="64"/>
      <c r="AU494" s="646"/>
      <c r="AV494" s="185"/>
    </row>
    <row r="495" spans="1:48" ht="30" outlineLevel="4" x14ac:dyDescent="0.25">
      <c r="A495" s="63" t="str">
        <f t="shared" si="65"/>
        <v>1.3.1.9.29.64</v>
      </c>
      <c r="B495" s="64">
        <v>1</v>
      </c>
      <c r="C495" s="64">
        <v>3</v>
      </c>
      <c r="D495" s="64">
        <v>1</v>
      </c>
      <c r="E495" s="64">
        <v>9</v>
      </c>
      <c r="F495" s="64">
        <v>29</v>
      </c>
      <c r="G495" s="64">
        <v>64</v>
      </c>
      <c r="H495" s="65"/>
      <c r="I495" s="65"/>
      <c r="J495" s="65"/>
      <c r="K495" s="86" t="s">
        <v>547</v>
      </c>
      <c r="L495" s="64" t="s">
        <v>72</v>
      </c>
      <c r="M495" s="64" t="s">
        <v>73</v>
      </c>
      <c r="N495" s="64" t="s">
        <v>74</v>
      </c>
      <c r="O495" s="64" t="s">
        <v>542</v>
      </c>
      <c r="P495" s="69"/>
      <c r="Q495" s="69"/>
      <c r="R495" s="124"/>
      <c r="S495" s="123"/>
      <c r="T495" s="124"/>
      <c r="U495" s="75"/>
      <c r="V495" s="674">
        <f t="shared" si="86"/>
        <v>0</v>
      </c>
      <c r="W495" s="75"/>
      <c r="X495" s="75"/>
      <c r="Y495" s="75"/>
      <c r="Z495" s="75">
        <v>1</v>
      </c>
      <c r="AA495" s="75"/>
      <c r="AB495" s="75"/>
      <c r="AC495" s="75"/>
      <c r="AD495" s="75"/>
      <c r="AE495" s="592"/>
      <c r="AF495" s="347" t="s">
        <v>166</v>
      </c>
      <c r="AG495" s="510">
        <v>0</v>
      </c>
      <c r="AH495" s="370">
        <v>0</v>
      </c>
      <c r="AI495" s="75"/>
      <c r="AJ495" s="75"/>
      <c r="AK495" s="75"/>
      <c r="AL495" s="75"/>
      <c r="AM495" s="75"/>
      <c r="AN495" s="64" t="s">
        <v>39</v>
      </c>
      <c r="AO495" s="64"/>
      <c r="AP495" s="64"/>
      <c r="AQ495" s="189"/>
      <c r="AR495" s="64"/>
      <c r="AS495" s="476"/>
      <c r="AT495" s="64"/>
      <c r="AU495" s="646"/>
      <c r="AV495" s="185"/>
    </row>
    <row r="496" spans="1:48" ht="15.6" customHeight="1" outlineLevel="4" x14ac:dyDescent="0.25">
      <c r="A496" s="63" t="str">
        <f t="shared" si="65"/>
        <v>1.3.1.9.30.58</v>
      </c>
      <c r="B496" s="64">
        <v>1</v>
      </c>
      <c r="C496" s="64">
        <v>3</v>
      </c>
      <c r="D496" s="64">
        <v>1</v>
      </c>
      <c r="E496" s="64">
        <v>9</v>
      </c>
      <c r="F496" s="64">
        <v>30</v>
      </c>
      <c r="G496" s="64">
        <v>58</v>
      </c>
      <c r="H496" s="65"/>
      <c r="I496" s="65"/>
      <c r="J496" s="65"/>
      <c r="K496" s="86" t="s">
        <v>548</v>
      </c>
      <c r="L496" s="64" t="s">
        <v>72</v>
      </c>
      <c r="M496" s="64" t="s">
        <v>73</v>
      </c>
      <c r="N496" s="64" t="s">
        <v>74</v>
      </c>
      <c r="O496" s="64" t="s">
        <v>542</v>
      </c>
      <c r="P496" s="69">
        <v>44200</v>
      </c>
      <c r="Q496" s="69">
        <v>44351</v>
      </c>
      <c r="R496" s="124">
        <v>964341</v>
      </c>
      <c r="S496" s="123" t="s">
        <v>535</v>
      </c>
      <c r="T496" s="124">
        <v>964341</v>
      </c>
      <c r="U496" s="75"/>
      <c r="V496" s="674">
        <f t="shared" si="86"/>
        <v>0</v>
      </c>
      <c r="W496" s="75"/>
      <c r="X496" s="75"/>
      <c r="Y496" s="75"/>
      <c r="Z496" s="75"/>
      <c r="AA496" s="75"/>
      <c r="AB496" s="75"/>
      <c r="AC496" s="75"/>
      <c r="AD496" s="75"/>
      <c r="AE496" s="592"/>
      <c r="AF496" s="348" t="s">
        <v>549</v>
      </c>
      <c r="AG496" s="510">
        <v>0</v>
      </c>
      <c r="AH496" s="370">
        <v>0</v>
      </c>
      <c r="AI496" s="75"/>
      <c r="AJ496" s="75"/>
      <c r="AK496" s="75"/>
      <c r="AL496" s="75"/>
      <c r="AM496" s="75"/>
      <c r="AN496" s="64" t="s">
        <v>39</v>
      </c>
      <c r="AO496" s="64"/>
      <c r="AP496" s="64"/>
      <c r="AQ496" s="189"/>
      <c r="AR496" s="64"/>
      <c r="AS496" s="476"/>
      <c r="AT496" s="64"/>
      <c r="AU496" s="646"/>
      <c r="AV496" s="185"/>
    </row>
    <row r="497" spans="1:48" outlineLevel="4" x14ac:dyDescent="0.25">
      <c r="A497" s="63" t="str">
        <f t="shared" si="65"/>
        <v>1.3.1.9.30.59</v>
      </c>
      <c r="B497" s="64">
        <v>1</v>
      </c>
      <c r="C497" s="64">
        <v>3</v>
      </c>
      <c r="D497" s="64">
        <v>1</v>
      </c>
      <c r="E497" s="64">
        <v>9</v>
      </c>
      <c r="F497" s="64">
        <v>30</v>
      </c>
      <c r="G497" s="64">
        <v>59</v>
      </c>
      <c r="H497" s="65"/>
      <c r="I497" s="65"/>
      <c r="J497" s="65"/>
      <c r="K497" s="125" t="s">
        <v>550</v>
      </c>
      <c r="L497" s="64" t="s">
        <v>72</v>
      </c>
      <c r="M497" s="64" t="s">
        <v>73</v>
      </c>
      <c r="N497" s="64" t="s">
        <v>74</v>
      </c>
      <c r="O497" s="64" t="s">
        <v>542</v>
      </c>
      <c r="P497" s="69">
        <v>44200</v>
      </c>
      <c r="Q497" s="69">
        <v>44351</v>
      </c>
      <c r="R497" s="124">
        <v>964342</v>
      </c>
      <c r="S497" s="123"/>
      <c r="T497" s="124"/>
      <c r="U497" s="75"/>
      <c r="V497" s="674">
        <f t="shared" si="86"/>
        <v>0</v>
      </c>
      <c r="W497" s="75"/>
      <c r="X497" s="75"/>
      <c r="Y497" s="75"/>
      <c r="Z497" s="75"/>
      <c r="AA497" s="75"/>
      <c r="AB497" s="75"/>
      <c r="AC497" s="75"/>
      <c r="AD497" s="75"/>
      <c r="AE497" s="592"/>
      <c r="AF497" s="348"/>
      <c r="AG497" s="510">
        <v>0</v>
      </c>
      <c r="AH497" s="370">
        <v>0</v>
      </c>
      <c r="AI497" s="75"/>
      <c r="AJ497" s="75"/>
      <c r="AK497" s="75"/>
      <c r="AL497" s="75"/>
      <c r="AM497" s="75"/>
      <c r="AN497" s="64" t="s">
        <v>39</v>
      </c>
      <c r="AO497" s="64"/>
      <c r="AP497" s="64"/>
      <c r="AQ497" s="189"/>
      <c r="AR497" s="64"/>
      <c r="AS497" s="476"/>
      <c r="AT497" s="64"/>
      <c r="AU497" s="646"/>
      <c r="AV497" s="185"/>
    </row>
    <row r="498" spans="1:48" outlineLevel="4" x14ac:dyDescent="0.25">
      <c r="A498" s="63" t="str">
        <f t="shared" si="65"/>
        <v>1.3.1.9.30.60</v>
      </c>
      <c r="B498" s="64">
        <v>1</v>
      </c>
      <c r="C498" s="64">
        <v>3</v>
      </c>
      <c r="D498" s="64">
        <v>1</v>
      </c>
      <c r="E498" s="64">
        <v>9</v>
      </c>
      <c r="F498" s="64">
        <v>30</v>
      </c>
      <c r="G498" s="64">
        <v>60</v>
      </c>
      <c r="H498" s="65"/>
      <c r="I498" s="65"/>
      <c r="J498" s="65"/>
      <c r="K498" s="125" t="s">
        <v>551</v>
      </c>
      <c r="L498" s="64" t="s">
        <v>72</v>
      </c>
      <c r="M498" s="64" t="s">
        <v>73</v>
      </c>
      <c r="N498" s="64" t="s">
        <v>74</v>
      </c>
      <c r="O498" s="64" t="s">
        <v>542</v>
      </c>
      <c r="P498" s="69">
        <v>44200</v>
      </c>
      <c r="Q498" s="69">
        <v>44351</v>
      </c>
      <c r="R498" s="124">
        <v>964343</v>
      </c>
      <c r="S498" s="123"/>
      <c r="T498" s="124"/>
      <c r="U498" s="75"/>
      <c r="V498" s="674">
        <f t="shared" ref="V498:V559" si="101">+AJ498</f>
        <v>0</v>
      </c>
      <c r="W498" s="75"/>
      <c r="X498" s="75"/>
      <c r="Y498" s="75"/>
      <c r="Z498" s="75"/>
      <c r="AA498" s="75"/>
      <c r="AB498" s="75"/>
      <c r="AC498" s="75"/>
      <c r="AD498" s="75"/>
      <c r="AE498" s="592"/>
      <c r="AF498" s="348"/>
      <c r="AG498" s="510">
        <v>0</v>
      </c>
      <c r="AH498" s="370">
        <v>0</v>
      </c>
      <c r="AI498" s="75"/>
      <c r="AJ498" s="75"/>
      <c r="AK498" s="75"/>
      <c r="AL498" s="75"/>
      <c r="AM498" s="75"/>
      <c r="AN498" s="64" t="s">
        <v>39</v>
      </c>
      <c r="AO498" s="64"/>
      <c r="AP498" s="64"/>
      <c r="AQ498" s="189"/>
      <c r="AR498" s="64"/>
      <c r="AS498" s="476"/>
      <c r="AT498" s="64"/>
      <c r="AU498" s="646"/>
      <c r="AV498" s="185"/>
    </row>
    <row r="499" spans="1:48" outlineLevel="4" x14ac:dyDescent="0.25">
      <c r="A499" s="63" t="str">
        <f t="shared" si="65"/>
        <v>1.3.1.9.30.61</v>
      </c>
      <c r="B499" s="64">
        <v>1</v>
      </c>
      <c r="C499" s="64">
        <v>3</v>
      </c>
      <c r="D499" s="64">
        <v>1</v>
      </c>
      <c r="E499" s="64">
        <v>9</v>
      </c>
      <c r="F499" s="64">
        <v>30</v>
      </c>
      <c r="G499" s="64">
        <v>61</v>
      </c>
      <c r="H499" s="65"/>
      <c r="I499" s="65"/>
      <c r="J499" s="65"/>
      <c r="K499" s="125" t="s">
        <v>552</v>
      </c>
      <c r="L499" s="64" t="s">
        <v>72</v>
      </c>
      <c r="M499" s="64" t="s">
        <v>73</v>
      </c>
      <c r="N499" s="64" t="s">
        <v>74</v>
      </c>
      <c r="O499" s="64" t="s">
        <v>542</v>
      </c>
      <c r="P499" s="69">
        <v>44200</v>
      </c>
      <c r="Q499" s="69">
        <v>44351</v>
      </c>
      <c r="R499" s="124">
        <v>964344</v>
      </c>
      <c r="S499" s="123"/>
      <c r="T499" s="124"/>
      <c r="U499" s="75"/>
      <c r="V499" s="674">
        <f t="shared" si="101"/>
        <v>0</v>
      </c>
      <c r="W499" s="75"/>
      <c r="X499" s="75"/>
      <c r="Y499" s="75"/>
      <c r="Z499" s="75"/>
      <c r="AA499" s="75"/>
      <c r="AB499" s="75"/>
      <c r="AC499" s="75"/>
      <c r="AD499" s="75"/>
      <c r="AE499" s="592"/>
      <c r="AF499" s="348"/>
      <c r="AG499" s="510">
        <v>0</v>
      </c>
      <c r="AH499" s="370">
        <v>0</v>
      </c>
      <c r="AI499" s="75"/>
      <c r="AJ499" s="75"/>
      <c r="AK499" s="75"/>
      <c r="AL499" s="75"/>
      <c r="AM499" s="75"/>
      <c r="AN499" s="64" t="s">
        <v>39</v>
      </c>
      <c r="AO499" s="64"/>
      <c r="AP499" s="64"/>
      <c r="AQ499" s="189"/>
      <c r="AR499" s="64"/>
      <c r="AS499" s="476"/>
      <c r="AT499" s="64"/>
      <c r="AU499" s="646"/>
      <c r="AV499" s="185"/>
    </row>
    <row r="500" spans="1:48" outlineLevel="4" x14ac:dyDescent="0.25">
      <c r="A500" s="63" t="str">
        <f t="shared" si="65"/>
        <v>1.3.1.9.30.62</v>
      </c>
      <c r="B500" s="64">
        <v>1</v>
      </c>
      <c r="C500" s="64">
        <v>3</v>
      </c>
      <c r="D500" s="64">
        <v>1</v>
      </c>
      <c r="E500" s="64">
        <v>9</v>
      </c>
      <c r="F500" s="64">
        <v>30</v>
      </c>
      <c r="G500" s="64">
        <v>62</v>
      </c>
      <c r="H500" s="65"/>
      <c r="I500" s="65"/>
      <c r="J500" s="65"/>
      <c r="K500" s="125" t="s">
        <v>1746</v>
      </c>
      <c r="L500" s="64" t="s">
        <v>72</v>
      </c>
      <c r="M500" s="64" t="s">
        <v>73</v>
      </c>
      <c r="N500" s="64" t="s">
        <v>74</v>
      </c>
      <c r="O500" s="64" t="s">
        <v>542</v>
      </c>
      <c r="P500" s="69">
        <v>44200</v>
      </c>
      <c r="Q500" s="69">
        <v>44351</v>
      </c>
      <c r="R500" s="124">
        <v>964345</v>
      </c>
      <c r="S500" s="123"/>
      <c r="T500" s="124"/>
      <c r="U500" s="75"/>
      <c r="V500" s="674">
        <f t="shared" si="101"/>
        <v>0</v>
      </c>
      <c r="W500" s="75"/>
      <c r="X500" s="75"/>
      <c r="Y500" s="75"/>
      <c r="Z500" s="75"/>
      <c r="AA500" s="75"/>
      <c r="AB500" s="75"/>
      <c r="AC500" s="75"/>
      <c r="AD500" s="75"/>
      <c r="AE500" s="592"/>
      <c r="AF500" s="348"/>
      <c r="AG500" s="129">
        <v>0</v>
      </c>
      <c r="AH500" s="370">
        <v>0</v>
      </c>
      <c r="AI500" s="75"/>
      <c r="AJ500" s="75"/>
      <c r="AK500" s="75"/>
      <c r="AL500" s="75"/>
      <c r="AM500" s="75"/>
      <c r="AN500" s="64" t="s">
        <v>39</v>
      </c>
      <c r="AO500" s="64"/>
      <c r="AP500" s="64"/>
      <c r="AQ500" s="189"/>
      <c r="AR500" s="64"/>
      <c r="AS500" s="476"/>
      <c r="AT500" s="64"/>
      <c r="AU500" s="646"/>
      <c r="AV500" s="185"/>
    </row>
    <row r="501" spans="1:48" outlineLevel="4" x14ac:dyDescent="0.25">
      <c r="A501" s="63" t="str">
        <f t="shared" si="65"/>
        <v>1.3.1.9.30.63</v>
      </c>
      <c r="B501" s="64">
        <v>1</v>
      </c>
      <c r="C501" s="64">
        <v>3</v>
      </c>
      <c r="D501" s="64">
        <v>1</v>
      </c>
      <c r="E501" s="64">
        <v>9</v>
      </c>
      <c r="F501" s="64">
        <v>30</v>
      </c>
      <c r="G501" s="64">
        <v>63</v>
      </c>
      <c r="H501" s="65"/>
      <c r="I501" s="65"/>
      <c r="J501" s="65"/>
      <c r="K501" s="125" t="s">
        <v>553</v>
      </c>
      <c r="L501" s="64" t="s">
        <v>72</v>
      </c>
      <c r="M501" s="64" t="s">
        <v>73</v>
      </c>
      <c r="N501" s="64" t="s">
        <v>74</v>
      </c>
      <c r="O501" s="64" t="s">
        <v>542</v>
      </c>
      <c r="P501" s="69">
        <v>44200</v>
      </c>
      <c r="Q501" s="69">
        <v>44351</v>
      </c>
      <c r="R501" s="124">
        <v>964346</v>
      </c>
      <c r="S501" s="123"/>
      <c r="T501" s="124"/>
      <c r="U501" s="75"/>
      <c r="V501" s="674">
        <f t="shared" si="101"/>
        <v>0</v>
      </c>
      <c r="W501" s="75"/>
      <c r="X501" s="75"/>
      <c r="Y501" s="75"/>
      <c r="Z501" s="75"/>
      <c r="AA501" s="75"/>
      <c r="AB501" s="75"/>
      <c r="AC501" s="75"/>
      <c r="AD501" s="75"/>
      <c r="AE501" s="592"/>
      <c r="AF501" s="348"/>
      <c r="AG501" s="129">
        <v>0</v>
      </c>
      <c r="AH501" s="370">
        <v>0</v>
      </c>
      <c r="AI501" s="75"/>
      <c r="AJ501" s="75"/>
      <c r="AK501" s="75"/>
      <c r="AL501" s="75"/>
      <c r="AM501" s="75"/>
      <c r="AN501" s="64" t="s">
        <v>39</v>
      </c>
      <c r="AO501" s="64"/>
      <c r="AP501" s="64"/>
      <c r="AQ501" s="189"/>
      <c r="AR501" s="64"/>
      <c r="AS501" s="476"/>
      <c r="AT501" s="64"/>
      <c r="AU501" s="646"/>
      <c r="AV501" s="185"/>
    </row>
    <row r="502" spans="1:48" outlineLevel="4" x14ac:dyDescent="0.25">
      <c r="A502" s="63" t="str">
        <f t="shared" si="65"/>
        <v>1.3.1.9.30.64</v>
      </c>
      <c r="B502" s="64">
        <v>1</v>
      </c>
      <c r="C502" s="64">
        <v>3</v>
      </c>
      <c r="D502" s="64">
        <v>1</v>
      </c>
      <c r="E502" s="64">
        <v>9</v>
      </c>
      <c r="F502" s="64">
        <v>30</v>
      </c>
      <c r="G502" s="64">
        <v>64</v>
      </c>
      <c r="H502" s="65"/>
      <c r="I502" s="65"/>
      <c r="J502" s="65"/>
      <c r="K502" s="125" t="s">
        <v>554</v>
      </c>
      <c r="L502" s="64" t="s">
        <v>72</v>
      </c>
      <c r="M502" s="64" t="s">
        <v>73</v>
      </c>
      <c r="N502" s="64" t="s">
        <v>74</v>
      </c>
      <c r="O502" s="64" t="s">
        <v>542</v>
      </c>
      <c r="P502" s="69">
        <v>44200</v>
      </c>
      <c r="Q502" s="69">
        <v>44351</v>
      </c>
      <c r="R502" s="124">
        <v>964346</v>
      </c>
      <c r="S502" s="123"/>
      <c r="T502" s="124"/>
      <c r="U502" s="75"/>
      <c r="V502" s="674">
        <f t="shared" si="101"/>
        <v>0</v>
      </c>
      <c r="W502" s="75"/>
      <c r="X502" s="75"/>
      <c r="Y502" s="75"/>
      <c r="Z502" s="75"/>
      <c r="AA502" s="75"/>
      <c r="AB502" s="75"/>
      <c r="AC502" s="75"/>
      <c r="AD502" s="75"/>
      <c r="AE502" s="592"/>
      <c r="AF502" s="348"/>
      <c r="AG502" s="129">
        <v>0</v>
      </c>
      <c r="AH502" s="370">
        <v>0</v>
      </c>
      <c r="AI502" s="75"/>
      <c r="AJ502" s="75"/>
      <c r="AK502" s="75"/>
      <c r="AL502" s="75"/>
      <c r="AM502" s="75"/>
      <c r="AN502" s="64" t="s">
        <v>39</v>
      </c>
      <c r="AO502" s="64"/>
      <c r="AP502" s="64"/>
      <c r="AQ502" s="189"/>
      <c r="AR502" s="64"/>
      <c r="AS502" s="476"/>
      <c r="AT502" s="64"/>
      <c r="AU502" s="646"/>
      <c r="AV502" s="185"/>
    </row>
    <row r="503" spans="1:48" ht="30" outlineLevel="4" x14ac:dyDescent="0.25">
      <c r="A503" s="63" t="str">
        <f t="shared" si="65"/>
        <v>1.3.1.9.31.58</v>
      </c>
      <c r="B503" s="64">
        <v>1</v>
      </c>
      <c r="C503" s="64">
        <v>3</v>
      </c>
      <c r="D503" s="64">
        <v>1</v>
      </c>
      <c r="E503" s="64">
        <v>9</v>
      </c>
      <c r="F503" s="64">
        <v>31</v>
      </c>
      <c r="G503" s="64">
        <v>58</v>
      </c>
      <c r="H503" s="65"/>
      <c r="I503" s="65"/>
      <c r="J503" s="65"/>
      <c r="K503" s="86" t="s">
        <v>555</v>
      </c>
      <c r="L503" s="64" t="s">
        <v>72</v>
      </c>
      <c r="M503" s="64" t="s">
        <v>73</v>
      </c>
      <c r="N503" s="64" t="s">
        <v>74</v>
      </c>
      <c r="O503" s="64" t="s">
        <v>542</v>
      </c>
      <c r="P503" s="69">
        <v>44200</v>
      </c>
      <c r="Q503" s="69">
        <v>44351</v>
      </c>
      <c r="R503" s="124">
        <f>3050*17</f>
        <v>51850</v>
      </c>
      <c r="S503" s="123" t="s">
        <v>535</v>
      </c>
      <c r="T503" s="124">
        <v>51850</v>
      </c>
      <c r="U503" s="75"/>
      <c r="V503" s="674">
        <f t="shared" si="101"/>
        <v>0</v>
      </c>
      <c r="W503" s="75"/>
      <c r="X503" s="75"/>
      <c r="Y503" s="75"/>
      <c r="Z503" s="75"/>
      <c r="AA503" s="75"/>
      <c r="AB503" s="75"/>
      <c r="AC503" s="75"/>
      <c r="AD503" s="75"/>
      <c r="AE503" s="592"/>
      <c r="AF503" s="347"/>
      <c r="AG503" s="75">
        <v>0</v>
      </c>
      <c r="AH503" s="370">
        <v>0</v>
      </c>
      <c r="AI503" s="75"/>
      <c r="AJ503" s="75"/>
      <c r="AK503" s="75"/>
      <c r="AL503" s="75"/>
      <c r="AM503" s="75"/>
      <c r="AN503" s="64" t="s">
        <v>39</v>
      </c>
      <c r="AO503" s="64"/>
      <c r="AP503" s="64"/>
      <c r="AQ503" s="189"/>
      <c r="AR503" s="64"/>
      <c r="AS503" s="476"/>
      <c r="AT503" s="64"/>
      <c r="AU503" s="646"/>
      <c r="AV503" s="441"/>
    </row>
    <row r="504" spans="1:48" outlineLevel="4" x14ac:dyDescent="0.25">
      <c r="A504" s="63" t="str">
        <f t="shared" si="65"/>
        <v>1.3.1.9.31.59</v>
      </c>
      <c r="B504" s="64">
        <v>1</v>
      </c>
      <c r="C504" s="64">
        <v>3</v>
      </c>
      <c r="D504" s="64">
        <v>1</v>
      </c>
      <c r="E504" s="64">
        <v>9</v>
      </c>
      <c r="F504" s="64">
        <v>31</v>
      </c>
      <c r="G504" s="64">
        <v>59</v>
      </c>
      <c r="H504" s="65"/>
      <c r="I504" s="65"/>
      <c r="J504" s="65"/>
      <c r="K504" s="125" t="s">
        <v>556</v>
      </c>
      <c r="L504" s="64" t="s">
        <v>72</v>
      </c>
      <c r="M504" s="64" t="s">
        <v>73</v>
      </c>
      <c r="N504" s="64" t="s">
        <v>74</v>
      </c>
      <c r="O504" s="64" t="s">
        <v>542</v>
      </c>
      <c r="P504" s="69">
        <v>44200</v>
      </c>
      <c r="Q504" s="69">
        <v>44351</v>
      </c>
      <c r="R504" s="124">
        <f t="shared" ref="R504:R509" si="102">3050*17</f>
        <v>51850</v>
      </c>
      <c r="S504" s="123"/>
      <c r="T504" s="124"/>
      <c r="U504" s="75"/>
      <c r="V504" s="674">
        <f t="shared" si="101"/>
        <v>0</v>
      </c>
      <c r="W504" s="75"/>
      <c r="X504" s="75"/>
      <c r="Y504" s="75"/>
      <c r="Z504" s="75"/>
      <c r="AA504" s="75"/>
      <c r="AB504" s="75"/>
      <c r="AC504" s="75"/>
      <c r="AD504" s="75"/>
      <c r="AE504" s="592"/>
      <c r="AF504" s="347"/>
      <c r="AG504" s="75">
        <v>0</v>
      </c>
      <c r="AH504" s="370">
        <v>0</v>
      </c>
      <c r="AI504" s="75"/>
      <c r="AJ504" s="75"/>
      <c r="AK504" s="75"/>
      <c r="AL504" s="75"/>
      <c r="AM504" s="75"/>
      <c r="AN504" s="64" t="s">
        <v>39</v>
      </c>
      <c r="AO504" s="64"/>
      <c r="AP504" s="64"/>
      <c r="AQ504" s="189"/>
      <c r="AR504" s="64"/>
      <c r="AS504" s="476"/>
      <c r="AT504" s="64"/>
      <c r="AU504" s="646"/>
      <c r="AV504" s="441"/>
    </row>
    <row r="505" spans="1:48" outlineLevel="4" x14ac:dyDescent="0.25">
      <c r="A505" s="63" t="str">
        <f t="shared" si="65"/>
        <v>1.3.1.9.31.60</v>
      </c>
      <c r="B505" s="64">
        <v>1</v>
      </c>
      <c r="C505" s="64">
        <v>3</v>
      </c>
      <c r="D505" s="64">
        <v>1</v>
      </c>
      <c r="E505" s="64">
        <v>9</v>
      </c>
      <c r="F505" s="64">
        <v>31</v>
      </c>
      <c r="G505" s="64">
        <v>60</v>
      </c>
      <c r="H505" s="65"/>
      <c r="I505" s="65"/>
      <c r="J505" s="65"/>
      <c r="K505" s="125" t="s">
        <v>557</v>
      </c>
      <c r="L505" s="64" t="s">
        <v>72</v>
      </c>
      <c r="M505" s="64" t="s">
        <v>73</v>
      </c>
      <c r="N505" s="64" t="s">
        <v>74</v>
      </c>
      <c r="O505" s="64" t="s">
        <v>542</v>
      </c>
      <c r="P505" s="69">
        <v>44200</v>
      </c>
      <c r="Q505" s="69">
        <v>44351</v>
      </c>
      <c r="R505" s="124">
        <f t="shared" si="102"/>
        <v>51850</v>
      </c>
      <c r="S505" s="123"/>
      <c r="T505" s="124"/>
      <c r="U505" s="75"/>
      <c r="V505" s="674">
        <f t="shared" si="101"/>
        <v>0</v>
      </c>
      <c r="W505" s="75"/>
      <c r="X505" s="75"/>
      <c r="Y505" s="75"/>
      <c r="Z505" s="75"/>
      <c r="AA505" s="75"/>
      <c r="AB505" s="75"/>
      <c r="AC505" s="75"/>
      <c r="AD505" s="75"/>
      <c r="AE505" s="592"/>
      <c r="AF505" s="347"/>
      <c r="AG505" s="75">
        <v>0</v>
      </c>
      <c r="AH505" s="370">
        <v>0</v>
      </c>
      <c r="AI505" s="75"/>
      <c r="AJ505" s="75"/>
      <c r="AK505" s="75"/>
      <c r="AL505" s="75"/>
      <c r="AM505" s="75"/>
      <c r="AN505" s="64" t="s">
        <v>39</v>
      </c>
      <c r="AO505" s="64"/>
      <c r="AP505" s="64"/>
      <c r="AQ505" s="189"/>
      <c r="AR505" s="64"/>
      <c r="AS505" s="476"/>
      <c r="AT505" s="64"/>
      <c r="AU505" s="646"/>
      <c r="AV505" s="441"/>
    </row>
    <row r="506" spans="1:48" outlineLevel="4" x14ac:dyDescent="0.25">
      <c r="A506" s="63" t="str">
        <f t="shared" si="65"/>
        <v>1.3.1.9.31.61</v>
      </c>
      <c r="B506" s="64">
        <v>1</v>
      </c>
      <c r="C506" s="64">
        <v>3</v>
      </c>
      <c r="D506" s="64">
        <v>1</v>
      </c>
      <c r="E506" s="64">
        <v>9</v>
      </c>
      <c r="F506" s="64">
        <v>31</v>
      </c>
      <c r="G506" s="64">
        <v>61</v>
      </c>
      <c r="H506" s="65"/>
      <c r="I506" s="65"/>
      <c r="J506" s="65"/>
      <c r="K506" s="125" t="s">
        <v>558</v>
      </c>
      <c r="L506" s="64" t="s">
        <v>72</v>
      </c>
      <c r="M506" s="64" t="s">
        <v>73</v>
      </c>
      <c r="N506" s="64" t="s">
        <v>74</v>
      </c>
      <c r="O506" s="64" t="s">
        <v>542</v>
      </c>
      <c r="P506" s="69">
        <v>44200</v>
      </c>
      <c r="Q506" s="69">
        <v>44351</v>
      </c>
      <c r="R506" s="124">
        <f t="shared" si="102"/>
        <v>51850</v>
      </c>
      <c r="S506" s="123"/>
      <c r="T506" s="124"/>
      <c r="U506" s="75"/>
      <c r="V506" s="674">
        <f t="shared" si="101"/>
        <v>0</v>
      </c>
      <c r="W506" s="75"/>
      <c r="X506" s="75"/>
      <c r="Y506" s="75"/>
      <c r="Z506" s="75"/>
      <c r="AA506" s="75"/>
      <c r="AB506" s="75"/>
      <c r="AC506" s="75"/>
      <c r="AD506" s="75"/>
      <c r="AE506" s="592"/>
      <c r="AF506" s="347"/>
      <c r="AG506" s="75">
        <v>0</v>
      </c>
      <c r="AH506" s="370">
        <v>0</v>
      </c>
      <c r="AI506" s="75"/>
      <c r="AJ506" s="75"/>
      <c r="AK506" s="75"/>
      <c r="AL506" s="75"/>
      <c r="AM506" s="75"/>
      <c r="AN506" s="64" t="s">
        <v>39</v>
      </c>
      <c r="AO506" s="64"/>
      <c r="AP506" s="64"/>
      <c r="AQ506" s="189"/>
      <c r="AR506" s="64"/>
      <c r="AS506" s="476"/>
      <c r="AT506" s="64"/>
      <c r="AU506" s="646"/>
      <c r="AV506" s="441"/>
    </row>
    <row r="507" spans="1:48" outlineLevel="4" x14ac:dyDescent="0.25">
      <c r="A507" s="63" t="str">
        <f t="shared" si="65"/>
        <v>1.3.1.9.31.62</v>
      </c>
      <c r="B507" s="64">
        <v>1</v>
      </c>
      <c r="C507" s="64">
        <v>3</v>
      </c>
      <c r="D507" s="64">
        <v>1</v>
      </c>
      <c r="E507" s="64">
        <v>9</v>
      </c>
      <c r="F507" s="64">
        <v>31</v>
      </c>
      <c r="G507" s="64">
        <v>62</v>
      </c>
      <c r="H507" s="65"/>
      <c r="I507" s="65"/>
      <c r="J507" s="65"/>
      <c r="K507" s="125" t="s">
        <v>1747</v>
      </c>
      <c r="L507" s="64" t="s">
        <v>72</v>
      </c>
      <c r="M507" s="64" t="s">
        <v>73</v>
      </c>
      <c r="N507" s="64" t="s">
        <v>74</v>
      </c>
      <c r="O507" s="64" t="s">
        <v>542</v>
      </c>
      <c r="P507" s="69">
        <v>44200</v>
      </c>
      <c r="Q507" s="69">
        <v>44351</v>
      </c>
      <c r="R507" s="124">
        <f t="shared" si="102"/>
        <v>51850</v>
      </c>
      <c r="S507" s="123"/>
      <c r="T507" s="124"/>
      <c r="U507" s="75"/>
      <c r="V507" s="674">
        <f t="shared" si="101"/>
        <v>0</v>
      </c>
      <c r="W507" s="75"/>
      <c r="X507" s="75"/>
      <c r="Y507" s="75"/>
      <c r="Z507" s="75"/>
      <c r="AA507" s="75"/>
      <c r="AB507" s="75"/>
      <c r="AC507" s="75"/>
      <c r="AD507" s="75"/>
      <c r="AE507" s="592"/>
      <c r="AF507" s="347"/>
      <c r="AG507" s="75">
        <v>0</v>
      </c>
      <c r="AH507" s="370">
        <v>0</v>
      </c>
      <c r="AI507" s="75"/>
      <c r="AJ507" s="75"/>
      <c r="AK507" s="75"/>
      <c r="AL507" s="75"/>
      <c r="AM507" s="75"/>
      <c r="AN507" s="64" t="s">
        <v>39</v>
      </c>
      <c r="AO507" s="64"/>
      <c r="AP507" s="64"/>
      <c r="AQ507" s="189"/>
      <c r="AR507" s="64"/>
      <c r="AS507" s="476"/>
      <c r="AT507" s="64"/>
      <c r="AU507" s="646"/>
      <c r="AV507" s="441"/>
    </row>
    <row r="508" spans="1:48" outlineLevel="4" x14ac:dyDescent="0.25">
      <c r="A508" s="63" t="str">
        <f t="shared" si="65"/>
        <v>1.3.1.9.31.63</v>
      </c>
      <c r="B508" s="64">
        <v>1</v>
      </c>
      <c r="C508" s="64">
        <v>3</v>
      </c>
      <c r="D508" s="64">
        <v>1</v>
      </c>
      <c r="E508" s="64">
        <v>9</v>
      </c>
      <c r="F508" s="64">
        <v>31</v>
      </c>
      <c r="G508" s="64">
        <v>63</v>
      </c>
      <c r="H508" s="65"/>
      <c r="I508" s="65"/>
      <c r="J508" s="65"/>
      <c r="K508" s="125" t="s">
        <v>559</v>
      </c>
      <c r="L508" s="64" t="s">
        <v>72</v>
      </c>
      <c r="M508" s="64" t="s">
        <v>73</v>
      </c>
      <c r="N508" s="64" t="s">
        <v>74</v>
      </c>
      <c r="O508" s="64" t="s">
        <v>542</v>
      </c>
      <c r="P508" s="69">
        <v>44200</v>
      </c>
      <c r="Q508" s="69">
        <v>44351</v>
      </c>
      <c r="R508" s="124">
        <f t="shared" si="102"/>
        <v>51850</v>
      </c>
      <c r="S508" s="123"/>
      <c r="T508" s="124"/>
      <c r="U508" s="75"/>
      <c r="V508" s="674">
        <f t="shared" si="101"/>
        <v>0</v>
      </c>
      <c r="W508" s="75"/>
      <c r="X508" s="75"/>
      <c r="Y508" s="75"/>
      <c r="Z508" s="75"/>
      <c r="AA508" s="75"/>
      <c r="AB508" s="75"/>
      <c r="AC508" s="75"/>
      <c r="AD508" s="75"/>
      <c r="AE508" s="592"/>
      <c r="AF508" s="347"/>
      <c r="AG508" s="75">
        <v>0</v>
      </c>
      <c r="AH508" s="370">
        <v>0</v>
      </c>
      <c r="AI508" s="75"/>
      <c r="AJ508" s="75"/>
      <c r="AK508" s="75"/>
      <c r="AL508" s="75"/>
      <c r="AM508" s="75"/>
      <c r="AN508" s="64" t="s">
        <v>39</v>
      </c>
      <c r="AO508" s="64"/>
      <c r="AP508" s="64"/>
      <c r="AQ508" s="189"/>
      <c r="AR508" s="64"/>
      <c r="AS508" s="476"/>
      <c r="AT508" s="64"/>
      <c r="AU508" s="646"/>
      <c r="AV508" s="441"/>
    </row>
    <row r="509" spans="1:48" outlineLevel="4" x14ac:dyDescent="0.25">
      <c r="A509" s="63" t="str">
        <f t="shared" si="65"/>
        <v>1.3.1.9.31.64</v>
      </c>
      <c r="B509" s="64">
        <v>1</v>
      </c>
      <c r="C509" s="64">
        <v>3</v>
      </c>
      <c r="D509" s="64">
        <v>1</v>
      </c>
      <c r="E509" s="64">
        <v>9</v>
      </c>
      <c r="F509" s="64">
        <v>31</v>
      </c>
      <c r="G509" s="64">
        <v>64</v>
      </c>
      <c r="H509" s="65"/>
      <c r="I509" s="65"/>
      <c r="J509" s="65"/>
      <c r="K509" s="125" t="s">
        <v>560</v>
      </c>
      <c r="L509" s="64" t="s">
        <v>72</v>
      </c>
      <c r="M509" s="64" t="s">
        <v>73</v>
      </c>
      <c r="N509" s="64" t="s">
        <v>74</v>
      </c>
      <c r="O509" s="64" t="s">
        <v>542</v>
      </c>
      <c r="P509" s="69">
        <v>44200</v>
      </c>
      <c r="Q509" s="69">
        <v>44351</v>
      </c>
      <c r="R509" s="124">
        <f t="shared" si="102"/>
        <v>51850</v>
      </c>
      <c r="S509" s="123"/>
      <c r="T509" s="124"/>
      <c r="U509" s="75"/>
      <c r="V509" s="674">
        <f t="shared" si="101"/>
        <v>0</v>
      </c>
      <c r="W509" s="75"/>
      <c r="X509" s="75"/>
      <c r="Y509" s="75"/>
      <c r="Z509" s="75"/>
      <c r="AA509" s="75"/>
      <c r="AB509" s="75"/>
      <c r="AC509" s="75"/>
      <c r="AD509" s="75"/>
      <c r="AE509" s="592"/>
      <c r="AF509" s="347"/>
      <c r="AG509" s="75">
        <v>0</v>
      </c>
      <c r="AH509" s="370">
        <v>0</v>
      </c>
      <c r="AI509" s="75"/>
      <c r="AJ509" s="75"/>
      <c r="AK509" s="75"/>
      <c r="AL509" s="75"/>
      <c r="AM509" s="75"/>
      <c r="AN509" s="64" t="s">
        <v>39</v>
      </c>
      <c r="AO509" s="64"/>
      <c r="AP509" s="64"/>
      <c r="AQ509" s="189"/>
      <c r="AR509" s="64"/>
      <c r="AS509" s="476"/>
      <c r="AT509" s="64"/>
      <c r="AU509" s="646"/>
      <c r="AV509" s="441"/>
    </row>
    <row r="510" spans="1:48" ht="30" outlineLevel="4" x14ac:dyDescent="0.25">
      <c r="A510" s="63" t="str">
        <f>CONCATENATE(B510,".",C510,".",D510,".",E510,".",F510,".",G510)</f>
        <v>1.3.0.9.32.58-64</v>
      </c>
      <c r="B510" s="64">
        <v>1</v>
      </c>
      <c r="C510" s="64">
        <v>3</v>
      </c>
      <c r="D510" s="64">
        <v>0</v>
      </c>
      <c r="E510" s="64">
        <v>9</v>
      </c>
      <c r="F510" s="64">
        <v>32</v>
      </c>
      <c r="G510" s="64" t="s">
        <v>64</v>
      </c>
      <c r="H510" s="65"/>
      <c r="I510" s="65"/>
      <c r="J510" s="65"/>
      <c r="K510" s="67" t="s">
        <v>561</v>
      </c>
      <c r="L510" s="64" t="s">
        <v>72</v>
      </c>
      <c r="M510" s="64" t="s">
        <v>562</v>
      </c>
      <c r="N510" s="64" t="s">
        <v>226</v>
      </c>
      <c r="O510" s="64" t="s">
        <v>361</v>
      </c>
      <c r="P510" s="69">
        <v>44200</v>
      </c>
      <c r="Q510" s="69">
        <v>44351</v>
      </c>
      <c r="R510" s="124">
        <f>70*300</f>
        <v>21000</v>
      </c>
      <c r="S510" s="123" t="s">
        <v>535</v>
      </c>
      <c r="T510" s="124">
        <v>0</v>
      </c>
      <c r="U510" s="75"/>
      <c r="V510" s="674">
        <f t="shared" si="101"/>
        <v>0</v>
      </c>
      <c r="W510" s="75"/>
      <c r="X510" s="75"/>
      <c r="Y510" s="75"/>
      <c r="Z510" s="75">
        <v>10000</v>
      </c>
      <c r="AA510" s="75"/>
      <c r="AB510" s="75"/>
      <c r="AC510" s="75">
        <v>11000</v>
      </c>
      <c r="AD510" s="75"/>
      <c r="AE510" s="592"/>
      <c r="AF510" s="348" t="s">
        <v>563</v>
      </c>
      <c r="AG510" s="129">
        <v>0</v>
      </c>
      <c r="AH510" s="370">
        <v>0</v>
      </c>
      <c r="AI510" s="75"/>
      <c r="AJ510" s="75"/>
      <c r="AK510" s="75"/>
      <c r="AL510" s="75"/>
      <c r="AM510" s="75"/>
      <c r="AN510" s="64" t="s">
        <v>39</v>
      </c>
      <c r="AO510" s="64"/>
      <c r="AP510" s="64"/>
      <c r="AQ510" s="189"/>
      <c r="AR510" s="64"/>
      <c r="AS510" s="476"/>
      <c r="AT510" s="64"/>
      <c r="AU510" s="646"/>
      <c r="AV510" s="335" t="s">
        <v>127</v>
      </c>
    </row>
    <row r="511" spans="1:48" ht="45" outlineLevel="4" x14ac:dyDescent="0.25">
      <c r="A511" s="63" t="str">
        <f>CONCATENATE(B511,".",C511,".",D511,".",E511,".",F511,".",G511)</f>
        <v>1.3.0.9.33.58</v>
      </c>
      <c r="B511" s="64">
        <v>1</v>
      </c>
      <c r="C511" s="64">
        <v>3</v>
      </c>
      <c r="D511" s="64">
        <v>0</v>
      </c>
      <c r="E511" s="64">
        <v>9</v>
      </c>
      <c r="F511" s="64">
        <v>33</v>
      </c>
      <c r="G511" s="64">
        <v>58</v>
      </c>
      <c r="H511" s="65"/>
      <c r="I511" s="65"/>
      <c r="J511" s="65"/>
      <c r="K511" s="67" t="s">
        <v>564</v>
      </c>
      <c r="L511" s="64" t="s">
        <v>359</v>
      </c>
      <c r="M511" s="64" t="s">
        <v>272</v>
      </c>
      <c r="N511" s="64" t="s">
        <v>360</v>
      </c>
      <c r="O511" s="64" t="s">
        <v>361</v>
      </c>
      <c r="P511" s="147">
        <v>44197</v>
      </c>
      <c r="Q511" s="147">
        <v>44561</v>
      </c>
      <c r="R511" s="124">
        <v>20</v>
      </c>
      <c r="S511" s="123"/>
      <c r="T511" s="124">
        <v>3</v>
      </c>
      <c r="U511" s="75">
        <f>+AH511/4</f>
        <v>50000</v>
      </c>
      <c r="V511" s="674">
        <f t="shared" si="101"/>
        <v>0</v>
      </c>
      <c r="W511" s="75">
        <v>1</v>
      </c>
      <c r="X511" s="75">
        <f>+AH511/4</f>
        <v>50000</v>
      </c>
      <c r="Y511" s="75"/>
      <c r="Z511" s="75"/>
      <c r="AA511" s="75">
        <f>+AH511/4</f>
        <v>50000</v>
      </c>
      <c r="AB511" s="75"/>
      <c r="AC511" s="75"/>
      <c r="AD511" s="75">
        <f>+AH511/4</f>
        <v>50000</v>
      </c>
      <c r="AE511" s="592"/>
      <c r="AF511" s="348" t="s">
        <v>362</v>
      </c>
      <c r="AG511" s="129">
        <v>300000</v>
      </c>
      <c r="AH511" s="370">
        <v>200000</v>
      </c>
      <c r="AI511" s="75"/>
      <c r="AJ511" s="75"/>
      <c r="AK511" s="75"/>
      <c r="AL511" s="75"/>
      <c r="AM511" s="75"/>
      <c r="AN511" s="64" t="s">
        <v>39</v>
      </c>
      <c r="AO511" s="64"/>
      <c r="AP511" s="64"/>
      <c r="AQ511" s="189"/>
      <c r="AR511" s="64"/>
      <c r="AS511" s="476"/>
      <c r="AT511" s="64"/>
      <c r="AU511" s="646"/>
      <c r="AV511" s="335"/>
    </row>
    <row r="512" spans="1:48" ht="45" outlineLevel="4" x14ac:dyDescent="0.25">
      <c r="A512" s="63" t="str">
        <f t="shared" ref="A512:A517" si="103">CONCATENATE(B512,".",C512,".",D512,".",E512,".",F512,".",G512)</f>
        <v>1.3.0.9.33.59</v>
      </c>
      <c r="B512" s="64">
        <v>1</v>
      </c>
      <c r="C512" s="64">
        <v>3</v>
      </c>
      <c r="D512" s="64">
        <v>0</v>
      </c>
      <c r="E512" s="64">
        <v>9</v>
      </c>
      <c r="F512" s="64">
        <v>33</v>
      </c>
      <c r="G512" s="64">
        <v>59</v>
      </c>
      <c r="H512" s="65"/>
      <c r="I512" s="65"/>
      <c r="J512" s="65"/>
      <c r="K512" s="67" t="s">
        <v>565</v>
      </c>
      <c r="L512" s="64" t="s">
        <v>359</v>
      </c>
      <c r="M512" s="64" t="s">
        <v>272</v>
      </c>
      <c r="N512" s="64" t="s">
        <v>360</v>
      </c>
      <c r="O512" s="64" t="s">
        <v>361</v>
      </c>
      <c r="P512" s="147">
        <v>44197</v>
      </c>
      <c r="Q512" s="147">
        <v>44561</v>
      </c>
      <c r="R512" s="124">
        <v>1</v>
      </c>
      <c r="S512" s="123"/>
      <c r="T512" s="124">
        <v>1</v>
      </c>
      <c r="U512" s="75">
        <f t="shared" ref="U512:U538" si="104">+AH512/4</f>
        <v>50000</v>
      </c>
      <c r="V512" s="674">
        <f t="shared" si="101"/>
        <v>0</v>
      </c>
      <c r="W512" s="75"/>
      <c r="X512" s="75">
        <f t="shared" ref="X512:X538" si="105">+AH512/4</f>
        <v>50000</v>
      </c>
      <c r="Y512" s="75"/>
      <c r="Z512" s="75"/>
      <c r="AA512" s="75">
        <f t="shared" ref="AA512:AA538" si="106">+AH512/4</f>
        <v>50000</v>
      </c>
      <c r="AB512" s="75"/>
      <c r="AC512" s="75"/>
      <c r="AD512" s="75">
        <f t="shared" ref="AD512:AD538" si="107">+AH512/4</f>
        <v>50000</v>
      </c>
      <c r="AE512" s="592"/>
      <c r="AF512" s="348" t="s">
        <v>362</v>
      </c>
      <c r="AG512" s="129">
        <v>300000</v>
      </c>
      <c r="AH512" s="370">
        <v>200000</v>
      </c>
      <c r="AI512" s="75"/>
      <c r="AJ512" s="75"/>
      <c r="AK512" s="75"/>
      <c r="AL512" s="75"/>
      <c r="AM512" s="75"/>
      <c r="AN512" s="64" t="s">
        <v>39</v>
      </c>
      <c r="AO512" s="64"/>
      <c r="AP512" s="64"/>
      <c r="AQ512" s="189"/>
      <c r="AR512" s="64"/>
      <c r="AS512" s="476"/>
      <c r="AT512" s="64"/>
      <c r="AU512" s="646"/>
      <c r="AV512" s="335"/>
    </row>
    <row r="513" spans="1:48" ht="45" outlineLevel="4" x14ac:dyDescent="0.25">
      <c r="A513" s="63" t="str">
        <f t="shared" si="103"/>
        <v>1.3.0.9.33.60</v>
      </c>
      <c r="B513" s="64">
        <v>1</v>
      </c>
      <c r="C513" s="64">
        <v>3</v>
      </c>
      <c r="D513" s="64">
        <v>0</v>
      </c>
      <c r="E513" s="64">
        <v>9</v>
      </c>
      <c r="F513" s="64">
        <v>33</v>
      </c>
      <c r="G513" s="64">
        <v>60</v>
      </c>
      <c r="H513" s="65"/>
      <c r="I513" s="65"/>
      <c r="J513" s="65"/>
      <c r="K513" s="67" t="s">
        <v>566</v>
      </c>
      <c r="L513" s="64" t="s">
        <v>359</v>
      </c>
      <c r="M513" s="64" t="s">
        <v>272</v>
      </c>
      <c r="N513" s="64" t="s">
        <v>360</v>
      </c>
      <c r="O513" s="64" t="s">
        <v>361</v>
      </c>
      <c r="P513" s="147">
        <v>44197</v>
      </c>
      <c r="Q513" s="147">
        <v>44561</v>
      </c>
      <c r="R513" s="124">
        <v>1</v>
      </c>
      <c r="S513" s="123"/>
      <c r="T513" s="124">
        <v>1</v>
      </c>
      <c r="U513" s="75">
        <f t="shared" si="104"/>
        <v>50000</v>
      </c>
      <c r="V513" s="674">
        <f t="shared" si="101"/>
        <v>0</v>
      </c>
      <c r="W513" s="75"/>
      <c r="X513" s="75">
        <f t="shared" si="105"/>
        <v>50000</v>
      </c>
      <c r="Y513" s="75"/>
      <c r="Z513" s="75"/>
      <c r="AA513" s="75">
        <f t="shared" si="106"/>
        <v>50000</v>
      </c>
      <c r="AB513" s="75"/>
      <c r="AC513" s="75"/>
      <c r="AD513" s="75">
        <f t="shared" si="107"/>
        <v>50000</v>
      </c>
      <c r="AE513" s="592"/>
      <c r="AF513" s="348" t="s">
        <v>362</v>
      </c>
      <c r="AG513" s="129">
        <v>300000</v>
      </c>
      <c r="AH513" s="370">
        <v>200000</v>
      </c>
      <c r="AI513" s="75"/>
      <c r="AJ513" s="75"/>
      <c r="AK513" s="75"/>
      <c r="AL513" s="75"/>
      <c r="AM513" s="75"/>
      <c r="AN513" s="64" t="s">
        <v>39</v>
      </c>
      <c r="AO513" s="64"/>
      <c r="AP513" s="64"/>
      <c r="AQ513" s="189"/>
      <c r="AR513" s="64"/>
      <c r="AS513" s="476"/>
      <c r="AT513" s="64"/>
      <c r="AU513" s="646"/>
      <c r="AV513" s="335"/>
    </row>
    <row r="514" spans="1:48" ht="45" outlineLevel="4" x14ac:dyDescent="0.25">
      <c r="A514" s="63" t="str">
        <f t="shared" si="103"/>
        <v>1.3.0.9.33.61</v>
      </c>
      <c r="B514" s="64">
        <v>1</v>
      </c>
      <c r="C514" s="64">
        <v>3</v>
      </c>
      <c r="D514" s="64">
        <v>0</v>
      </c>
      <c r="E514" s="64">
        <v>9</v>
      </c>
      <c r="F514" s="64">
        <v>33</v>
      </c>
      <c r="G514" s="64">
        <v>61</v>
      </c>
      <c r="H514" s="65"/>
      <c r="I514" s="65"/>
      <c r="J514" s="65"/>
      <c r="K514" s="67" t="s">
        <v>567</v>
      </c>
      <c r="L514" s="64" t="s">
        <v>359</v>
      </c>
      <c r="M514" s="64" t="s">
        <v>272</v>
      </c>
      <c r="N514" s="64" t="s">
        <v>360</v>
      </c>
      <c r="O514" s="64" t="s">
        <v>361</v>
      </c>
      <c r="P514" s="147">
        <v>44197</v>
      </c>
      <c r="Q514" s="147">
        <v>44561</v>
      </c>
      <c r="R514" s="124">
        <v>1</v>
      </c>
      <c r="S514" s="123"/>
      <c r="T514" s="124">
        <v>1</v>
      </c>
      <c r="U514" s="75">
        <f t="shared" si="104"/>
        <v>50000</v>
      </c>
      <c r="V514" s="674">
        <f t="shared" si="101"/>
        <v>0</v>
      </c>
      <c r="W514" s="75"/>
      <c r="X514" s="75">
        <f t="shared" si="105"/>
        <v>50000</v>
      </c>
      <c r="Y514" s="75"/>
      <c r="Z514" s="75"/>
      <c r="AA514" s="75">
        <f t="shared" si="106"/>
        <v>50000</v>
      </c>
      <c r="AB514" s="75"/>
      <c r="AC514" s="75"/>
      <c r="AD514" s="75">
        <f t="shared" si="107"/>
        <v>50000</v>
      </c>
      <c r="AE514" s="592"/>
      <c r="AF514" s="348" t="s">
        <v>362</v>
      </c>
      <c r="AG514" s="129">
        <v>300000</v>
      </c>
      <c r="AH514" s="370">
        <v>200000</v>
      </c>
      <c r="AI514" s="75"/>
      <c r="AJ514" s="75"/>
      <c r="AK514" s="75"/>
      <c r="AL514" s="75"/>
      <c r="AM514" s="75"/>
      <c r="AN514" s="64" t="s">
        <v>39</v>
      </c>
      <c r="AO514" s="64"/>
      <c r="AP514" s="64"/>
      <c r="AQ514" s="189"/>
      <c r="AR514" s="64"/>
      <c r="AS514" s="476"/>
      <c r="AT514" s="64"/>
      <c r="AU514" s="646"/>
      <c r="AV514" s="335"/>
    </row>
    <row r="515" spans="1:48" ht="45" outlineLevel="4" x14ac:dyDescent="0.25">
      <c r="A515" s="63" t="str">
        <f t="shared" si="103"/>
        <v>1.3.0.9.33.62</v>
      </c>
      <c r="B515" s="64">
        <v>1</v>
      </c>
      <c r="C515" s="64">
        <v>3</v>
      </c>
      <c r="D515" s="64">
        <v>0</v>
      </c>
      <c r="E515" s="64">
        <v>9</v>
      </c>
      <c r="F515" s="64">
        <v>33</v>
      </c>
      <c r="G515" s="64">
        <v>62</v>
      </c>
      <c r="H515" s="65"/>
      <c r="I515" s="65"/>
      <c r="J515" s="65"/>
      <c r="K515" s="67" t="s">
        <v>1748</v>
      </c>
      <c r="L515" s="64" t="s">
        <v>359</v>
      </c>
      <c r="M515" s="64" t="s">
        <v>272</v>
      </c>
      <c r="N515" s="64" t="s">
        <v>360</v>
      </c>
      <c r="O515" s="64" t="s">
        <v>361</v>
      </c>
      <c r="P515" s="147">
        <v>44197</v>
      </c>
      <c r="Q515" s="147">
        <v>44561</v>
      </c>
      <c r="R515" s="124">
        <v>1</v>
      </c>
      <c r="S515" s="123"/>
      <c r="T515" s="124">
        <v>1</v>
      </c>
      <c r="U515" s="75">
        <f t="shared" si="104"/>
        <v>50000</v>
      </c>
      <c r="V515" s="674">
        <f t="shared" si="101"/>
        <v>0</v>
      </c>
      <c r="W515" s="75"/>
      <c r="X515" s="75">
        <f t="shared" si="105"/>
        <v>50000</v>
      </c>
      <c r="Y515" s="75"/>
      <c r="Z515" s="75"/>
      <c r="AA515" s="75">
        <f t="shared" si="106"/>
        <v>50000</v>
      </c>
      <c r="AB515" s="75"/>
      <c r="AC515" s="75"/>
      <c r="AD515" s="75">
        <f t="shared" si="107"/>
        <v>50000</v>
      </c>
      <c r="AE515" s="592"/>
      <c r="AF515" s="348" t="s">
        <v>362</v>
      </c>
      <c r="AG515" s="129">
        <v>300000</v>
      </c>
      <c r="AH515" s="370">
        <v>200000</v>
      </c>
      <c r="AI515" s="75"/>
      <c r="AJ515" s="75"/>
      <c r="AK515" s="75"/>
      <c r="AL515" s="75"/>
      <c r="AM515" s="75"/>
      <c r="AN515" s="64" t="s">
        <v>39</v>
      </c>
      <c r="AO515" s="64"/>
      <c r="AP515" s="64"/>
      <c r="AQ515" s="189"/>
      <c r="AR515" s="64"/>
      <c r="AS515" s="476"/>
      <c r="AT515" s="64"/>
      <c r="AU515" s="646"/>
      <c r="AV515" s="335"/>
    </row>
    <row r="516" spans="1:48" ht="45" outlineLevel="4" x14ac:dyDescent="0.25">
      <c r="A516" s="63" t="str">
        <f t="shared" si="103"/>
        <v>1.3.0.9.33.63</v>
      </c>
      <c r="B516" s="64">
        <v>1</v>
      </c>
      <c r="C516" s="64">
        <v>3</v>
      </c>
      <c r="D516" s="64">
        <v>0</v>
      </c>
      <c r="E516" s="64">
        <v>9</v>
      </c>
      <c r="F516" s="64">
        <v>33</v>
      </c>
      <c r="G516" s="64">
        <v>63</v>
      </c>
      <c r="H516" s="65"/>
      <c r="I516" s="65"/>
      <c r="J516" s="65"/>
      <c r="K516" s="67" t="s">
        <v>568</v>
      </c>
      <c r="L516" s="64" t="s">
        <v>359</v>
      </c>
      <c r="M516" s="64" t="s">
        <v>272</v>
      </c>
      <c r="N516" s="64" t="s">
        <v>360</v>
      </c>
      <c r="O516" s="64" t="s">
        <v>361</v>
      </c>
      <c r="P516" s="147">
        <v>44197</v>
      </c>
      <c r="Q516" s="147">
        <v>44561</v>
      </c>
      <c r="R516" s="170"/>
      <c r="S516" s="170"/>
      <c r="T516" s="170"/>
      <c r="U516" s="75">
        <f t="shared" si="104"/>
        <v>50000</v>
      </c>
      <c r="V516" s="674">
        <f t="shared" si="101"/>
        <v>0</v>
      </c>
      <c r="W516" s="97"/>
      <c r="X516" s="75">
        <f t="shared" si="105"/>
        <v>50000</v>
      </c>
      <c r="Y516" s="75"/>
      <c r="Z516" s="97"/>
      <c r="AA516" s="75">
        <f t="shared" si="106"/>
        <v>50000</v>
      </c>
      <c r="AB516" s="75"/>
      <c r="AC516" s="75"/>
      <c r="AD516" s="75">
        <f t="shared" si="107"/>
        <v>50000</v>
      </c>
      <c r="AE516" s="592"/>
      <c r="AF516" s="348"/>
      <c r="AG516" s="129">
        <v>300000</v>
      </c>
      <c r="AH516" s="370">
        <v>200000</v>
      </c>
      <c r="AI516" s="75"/>
      <c r="AJ516" s="75"/>
      <c r="AK516" s="75"/>
      <c r="AL516" s="75"/>
      <c r="AM516" s="75"/>
      <c r="AN516" s="64" t="s">
        <v>39</v>
      </c>
      <c r="AO516" s="64"/>
      <c r="AP516" s="64"/>
      <c r="AQ516" s="189"/>
      <c r="AR516" s="64"/>
      <c r="AS516" s="476"/>
      <c r="AT516" s="64"/>
      <c r="AU516" s="646"/>
      <c r="AV516" s="441"/>
    </row>
    <row r="517" spans="1:48" ht="45" outlineLevel="4" x14ac:dyDescent="0.25">
      <c r="A517" s="63" t="str">
        <f t="shared" si="103"/>
        <v>1.3.0.9.33.64</v>
      </c>
      <c r="B517" s="64">
        <v>1</v>
      </c>
      <c r="C517" s="64">
        <v>3</v>
      </c>
      <c r="D517" s="64">
        <v>0</v>
      </c>
      <c r="E517" s="64">
        <v>9</v>
      </c>
      <c r="F517" s="64">
        <v>33</v>
      </c>
      <c r="G517" s="64">
        <v>64</v>
      </c>
      <c r="H517" s="65"/>
      <c r="I517" s="65"/>
      <c r="J517" s="65"/>
      <c r="K517" s="67" t="s">
        <v>569</v>
      </c>
      <c r="L517" s="64" t="s">
        <v>359</v>
      </c>
      <c r="M517" s="64" t="s">
        <v>272</v>
      </c>
      <c r="N517" s="64" t="s">
        <v>360</v>
      </c>
      <c r="O517" s="64" t="s">
        <v>361</v>
      </c>
      <c r="P517" s="147">
        <v>44197</v>
      </c>
      <c r="Q517" s="147">
        <v>44561</v>
      </c>
      <c r="R517" s="124">
        <v>1</v>
      </c>
      <c r="S517" s="123"/>
      <c r="T517" s="124">
        <v>1</v>
      </c>
      <c r="U517" s="75">
        <f t="shared" si="104"/>
        <v>50000</v>
      </c>
      <c r="V517" s="674">
        <f t="shared" si="101"/>
        <v>0</v>
      </c>
      <c r="W517" s="75"/>
      <c r="X517" s="75">
        <f t="shared" si="105"/>
        <v>50000</v>
      </c>
      <c r="Y517" s="75"/>
      <c r="Z517" s="75"/>
      <c r="AA517" s="75">
        <f t="shared" si="106"/>
        <v>50000</v>
      </c>
      <c r="AB517" s="75"/>
      <c r="AC517" s="75"/>
      <c r="AD517" s="75">
        <f t="shared" si="107"/>
        <v>50000</v>
      </c>
      <c r="AE517" s="592"/>
      <c r="AF517" s="348" t="s">
        <v>362</v>
      </c>
      <c r="AG517" s="129">
        <v>300000</v>
      </c>
      <c r="AH517" s="370">
        <v>200000</v>
      </c>
      <c r="AI517" s="75"/>
      <c r="AJ517" s="75"/>
      <c r="AK517" s="75"/>
      <c r="AL517" s="75"/>
      <c r="AM517" s="75"/>
      <c r="AN517" s="64" t="s">
        <v>39</v>
      </c>
      <c r="AO517" s="64"/>
      <c r="AP517" s="64"/>
      <c r="AQ517" s="189"/>
      <c r="AR517" s="64"/>
      <c r="AS517" s="476"/>
      <c r="AT517" s="64"/>
      <c r="AU517" s="646"/>
      <c r="AV517" s="335"/>
    </row>
    <row r="518" spans="1:48" ht="30" outlineLevel="4" x14ac:dyDescent="0.25">
      <c r="A518" s="63" t="str">
        <f>CONCATENATE(B518,".",C518,".",D518,".",E518,".",F518,".",G518)</f>
        <v>1.3.0.9.34.58</v>
      </c>
      <c r="B518" s="64">
        <v>1</v>
      </c>
      <c r="C518" s="64">
        <v>3</v>
      </c>
      <c r="D518" s="64">
        <v>0</v>
      </c>
      <c r="E518" s="64">
        <v>9</v>
      </c>
      <c r="F518" s="64">
        <v>34</v>
      </c>
      <c r="G518" s="64">
        <v>58</v>
      </c>
      <c r="H518" s="65"/>
      <c r="I518" s="65"/>
      <c r="J518" s="65"/>
      <c r="K518" s="67" t="s">
        <v>570</v>
      </c>
      <c r="L518" s="64" t="s">
        <v>359</v>
      </c>
      <c r="M518" s="64" t="s">
        <v>571</v>
      </c>
      <c r="N518" s="64" t="s">
        <v>360</v>
      </c>
      <c r="O518" s="64" t="s">
        <v>361</v>
      </c>
      <c r="P518" s="147">
        <v>44197</v>
      </c>
      <c r="Q518" s="147">
        <v>44561</v>
      </c>
      <c r="R518" s="124">
        <v>20</v>
      </c>
      <c r="S518" s="123"/>
      <c r="T518" s="124">
        <v>11</v>
      </c>
      <c r="U518" s="75">
        <f t="shared" si="104"/>
        <v>75000</v>
      </c>
      <c r="V518" s="674">
        <f t="shared" si="101"/>
        <v>0</v>
      </c>
      <c r="W518" s="75"/>
      <c r="X518" s="75">
        <f t="shared" si="105"/>
        <v>75000</v>
      </c>
      <c r="Y518" s="75"/>
      <c r="Z518" s="75"/>
      <c r="AA518" s="75">
        <f t="shared" si="106"/>
        <v>75000</v>
      </c>
      <c r="AB518" s="75"/>
      <c r="AC518" s="75"/>
      <c r="AD518" s="75">
        <f t="shared" si="107"/>
        <v>75000</v>
      </c>
      <c r="AE518" s="592"/>
      <c r="AF518" s="348" t="s">
        <v>572</v>
      </c>
      <c r="AG518" s="129">
        <v>300000</v>
      </c>
      <c r="AH518" s="370">
        <v>300000</v>
      </c>
      <c r="AI518" s="75"/>
      <c r="AJ518" s="75"/>
      <c r="AK518" s="75"/>
      <c r="AL518" s="75"/>
      <c r="AM518" s="75"/>
      <c r="AN518" s="64" t="s">
        <v>39</v>
      </c>
      <c r="AO518" s="64"/>
      <c r="AP518" s="64"/>
      <c r="AQ518" s="189"/>
      <c r="AR518" s="64"/>
      <c r="AS518" s="476"/>
      <c r="AT518" s="64"/>
      <c r="AU518" s="646"/>
      <c r="AV518" s="335"/>
    </row>
    <row r="519" spans="1:48" ht="30" outlineLevel="4" x14ac:dyDescent="0.25">
      <c r="A519" s="63" t="str">
        <f t="shared" ref="A519:A606" si="108">CONCATENATE(B519,".",C519,".",D519,".",E519,".",F519,".",G519)</f>
        <v>1.3.0.9.34.59</v>
      </c>
      <c r="B519" s="64">
        <v>1</v>
      </c>
      <c r="C519" s="64">
        <v>3</v>
      </c>
      <c r="D519" s="64">
        <v>0</v>
      </c>
      <c r="E519" s="64">
        <v>9</v>
      </c>
      <c r="F519" s="64">
        <v>34</v>
      </c>
      <c r="G519" s="64">
        <v>59</v>
      </c>
      <c r="H519" s="65"/>
      <c r="I519" s="65"/>
      <c r="J519" s="65"/>
      <c r="K519" s="67" t="s">
        <v>573</v>
      </c>
      <c r="L519" s="64" t="s">
        <v>359</v>
      </c>
      <c r="M519" s="64" t="s">
        <v>571</v>
      </c>
      <c r="N519" s="64" t="s">
        <v>360</v>
      </c>
      <c r="O519" s="64" t="s">
        <v>361</v>
      </c>
      <c r="P519" s="147">
        <v>44197</v>
      </c>
      <c r="Q519" s="147">
        <v>44561</v>
      </c>
      <c r="R519" s="124">
        <v>1</v>
      </c>
      <c r="S519" s="123"/>
      <c r="T519" s="124"/>
      <c r="U519" s="75">
        <f t="shared" si="104"/>
        <v>50000</v>
      </c>
      <c r="V519" s="674">
        <f t="shared" si="101"/>
        <v>0</v>
      </c>
      <c r="W519" s="75">
        <v>1</v>
      </c>
      <c r="X519" s="75">
        <f t="shared" si="105"/>
        <v>50000</v>
      </c>
      <c r="Y519" s="75"/>
      <c r="Z519" s="75"/>
      <c r="AA519" s="75">
        <f t="shared" si="106"/>
        <v>50000</v>
      </c>
      <c r="AB519" s="75"/>
      <c r="AC519" s="75"/>
      <c r="AD519" s="75">
        <f t="shared" si="107"/>
        <v>50000</v>
      </c>
      <c r="AE519" s="592"/>
      <c r="AF519" s="348"/>
      <c r="AG519" s="129">
        <v>200000</v>
      </c>
      <c r="AH519" s="370">
        <v>200000</v>
      </c>
      <c r="AI519" s="75"/>
      <c r="AJ519" s="75"/>
      <c r="AK519" s="75"/>
      <c r="AL519" s="75"/>
      <c r="AM519" s="75"/>
      <c r="AN519" s="64" t="s">
        <v>39</v>
      </c>
      <c r="AO519" s="64"/>
      <c r="AP519" s="64"/>
      <c r="AQ519" s="189"/>
      <c r="AR519" s="64"/>
      <c r="AS519" s="476"/>
      <c r="AT519" s="64"/>
      <c r="AU519" s="646"/>
      <c r="AV519" s="335"/>
    </row>
    <row r="520" spans="1:48" ht="30" outlineLevel="4" x14ac:dyDescent="0.25">
      <c r="A520" s="63" t="str">
        <f t="shared" si="108"/>
        <v>1.3.0.9.34.60</v>
      </c>
      <c r="B520" s="64">
        <v>1</v>
      </c>
      <c r="C520" s="64">
        <v>3</v>
      </c>
      <c r="D520" s="64">
        <v>0</v>
      </c>
      <c r="E520" s="64">
        <v>9</v>
      </c>
      <c r="F520" s="64">
        <v>34</v>
      </c>
      <c r="G520" s="64">
        <v>60</v>
      </c>
      <c r="H520" s="65"/>
      <c r="I520" s="65"/>
      <c r="J520" s="65"/>
      <c r="K520" s="67" t="s">
        <v>574</v>
      </c>
      <c r="L520" s="64" t="s">
        <v>359</v>
      </c>
      <c r="M520" s="64" t="s">
        <v>571</v>
      </c>
      <c r="N520" s="64" t="s">
        <v>360</v>
      </c>
      <c r="O520" s="64" t="s">
        <v>361</v>
      </c>
      <c r="P520" s="147">
        <v>44197</v>
      </c>
      <c r="Q520" s="147">
        <v>44561</v>
      </c>
      <c r="R520" s="124">
        <v>1</v>
      </c>
      <c r="S520" s="123"/>
      <c r="T520" s="124"/>
      <c r="U520" s="75">
        <f t="shared" si="104"/>
        <v>50000</v>
      </c>
      <c r="V520" s="674">
        <f t="shared" si="101"/>
        <v>0</v>
      </c>
      <c r="W520" s="75">
        <v>1</v>
      </c>
      <c r="X520" s="75">
        <f t="shared" si="105"/>
        <v>50000</v>
      </c>
      <c r="Y520" s="75"/>
      <c r="Z520" s="75"/>
      <c r="AA520" s="75">
        <f t="shared" si="106"/>
        <v>50000</v>
      </c>
      <c r="AB520" s="75"/>
      <c r="AC520" s="75"/>
      <c r="AD520" s="75">
        <f t="shared" si="107"/>
        <v>50000</v>
      </c>
      <c r="AE520" s="592"/>
      <c r="AF520" s="348"/>
      <c r="AG520" s="129">
        <v>200000</v>
      </c>
      <c r="AH520" s="370">
        <v>200000</v>
      </c>
      <c r="AI520" s="75"/>
      <c r="AJ520" s="75"/>
      <c r="AK520" s="75"/>
      <c r="AL520" s="75"/>
      <c r="AM520" s="75"/>
      <c r="AN520" s="64" t="s">
        <v>39</v>
      </c>
      <c r="AO520" s="64"/>
      <c r="AP520" s="64"/>
      <c r="AQ520" s="189"/>
      <c r="AR520" s="64"/>
      <c r="AS520" s="476"/>
      <c r="AT520" s="64"/>
      <c r="AU520" s="646"/>
      <c r="AV520" s="335"/>
    </row>
    <row r="521" spans="1:48" ht="30" outlineLevel="4" x14ac:dyDescent="0.25">
      <c r="A521" s="63" t="str">
        <f t="shared" si="108"/>
        <v>1.3.0.9.34.61</v>
      </c>
      <c r="B521" s="64">
        <v>1</v>
      </c>
      <c r="C521" s="64">
        <v>3</v>
      </c>
      <c r="D521" s="64">
        <v>0</v>
      </c>
      <c r="E521" s="64">
        <v>9</v>
      </c>
      <c r="F521" s="64">
        <v>34</v>
      </c>
      <c r="G521" s="64">
        <v>61</v>
      </c>
      <c r="H521" s="65"/>
      <c r="I521" s="65"/>
      <c r="J521" s="65"/>
      <c r="K521" s="67" t="s">
        <v>575</v>
      </c>
      <c r="L521" s="64" t="s">
        <v>359</v>
      </c>
      <c r="M521" s="64" t="s">
        <v>571</v>
      </c>
      <c r="N521" s="64" t="s">
        <v>360</v>
      </c>
      <c r="O521" s="64" t="s">
        <v>361</v>
      </c>
      <c r="P521" s="147">
        <v>44197</v>
      </c>
      <c r="Q521" s="147">
        <v>44561</v>
      </c>
      <c r="R521" s="124"/>
      <c r="S521" s="123"/>
      <c r="T521" s="124"/>
      <c r="U521" s="75">
        <f t="shared" si="104"/>
        <v>50000</v>
      </c>
      <c r="V521" s="674">
        <f t="shared" si="101"/>
        <v>0</v>
      </c>
      <c r="W521" s="75"/>
      <c r="X521" s="75">
        <f t="shared" si="105"/>
        <v>50000</v>
      </c>
      <c r="Y521" s="75"/>
      <c r="Z521" s="75"/>
      <c r="AA521" s="75">
        <f t="shared" si="106"/>
        <v>50000</v>
      </c>
      <c r="AB521" s="75"/>
      <c r="AC521" s="75"/>
      <c r="AD521" s="75">
        <f t="shared" si="107"/>
        <v>50000</v>
      </c>
      <c r="AE521" s="592"/>
      <c r="AF521" s="348"/>
      <c r="AG521" s="129">
        <v>200000</v>
      </c>
      <c r="AH521" s="370">
        <v>200000</v>
      </c>
      <c r="AI521" s="75"/>
      <c r="AJ521" s="75"/>
      <c r="AK521" s="75"/>
      <c r="AL521" s="75"/>
      <c r="AM521" s="75"/>
      <c r="AN521" s="64" t="s">
        <v>39</v>
      </c>
      <c r="AO521" s="64"/>
      <c r="AP521" s="64"/>
      <c r="AQ521" s="189"/>
      <c r="AR521" s="64"/>
      <c r="AS521" s="476"/>
      <c r="AT521" s="64"/>
      <c r="AU521" s="646"/>
      <c r="AV521" s="335"/>
    </row>
    <row r="522" spans="1:48" ht="30" outlineLevel="4" x14ac:dyDescent="0.25">
      <c r="A522" s="63" t="str">
        <f t="shared" si="108"/>
        <v>1.3.0.9.34.62</v>
      </c>
      <c r="B522" s="64">
        <v>1</v>
      </c>
      <c r="C522" s="64">
        <v>3</v>
      </c>
      <c r="D522" s="64">
        <v>0</v>
      </c>
      <c r="E522" s="64">
        <v>9</v>
      </c>
      <c r="F522" s="64">
        <v>34</v>
      </c>
      <c r="G522" s="64">
        <v>62</v>
      </c>
      <c r="H522" s="65"/>
      <c r="I522" s="65"/>
      <c r="J522" s="65"/>
      <c r="K522" s="67" t="s">
        <v>1749</v>
      </c>
      <c r="L522" s="64" t="s">
        <v>359</v>
      </c>
      <c r="M522" s="64" t="s">
        <v>571</v>
      </c>
      <c r="N522" s="64" t="s">
        <v>360</v>
      </c>
      <c r="O522" s="64" t="s">
        <v>361</v>
      </c>
      <c r="P522" s="147">
        <v>44197</v>
      </c>
      <c r="Q522" s="147">
        <v>44561</v>
      </c>
      <c r="R522" s="124"/>
      <c r="S522" s="123"/>
      <c r="T522" s="124"/>
      <c r="U522" s="75">
        <f t="shared" si="104"/>
        <v>50000</v>
      </c>
      <c r="V522" s="674">
        <f t="shared" si="101"/>
        <v>0</v>
      </c>
      <c r="W522" s="75"/>
      <c r="X522" s="75">
        <f t="shared" si="105"/>
        <v>50000</v>
      </c>
      <c r="Y522" s="75"/>
      <c r="Z522" s="75"/>
      <c r="AA522" s="75">
        <f t="shared" si="106"/>
        <v>50000</v>
      </c>
      <c r="AB522" s="75"/>
      <c r="AC522" s="75"/>
      <c r="AD522" s="75">
        <f t="shared" si="107"/>
        <v>50000</v>
      </c>
      <c r="AE522" s="592"/>
      <c r="AF522" s="348"/>
      <c r="AG522" s="129">
        <v>200000</v>
      </c>
      <c r="AH522" s="370">
        <v>200000</v>
      </c>
      <c r="AI522" s="75"/>
      <c r="AJ522" s="75"/>
      <c r="AK522" s="75"/>
      <c r="AL522" s="75"/>
      <c r="AM522" s="75"/>
      <c r="AN522" s="64" t="s">
        <v>39</v>
      </c>
      <c r="AO522" s="64"/>
      <c r="AP522" s="64"/>
      <c r="AQ522" s="189"/>
      <c r="AR522" s="64"/>
      <c r="AS522" s="476"/>
      <c r="AT522" s="64"/>
      <c r="AU522" s="646"/>
      <c r="AV522" s="335"/>
    </row>
    <row r="523" spans="1:48" ht="30" outlineLevel="4" x14ac:dyDescent="0.25">
      <c r="A523" s="63" t="str">
        <f t="shared" si="108"/>
        <v>1.3.0.9.34.63</v>
      </c>
      <c r="B523" s="64">
        <v>1</v>
      </c>
      <c r="C523" s="64">
        <v>3</v>
      </c>
      <c r="D523" s="64">
        <v>0</v>
      </c>
      <c r="E523" s="64">
        <v>9</v>
      </c>
      <c r="F523" s="64">
        <v>34</v>
      </c>
      <c r="G523" s="64">
        <v>63</v>
      </c>
      <c r="H523" s="65"/>
      <c r="I523" s="65"/>
      <c r="J523" s="65"/>
      <c r="K523" s="67" t="s">
        <v>576</v>
      </c>
      <c r="L523" s="64" t="s">
        <v>359</v>
      </c>
      <c r="M523" s="64" t="s">
        <v>571</v>
      </c>
      <c r="N523" s="64" t="s">
        <v>360</v>
      </c>
      <c r="O523" s="64" t="s">
        <v>361</v>
      </c>
      <c r="P523" s="147">
        <v>44197</v>
      </c>
      <c r="Q523" s="147">
        <v>44561</v>
      </c>
      <c r="R523" s="124"/>
      <c r="S523" s="123"/>
      <c r="T523" s="124"/>
      <c r="U523" s="75">
        <f t="shared" si="104"/>
        <v>50000</v>
      </c>
      <c r="V523" s="674">
        <f t="shared" si="101"/>
        <v>0</v>
      </c>
      <c r="W523" s="75"/>
      <c r="X523" s="75">
        <f t="shared" si="105"/>
        <v>50000</v>
      </c>
      <c r="Y523" s="75"/>
      <c r="Z523" s="75"/>
      <c r="AA523" s="75">
        <f t="shared" si="106"/>
        <v>50000</v>
      </c>
      <c r="AB523" s="75"/>
      <c r="AC523" s="75"/>
      <c r="AD523" s="75">
        <f t="shared" si="107"/>
        <v>50000</v>
      </c>
      <c r="AE523" s="592"/>
      <c r="AF523" s="348"/>
      <c r="AG523" s="129">
        <v>200000</v>
      </c>
      <c r="AH523" s="370">
        <v>200000</v>
      </c>
      <c r="AI523" s="75"/>
      <c r="AJ523" s="75"/>
      <c r="AK523" s="75"/>
      <c r="AL523" s="75"/>
      <c r="AM523" s="75"/>
      <c r="AN523" s="64" t="s">
        <v>39</v>
      </c>
      <c r="AO523" s="64"/>
      <c r="AP523" s="64"/>
      <c r="AQ523" s="189"/>
      <c r="AR523" s="64"/>
      <c r="AS523" s="476"/>
      <c r="AT523" s="64"/>
      <c r="AU523" s="646"/>
      <c r="AV523" s="335"/>
    </row>
    <row r="524" spans="1:48" ht="30" outlineLevel="4" x14ac:dyDescent="0.25">
      <c r="A524" s="63" t="str">
        <f t="shared" si="108"/>
        <v>1.3.0.9.34.64</v>
      </c>
      <c r="B524" s="64">
        <v>1</v>
      </c>
      <c r="C524" s="64">
        <v>3</v>
      </c>
      <c r="D524" s="64">
        <v>0</v>
      </c>
      <c r="E524" s="64">
        <v>9</v>
      </c>
      <c r="F524" s="64">
        <v>34</v>
      </c>
      <c r="G524" s="64">
        <v>64</v>
      </c>
      <c r="H524" s="65"/>
      <c r="I524" s="65"/>
      <c r="J524" s="65"/>
      <c r="K524" s="67" t="s">
        <v>577</v>
      </c>
      <c r="L524" s="64" t="s">
        <v>359</v>
      </c>
      <c r="M524" s="64" t="s">
        <v>571</v>
      </c>
      <c r="N524" s="64" t="s">
        <v>360</v>
      </c>
      <c r="O524" s="64" t="s">
        <v>361</v>
      </c>
      <c r="P524" s="147">
        <v>44197</v>
      </c>
      <c r="Q524" s="147">
        <v>44561</v>
      </c>
      <c r="R524" s="124"/>
      <c r="S524" s="123"/>
      <c r="T524" s="124"/>
      <c r="U524" s="75">
        <f t="shared" si="104"/>
        <v>50000</v>
      </c>
      <c r="V524" s="674">
        <f t="shared" si="101"/>
        <v>0</v>
      </c>
      <c r="W524" s="75"/>
      <c r="X524" s="75">
        <f t="shared" si="105"/>
        <v>50000</v>
      </c>
      <c r="Y524" s="75"/>
      <c r="Z524" s="75"/>
      <c r="AA524" s="75">
        <f t="shared" si="106"/>
        <v>50000</v>
      </c>
      <c r="AB524" s="75"/>
      <c r="AC524" s="75"/>
      <c r="AD524" s="75">
        <f t="shared" si="107"/>
        <v>50000</v>
      </c>
      <c r="AE524" s="592"/>
      <c r="AF524" s="348"/>
      <c r="AG524" s="129">
        <v>200000</v>
      </c>
      <c r="AH524" s="370">
        <v>200000</v>
      </c>
      <c r="AI524" s="75"/>
      <c r="AJ524" s="75"/>
      <c r="AK524" s="75"/>
      <c r="AL524" s="75"/>
      <c r="AM524" s="75"/>
      <c r="AN524" s="64" t="s">
        <v>39</v>
      </c>
      <c r="AO524" s="64"/>
      <c r="AP524" s="64"/>
      <c r="AQ524" s="189"/>
      <c r="AR524" s="64"/>
      <c r="AS524" s="476"/>
      <c r="AT524" s="64"/>
      <c r="AU524" s="646"/>
      <c r="AV524" s="335"/>
    </row>
    <row r="525" spans="1:48" ht="30" outlineLevel="4" x14ac:dyDescent="0.25">
      <c r="A525" s="63" t="str">
        <f t="shared" si="108"/>
        <v>1.3.0.9.35.58</v>
      </c>
      <c r="B525" s="64">
        <v>1</v>
      </c>
      <c r="C525" s="64">
        <v>3</v>
      </c>
      <c r="D525" s="64">
        <v>0</v>
      </c>
      <c r="E525" s="64">
        <v>9</v>
      </c>
      <c r="F525" s="64">
        <v>35</v>
      </c>
      <c r="G525" s="64">
        <v>58</v>
      </c>
      <c r="H525" s="65"/>
      <c r="I525" s="65"/>
      <c r="J525" s="65"/>
      <c r="K525" s="67" t="s">
        <v>578</v>
      </c>
      <c r="L525" s="64" t="s">
        <v>359</v>
      </c>
      <c r="M525" s="64" t="s">
        <v>271</v>
      </c>
      <c r="N525" s="64" t="s">
        <v>360</v>
      </c>
      <c r="O525" s="64" t="s">
        <v>361</v>
      </c>
      <c r="P525" s="147">
        <v>44197</v>
      </c>
      <c r="Q525" s="147">
        <v>44561</v>
      </c>
      <c r="R525" s="124"/>
      <c r="S525" s="123"/>
      <c r="T525" s="124"/>
      <c r="U525" s="75">
        <f t="shared" si="104"/>
        <v>0</v>
      </c>
      <c r="V525" s="674">
        <f t="shared" si="101"/>
        <v>0</v>
      </c>
      <c r="W525" s="75"/>
      <c r="X525" s="75">
        <f t="shared" si="105"/>
        <v>0</v>
      </c>
      <c r="Y525" s="75"/>
      <c r="Z525" s="75"/>
      <c r="AA525" s="75">
        <f t="shared" si="106"/>
        <v>0</v>
      </c>
      <c r="AB525" s="75"/>
      <c r="AC525" s="75"/>
      <c r="AD525" s="75">
        <f t="shared" si="107"/>
        <v>0</v>
      </c>
      <c r="AE525" s="592"/>
      <c r="AF525" s="348"/>
      <c r="AG525" s="510">
        <v>0</v>
      </c>
      <c r="AH525" s="370">
        <v>0</v>
      </c>
      <c r="AI525" s="75"/>
      <c r="AJ525" s="75"/>
      <c r="AK525" s="75"/>
      <c r="AL525" s="75"/>
      <c r="AM525" s="75"/>
      <c r="AN525" s="64" t="s">
        <v>39</v>
      </c>
      <c r="AO525" s="64"/>
      <c r="AP525" s="64"/>
      <c r="AQ525" s="189"/>
      <c r="AR525" s="64"/>
      <c r="AS525" s="476"/>
      <c r="AT525" s="64"/>
      <c r="AU525" s="646"/>
      <c r="AV525" s="335" t="s">
        <v>127</v>
      </c>
    </row>
    <row r="526" spans="1:48" outlineLevel="4" x14ac:dyDescent="0.25">
      <c r="A526" s="63" t="str">
        <f t="shared" si="108"/>
        <v>1.3.0.9.35.59</v>
      </c>
      <c r="B526" s="64">
        <v>1</v>
      </c>
      <c r="C526" s="64">
        <v>3</v>
      </c>
      <c r="D526" s="64">
        <v>0</v>
      </c>
      <c r="E526" s="64">
        <v>9</v>
      </c>
      <c r="F526" s="64">
        <v>35</v>
      </c>
      <c r="G526" s="64">
        <v>59</v>
      </c>
      <c r="H526" s="65"/>
      <c r="I526" s="65"/>
      <c r="J526" s="65"/>
      <c r="K526" s="65" t="s">
        <v>579</v>
      </c>
      <c r="L526" s="64" t="s">
        <v>359</v>
      </c>
      <c r="M526" s="64" t="s">
        <v>271</v>
      </c>
      <c r="N526" s="64" t="s">
        <v>360</v>
      </c>
      <c r="O526" s="64" t="s">
        <v>361</v>
      </c>
      <c r="P526" s="147">
        <v>44197</v>
      </c>
      <c r="Q526" s="147">
        <v>44561</v>
      </c>
      <c r="R526" s="124"/>
      <c r="S526" s="123"/>
      <c r="T526" s="124"/>
      <c r="U526" s="75">
        <f t="shared" si="104"/>
        <v>0</v>
      </c>
      <c r="V526" s="674">
        <f t="shared" si="101"/>
        <v>0</v>
      </c>
      <c r="W526" s="75"/>
      <c r="X526" s="75">
        <f t="shared" si="105"/>
        <v>0</v>
      </c>
      <c r="Y526" s="75"/>
      <c r="Z526" s="75"/>
      <c r="AA526" s="75">
        <f t="shared" si="106"/>
        <v>0</v>
      </c>
      <c r="AB526" s="75"/>
      <c r="AC526" s="75"/>
      <c r="AD526" s="75">
        <f t="shared" si="107"/>
        <v>0</v>
      </c>
      <c r="AE526" s="592"/>
      <c r="AF526" s="348"/>
      <c r="AG526" s="510">
        <v>0</v>
      </c>
      <c r="AH526" s="370">
        <v>0</v>
      </c>
      <c r="AI526" s="75"/>
      <c r="AJ526" s="75"/>
      <c r="AK526" s="75"/>
      <c r="AL526" s="75"/>
      <c r="AM526" s="75"/>
      <c r="AN526" s="64" t="s">
        <v>39</v>
      </c>
      <c r="AO526" s="64"/>
      <c r="AP526" s="64"/>
      <c r="AQ526" s="189"/>
      <c r="AR526" s="64"/>
      <c r="AS526" s="476"/>
      <c r="AT526" s="64"/>
      <c r="AU526" s="646"/>
      <c r="AV526" s="335" t="s">
        <v>127</v>
      </c>
    </row>
    <row r="527" spans="1:48" outlineLevel="4" x14ac:dyDescent="0.25">
      <c r="A527" s="63" t="str">
        <f t="shared" si="108"/>
        <v>1.3.0.9.35.60</v>
      </c>
      <c r="B527" s="64">
        <v>1</v>
      </c>
      <c r="C527" s="64">
        <v>3</v>
      </c>
      <c r="D527" s="64">
        <v>0</v>
      </c>
      <c r="E527" s="64">
        <v>9</v>
      </c>
      <c r="F527" s="64">
        <v>35</v>
      </c>
      <c r="G527" s="64">
        <v>60</v>
      </c>
      <c r="H527" s="65"/>
      <c r="I527" s="65"/>
      <c r="J527" s="65"/>
      <c r="K527" s="65" t="s">
        <v>580</v>
      </c>
      <c r="L527" s="64" t="s">
        <v>359</v>
      </c>
      <c r="M527" s="64" t="s">
        <v>271</v>
      </c>
      <c r="N527" s="64" t="s">
        <v>360</v>
      </c>
      <c r="O527" s="64" t="s">
        <v>361</v>
      </c>
      <c r="P527" s="147">
        <v>44197</v>
      </c>
      <c r="Q527" s="147">
        <v>44561</v>
      </c>
      <c r="R527" s="124">
        <v>1</v>
      </c>
      <c r="S527" s="123"/>
      <c r="T527" s="124"/>
      <c r="U527" s="75">
        <f t="shared" si="104"/>
        <v>0</v>
      </c>
      <c r="V527" s="674">
        <f t="shared" si="101"/>
        <v>0</v>
      </c>
      <c r="W527" s="75">
        <v>1</v>
      </c>
      <c r="X527" s="75">
        <f t="shared" si="105"/>
        <v>0</v>
      </c>
      <c r="Y527" s="75"/>
      <c r="Z527" s="75"/>
      <c r="AA527" s="75">
        <f t="shared" si="106"/>
        <v>0</v>
      </c>
      <c r="AB527" s="75"/>
      <c r="AC527" s="75"/>
      <c r="AD527" s="75">
        <f t="shared" si="107"/>
        <v>0</v>
      </c>
      <c r="AE527" s="592"/>
      <c r="AF527" s="348" t="s">
        <v>581</v>
      </c>
      <c r="AG527" s="510">
        <v>0</v>
      </c>
      <c r="AH527" s="370">
        <v>0</v>
      </c>
      <c r="AI527" s="75"/>
      <c r="AJ527" s="75"/>
      <c r="AK527" s="75"/>
      <c r="AL527" s="75"/>
      <c r="AM527" s="75"/>
      <c r="AN527" s="64" t="s">
        <v>39</v>
      </c>
      <c r="AO527" s="64"/>
      <c r="AP527" s="64"/>
      <c r="AQ527" s="189"/>
      <c r="AR527" s="64"/>
      <c r="AS527" s="476"/>
      <c r="AT527" s="64"/>
      <c r="AU527" s="646"/>
      <c r="AV527" s="335" t="s">
        <v>127</v>
      </c>
    </row>
    <row r="528" spans="1:48" outlineLevel="4" x14ac:dyDescent="0.25">
      <c r="A528" s="63" t="str">
        <f t="shared" si="108"/>
        <v>1.3.0.9.35.61</v>
      </c>
      <c r="B528" s="64">
        <v>1</v>
      </c>
      <c r="C528" s="64">
        <v>3</v>
      </c>
      <c r="D528" s="64">
        <v>0</v>
      </c>
      <c r="E528" s="64">
        <v>9</v>
      </c>
      <c r="F528" s="64">
        <v>35</v>
      </c>
      <c r="G528" s="64">
        <v>61</v>
      </c>
      <c r="H528" s="65"/>
      <c r="I528" s="65"/>
      <c r="J528" s="65"/>
      <c r="K528" s="65" t="s">
        <v>582</v>
      </c>
      <c r="L528" s="64" t="s">
        <v>359</v>
      </c>
      <c r="M528" s="64" t="s">
        <v>271</v>
      </c>
      <c r="N528" s="64" t="s">
        <v>360</v>
      </c>
      <c r="O528" s="64" t="s">
        <v>361</v>
      </c>
      <c r="P528" s="147">
        <v>44197</v>
      </c>
      <c r="Q528" s="147">
        <v>44561</v>
      </c>
      <c r="R528" s="124"/>
      <c r="S528" s="123"/>
      <c r="T528" s="124"/>
      <c r="U528" s="75">
        <f t="shared" si="104"/>
        <v>0</v>
      </c>
      <c r="V528" s="674">
        <f t="shared" si="101"/>
        <v>0</v>
      </c>
      <c r="W528" s="75"/>
      <c r="X528" s="75">
        <f t="shared" si="105"/>
        <v>0</v>
      </c>
      <c r="Y528" s="75"/>
      <c r="Z528" s="75"/>
      <c r="AA528" s="75">
        <f t="shared" si="106"/>
        <v>0</v>
      </c>
      <c r="AB528" s="75"/>
      <c r="AC528" s="75"/>
      <c r="AD528" s="75">
        <f t="shared" si="107"/>
        <v>0</v>
      </c>
      <c r="AE528" s="592"/>
      <c r="AF528" s="348"/>
      <c r="AG528" s="510">
        <v>0</v>
      </c>
      <c r="AH528" s="370">
        <v>0</v>
      </c>
      <c r="AI528" s="75"/>
      <c r="AJ528" s="75"/>
      <c r="AK528" s="75"/>
      <c r="AL528" s="75"/>
      <c r="AM528" s="75"/>
      <c r="AN528" s="64" t="s">
        <v>39</v>
      </c>
      <c r="AO528" s="64"/>
      <c r="AP528" s="64"/>
      <c r="AQ528" s="189"/>
      <c r="AR528" s="64"/>
      <c r="AS528" s="476"/>
      <c r="AT528" s="64"/>
      <c r="AU528" s="646"/>
      <c r="AV528" s="335" t="s">
        <v>127</v>
      </c>
    </row>
    <row r="529" spans="1:48" outlineLevel="4" x14ac:dyDescent="0.25">
      <c r="A529" s="63" t="str">
        <f t="shared" si="108"/>
        <v>1.3.0.9.35.62</v>
      </c>
      <c r="B529" s="64">
        <v>1</v>
      </c>
      <c r="C529" s="64">
        <v>3</v>
      </c>
      <c r="D529" s="64">
        <v>0</v>
      </c>
      <c r="E529" s="64">
        <v>9</v>
      </c>
      <c r="F529" s="64">
        <v>35</v>
      </c>
      <c r="G529" s="64">
        <v>62</v>
      </c>
      <c r="H529" s="65"/>
      <c r="I529" s="65"/>
      <c r="J529" s="65"/>
      <c r="K529" s="65" t="s">
        <v>1750</v>
      </c>
      <c r="L529" s="64" t="s">
        <v>359</v>
      </c>
      <c r="M529" s="64" t="s">
        <v>271</v>
      </c>
      <c r="N529" s="64" t="s">
        <v>360</v>
      </c>
      <c r="O529" s="64" t="s">
        <v>361</v>
      </c>
      <c r="P529" s="147">
        <v>44197</v>
      </c>
      <c r="Q529" s="147">
        <v>44561</v>
      </c>
      <c r="R529" s="124"/>
      <c r="S529" s="123"/>
      <c r="T529" s="124"/>
      <c r="U529" s="75">
        <f t="shared" si="104"/>
        <v>0</v>
      </c>
      <c r="V529" s="674">
        <f t="shared" si="101"/>
        <v>0</v>
      </c>
      <c r="W529" s="75"/>
      <c r="X529" s="75">
        <f t="shared" si="105"/>
        <v>0</v>
      </c>
      <c r="Y529" s="75"/>
      <c r="Z529" s="75"/>
      <c r="AA529" s="75">
        <f t="shared" si="106"/>
        <v>0</v>
      </c>
      <c r="AB529" s="75"/>
      <c r="AC529" s="75"/>
      <c r="AD529" s="75">
        <f t="shared" si="107"/>
        <v>0</v>
      </c>
      <c r="AE529" s="592"/>
      <c r="AF529" s="348"/>
      <c r="AG529" s="510">
        <v>0</v>
      </c>
      <c r="AH529" s="370">
        <v>0</v>
      </c>
      <c r="AI529" s="75"/>
      <c r="AJ529" s="75"/>
      <c r="AK529" s="75"/>
      <c r="AL529" s="75"/>
      <c r="AM529" s="75"/>
      <c r="AN529" s="64" t="s">
        <v>39</v>
      </c>
      <c r="AO529" s="64"/>
      <c r="AP529" s="64"/>
      <c r="AQ529" s="189"/>
      <c r="AR529" s="64"/>
      <c r="AS529" s="476"/>
      <c r="AT529" s="64"/>
      <c r="AU529" s="646"/>
      <c r="AV529" s="335" t="s">
        <v>127</v>
      </c>
    </row>
    <row r="530" spans="1:48" outlineLevel="4" x14ac:dyDescent="0.25">
      <c r="A530" s="63" t="str">
        <f t="shared" si="108"/>
        <v>1.3.0.9.35.63</v>
      </c>
      <c r="B530" s="64">
        <v>1</v>
      </c>
      <c r="C530" s="64">
        <v>3</v>
      </c>
      <c r="D530" s="64">
        <v>0</v>
      </c>
      <c r="E530" s="64">
        <v>9</v>
      </c>
      <c r="F530" s="64">
        <v>35</v>
      </c>
      <c r="G530" s="64">
        <v>63</v>
      </c>
      <c r="H530" s="65"/>
      <c r="I530" s="65"/>
      <c r="J530" s="65"/>
      <c r="K530" s="65" t="s">
        <v>583</v>
      </c>
      <c r="L530" s="64" t="s">
        <v>359</v>
      </c>
      <c r="M530" s="64" t="s">
        <v>271</v>
      </c>
      <c r="N530" s="64" t="s">
        <v>360</v>
      </c>
      <c r="O530" s="64" t="s">
        <v>361</v>
      </c>
      <c r="P530" s="147">
        <v>44197</v>
      </c>
      <c r="Q530" s="147">
        <v>44561</v>
      </c>
      <c r="R530" s="124">
        <v>1</v>
      </c>
      <c r="S530" s="123"/>
      <c r="T530" s="124"/>
      <c r="U530" s="75">
        <f t="shared" si="104"/>
        <v>0</v>
      </c>
      <c r="V530" s="674">
        <f t="shared" si="101"/>
        <v>0</v>
      </c>
      <c r="W530" s="75"/>
      <c r="X530" s="75">
        <f t="shared" si="105"/>
        <v>0</v>
      </c>
      <c r="Y530" s="75"/>
      <c r="Z530" s="75"/>
      <c r="AA530" s="75">
        <f t="shared" si="106"/>
        <v>0</v>
      </c>
      <c r="AB530" s="75"/>
      <c r="AC530" s="75"/>
      <c r="AD530" s="75">
        <f t="shared" si="107"/>
        <v>0</v>
      </c>
      <c r="AE530" s="592"/>
      <c r="AF530" s="348" t="s">
        <v>584</v>
      </c>
      <c r="AG530" s="510">
        <v>0</v>
      </c>
      <c r="AH530" s="370">
        <v>0</v>
      </c>
      <c r="AI530" s="75"/>
      <c r="AJ530" s="75"/>
      <c r="AK530" s="75"/>
      <c r="AL530" s="75"/>
      <c r="AM530" s="75"/>
      <c r="AN530" s="64" t="s">
        <v>39</v>
      </c>
      <c r="AO530" s="64"/>
      <c r="AP530" s="64"/>
      <c r="AQ530" s="189"/>
      <c r="AR530" s="64"/>
      <c r="AS530" s="476"/>
      <c r="AT530" s="64"/>
      <c r="AU530" s="646"/>
      <c r="AV530" s="335" t="s">
        <v>127</v>
      </c>
    </row>
    <row r="531" spans="1:48" outlineLevel="4" x14ac:dyDescent="0.25">
      <c r="A531" s="63" t="str">
        <f t="shared" si="108"/>
        <v>1.3.0.9.35.64</v>
      </c>
      <c r="B531" s="64">
        <v>1</v>
      </c>
      <c r="C531" s="64">
        <v>3</v>
      </c>
      <c r="D531" s="64">
        <v>0</v>
      </c>
      <c r="E531" s="64">
        <v>9</v>
      </c>
      <c r="F531" s="64">
        <v>35</v>
      </c>
      <c r="G531" s="64">
        <v>64</v>
      </c>
      <c r="H531" s="65"/>
      <c r="I531" s="65"/>
      <c r="J531" s="65"/>
      <c r="K531" s="65" t="s">
        <v>585</v>
      </c>
      <c r="L531" s="64" t="s">
        <v>359</v>
      </c>
      <c r="M531" s="64" t="s">
        <v>271</v>
      </c>
      <c r="N531" s="64" t="s">
        <v>360</v>
      </c>
      <c r="O531" s="64" t="s">
        <v>361</v>
      </c>
      <c r="P531" s="147">
        <v>44197</v>
      </c>
      <c r="Q531" s="147">
        <v>44561</v>
      </c>
      <c r="R531" s="124">
        <v>1</v>
      </c>
      <c r="S531" s="123"/>
      <c r="T531" s="124"/>
      <c r="U531" s="75">
        <f t="shared" si="104"/>
        <v>0</v>
      </c>
      <c r="V531" s="674">
        <f t="shared" si="101"/>
        <v>0</v>
      </c>
      <c r="W531" s="75"/>
      <c r="X531" s="75">
        <f t="shared" si="105"/>
        <v>0</v>
      </c>
      <c r="Y531" s="75"/>
      <c r="Z531" s="75"/>
      <c r="AA531" s="75">
        <f t="shared" si="106"/>
        <v>0</v>
      </c>
      <c r="AB531" s="75"/>
      <c r="AC531" s="75"/>
      <c r="AD531" s="75">
        <f t="shared" si="107"/>
        <v>0</v>
      </c>
      <c r="AE531" s="592"/>
      <c r="AF531" s="348" t="s">
        <v>581</v>
      </c>
      <c r="AG531" s="510">
        <v>0</v>
      </c>
      <c r="AH531" s="370">
        <v>0</v>
      </c>
      <c r="AI531" s="75"/>
      <c r="AJ531" s="75"/>
      <c r="AK531" s="75"/>
      <c r="AL531" s="75"/>
      <c r="AM531" s="75"/>
      <c r="AN531" s="64" t="s">
        <v>39</v>
      </c>
      <c r="AO531" s="64"/>
      <c r="AP531" s="64"/>
      <c r="AQ531" s="189"/>
      <c r="AR531" s="64"/>
      <c r="AS531" s="476"/>
      <c r="AT531" s="64"/>
      <c r="AU531" s="646"/>
      <c r="AV531" s="335" t="s">
        <v>127</v>
      </c>
    </row>
    <row r="532" spans="1:48" outlineLevel="4" x14ac:dyDescent="0.25">
      <c r="A532" s="63" t="str">
        <f t="shared" si="108"/>
        <v>1.3.0.9.36.58</v>
      </c>
      <c r="B532" s="64">
        <v>1</v>
      </c>
      <c r="C532" s="64">
        <v>3</v>
      </c>
      <c r="D532" s="64">
        <v>0</v>
      </c>
      <c r="E532" s="64">
        <v>9</v>
      </c>
      <c r="F532" s="64">
        <v>36</v>
      </c>
      <c r="G532" s="64">
        <v>58</v>
      </c>
      <c r="H532" s="65"/>
      <c r="I532" s="65"/>
      <c r="J532" s="65"/>
      <c r="K532" s="65" t="s">
        <v>586</v>
      </c>
      <c r="L532" s="64" t="s">
        <v>72</v>
      </c>
      <c r="M532" s="64" t="s">
        <v>587</v>
      </c>
      <c r="N532" s="64" t="s">
        <v>288</v>
      </c>
      <c r="O532" s="64" t="s">
        <v>72</v>
      </c>
      <c r="P532" s="147">
        <v>44197</v>
      </c>
      <c r="Q532" s="147">
        <v>44561</v>
      </c>
      <c r="R532" s="124">
        <v>12</v>
      </c>
      <c r="S532" s="123"/>
      <c r="T532" s="124">
        <v>3</v>
      </c>
      <c r="U532" s="75">
        <f t="shared" si="104"/>
        <v>0</v>
      </c>
      <c r="V532" s="674">
        <f t="shared" si="101"/>
        <v>0</v>
      </c>
      <c r="W532" s="75">
        <v>3</v>
      </c>
      <c r="X532" s="75">
        <f t="shared" si="105"/>
        <v>0</v>
      </c>
      <c r="Y532" s="75"/>
      <c r="Z532" s="75">
        <v>3</v>
      </c>
      <c r="AA532" s="75">
        <f t="shared" si="106"/>
        <v>0</v>
      </c>
      <c r="AB532" s="75"/>
      <c r="AC532" s="75">
        <v>3</v>
      </c>
      <c r="AD532" s="75">
        <f t="shared" si="107"/>
        <v>0</v>
      </c>
      <c r="AE532" s="592"/>
      <c r="AF532" s="354" t="s">
        <v>588</v>
      </c>
      <c r="AG532" s="510">
        <v>100000</v>
      </c>
      <c r="AH532" s="370">
        <v>0</v>
      </c>
      <c r="AI532" s="75"/>
      <c r="AJ532" s="75"/>
      <c r="AK532" s="75"/>
      <c r="AL532" s="75"/>
      <c r="AM532" s="75"/>
      <c r="AN532" s="64" t="s">
        <v>39</v>
      </c>
      <c r="AO532" s="64"/>
      <c r="AP532" s="64"/>
      <c r="AQ532" s="189"/>
      <c r="AR532" s="64"/>
      <c r="AS532" s="476"/>
      <c r="AT532" s="64"/>
      <c r="AU532" s="646"/>
      <c r="AV532" s="335" t="s">
        <v>589</v>
      </c>
    </row>
    <row r="533" spans="1:48" outlineLevel="4" x14ac:dyDescent="0.25">
      <c r="A533" s="63" t="str">
        <f t="shared" si="108"/>
        <v>1.3.0.9.36.59</v>
      </c>
      <c r="B533" s="64">
        <v>1</v>
      </c>
      <c r="C533" s="64">
        <v>3</v>
      </c>
      <c r="D533" s="64">
        <v>0</v>
      </c>
      <c r="E533" s="64">
        <v>9</v>
      </c>
      <c r="F533" s="64">
        <v>36</v>
      </c>
      <c r="G533" s="64">
        <v>59</v>
      </c>
      <c r="H533" s="65"/>
      <c r="I533" s="65"/>
      <c r="J533" s="65"/>
      <c r="K533" s="65" t="s">
        <v>590</v>
      </c>
      <c r="L533" s="64" t="s">
        <v>72</v>
      </c>
      <c r="M533" s="64" t="s">
        <v>587</v>
      </c>
      <c r="N533" s="64" t="s">
        <v>288</v>
      </c>
      <c r="O533" s="64" t="s">
        <v>72</v>
      </c>
      <c r="P533" s="147">
        <v>44197</v>
      </c>
      <c r="Q533" s="147">
        <v>44561</v>
      </c>
      <c r="R533" s="124">
        <v>12</v>
      </c>
      <c r="S533" s="124">
        <v>3</v>
      </c>
      <c r="T533" s="124">
        <v>3</v>
      </c>
      <c r="U533" s="75">
        <f t="shared" si="104"/>
        <v>0</v>
      </c>
      <c r="V533" s="674">
        <f t="shared" si="101"/>
        <v>0</v>
      </c>
      <c r="W533" s="75">
        <v>3</v>
      </c>
      <c r="X533" s="75">
        <f t="shared" si="105"/>
        <v>0</v>
      </c>
      <c r="Y533" s="75"/>
      <c r="Z533" s="75">
        <v>3</v>
      </c>
      <c r="AA533" s="75">
        <f t="shared" si="106"/>
        <v>0</v>
      </c>
      <c r="AB533" s="75"/>
      <c r="AC533" s="75">
        <v>3</v>
      </c>
      <c r="AD533" s="75">
        <f t="shared" si="107"/>
        <v>0</v>
      </c>
      <c r="AE533" s="592"/>
      <c r="AF533" s="354" t="s">
        <v>588</v>
      </c>
      <c r="AG533" s="510">
        <v>100000</v>
      </c>
      <c r="AH533" s="370">
        <v>0</v>
      </c>
      <c r="AI533" s="78"/>
      <c r="AJ533" s="78"/>
      <c r="AK533" s="157"/>
      <c r="AL533" s="157"/>
      <c r="AM533" s="157"/>
      <c r="AN533" s="64" t="s">
        <v>39</v>
      </c>
      <c r="AO533" s="64"/>
      <c r="AP533" s="64"/>
      <c r="AQ533" s="189"/>
      <c r="AR533" s="64"/>
      <c r="AS533" s="476"/>
      <c r="AT533" s="64"/>
      <c r="AU533" s="646"/>
      <c r="AV533" s="335" t="s">
        <v>589</v>
      </c>
    </row>
    <row r="534" spans="1:48" outlineLevel="4" x14ac:dyDescent="0.25">
      <c r="A534" s="63" t="str">
        <f t="shared" si="108"/>
        <v>1.3.0.9.36.60</v>
      </c>
      <c r="B534" s="64">
        <v>1</v>
      </c>
      <c r="C534" s="64">
        <v>3</v>
      </c>
      <c r="D534" s="64">
        <v>0</v>
      </c>
      <c r="E534" s="64">
        <v>9</v>
      </c>
      <c r="F534" s="64">
        <v>36</v>
      </c>
      <c r="G534" s="64">
        <v>60</v>
      </c>
      <c r="H534" s="65"/>
      <c r="I534" s="65"/>
      <c r="J534" s="65"/>
      <c r="K534" s="65" t="s">
        <v>591</v>
      </c>
      <c r="L534" s="64" t="s">
        <v>72</v>
      </c>
      <c r="M534" s="64" t="s">
        <v>587</v>
      </c>
      <c r="N534" s="64" t="s">
        <v>288</v>
      </c>
      <c r="O534" s="64" t="s">
        <v>72</v>
      </c>
      <c r="P534" s="147">
        <v>44197</v>
      </c>
      <c r="Q534" s="147">
        <v>44561</v>
      </c>
      <c r="R534" s="124">
        <v>12</v>
      </c>
      <c r="S534" s="124">
        <v>3</v>
      </c>
      <c r="T534" s="124">
        <v>3</v>
      </c>
      <c r="U534" s="75">
        <f t="shared" si="104"/>
        <v>0</v>
      </c>
      <c r="V534" s="674">
        <f t="shared" si="101"/>
        <v>0</v>
      </c>
      <c r="W534" s="75">
        <v>3</v>
      </c>
      <c r="X534" s="75">
        <f t="shared" si="105"/>
        <v>0</v>
      </c>
      <c r="Y534" s="75"/>
      <c r="Z534" s="75">
        <v>3</v>
      </c>
      <c r="AA534" s="75">
        <f t="shared" si="106"/>
        <v>0</v>
      </c>
      <c r="AB534" s="75"/>
      <c r="AC534" s="75">
        <v>3</v>
      </c>
      <c r="AD534" s="75">
        <f t="shared" si="107"/>
        <v>0</v>
      </c>
      <c r="AE534" s="592"/>
      <c r="AF534" s="354" t="s">
        <v>588</v>
      </c>
      <c r="AG534" s="510">
        <v>100000</v>
      </c>
      <c r="AH534" s="370">
        <v>0</v>
      </c>
      <c r="AI534" s="78"/>
      <c r="AJ534" s="78"/>
      <c r="AK534" s="75"/>
      <c r="AL534" s="75"/>
      <c r="AM534" s="75"/>
      <c r="AN534" s="64" t="s">
        <v>39</v>
      </c>
      <c r="AO534" s="64"/>
      <c r="AP534" s="64"/>
      <c r="AQ534" s="189"/>
      <c r="AR534" s="64"/>
      <c r="AS534" s="476"/>
      <c r="AT534" s="64"/>
      <c r="AU534" s="646"/>
      <c r="AV534" s="335" t="s">
        <v>589</v>
      </c>
    </row>
    <row r="535" spans="1:48" outlineLevel="4" x14ac:dyDescent="0.25">
      <c r="A535" s="63" t="str">
        <f t="shared" si="108"/>
        <v>1.3.0.9.36.61</v>
      </c>
      <c r="B535" s="64">
        <v>1</v>
      </c>
      <c r="C535" s="64">
        <v>3</v>
      </c>
      <c r="D535" s="64">
        <v>0</v>
      </c>
      <c r="E535" s="64">
        <v>9</v>
      </c>
      <c r="F535" s="64">
        <v>36</v>
      </c>
      <c r="G535" s="64">
        <v>61</v>
      </c>
      <c r="H535" s="65"/>
      <c r="I535" s="65"/>
      <c r="J535" s="65"/>
      <c r="K535" s="65" t="s">
        <v>592</v>
      </c>
      <c r="L535" s="64" t="s">
        <v>72</v>
      </c>
      <c r="M535" s="64" t="s">
        <v>587</v>
      </c>
      <c r="N535" s="64" t="s">
        <v>288</v>
      </c>
      <c r="O535" s="64" t="s">
        <v>72</v>
      </c>
      <c r="P535" s="147">
        <v>44197</v>
      </c>
      <c r="Q535" s="147">
        <v>44561</v>
      </c>
      <c r="R535" s="124">
        <v>12</v>
      </c>
      <c r="S535" s="124">
        <v>3</v>
      </c>
      <c r="T535" s="124">
        <v>3</v>
      </c>
      <c r="U535" s="75">
        <f t="shared" si="104"/>
        <v>0</v>
      </c>
      <c r="V535" s="674">
        <f t="shared" si="101"/>
        <v>0</v>
      </c>
      <c r="W535" s="75">
        <v>3</v>
      </c>
      <c r="X535" s="75">
        <f t="shared" si="105"/>
        <v>0</v>
      </c>
      <c r="Y535" s="75"/>
      <c r="Z535" s="75">
        <v>3</v>
      </c>
      <c r="AA535" s="75">
        <f t="shared" si="106"/>
        <v>0</v>
      </c>
      <c r="AB535" s="75"/>
      <c r="AC535" s="75">
        <v>3</v>
      </c>
      <c r="AD535" s="75">
        <f t="shared" si="107"/>
        <v>0</v>
      </c>
      <c r="AE535" s="592"/>
      <c r="AF535" s="354" t="s">
        <v>588</v>
      </c>
      <c r="AG535" s="510">
        <v>100000</v>
      </c>
      <c r="AH535" s="370">
        <v>0</v>
      </c>
      <c r="AI535" s="78"/>
      <c r="AJ535" s="78"/>
      <c r="AK535" s="75"/>
      <c r="AL535" s="75"/>
      <c r="AM535" s="75"/>
      <c r="AN535" s="64" t="s">
        <v>39</v>
      </c>
      <c r="AO535" s="64"/>
      <c r="AP535" s="64"/>
      <c r="AQ535" s="189"/>
      <c r="AR535" s="64"/>
      <c r="AS535" s="476"/>
      <c r="AT535" s="64"/>
      <c r="AU535" s="646"/>
      <c r="AV535" s="335" t="s">
        <v>589</v>
      </c>
    </row>
    <row r="536" spans="1:48" outlineLevel="4" x14ac:dyDescent="0.25">
      <c r="A536" s="63" t="str">
        <f t="shared" si="108"/>
        <v>1.3.0.9.36.62</v>
      </c>
      <c r="B536" s="64">
        <v>1</v>
      </c>
      <c r="C536" s="64">
        <v>3</v>
      </c>
      <c r="D536" s="64">
        <v>0</v>
      </c>
      <c r="E536" s="64">
        <v>9</v>
      </c>
      <c r="F536" s="64">
        <v>36</v>
      </c>
      <c r="G536" s="64">
        <v>62</v>
      </c>
      <c r="H536" s="65"/>
      <c r="I536" s="65"/>
      <c r="J536" s="65"/>
      <c r="K536" s="65" t="s">
        <v>1751</v>
      </c>
      <c r="L536" s="64" t="s">
        <v>72</v>
      </c>
      <c r="M536" s="64" t="s">
        <v>587</v>
      </c>
      <c r="N536" s="64" t="s">
        <v>288</v>
      </c>
      <c r="O536" s="64" t="s">
        <v>72</v>
      </c>
      <c r="P536" s="147">
        <v>44197</v>
      </c>
      <c r="Q536" s="147">
        <v>44561</v>
      </c>
      <c r="R536" s="124">
        <v>12</v>
      </c>
      <c r="S536" s="124">
        <v>3</v>
      </c>
      <c r="T536" s="124">
        <v>3</v>
      </c>
      <c r="U536" s="75">
        <f t="shared" si="104"/>
        <v>0</v>
      </c>
      <c r="V536" s="674">
        <f t="shared" si="101"/>
        <v>0</v>
      </c>
      <c r="W536" s="75">
        <v>3</v>
      </c>
      <c r="X536" s="75">
        <f t="shared" si="105"/>
        <v>0</v>
      </c>
      <c r="Y536" s="75"/>
      <c r="Z536" s="75">
        <v>3</v>
      </c>
      <c r="AA536" s="75">
        <f t="shared" si="106"/>
        <v>0</v>
      </c>
      <c r="AB536" s="75"/>
      <c r="AC536" s="75">
        <v>3</v>
      </c>
      <c r="AD536" s="75">
        <f t="shared" si="107"/>
        <v>0</v>
      </c>
      <c r="AE536" s="592"/>
      <c r="AF536" s="354" t="s">
        <v>588</v>
      </c>
      <c r="AG536" s="510">
        <v>100000</v>
      </c>
      <c r="AH536" s="370">
        <v>0</v>
      </c>
      <c r="AI536" s="78"/>
      <c r="AJ536" s="78"/>
      <c r="AK536" s="157"/>
      <c r="AL536" s="157"/>
      <c r="AM536" s="157"/>
      <c r="AN536" s="64" t="s">
        <v>39</v>
      </c>
      <c r="AO536" s="64"/>
      <c r="AP536" s="64"/>
      <c r="AQ536" s="189"/>
      <c r="AR536" s="64"/>
      <c r="AS536" s="476"/>
      <c r="AT536" s="64"/>
      <c r="AU536" s="646"/>
      <c r="AV536" s="335" t="s">
        <v>589</v>
      </c>
    </row>
    <row r="537" spans="1:48" outlineLevel="4" x14ac:dyDescent="0.25">
      <c r="A537" s="63" t="str">
        <f t="shared" si="108"/>
        <v>1.3.0.9.36.63</v>
      </c>
      <c r="B537" s="64">
        <v>1</v>
      </c>
      <c r="C537" s="64">
        <v>3</v>
      </c>
      <c r="D537" s="64">
        <v>0</v>
      </c>
      <c r="E537" s="64">
        <v>9</v>
      </c>
      <c r="F537" s="64">
        <v>36</v>
      </c>
      <c r="G537" s="64">
        <v>63</v>
      </c>
      <c r="H537" s="65"/>
      <c r="I537" s="65"/>
      <c r="J537" s="65"/>
      <c r="K537" s="65" t="s">
        <v>593</v>
      </c>
      <c r="L537" s="64" t="s">
        <v>72</v>
      </c>
      <c r="M537" s="64" t="s">
        <v>587</v>
      </c>
      <c r="N537" s="64" t="s">
        <v>288</v>
      </c>
      <c r="O537" s="64" t="s">
        <v>72</v>
      </c>
      <c r="P537" s="147">
        <v>44197</v>
      </c>
      <c r="Q537" s="147">
        <v>44561</v>
      </c>
      <c r="R537" s="124">
        <v>12</v>
      </c>
      <c r="S537" s="124">
        <v>3</v>
      </c>
      <c r="T537" s="124">
        <v>3</v>
      </c>
      <c r="U537" s="75">
        <f t="shared" si="104"/>
        <v>0</v>
      </c>
      <c r="V537" s="674">
        <f t="shared" si="101"/>
        <v>0</v>
      </c>
      <c r="W537" s="75">
        <v>3</v>
      </c>
      <c r="X537" s="75">
        <f t="shared" si="105"/>
        <v>0</v>
      </c>
      <c r="Y537" s="75"/>
      <c r="Z537" s="75">
        <v>3</v>
      </c>
      <c r="AA537" s="75">
        <f t="shared" si="106"/>
        <v>0</v>
      </c>
      <c r="AB537" s="75"/>
      <c r="AC537" s="75">
        <v>3</v>
      </c>
      <c r="AD537" s="75">
        <f t="shared" si="107"/>
        <v>0</v>
      </c>
      <c r="AE537" s="592"/>
      <c r="AF537" s="354" t="s">
        <v>588</v>
      </c>
      <c r="AG537" s="510">
        <v>100000</v>
      </c>
      <c r="AH537" s="370">
        <v>0</v>
      </c>
      <c r="AI537" s="78"/>
      <c r="AJ537" s="78"/>
      <c r="AK537" s="157"/>
      <c r="AL537" s="157"/>
      <c r="AM537" s="157"/>
      <c r="AN537" s="64" t="s">
        <v>39</v>
      </c>
      <c r="AO537" s="64"/>
      <c r="AP537" s="64"/>
      <c r="AQ537" s="189"/>
      <c r="AR537" s="64"/>
      <c r="AS537" s="476"/>
      <c r="AT537" s="64"/>
      <c r="AU537" s="646"/>
      <c r="AV537" s="335" t="s">
        <v>589</v>
      </c>
    </row>
    <row r="538" spans="1:48" outlineLevel="4" x14ac:dyDescent="0.25">
      <c r="A538" s="63" t="str">
        <f t="shared" si="108"/>
        <v>1.3.0.9.36.64</v>
      </c>
      <c r="B538" s="64">
        <v>1</v>
      </c>
      <c r="C538" s="64">
        <v>3</v>
      </c>
      <c r="D538" s="64">
        <v>0</v>
      </c>
      <c r="E538" s="64">
        <v>9</v>
      </c>
      <c r="F538" s="64">
        <v>36</v>
      </c>
      <c r="G538" s="64">
        <v>64</v>
      </c>
      <c r="H538" s="65"/>
      <c r="I538" s="65"/>
      <c r="J538" s="65"/>
      <c r="K538" s="65" t="s">
        <v>594</v>
      </c>
      <c r="L538" s="64" t="s">
        <v>72</v>
      </c>
      <c r="M538" s="64" t="s">
        <v>587</v>
      </c>
      <c r="N538" s="64" t="s">
        <v>288</v>
      </c>
      <c r="O538" s="64" t="s">
        <v>72</v>
      </c>
      <c r="P538" s="147">
        <v>44197</v>
      </c>
      <c r="Q538" s="147">
        <v>44561</v>
      </c>
      <c r="R538" s="124">
        <v>12</v>
      </c>
      <c r="S538" s="124">
        <v>3</v>
      </c>
      <c r="T538" s="124">
        <v>3</v>
      </c>
      <c r="U538" s="75">
        <f t="shared" si="104"/>
        <v>0</v>
      </c>
      <c r="V538" s="674">
        <f t="shared" si="101"/>
        <v>0</v>
      </c>
      <c r="W538" s="75">
        <v>3</v>
      </c>
      <c r="X538" s="75">
        <f t="shared" si="105"/>
        <v>0</v>
      </c>
      <c r="Y538" s="75"/>
      <c r="Z538" s="75">
        <v>3</v>
      </c>
      <c r="AA538" s="75">
        <f t="shared" si="106"/>
        <v>0</v>
      </c>
      <c r="AB538" s="75"/>
      <c r="AC538" s="75">
        <v>3</v>
      </c>
      <c r="AD538" s="75">
        <f t="shared" si="107"/>
        <v>0</v>
      </c>
      <c r="AE538" s="592"/>
      <c r="AF538" s="354" t="s">
        <v>588</v>
      </c>
      <c r="AG538" s="510">
        <v>100000</v>
      </c>
      <c r="AH538" s="370">
        <v>0</v>
      </c>
      <c r="AI538" s="75"/>
      <c r="AJ538" s="75"/>
      <c r="AK538" s="75"/>
      <c r="AL538" s="75"/>
      <c r="AM538" s="75"/>
      <c r="AN538" s="64" t="s">
        <v>39</v>
      </c>
      <c r="AO538" s="64"/>
      <c r="AP538" s="64"/>
      <c r="AQ538" s="189"/>
      <c r="AR538" s="64"/>
      <c r="AS538" s="476"/>
      <c r="AT538" s="64"/>
      <c r="AU538" s="646"/>
      <c r="AV538" s="335" t="s">
        <v>589</v>
      </c>
    </row>
    <row r="539" spans="1:48" outlineLevel="4" x14ac:dyDescent="0.25">
      <c r="A539" s="63" t="str">
        <f t="shared" si="108"/>
        <v>1.3.1.9.37.58</v>
      </c>
      <c r="B539" s="64">
        <v>1</v>
      </c>
      <c r="C539" s="64">
        <v>3</v>
      </c>
      <c r="D539" s="64">
        <v>1</v>
      </c>
      <c r="E539" s="64">
        <v>9</v>
      </c>
      <c r="F539" s="64">
        <v>37</v>
      </c>
      <c r="G539" s="64">
        <v>58</v>
      </c>
      <c r="H539" s="65"/>
      <c r="I539" s="65"/>
      <c r="J539" s="65"/>
      <c r="K539" s="65" t="s">
        <v>595</v>
      </c>
      <c r="L539" s="64"/>
      <c r="M539" s="128" t="s">
        <v>596</v>
      </c>
      <c r="N539" s="64"/>
      <c r="O539" s="64"/>
      <c r="P539" s="147"/>
      <c r="Q539" s="147"/>
      <c r="R539" s="124"/>
      <c r="S539" s="124"/>
      <c r="T539" s="124"/>
      <c r="U539" s="75"/>
      <c r="V539" s="674">
        <f t="shared" si="101"/>
        <v>0</v>
      </c>
      <c r="W539" s="75"/>
      <c r="X539" s="75">
        <f>+AH539/2</f>
        <v>28571.428571428572</v>
      </c>
      <c r="Y539" s="75"/>
      <c r="Z539" s="75"/>
      <c r="AA539" s="75">
        <f>+AH539/2</f>
        <v>28571.428571428572</v>
      </c>
      <c r="AB539" s="75"/>
      <c r="AC539" s="75"/>
      <c r="AD539" s="75"/>
      <c r="AE539" s="592"/>
      <c r="AF539" s="354"/>
      <c r="AG539" s="510">
        <v>0</v>
      </c>
      <c r="AH539" s="370">
        <f>400000/7</f>
        <v>57142.857142857145</v>
      </c>
      <c r="AI539" s="75"/>
      <c r="AJ539" s="75"/>
      <c r="AK539" s="75"/>
      <c r="AL539" s="75"/>
      <c r="AM539" s="75"/>
      <c r="AN539" s="64"/>
      <c r="AO539" s="165"/>
      <c r="AP539" s="165"/>
      <c r="AQ539" s="413"/>
      <c r="AR539" s="64"/>
      <c r="AS539" s="475"/>
      <c r="AT539" s="64"/>
      <c r="AU539" s="646"/>
      <c r="AV539" s="1274" t="s">
        <v>597</v>
      </c>
    </row>
    <row r="540" spans="1:48" outlineLevel="4" x14ac:dyDescent="0.25">
      <c r="A540" s="63" t="str">
        <f t="shared" si="108"/>
        <v>1.3.1.9.37.59</v>
      </c>
      <c r="B540" s="64">
        <v>1</v>
      </c>
      <c r="C540" s="64">
        <v>3</v>
      </c>
      <c r="D540" s="64">
        <v>1</v>
      </c>
      <c r="E540" s="64">
        <v>9</v>
      </c>
      <c r="F540" s="64">
        <v>37</v>
      </c>
      <c r="G540" s="64">
        <v>59</v>
      </c>
      <c r="H540" s="65"/>
      <c r="I540" s="65"/>
      <c r="J540" s="65"/>
      <c r="K540" s="65" t="s">
        <v>598</v>
      </c>
      <c r="L540" s="64"/>
      <c r="M540" s="128" t="s">
        <v>596</v>
      </c>
      <c r="N540" s="64"/>
      <c r="O540" s="64"/>
      <c r="P540" s="147"/>
      <c r="Q540" s="147"/>
      <c r="R540" s="124"/>
      <c r="S540" s="124"/>
      <c r="T540" s="124"/>
      <c r="U540" s="75"/>
      <c r="V540" s="674">
        <f t="shared" si="101"/>
        <v>0</v>
      </c>
      <c r="W540" s="75"/>
      <c r="X540" s="75">
        <f t="shared" ref="X540:X545" si="109">+AH540/2</f>
        <v>28571.428571428572</v>
      </c>
      <c r="Y540" s="75"/>
      <c r="Z540" s="75"/>
      <c r="AA540" s="75">
        <f t="shared" ref="AA540:AA545" si="110">+AH540/2</f>
        <v>28571.428571428572</v>
      </c>
      <c r="AB540" s="75"/>
      <c r="AC540" s="75"/>
      <c r="AD540" s="75"/>
      <c r="AE540" s="592"/>
      <c r="AF540" s="354"/>
      <c r="AG540" s="510">
        <v>0</v>
      </c>
      <c r="AH540" s="370">
        <f t="shared" ref="AH540:AH545" si="111">400000/7</f>
        <v>57142.857142857145</v>
      </c>
      <c r="AI540" s="75"/>
      <c r="AJ540" s="75"/>
      <c r="AK540" s="75"/>
      <c r="AL540" s="75"/>
      <c r="AM540" s="75"/>
      <c r="AN540" s="64"/>
      <c r="AO540" s="165"/>
      <c r="AP540" s="165"/>
      <c r="AQ540" s="413"/>
      <c r="AR540" s="64"/>
      <c r="AS540" s="475"/>
      <c r="AT540" s="64"/>
      <c r="AU540" s="646"/>
      <c r="AV540" s="1274"/>
    </row>
    <row r="541" spans="1:48" outlineLevel="4" x14ac:dyDescent="0.25">
      <c r="A541" s="63" t="str">
        <f t="shared" si="108"/>
        <v>1.3.1.9.37.60</v>
      </c>
      <c r="B541" s="64">
        <v>1</v>
      </c>
      <c r="C541" s="64">
        <v>3</v>
      </c>
      <c r="D541" s="64">
        <v>1</v>
      </c>
      <c r="E541" s="64">
        <v>9</v>
      </c>
      <c r="F541" s="64">
        <v>37</v>
      </c>
      <c r="G541" s="64">
        <v>60</v>
      </c>
      <c r="H541" s="65"/>
      <c r="I541" s="65"/>
      <c r="J541" s="65"/>
      <c r="K541" s="65" t="s">
        <v>599</v>
      </c>
      <c r="L541" s="64"/>
      <c r="M541" s="128" t="s">
        <v>596</v>
      </c>
      <c r="N541" s="64"/>
      <c r="O541" s="64"/>
      <c r="P541" s="147"/>
      <c r="Q541" s="147"/>
      <c r="R541" s="124"/>
      <c r="S541" s="124"/>
      <c r="T541" s="124"/>
      <c r="U541" s="75"/>
      <c r="V541" s="674">
        <f t="shared" si="101"/>
        <v>0</v>
      </c>
      <c r="W541" s="75"/>
      <c r="X541" s="75">
        <f t="shared" si="109"/>
        <v>28571.428571428572</v>
      </c>
      <c r="Y541" s="75"/>
      <c r="Z541" s="75"/>
      <c r="AA541" s="75">
        <f t="shared" si="110"/>
        <v>28571.428571428572</v>
      </c>
      <c r="AB541" s="75"/>
      <c r="AC541" s="75"/>
      <c r="AD541" s="75"/>
      <c r="AE541" s="592"/>
      <c r="AF541" s="354"/>
      <c r="AG541" s="510">
        <v>0</v>
      </c>
      <c r="AH541" s="370">
        <f t="shared" si="111"/>
        <v>57142.857142857145</v>
      </c>
      <c r="AI541" s="75"/>
      <c r="AJ541" s="75"/>
      <c r="AK541" s="75"/>
      <c r="AL541" s="75"/>
      <c r="AM541" s="75"/>
      <c r="AN541" s="64"/>
      <c r="AO541" s="165"/>
      <c r="AP541" s="165"/>
      <c r="AQ541" s="413"/>
      <c r="AR541" s="64"/>
      <c r="AS541" s="475"/>
      <c r="AT541" s="64"/>
      <c r="AU541" s="646"/>
      <c r="AV541" s="1274"/>
    </row>
    <row r="542" spans="1:48" outlineLevel="4" x14ac:dyDescent="0.25">
      <c r="A542" s="63" t="str">
        <f t="shared" si="108"/>
        <v>1.3.1.9.37.61</v>
      </c>
      <c r="B542" s="64">
        <v>1</v>
      </c>
      <c r="C542" s="64">
        <v>3</v>
      </c>
      <c r="D542" s="64">
        <v>1</v>
      </c>
      <c r="E542" s="64">
        <v>9</v>
      </c>
      <c r="F542" s="64">
        <v>37</v>
      </c>
      <c r="G542" s="64">
        <v>61</v>
      </c>
      <c r="H542" s="65"/>
      <c r="I542" s="65"/>
      <c r="J542" s="65"/>
      <c r="K542" s="65" t="s">
        <v>600</v>
      </c>
      <c r="L542" s="64"/>
      <c r="M542" s="128" t="s">
        <v>596</v>
      </c>
      <c r="N542" s="64"/>
      <c r="O542" s="64"/>
      <c r="P542" s="147"/>
      <c r="Q542" s="147"/>
      <c r="R542" s="124"/>
      <c r="S542" s="124"/>
      <c r="T542" s="124"/>
      <c r="U542" s="75"/>
      <c r="V542" s="674">
        <f t="shared" si="101"/>
        <v>0</v>
      </c>
      <c r="W542" s="75"/>
      <c r="X542" s="75">
        <f t="shared" si="109"/>
        <v>28571.428571428572</v>
      </c>
      <c r="Y542" s="75"/>
      <c r="Z542" s="75"/>
      <c r="AA542" s="75">
        <f t="shared" si="110"/>
        <v>28571.428571428572</v>
      </c>
      <c r="AB542" s="75"/>
      <c r="AC542" s="75"/>
      <c r="AD542" s="75"/>
      <c r="AE542" s="592"/>
      <c r="AF542" s="354"/>
      <c r="AG542" s="510">
        <v>0</v>
      </c>
      <c r="AH542" s="370">
        <f t="shared" si="111"/>
        <v>57142.857142857145</v>
      </c>
      <c r="AI542" s="75"/>
      <c r="AJ542" s="75"/>
      <c r="AK542" s="75"/>
      <c r="AL542" s="75"/>
      <c r="AM542" s="75"/>
      <c r="AN542" s="64"/>
      <c r="AO542" s="165"/>
      <c r="AP542" s="165"/>
      <c r="AQ542" s="413"/>
      <c r="AR542" s="64"/>
      <c r="AS542" s="475"/>
      <c r="AT542" s="64"/>
      <c r="AU542" s="646"/>
      <c r="AV542" s="1274"/>
    </row>
    <row r="543" spans="1:48" outlineLevel="4" x14ac:dyDescent="0.25">
      <c r="A543" s="63" t="str">
        <f t="shared" si="108"/>
        <v>1.3.1.9.37.62</v>
      </c>
      <c r="B543" s="64">
        <v>1</v>
      </c>
      <c r="C543" s="64">
        <v>3</v>
      </c>
      <c r="D543" s="64">
        <v>1</v>
      </c>
      <c r="E543" s="64">
        <v>9</v>
      </c>
      <c r="F543" s="64">
        <v>37</v>
      </c>
      <c r="G543" s="64">
        <v>62</v>
      </c>
      <c r="H543" s="65"/>
      <c r="I543" s="65"/>
      <c r="J543" s="65"/>
      <c r="K543" s="65" t="s">
        <v>1752</v>
      </c>
      <c r="L543" s="64"/>
      <c r="M543" s="128" t="s">
        <v>596</v>
      </c>
      <c r="N543" s="64"/>
      <c r="O543" s="64"/>
      <c r="P543" s="147"/>
      <c r="Q543" s="147"/>
      <c r="R543" s="124"/>
      <c r="S543" s="124"/>
      <c r="T543" s="124"/>
      <c r="U543" s="75"/>
      <c r="V543" s="674">
        <f t="shared" si="101"/>
        <v>0</v>
      </c>
      <c r="W543" s="75"/>
      <c r="X543" s="75">
        <f t="shared" si="109"/>
        <v>28571.428571428572</v>
      </c>
      <c r="Y543" s="75"/>
      <c r="Z543" s="75"/>
      <c r="AA543" s="75">
        <f t="shared" si="110"/>
        <v>28571.428571428572</v>
      </c>
      <c r="AB543" s="75"/>
      <c r="AC543" s="75"/>
      <c r="AD543" s="75"/>
      <c r="AE543" s="592"/>
      <c r="AF543" s="354"/>
      <c r="AG543" s="510">
        <v>0</v>
      </c>
      <c r="AH543" s="370">
        <f t="shared" si="111"/>
        <v>57142.857142857145</v>
      </c>
      <c r="AI543" s="75"/>
      <c r="AJ543" s="75"/>
      <c r="AK543" s="75"/>
      <c r="AL543" s="75"/>
      <c r="AM543" s="75"/>
      <c r="AN543" s="64"/>
      <c r="AO543" s="165"/>
      <c r="AP543" s="165"/>
      <c r="AQ543" s="413"/>
      <c r="AR543" s="64"/>
      <c r="AS543" s="475"/>
      <c r="AT543" s="64"/>
      <c r="AU543" s="646"/>
      <c r="AV543" s="1274"/>
    </row>
    <row r="544" spans="1:48" outlineLevel="4" x14ac:dyDescent="0.25">
      <c r="A544" s="63" t="str">
        <f t="shared" si="108"/>
        <v>1.3.1.9.37.63</v>
      </c>
      <c r="B544" s="64">
        <v>1</v>
      </c>
      <c r="C544" s="64">
        <v>3</v>
      </c>
      <c r="D544" s="64">
        <v>1</v>
      </c>
      <c r="E544" s="64">
        <v>9</v>
      </c>
      <c r="F544" s="64">
        <v>37</v>
      </c>
      <c r="G544" s="64">
        <v>63</v>
      </c>
      <c r="H544" s="65"/>
      <c r="I544" s="65"/>
      <c r="J544" s="65"/>
      <c r="K544" s="65" t="s">
        <v>601</v>
      </c>
      <c r="L544" s="64"/>
      <c r="M544" s="128" t="s">
        <v>596</v>
      </c>
      <c r="N544" s="64"/>
      <c r="O544" s="64"/>
      <c r="P544" s="147"/>
      <c r="Q544" s="147"/>
      <c r="R544" s="124"/>
      <c r="S544" s="124"/>
      <c r="T544" s="124"/>
      <c r="U544" s="75"/>
      <c r="V544" s="674">
        <f t="shared" si="101"/>
        <v>0</v>
      </c>
      <c r="W544" s="75"/>
      <c r="X544" s="75">
        <f t="shared" si="109"/>
        <v>28571.428571428572</v>
      </c>
      <c r="Y544" s="75"/>
      <c r="Z544" s="75"/>
      <c r="AA544" s="75">
        <f t="shared" si="110"/>
        <v>28571.428571428572</v>
      </c>
      <c r="AB544" s="75"/>
      <c r="AC544" s="75"/>
      <c r="AD544" s="75"/>
      <c r="AE544" s="592"/>
      <c r="AF544" s="354"/>
      <c r="AG544" s="510">
        <v>0</v>
      </c>
      <c r="AH544" s="370">
        <f t="shared" si="111"/>
        <v>57142.857142857145</v>
      </c>
      <c r="AI544" s="75"/>
      <c r="AJ544" s="75"/>
      <c r="AK544" s="75"/>
      <c r="AL544" s="75"/>
      <c r="AM544" s="75"/>
      <c r="AN544" s="64"/>
      <c r="AO544" s="165"/>
      <c r="AP544" s="165"/>
      <c r="AQ544" s="413"/>
      <c r="AR544" s="64"/>
      <c r="AS544" s="475"/>
      <c r="AT544" s="64"/>
      <c r="AU544" s="646"/>
      <c r="AV544" s="1274"/>
    </row>
    <row r="545" spans="1:48" outlineLevel="4" x14ac:dyDescent="0.25">
      <c r="A545" s="63" t="str">
        <f t="shared" si="108"/>
        <v>1.3.1.9.37.64</v>
      </c>
      <c r="B545" s="64">
        <v>1</v>
      </c>
      <c r="C545" s="64">
        <v>3</v>
      </c>
      <c r="D545" s="64">
        <v>1</v>
      </c>
      <c r="E545" s="64">
        <v>9</v>
      </c>
      <c r="F545" s="64">
        <v>37</v>
      </c>
      <c r="G545" s="64">
        <v>64</v>
      </c>
      <c r="H545" s="65"/>
      <c r="I545" s="65"/>
      <c r="J545" s="65"/>
      <c r="K545" s="65" t="s">
        <v>602</v>
      </c>
      <c r="L545" s="64"/>
      <c r="M545" s="128" t="s">
        <v>596</v>
      </c>
      <c r="N545" s="64"/>
      <c r="O545" s="64"/>
      <c r="P545" s="147"/>
      <c r="Q545" s="147"/>
      <c r="R545" s="124"/>
      <c r="S545" s="124"/>
      <c r="T545" s="124"/>
      <c r="U545" s="75"/>
      <c r="V545" s="674">
        <f t="shared" si="101"/>
        <v>0</v>
      </c>
      <c r="W545" s="75"/>
      <c r="X545" s="75">
        <f t="shared" si="109"/>
        <v>28571.428571428572</v>
      </c>
      <c r="Y545" s="75"/>
      <c r="Z545" s="75"/>
      <c r="AA545" s="75">
        <f t="shared" si="110"/>
        <v>28571.428571428572</v>
      </c>
      <c r="AB545" s="75"/>
      <c r="AC545" s="75"/>
      <c r="AD545" s="75"/>
      <c r="AE545" s="592"/>
      <c r="AF545" s="354"/>
      <c r="AG545" s="510">
        <v>0</v>
      </c>
      <c r="AH545" s="370">
        <f t="shared" si="111"/>
        <v>57142.857142857145</v>
      </c>
      <c r="AI545" s="75"/>
      <c r="AJ545" s="75"/>
      <c r="AK545" s="75"/>
      <c r="AL545" s="75"/>
      <c r="AM545" s="75"/>
      <c r="AN545" s="64"/>
      <c r="AO545" s="165"/>
      <c r="AP545" s="165"/>
      <c r="AQ545" s="413"/>
      <c r="AR545" s="64"/>
      <c r="AS545" s="475"/>
      <c r="AT545" s="64"/>
      <c r="AU545" s="646"/>
      <c r="AV545" s="1274"/>
    </row>
    <row r="546" spans="1:48" outlineLevel="4" x14ac:dyDescent="0.25">
      <c r="A546" s="63" t="str">
        <f t="shared" si="108"/>
        <v>1.3.1.9.38.58</v>
      </c>
      <c r="B546" s="64">
        <v>1</v>
      </c>
      <c r="C546" s="64">
        <v>3</v>
      </c>
      <c r="D546" s="64">
        <v>1</v>
      </c>
      <c r="E546" s="64">
        <v>9</v>
      </c>
      <c r="F546" s="64">
        <v>38</v>
      </c>
      <c r="G546" s="64">
        <v>58</v>
      </c>
      <c r="H546" s="65"/>
      <c r="I546" s="65"/>
      <c r="J546" s="65"/>
      <c r="K546" s="65" t="s">
        <v>603</v>
      </c>
      <c r="L546" s="64"/>
      <c r="M546" s="128" t="s">
        <v>604</v>
      </c>
      <c r="N546" s="64"/>
      <c r="O546" s="64"/>
      <c r="P546" s="147"/>
      <c r="Q546" s="147"/>
      <c r="R546" s="124"/>
      <c r="S546" s="124"/>
      <c r="T546" s="124"/>
      <c r="U546" s="75"/>
      <c r="V546" s="674">
        <f t="shared" si="101"/>
        <v>0</v>
      </c>
      <c r="W546" s="75"/>
      <c r="X546" s="75">
        <f>+AH546/2</f>
        <v>2107142.8571428573</v>
      </c>
      <c r="Y546" s="75"/>
      <c r="Z546" s="75"/>
      <c r="AA546" s="75">
        <f>+AH546/2</f>
        <v>2107142.8571428573</v>
      </c>
      <c r="AB546" s="75"/>
      <c r="AC546" s="75"/>
      <c r="AD546" s="75"/>
      <c r="AE546" s="592"/>
      <c r="AF546" s="354"/>
      <c r="AG546" s="510">
        <v>0</v>
      </c>
      <c r="AH546" s="370">
        <f>29500000/7</f>
        <v>4214285.7142857146</v>
      </c>
      <c r="AI546" s="75"/>
      <c r="AJ546" s="75"/>
      <c r="AK546" s="75"/>
      <c r="AL546" s="75"/>
      <c r="AM546" s="75"/>
      <c r="AN546" s="64"/>
      <c r="AO546" s="165"/>
      <c r="AP546" s="165"/>
      <c r="AQ546" s="413"/>
      <c r="AR546" s="64"/>
      <c r="AS546" s="475"/>
      <c r="AT546" s="64"/>
      <c r="AU546" s="646"/>
      <c r="AV546" s="1274" t="s">
        <v>605</v>
      </c>
    </row>
    <row r="547" spans="1:48" outlineLevel="4" x14ac:dyDescent="0.25">
      <c r="A547" s="63" t="str">
        <f t="shared" si="108"/>
        <v>1.3.1.9.38.59</v>
      </c>
      <c r="B547" s="64">
        <v>1</v>
      </c>
      <c r="C547" s="64">
        <v>3</v>
      </c>
      <c r="D547" s="64">
        <v>1</v>
      </c>
      <c r="E547" s="64">
        <v>9</v>
      </c>
      <c r="F547" s="64">
        <v>38</v>
      </c>
      <c r="G547" s="64">
        <v>59</v>
      </c>
      <c r="H547" s="65"/>
      <c r="I547" s="65"/>
      <c r="J547" s="65"/>
      <c r="K547" s="65" t="s">
        <v>606</v>
      </c>
      <c r="L547" s="64"/>
      <c r="M547" s="128" t="s">
        <v>604</v>
      </c>
      <c r="N547" s="64"/>
      <c r="O547" s="64"/>
      <c r="P547" s="147"/>
      <c r="Q547" s="147"/>
      <c r="R547" s="124"/>
      <c r="S547" s="124"/>
      <c r="T547" s="124"/>
      <c r="U547" s="75"/>
      <c r="V547" s="674">
        <f t="shared" si="101"/>
        <v>0</v>
      </c>
      <c r="W547" s="75"/>
      <c r="X547" s="75">
        <f t="shared" ref="X547:X552" si="112">+AH547/2</f>
        <v>2107142.8571428573</v>
      </c>
      <c r="Y547" s="75"/>
      <c r="Z547" s="75"/>
      <c r="AA547" s="75">
        <f t="shared" ref="AA547:AA552" si="113">+AH547/2</f>
        <v>2107142.8571428573</v>
      </c>
      <c r="AB547" s="75"/>
      <c r="AC547" s="75"/>
      <c r="AD547" s="75"/>
      <c r="AE547" s="592"/>
      <c r="AF547" s="354"/>
      <c r="AG547" s="510">
        <v>0</v>
      </c>
      <c r="AH547" s="370">
        <f t="shared" ref="AH547:AH552" si="114">29500000/7</f>
        <v>4214285.7142857146</v>
      </c>
      <c r="AI547" s="75"/>
      <c r="AJ547" s="75"/>
      <c r="AK547" s="75"/>
      <c r="AL547" s="75"/>
      <c r="AM547" s="75"/>
      <c r="AN547" s="64"/>
      <c r="AO547" s="165"/>
      <c r="AP547" s="165"/>
      <c r="AQ547" s="413"/>
      <c r="AR547" s="64"/>
      <c r="AS547" s="475"/>
      <c r="AT547" s="64"/>
      <c r="AU547" s="646"/>
      <c r="AV547" s="1274"/>
    </row>
    <row r="548" spans="1:48" outlineLevel="4" x14ac:dyDescent="0.25">
      <c r="A548" s="63" t="str">
        <f t="shared" si="108"/>
        <v>1.3.1.9.38.60</v>
      </c>
      <c r="B548" s="64">
        <v>1</v>
      </c>
      <c r="C548" s="64">
        <v>3</v>
      </c>
      <c r="D548" s="64">
        <v>1</v>
      </c>
      <c r="E548" s="64">
        <v>9</v>
      </c>
      <c r="F548" s="64">
        <v>38</v>
      </c>
      <c r="G548" s="64">
        <v>60</v>
      </c>
      <c r="H548" s="65"/>
      <c r="I548" s="65"/>
      <c r="J548" s="65"/>
      <c r="K548" s="65" t="s">
        <v>607</v>
      </c>
      <c r="L548" s="64"/>
      <c r="M548" s="128" t="s">
        <v>604</v>
      </c>
      <c r="N548" s="64"/>
      <c r="O548" s="64"/>
      <c r="P548" s="147"/>
      <c r="Q548" s="147"/>
      <c r="R548" s="124"/>
      <c r="S548" s="124"/>
      <c r="T548" s="124"/>
      <c r="U548" s="75"/>
      <c r="V548" s="674">
        <f t="shared" si="101"/>
        <v>0</v>
      </c>
      <c r="W548" s="75"/>
      <c r="X548" s="75">
        <f t="shared" si="112"/>
        <v>2107142.8571428573</v>
      </c>
      <c r="Y548" s="75"/>
      <c r="Z548" s="75"/>
      <c r="AA548" s="75">
        <f t="shared" si="113"/>
        <v>2107142.8571428573</v>
      </c>
      <c r="AB548" s="75"/>
      <c r="AC548" s="75"/>
      <c r="AD548" s="75"/>
      <c r="AE548" s="592"/>
      <c r="AF548" s="348"/>
      <c r="AG548" s="510">
        <v>0</v>
      </c>
      <c r="AH548" s="370">
        <f t="shared" si="114"/>
        <v>4214285.7142857146</v>
      </c>
      <c r="AI548" s="75"/>
      <c r="AJ548" s="75"/>
      <c r="AK548" s="75"/>
      <c r="AL548" s="75"/>
      <c r="AM548" s="75"/>
      <c r="AN548" s="64"/>
      <c r="AO548" s="165"/>
      <c r="AP548" s="165"/>
      <c r="AQ548" s="413"/>
      <c r="AR548" s="64"/>
      <c r="AS548" s="475"/>
      <c r="AT548" s="64"/>
      <c r="AU548" s="646"/>
      <c r="AV548" s="1274"/>
    </row>
    <row r="549" spans="1:48" outlineLevel="4" x14ac:dyDescent="0.25">
      <c r="A549" s="63" t="str">
        <f t="shared" si="108"/>
        <v>1.3.1.9.38.61</v>
      </c>
      <c r="B549" s="64">
        <v>1</v>
      </c>
      <c r="C549" s="64">
        <v>3</v>
      </c>
      <c r="D549" s="64">
        <v>1</v>
      </c>
      <c r="E549" s="64">
        <v>9</v>
      </c>
      <c r="F549" s="64">
        <v>38</v>
      </c>
      <c r="G549" s="64">
        <v>61</v>
      </c>
      <c r="H549" s="65"/>
      <c r="I549" s="65"/>
      <c r="J549" s="65"/>
      <c r="K549" s="65" t="s">
        <v>608</v>
      </c>
      <c r="L549" s="64"/>
      <c r="M549" s="128" t="s">
        <v>604</v>
      </c>
      <c r="N549" s="64"/>
      <c r="O549" s="64"/>
      <c r="P549" s="147"/>
      <c r="Q549" s="147"/>
      <c r="R549" s="124"/>
      <c r="S549" s="124"/>
      <c r="T549" s="124"/>
      <c r="U549" s="75"/>
      <c r="V549" s="674">
        <f t="shared" si="101"/>
        <v>0</v>
      </c>
      <c r="W549" s="75"/>
      <c r="X549" s="75">
        <f t="shared" si="112"/>
        <v>2107142.8571428573</v>
      </c>
      <c r="Y549" s="75"/>
      <c r="Z549" s="75"/>
      <c r="AA549" s="75">
        <f t="shared" si="113"/>
        <v>2107142.8571428573</v>
      </c>
      <c r="AB549" s="75"/>
      <c r="AC549" s="75"/>
      <c r="AD549" s="75"/>
      <c r="AE549" s="592"/>
      <c r="AF549" s="348"/>
      <c r="AG549" s="510">
        <v>0</v>
      </c>
      <c r="AH549" s="370">
        <f t="shared" si="114"/>
        <v>4214285.7142857146</v>
      </c>
      <c r="AI549" s="75"/>
      <c r="AJ549" s="75"/>
      <c r="AK549" s="75"/>
      <c r="AL549" s="75"/>
      <c r="AM549" s="75"/>
      <c r="AN549" s="64"/>
      <c r="AO549" s="165"/>
      <c r="AP549" s="165"/>
      <c r="AQ549" s="413"/>
      <c r="AR549" s="64"/>
      <c r="AS549" s="475"/>
      <c r="AT549" s="64"/>
      <c r="AU549" s="646"/>
      <c r="AV549" s="1274"/>
    </row>
    <row r="550" spans="1:48" outlineLevel="4" x14ac:dyDescent="0.25">
      <c r="A550" s="63" t="str">
        <f t="shared" si="108"/>
        <v>1.3.1.9.38.62</v>
      </c>
      <c r="B550" s="64">
        <v>1</v>
      </c>
      <c r="C550" s="64">
        <v>3</v>
      </c>
      <c r="D550" s="64">
        <v>1</v>
      </c>
      <c r="E550" s="64">
        <v>9</v>
      </c>
      <c r="F550" s="64">
        <v>38</v>
      </c>
      <c r="G550" s="64">
        <v>62</v>
      </c>
      <c r="H550" s="65"/>
      <c r="I550" s="65"/>
      <c r="J550" s="65"/>
      <c r="K550" s="65" t="s">
        <v>1753</v>
      </c>
      <c r="L550" s="64"/>
      <c r="M550" s="128" t="s">
        <v>604</v>
      </c>
      <c r="N550" s="64"/>
      <c r="O550" s="64"/>
      <c r="P550" s="147"/>
      <c r="Q550" s="147"/>
      <c r="R550" s="124"/>
      <c r="S550" s="124"/>
      <c r="T550" s="124"/>
      <c r="U550" s="75"/>
      <c r="V550" s="674">
        <f t="shared" si="101"/>
        <v>0</v>
      </c>
      <c r="W550" s="75"/>
      <c r="X550" s="75">
        <f t="shared" si="112"/>
        <v>2107142.8571428573</v>
      </c>
      <c r="Y550" s="75"/>
      <c r="Z550" s="75"/>
      <c r="AA550" s="75">
        <f t="shared" si="113"/>
        <v>2107142.8571428573</v>
      </c>
      <c r="AB550" s="75"/>
      <c r="AC550" s="75"/>
      <c r="AD550" s="75"/>
      <c r="AE550" s="592"/>
      <c r="AF550" s="348"/>
      <c r="AG550" s="510">
        <v>0</v>
      </c>
      <c r="AH550" s="370">
        <f t="shared" si="114"/>
        <v>4214285.7142857146</v>
      </c>
      <c r="AI550" s="75"/>
      <c r="AJ550" s="75"/>
      <c r="AK550" s="75"/>
      <c r="AL550" s="75"/>
      <c r="AM550" s="75"/>
      <c r="AN550" s="64"/>
      <c r="AO550" s="165"/>
      <c r="AP550" s="165"/>
      <c r="AQ550" s="413"/>
      <c r="AR550" s="64"/>
      <c r="AS550" s="475"/>
      <c r="AT550" s="64"/>
      <c r="AU550" s="646"/>
      <c r="AV550" s="1274"/>
    </row>
    <row r="551" spans="1:48" outlineLevel="4" x14ac:dyDescent="0.25">
      <c r="A551" s="63" t="str">
        <f t="shared" si="108"/>
        <v>1.3.1.9.38.63</v>
      </c>
      <c r="B551" s="64">
        <v>1</v>
      </c>
      <c r="C551" s="64">
        <v>3</v>
      </c>
      <c r="D551" s="64">
        <v>1</v>
      </c>
      <c r="E551" s="64">
        <v>9</v>
      </c>
      <c r="F551" s="64">
        <v>38</v>
      </c>
      <c r="G551" s="64">
        <v>63</v>
      </c>
      <c r="H551" s="65"/>
      <c r="I551" s="65"/>
      <c r="J551" s="65"/>
      <c r="K551" s="65" t="s">
        <v>609</v>
      </c>
      <c r="L551" s="64"/>
      <c r="M551" s="128" t="s">
        <v>604</v>
      </c>
      <c r="N551" s="64"/>
      <c r="O551" s="64"/>
      <c r="P551" s="147"/>
      <c r="Q551" s="147"/>
      <c r="R551" s="124"/>
      <c r="S551" s="124"/>
      <c r="T551" s="124"/>
      <c r="U551" s="75"/>
      <c r="V551" s="674">
        <f t="shared" si="101"/>
        <v>0</v>
      </c>
      <c r="W551" s="75"/>
      <c r="X551" s="75">
        <f t="shared" si="112"/>
        <v>2107142.8571428573</v>
      </c>
      <c r="Y551" s="75"/>
      <c r="Z551" s="75"/>
      <c r="AA551" s="75">
        <f t="shared" si="113"/>
        <v>2107142.8571428573</v>
      </c>
      <c r="AB551" s="75"/>
      <c r="AC551" s="75"/>
      <c r="AD551" s="75"/>
      <c r="AE551" s="592"/>
      <c r="AF551" s="348"/>
      <c r="AG551" s="510">
        <v>0</v>
      </c>
      <c r="AH551" s="370">
        <f t="shared" si="114"/>
        <v>4214285.7142857146</v>
      </c>
      <c r="AI551" s="75"/>
      <c r="AJ551" s="75"/>
      <c r="AK551" s="75"/>
      <c r="AL551" s="75"/>
      <c r="AM551" s="75"/>
      <c r="AN551" s="64"/>
      <c r="AO551" s="165"/>
      <c r="AP551" s="165"/>
      <c r="AQ551" s="413"/>
      <c r="AR551" s="64"/>
      <c r="AS551" s="475"/>
      <c r="AT551" s="64"/>
      <c r="AU551" s="646"/>
      <c r="AV551" s="1274"/>
    </row>
    <row r="552" spans="1:48" outlineLevel="4" x14ac:dyDescent="0.25">
      <c r="A552" s="63" t="str">
        <f t="shared" si="108"/>
        <v>1.3.1.9.38.64</v>
      </c>
      <c r="B552" s="64">
        <v>1</v>
      </c>
      <c r="C552" s="64">
        <v>3</v>
      </c>
      <c r="D552" s="64">
        <v>1</v>
      </c>
      <c r="E552" s="64">
        <v>9</v>
      </c>
      <c r="F552" s="64">
        <v>38</v>
      </c>
      <c r="G552" s="64">
        <v>64</v>
      </c>
      <c r="H552" s="65"/>
      <c r="I552" s="65"/>
      <c r="J552" s="65"/>
      <c r="K552" s="65" t="s">
        <v>610</v>
      </c>
      <c r="L552" s="64"/>
      <c r="M552" s="128" t="s">
        <v>604</v>
      </c>
      <c r="N552" s="64"/>
      <c r="O552" s="64"/>
      <c r="P552" s="147"/>
      <c r="Q552" s="147"/>
      <c r="R552" s="124"/>
      <c r="S552" s="124"/>
      <c r="T552" s="124"/>
      <c r="U552" s="75"/>
      <c r="V552" s="674">
        <f t="shared" si="101"/>
        <v>0</v>
      </c>
      <c r="W552" s="75"/>
      <c r="X552" s="75">
        <f t="shared" si="112"/>
        <v>2107142.8571428573</v>
      </c>
      <c r="Y552" s="75"/>
      <c r="Z552" s="75"/>
      <c r="AA552" s="75">
        <f t="shared" si="113"/>
        <v>2107142.8571428573</v>
      </c>
      <c r="AB552" s="75"/>
      <c r="AC552" s="75"/>
      <c r="AD552" s="75"/>
      <c r="AE552" s="592"/>
      <c r="AF552" s="348"/>
      <c r="AG552" s="510">
        <v>0</v>
      </c>
      <c r="AH552" s="370">
        <f t="shared" si="114"/>
        <v>4214285.7142857146</v>
      </c>
      <c r="AI552" s="75"/>
      <c r="AJ552" s="75"/>
      <c r="AK552" s="75"/>
      <c r="AL552" s="75"/>
      <c r="AM552" s="75"/>
      <c r="AN552" s="64"/>
      <c r="AO552" s="165"/>
      <c r="AP552" s="165"/>
      <c r="AQ552" s="413"/>
      <c r="AR552" s="64"/>
      <c r="AS552" s="475"/>
      <c r="AT552" s="64"/>
      <c r="AU552" s="646"/>
      <c r="AV552" s="1274"/>
    </row>
    <row r="553" spans="1:48" outlineLevel="4" x14ac:dyDescent="0.25">
      <c r="A553" s="63" t="str">
        <f t="shared" si="108"/>
        <v>1.3.0.9.39.58</v>
      </c>
      <c r="B553" s="64">
        <v>1</v>
      </c>
      <c r="C553" s="64">
        <v>3</v>
      </c>
      <c r="D553" s="64">
        <v>0</v>
      </c>
      <c r="E553" s="64">
        <v>9</v>
      </c>
      <c r="F553" s="64">
        <v>39</v>
      </c>
      <c r="G553" s="64">
        <v>58</v>
      </c>
      <c r="H553" s="65"/>
      <c r="I553" s="65"/>
      <c r="J553" s="65"/>
      <c r="K553" s="65" t="s">
        <v>1847</v>
      </c>
      <c r="L553" s="64"/>
      <c r="M553" s="128"/>
      <c r="N553" s="64"/>
      <c r="O553" s="64"/>
      <c r="P553" s="147"/>
      <c r="Q553" s="147"/>
      <c r="R553" s="124"/>
      <c r="S553" s="124"/>
      <c r="T553" s="124"/>
      <c r="U553" s="75"/>
      <c r="V553" s="674">
        <f t="shared" si="101"/>
        <v>0</v>
      </c>
      <c r="W553" s="75"/>
      <c r="X553" s="75"/>
      <c r="Y553" s="75"/>
      <c r="Z553" s="75"/>
      <c r="AA553" s="75"/>
      <c r="AB553" s="75"/>
      <c r="AC553" s="75"/>
      <c r="AD553" s="75"/>
      <c r="AE553" s="592"/>
      <c r="AF553" s="348"/>
      <c r="AG553" s="510">
        <v>0</v>
      </c>
      <c r="AH553" s="370">
        <v>0</v>
      </c>
      <c r="AI553" s="370"/>
      <c r="AJ553" s="370"/>
      <c r="AK553" s="75"/>
      <c r="AL553" s="75"/>
      <c r="AM553" s="75"/>
      <c r="AN553" s="64"/>
      <c r="AO553" s="165"/>
      <c r="AP553" s="165"/>
      <c r="AQ553" s="413"/>
      <c r="AR553" s="64"/>
      <c r="AS553" s="475"/>
      <c r="AT553" s="64"/>
      <c r="AU553" s="646"/>
      <c r="AV553" s="432"/>
    </row>
    <row r="554" spans="1:48" outlineLevel="4" x14ac:dyDescent="0.25">
      <c r="A554" s="63" t="str">
        <f t="shared" si="108"/>
        <v>1.3.0.9.39.59</v>
      </c>
      <c r="B554" s="64">
        <v>1</v>
      </c>
      <c r="C554" s="64">
        <v>3</v>
      </c>
      <c r="D554" s="64">
        <v>0</v>
      </c>
      <c r="E554" s="64">
        <v>9</v>
      </c>
      <c r="F554" s="64">
        <v>39</v>
      </c>
      <c r="G554" s="64">
        <v>59</v>
      </c>
      <c r="H554" s="65"/>
      <c r="I554" s="65"/>
      <c r="J554" s="65"/>
      <c r="K554" s="65" t="s">
        <v>1848</v>
      </c>
      <c r="L554" s="64"/>
      <c r="M554" s="128"/>
      <c r="N554" s="64"/>
      <c r="O554" s="64"/>
      <c r="P554" s="147"/>
      <c r="Q554" s="147"/>
      <c r="R554" s="124"/>
      <c r="S554" s="124"/>
      <c r="T554" s="124"/>
      <c r="U554" s="75"/>
      <c r="V554" s="674">
        <f t="shared" si="101"/>
        <v>0</v>
      </c>
      <c r="W554" s="75"/>
      <c r="X554" s="75"/>
      <c r="Y554" s="75"/>
      <c r="Z554" s="75"/>
      <c r="AA554" s="75"/>
      <c r="AB554" s="75"/>
      <c r="AC554" s="75"/>
      <c r="AD554" s="75"/>
      <c r="AE554" s="592"/>
      <c r="AF554" s="348"/>
      <c r="AG554" s="510">
        <v>0</v>
      </c>
      <c r="AH554" s="370">
        <v>0</v>
      </c>
      <c r="AI554" s="370"/>
      <c r="AJ554" s="370"/>
      <c r="AK554" s="75"/>
      <c r="AL554" s="75"/>
      <c r="AM554" s="75"/>
      <c r="AN554" s="64"/>
      <c r="AO554" s="165"/>
      <c r="AP554" s="165"/>
      <c r="AQ554" s="413"/>
      <c r="AR554" s="64"/>
      <c r="AS554" s="475"/>
      <c r="AT554" s="64"/>
      <c r="AU554" s="646"/>
      <c r="AV554" s="432"/>
    </row>
    <row r="555" spans="1:48" outlineLevel="4" x14ac:dyDescent="0.25">
      <c r="A555" s="63" t="str">
        <f t="shared" si="108"/>
        <v>1.3.0.9.39.60</v>
      </c>
      <c r="B555" s="64">
        <v>1</v>
      </c>
      <c r="C555" s="64">
        <v>3</v>
      </c>
      <c r="D555" s="64">
        <v>0</v>
      </c>
      <c r="E555" s="64">
        <v>9</v>
      </c>
      <c r="F555" s="64">
        <v>39</v>
      </c>
      <c r="G555" s="64">
        <v>60</v>
      </c>
      <c r="H555" s="65"/>
      <c r="I555" s="65"/>
      <c r="J555" s="65"/>
      <c r="K555" s="65" t="s">
        <v>1849</v>
      </c>
      <c r="L555" s="64"/>
      <c r="M555" s="128"/>
      <c r="N555" s="64"/>
      <c r="O555" s="64"/>
      <c r="P555" s="147"/>
      <c r="Q555" s="147"/>
      <c r="R555" s="124"/>
      <c r="S555" s="124"/>
      <c r="T555" s="124"/>
      <c r="U555" s="75"/>
      <c r="V555" s="674">
        <f t="shared" si="101"/>
        <v>0</v>
      </c>
      <c r="W555" s="75"/>
      <c r="X555" s="75"/>
      <c r="Y555" s="75"/>
      <c r="Z555" s="75"/>
      <c r="AA555" s="75"/>
      <c r="AB555" s="75"/>
      <c r="AC555" s="75"/>
      <c r="AD555" s="75"/>
      <c r="AE555" s="592"/>
      <c r="AF555" s="348"/>
      <c r="AG555" s="510">
        <v>0</v>
      </c>
      <c r="AH555" s="370">
        <v>0</v>
      </c>
      <c r="AI555" s="370"/>
      <c r="AJ555" s="370"/>
      <c r="AK555" s="75"/>
      <c r="AL555" s="75"/>
      <c r="AM555" s="75"/>
      <c r="AN555" s="64"/>
      <c r="AO555" s="165"/>
      <c r="AP555" s="165"/>
      <c r="AQ555" s="413"/>
      <c r="AR555" s="64"/>
      <c r="AS555" s="475"/>
      <c r="AT555" s="64"/>
      <c r="AU555" s="646"/>
      <c r="AV555" s="432"/>
    </row>
    <row r="556" spans="1:48" outlineLevel="4" x14ac:dyDescent="0.25">
      <c r="A556" s="63" t="str">
        <f t="shared" si="108"/>
        <v>1.3.0.9.39.61</v>
      </c>
      <c r="B556" s="64">
        <v>1</v>
      </c>
      <c r="C556" s="64">
        <v>3</v>
      </c>
      <c r="D556" s="64">
        <v>0</v>
      </c>
      <c r="E556" s="64">
        <v>9</v>
      </c>
      <c r="F556" s="64">
        <v>39</v>
      </c>
      <c r="G556" s="64">
        <v>61</v>
      </c>
      <c r="H556" s="65"/>
      <c r="I556" s="65"/>
      <c r="J556" s="65"/>
      <c r="K556" s="65" t="s">
        <v>1850</v>
      </c>
      <c r="L556" s="64"/>
      <c r="M556" s="128"/>
      <c r="N556" s="64"/>
      <c r="O556" s="64"/>
      <c r="P556" s="147"/>
      <c r="Q556" s="147"/>
      <c r="R556" s="124"/>
      <c r="S556" s="124"/>
      <c r="T556" s="124"/>
      <c r="U556" s="75"/>
      <c r="V556" s="674">
        <f t="shared" si="101"/>
        <v>0</v>
      </c>
      <c r="W556" s="75"/>
      <c r="X556" s="75"/>
      <c r="Y556" s="75"/>
      <c r="Z556" s="75"/>
      <c r="AA556" s="75"/>
      <c r="AB556" s="75"/>
      <c r="AC556" s="75"/>
      <c r="AD556" s="75"/>
      <c r="AE556" s="592"/>
      <c r="AF556" s="348"/>
      <c r="AG556" s="510">
        <v>0</v>
      </c>
      <c r="AH556" s="370">
        <v>0</v>
      </c>
      <c r="AI556" s="370"/>
      <c r="AJ556" s="370"/>
      <c r="AK556" s="75"/>
      <c r="AL556" s="75"/>
      <c r="AM556" s="75"/>
      <c r="AN556" s="64"/>
      <c r="AO556" s="165"/>
      <c r="AP556" s="165"/>
      <c r="AQ556" s="413"/>
      <c r="AR556" s="64"/>
      <c r="AS556" s="475"/>
      <c r="AT556" s="64"/>
      <c r="AU556" s="646"/>
      <c r="AV556" s="432"/>
    </row>
    <row r="557" spans="1:48" outlineLevel="4" x14ac:dyDescent="0.25">
      <c r="A557" s="63" t="str">
        <f t="shared" si="108"/>
        <v>1.3.0.9.39.62</v>
      </c>
      <c r="B557" s="64">
        <v>1</v>
      </c>
      <c r="C557" s="64">
        <v>3</v>
      </c>
      <c r="D557" s="64">
        <v>0</v>
      </c>
      <c r="E557" s="64">
        <v>9</v>
      </c>
      <c r="F557" s="64">
        <v>39</v>
      </c>
      <c r="G557" s="64">
        <v>62</v>
      </c>
      <c r="H557" s="65"/>
      <c r="I557" s="65"/>
      <c r="J557" s="65"/>
      <c r="K557" s="65" t="s">
        <v>1851</v>
      </c>
      <c r="L557" s="64"/>
      <c r="M557" s="128"/>
      <c r="N557" s="64"/>
      <c r="O557" s="64"/>
      <c r="P557" s="147"/>
      <c r="Q557" s="147"/>
      <c r="R557" s="124"/>
      <c r="S557" s="124"/>
      <c r="T557" s="124"/>
      <c r="U557" s="75"/>
      <c r="V557" s="674">
        <f t="shared" si="101"/>
        <v>0</v>
      </c>
      <c r="W557" s="75"/>
      <c r="X557" s="75"/>
      <c r="Y557" s="75"/>
      <c r="Z557" s="75"/>
      <c r="AA557" s="75"/>
      <c r="AB557" s="75"/>
      <c r="AC557" s="75"/>
      <c r="AD557" s="75"/>
      <c r="AE557" s="592"/>
      <c r="AF557" s="348"/>
      <c r="AG557" s="510">
        <v>0</v>
      </c>
      <c r="AH557" s="370">
        <v>0</v>
      </c>
      <c r="AI557" s="370"/>
      <c r="AJ557" s="370"/>
      <c r="AK557" s="75"/>
      <c r="AL557" s="75"/>
      <c r="AM557" s="75"/>
      <c r="AN557" s="64"/>
      <c r="AO557" s="165"/>
      <c r="AP557" s="165"/>
      <c r="AQ557" s="413"/>
      <c r="AR557" s="64"/>
      <c r="AS557" s="475"/>
      <c r="AT557" s="64"/>
      <c r="AU557" s="646"/>
      <c r="AV557" s="432"/>
    </row>
    <row r="558" spans="1:48" outlineLevel="4" x14ac:dyDescent="0.25">
      <c r="A558" s="63" t="str">
        <f t="shared" si="108"/>
        <v>1.3.0.9.39.63</v>
      </c>
      <c r="B558" s="64">
        <v>1</v>
      </c>
      <c r="C558" s="64">
        <v>3</v>
      </c>
      <c r="D558" s="64">
        <v>0</v>
      </c>
      <c r="E558" s="64">
        <v>9</v>
      </c>
      <c r="F558" s="64">
        <v>39</v>
      </c>
      <c r="G558" s="64">
        <v>63</v>
      </c>
      <c r="H558" s="65"/>
      <c r="I558" s="65"/>
      <c r="J558" s="65"/>
      <c r="K558" s="65" t="s">
        <v>1852</v>
      </c>
      <c r="L558" s="64"/>
      <c r="M558" s="128"/>
      <c r="N558" s="64"/>
      <c r="O558" s="64"/>
      <c r="P558" s="147"/>
      <c r="Q558" s="147"/>
      <c r="R558" s="124"/>
      <c r="S558" s="124"/>
      <c r="T558" s="124"/>
      <c r="U558" s="75"/>
      <c r="V558" s="674">
        <f t="shared" si="101"/>
        <v>0</v>
      </c>
      <c r="W558" s="75"/>
      <c r="X558" s="75"/>
      <c r="Y558" s="75"/>
      <c r="Z558" s="75"/>
      <c r="AA558" s="75"/>
      <c r="AB558" s="75"/>
      <c r="AC558" s="75"/>
      <c r="AD558" s="75"/>
      <c r="AE558" s="592"/>
      <c r="AF558" s="348"/>
      <c r="AG558" s="510">
        <v>0</v>
      </c>
      <c r="AH558" s="370">
        <v>0</v>
      </c>
      <c r="AI558" s="370"/>
      <c r="AJ558" s="370"/>
      <c r="AK558" s="75"/>
      <c r="AL558" s="75"/>
      <c r="AM558" s="75"/>
      <c r="AN558" s="64"/>
      <c r="AO558" s="165"/>
      <c r="AP558" s="165"/>
      <c r="AQ558" s="413"/>
      <c r="AR558" s="64"/>
      <c r="AS558" s="475"/>
      <c r="AT558" s="64"/>
      <c r="AU558" s="646"/>
      <c r="AV558" s="432"/>
    </row>
    <row r="559" spans="1:48" outlineLevel="4" x14ac:dyDescent="0.25">
      <c r="A559" s="63" t="str">
        <f t="shared" si="108"/>
        <v>1.3.0.9.39.64</v>
      </c>
      <c r="B559" s="64">
        <v>1</v>
      </c>
      <c r="C559" s="64">
        <v>3</v>
      </c>
      <c r="D559" s="64">
        <v>0</v>
      </c>
      <c r="E559" s="64">
        <v>9</v>
      </c>
      <c r="F559" s="64">
        <v>39</v>
      </c>
      <c r="G559" s="64">
        <v>64</v>
      </c>
      <c r="H559" s="65"/>
      <c r="I559" s="65"/>
      <c r="J559" s="65"/>
      <c r="K559" s="65" t="s">
        <v>1853</v>
      </c>
      <c r="L559" s="64"/>
      <c r="M559" s="128"/>
      <c r="N559" s="64"/>
      <c r="O559" s="64"/>
      <c r="P559" s="147"/>
      <c r="Q559" s="147"/>
      <c r="R559" s="124"/>
      <c r="S559" s="124"/>
      <c r="T559" s="124"/>
      <c r="U559" s="75"/>
      <c r="V559" s="674">
        <f t="shared" si="101"/>
        <v>0</v>
      </c>
      <c r="W559" s="75"/>
      <c r="X559" s="75"/>
      <c r="Y559" s="75"/>
      <c r="Z559" s="75"/>
      <c r="AA559" s="75"/>
      <c r="AB559" s="75"/>
      <c r="AC559" s="75"/>
      <c r="AD559" s="75"/>
      <c r="AE559" s="592"/>
      <c r="AF559" s="348"/>
      <c r="AG559" s="510">
        <v>0</v>
      </c>
      <c r="AH559" s="370">
        <v>0</v>
      </c>
      <c r="AI559" s="370"/>
      <c r="AJ559" s="370"/>
      <c r="AK559" s="75"/>
      <c r="AL559" s="75"/>
      <c r="AM559" s="75"/>
      <c r="AN559" s="64"/>
      <c r="AO559" s="165"/>
      <c r="AP559" s="165"/>
      <c r="AQ559" s="413"/>
      <c r="AR559" s="64"/>
      <c r="AS559" s="475"/>
      <c r="AT559" s="64"/>
      <c r="AU559" s="646"/>
      <c r="AV559" s="432"/>
    </row>
    <row r="560" spans="1:48" s="153" customFormat="1" ht="67.5" customHeight="1" outlineLevel="1" x14ac:dyDescent="0.25">
      <c r="A560" s="173" t="str">
        <f t="shared" si="108"/>
        <v>1.3.1.10.0.0</v>
      </c>
      <c r="B560" s="174">
        <v>1</v>
      </c>
      <c r="C560" s="174">
        <v>3</v>
      </c>
      <c r="D560" s="174">
        <v>1</v>
      </c>
      <c r="E560" s="174">
        <v>10</v>
      </c>
      <c r="F560" s="174">
        <v>0</v>
      </c>
      <c r="G560" s="174">
        <v>0</v>
      </c>
      <c r="H560" s="175"/>
      <c r="I560" s="175"/>
      <c r="J560" s="175" t="s">
        <v>611</v>
      </c>
      <c r="K560" s="176"/>
      <c r="L560" s="174" t="s">
        <v>612</v>
      </c>
      <c r="M560" s="174" t="s">
        <v>299</v>
      </c>
      <c r="N560" s="174" t="s">
        <v>613</v>
      </c>
      <c r="O560" s="174" t="s">
        <v>241</v>
      </c>
      <c r="P560" s="173"/>
      <c r="Q560" s="177"/>
      <c r="R560" s="177"/>
      <c r="S560" s="177"/>
      <c r="T560" s="177"/>
      <c r="U560" s="178">
        <f>SUM(U561:U566)</f>
        <v>571220.80000000005</v>
      </c>
      <c r="V560" s="678">
        <f>SUM(V561:V566)</f>
        <v>0</v>
      </c>
      <c r="W560" s="178"/>
      <c r="X560" s="178">
        <f>SUM(X561:X566)</f>
        <v>65000</v>
      </c>
      <c r="Y560" s="178"/>
      <c r="Z560" s="139"/>
      <c r="AA560" s="139">
        <f>SUM(AA561:AA566)</f>
        <v>65000</v>
      </c>
      <c r="AB560" s="139"/>
      <c r="AC560" s="139"/>
      <c r="AD560" s="139">
        <f>SUM(AD561:AD566)</f>
        <v>99666</v>
      </c>
      <c r="AE560" s="601"/>
      <c r="AF560" s="345"/>
      <c r="AG560" s="511">
        <f>SUM(AG561:AG566)</f>
        <v>35000</v>
      </c>
      <c r="AH560" s="369">
        <f>SUM(AH561:AH566)</f>
        <v>2284883.2000000002</v>
      </c>
      <c r="AI560" s="511">
        <f>SUM(AI561:AI566)</f>
        <v>0</v>
      </c>
      <c r="AJ560" s="511">
        <f>SUM(AJ561:AJ566)</f>
        <v>0</v>
      </c>
      <c r="AK560" s="61"/>
      <c r="AL560" s="61"/>
      <c r="AM560" s="61"/>
      <c r="AN560" s="174" t="s">
        <v>39</v>
      </c>
      <c r="AO560" s="174"/>
      <c r="AP560" s="174"/>
      <c r="AQ560" s="417"/>
      <c r="AR560" s="174"/>
      <c r="AS560" s="482"/>
      <c r="AT560" s="174"/>
      <c r="AU560" s="665"/>
      <c r="AV560" s="428" t="s">
        <v>1790</v>
      </c>
    </row>
    <row r="561" spans="1:48" ht="29.1" customHeight="1" outlineLevel="4" x14ac:dyDescent="0.25">
      <c r="A561" s="63" t="str">
        <f t="shared" si="108"/>
        <v>1.3.1.10.1.58-64</v>
      </c>
      <c r="B561" s="64">
        <v>1</v>
      </c>
      <c r="C561" s="64">
        <v>3</v>
      </c>
      <c r="D561" s="64">
        <v>1</v>
      </c>
      <c r="E561" s="64">
        <v>10</v>
      </c>
      <c r="F561" s="64">
        <v>1</v>
      </c>
      <c r="G561" s="64" t="s">
        <v>64</v>
      </c>
      <c r="H561" s="65"/>
      <c r="I561" s="65"/>
      <c r="J561" s="65"/>
      <c r="K561" s="67" t="s">
        <v>614</v>
      </c>
      <c r="L561" s="64" t="s">
        <v>612</v>
      </c>
      <c r="M561" s="68" t="s">
        <v>615</v>
      </c>
      <c r="N561" s="64" t="s">
        <v>613</v>
      </c>
      <c r="O561" s="64" t="s">
        <v>241</v>
      </c>
      <c r="P561" s="69">
        <v>44197</v>
      </c>
      <c r="Q561" s="69">
        <v>44255</v>
      </c>
      <c r="R561" s="64">
        <v>14</v>
      </c>
      <c r="S561" s="67" t="s">
        <v>616</v>
      </c>
      <c r="T561" s="64" t="s">
        <v>330</v>
      </c>
      <c r="U561" s="75"/>
      <c r="V561" s="674">
        <f>+AJ561</f>
        <v>0</v>
      </c>
      <c r="W561" s="75"/>
      <c r="X561" s="75"/>
      <c r="Y561" s="75"/>
      <c r="Z561" s="75"/>
      <c r="AA561" s="1400">
        <f>+AH566/4</f>
        <v>65000</v>
      </c>
      <c r="AB561" s="325"/>
      <c r="AC561" s="75"/>
      <c r="AD561" s="75">
        <v>8666</v>
      </c>
      <c r="AE561" s="592"/>
      <c r="AF561" s="259"/>
      <c r="AG561" s="506">
        <v>0</v>
      </c>
      <c r="AH561" s="370">
        <v>0</v>
      </c>
      <c r="AI561" s="75"/>
      <c r="AJ561" s="75"/>
      <c r="AK561" s="75"/>
      <c r="AL561" s="75"/>
      <c r="AM561" s="75"/>
      <c r="AN561" s="64" t="s">
        <v>39</v>
      </c>
      <c r="AO561" s="64"/>
      <c r="AP561" s="64"/>
      <c r="AQ561" s="189"/>
      <c r="AR561" s="64"/>
      <c r="AS561" s="476"/>
      <c r="AT561" s="64"/>
      <c r="AU561" s="646"/>
      <c r="AV561" s="443"/>
    </row>
    <row r="562" spans="1:48" ht="50.1" customHeight="1" outlineLevel="4" x14ac:dyDescent="0.25">
      <c r="A562" s="63" t="str">
        <f t="shared" si="108"/>
        <v>1.3.1.10.2.58-64</v>
      </c>
      <c r="B562" s="64">
        <v>1</v>
      </c>
      <c r="C562" s="64">
        <v>3</v>
      </c>
      <c r="D562" s="64">
        <v>1</v>
      </c>
      <c r="E562" s="64">
        <v>10</v>
      </c>
      <c r="F562" s="64">
        <v>2</v>
      </c>
      <c r="G562" s="64" t="s">
        <v>64</v>
      </c>
      <c r="H562" s="65"/>
      <c r="I562" s="65"/>
      <c r="J562" s="65"/>
      <c r="K562" s="67" t="s">
        <v>617</v>
      </c>
      <c r="L562" s="64" t="s">
        <v>612</v>
      </c>
      <c r="M562" s="68" t="s">
        <v>618</v>
      </c>
      <c r="N562" s="64" t="s">
        <v>613</v>
      </c>
      <c r="O562" s="64" t="s">
        <v>241</v>
      </c>
      <c r="P562" s="69">
        <v>44501</v>
      </c>
      <c r="Q562" s="69">
        <v>44803</v>
      </c>
      <c r="R562" s="64">
        <v>1</v>
      </c>
      <c r="S562" s="67" t="s">
        <v>619</v>
      </c>
      <c r="T562" s="64"/>
      <c r="U562" s="179">
        <v>506220.79999999999</v>
      </c>
      <c r="V562" s="674">
        <f t="shared" ref="V562:V578" si="115">+AJ562</f>
        <v>0</v>
      </c>
      <c r="W562" s="179"/>
      <c r="X562" s="179"/>
      <c r="Y562" s="179"/>
      <c r="Z562" s="75"/>
      <c r="AA562" s="1400"/>
      <c r="AB562" s="325"/>
      <c r="AC562" s="75"/>
      <c r="AD562" s="75">
        <f>+AA561*15%</f>
        <v>9750</v>
      </c>
      <c r="AE562" s="592"/>
      <c r="AF562" s="259"/>
      <c r="AG562" s="506">
        <v>0</v>
      </c>
      <c r="AH562" s="370">
        <v>2024883.2</v>
      </c>
      <c r="AI562" s="75"/>
      <c r="AJ562" s="75"/>
      <c r="AK562" s="75"/>
      <c r="AL562" s="75"/>
      <c r="AM562" s="75"/>
      <c r="AN562" s="64" t="s">
        <v>39</v>
      </c>
      <c r="AO562" s="64"/>
      <c r="AP562" s="64"/>
      <c r="AQ562" s="189"/>
      <c r="AR562" s="64"/>
      <c r="AS562" s="476"/>
      <c r="AT562" s="64"/>
      <c r="AU562" s="646"/>
      <c r="AV562" s="335" t="s">
        <v>620</v>
      </c>
    </row>
    <row r="563" spans="1:48" ht="37.35" customHeight="1" outlineLevel="4" x14ac:dyDescent="0.25">
      <c r="A563" s="63" t="str">
        <f t="shared" si="108"/>
        <v>1.3.1.10.3.58-64</v>
      </c>
      <c r="B563" s="64">
        <v>1</v>
      </c>
      <c r="C563" s="64">
        <v>3</v>
      </c>
      <c r="D563" s="64">
        <v>1</v>
      </c>
      <c r="E563" s="64">
        <v>10</v>
      </c>
      <c r="F563" s="64">
        <v>3</v>
      </c>
      <c r="G563" s="64" t="s">
        <v>64</v>
      </c>
      <c r="H563" s="65"/>
      <c r="I563" s="65"/>
      <c r="J563" s="65"/>
      <c r="K563" s="67" t="s">
        <v>621</v>
      </c>
      <c r="L563" s="64" t="s">
        <v>612</v>
      </c>
      <c r="M563" s="68" t="s">
        <v>622</v>
      </c>
      <c r="N563" s="68" t="s">
        <v>623</v>
      </c>
      <c r="O563" s="64" t="s">
        <v>241</v>
      </c>
      <c r="P563" s="69"/>
      <c r="Q563" s="69"/>
      <c r="R563" s="63"/>
      <c r="S563" s="63"/>
      <c r="T563" s="63"/>
      <c r="U563" s="75"/>
      <c r="V563" s="674">
        <f t="shared" si="115"/>
        <v>0</v>
      </c>
      <c r="W563" s="75"/>
      <c r="X563" s="75"/>
      <c r="Y563" s="75"/>
      <c r="Z563" s="75"/>
      <c r="AA563" s="1400"/>
      <c r="AB563" s="325"/>
      <c r="AC563" s="75"/>
      <c r="AD563" s="75">
        <f>+AA561*10%</f>
        <v>6500</v>
      </c>
      <c r="AE563" s="592"/>
      <c r="AF563" s="259"/>
      <c r="AG563" s="506">
        <v>0</v>
      </c>
      <c r="AH563" s="370">
        <v>0</v>
      </c>
      <c r="AI563" s="75"/>
      <c r="AJ563" s="75"/>
      <c r="AK563" s="75"/>
      <c r="AL563" s="75"/>
      <c r="AM563" s="75"/>
      <c r="AN563" s="64" t="s">
        <v>39</v>
      </c>
      <c r="AO563" s="64"/>
      <c r="AP563" s="64"/>
      <c r="AQ563" s="189"/>
      <c r="AR563" s="64"/>
      <c r="AS563" s="476"/>
      <c r="AT563" s="64"/>
      <c r="AU563" s="646"/>
      <c r="AV563" s="185"/>
    </row>
    <row r="564" spans="1:48" ht="29.1" customHeight="1" outlineLevel="4" x14ac:dyDescent="0.25">
      <c r="A564" s="63" t="str">
        <f t="shared" si="108"/>
        <v>1.3.1.10.4.58-64</v>
      </c>
      <c r="B564" s="64">
        <v>1</v>
      </c>
      <c r="C564" s="64">
        <v>3</v>
      </c>
      <c r="D564" s="64">
        <v>1</v>
      </c>
      <c r="E564" s="64">
        <v>10</v>
      </c>
      <c r="F564" s="64">
        <v>4</v>
      </c>
      <c r="G564" s="64" t="s">
        <v>64</v>
      </c>
      <c r="H564" s="65"/>
      <c r="I564" s="65"/>
      <c r="J564" s="65"/>
      <c r="K564" s="67" t="s">
        <v>624</v>
      </c>
      <c r="L564" s="64" t="s">
        <v>612</v>
      </c>
      <c r="M564" s="64" t="s">
        <v>625</v>
      </c>
      <c r="N564" s="68" t="s">
        <v>623</v>
      </c>
      <c r="O564" s="64" t="s">
        <v>241</v>
      </c>
      <c r="P564" s="69"/>
      <c r="Q564" s="69"/>
      <c r="R564" s="63"/>
      <c r="S564" s="63"/>
      <c r="T564" s="63"/>
      <c r="U564" s="75"/>
      <c r="V564" s="674">
        <f t="shared" si="115"/>
        <v>0</v>
      </c>
      <c r="W564" s="75"/>
      <c r="X564" s="75"/>
      <c r="Y564" s="75"/>
      <c r="Z564" s="75"/>
      <c r="AA564" s="1400"/>
      <c r="AB564" s="325"/>
      <c r="AC564" s="75"/>
      <c r="AD564" s="75">
        <f>+AA561*10%</f>
        <v>6500</v>
      </c>
      <c r="AE564" s="592"/>
      <c r="AF564" s="259"/>
      <c r="AG564" s="506">
        <v>0</v>
      </c>
      <c r="AH564" s="370">
        <v>0</v>
      </c>
      <c r="AI564" s="75"/>
      <c r="AJ564" s="75"/>
      <c r="AK564" s="75"/>
      <c r="AL564" s="75"/>
      <c r="AM564" s="75"/>
      <c r="AN564" s="64" t="s">
        <v>39</v>
      </c>
      <c r="AO564" s="64"/>
      <c r="AP564" s="64"/>
      <c r="AQ564" s="189"/>
      <c r="AR564" s="64"/>
      <c r="AS564" s="476"/>
      <c r="AT564" s="64"/>
      <c r="AU564" s="646"/>
      <c r="AV564" s="185"/>
    </row>
    <row r="565" spans="1:48" ht="43.35" customHeight="1" outlineLevel="4" x14ac:dyDescent="0.25">
      <c r="A565" s="63" t="str">
        <f t="shared" si="108"/>
        <v>1.3.1.10.5.58-64</v>
      </c>
      <c r="B565" s="64">
        <v>1</v>
      </c>
      <c r="C565" s="64">
        <v>3</v>
      </c>
      <c r="D565" s="64">
        <v>1</v>
      </c>
      <c r="E565" s="64">
        <v>10</v>
      </c>
      <c r="F565" s="64">
        <v>5</v>
      </c>
      <c r="G565" s="64" t="s">
        <v>64</v>
      </c>
      <c r="H565" s="65"/>
      <c r="I565" s="65"/>
      <c r="J565" s="65"/>
      <c r="K565" s="67" t="s">
        <v>626</v>
      </c>
      <c r="L565" s="64"/>
      <c r="M565" s="64"/>
      <c r="N565" s="68"/>
      <c r="O565" s="64"/>
      <c r="P565" s="69"/>
      <c r="Q565" s="69"/>
      <c r="R565" s="63"/>
      <c r="S565" s="63"/>
      <c r="T565" s="63"/>
      <c r="U565" s="75"/>
      <c r="V565" s="674">
        <f t="shared" si="115"/>
        <v>0</v>
      </c>
      <c r="W565" s="75"/>
      <c r="X565" s="75"/>
      <c r="Y565" s="75"/>
      <c r="Z565" s="75"/>
      <c r="AA565" s="1400"/>
      <c r="AB565" s="325"/>
      <c r="AC565" s="75"/>
      <c r="AD565" s="75">
        <f>+AA561*5%</f>
        <v>3250</v>
      </c>
      <c r="AE565" s="592"/>
      <c r="AF565" s="259"/>
      <c r="AG565" s="506">
        <v>0</v>
      </c>
      <c r="AH565" s="370">
        <v>0</v>
      </c>
      <c r="AI565" s="75"/>
      <c r="AJ565" s="75"/>
      <c r="AK565" s="75"/>
      <c r="AL565" s="75"/>
      <c r="AM565" s="75"/>
      <c r="AN565" s="64" t="s">
        <v>39</v>
      </c>
      <c r="AO565" s="64"/>
      <c r="AP565" s="64"/>
      <c r="AQ565" s="189"/>
      <c r="AR565" s="64"/>
      <c r="AS565" s="476"/>
      <c r="AT565" s="64"/>
      <c r="AU565" s="646"/>
      <c r="AV565" s="335" t="s">
        <v>627</v>
      </c>
    </row>
    <row r="566" spans="1:48" outlineLevel="4" x14ac:dyDescent="0.25">
      <c r="A566" s="63" t="str">
        <f t="shared" si="108"/>
        <v>1.3.1.10.6.58-64</v>
      </c>
      <c r="B566" s="64">
        <v>1</v>
      </c>
      <c r="C566" s="64">
        <v>3</v>
      </c>
      <c r="D566" s="64">
        <v>1</v>
      </c>
      <c r="E566" s="64">
        <v>10</v>
      </c>
      <c r="F566" s="64">
        <v>6</v>
      </c>
      <c r="G566" s="64" t="s">
        <v>64</v>
      </c>
      <c r="H566" s="65"/>
      <c r="I566" s="65"/>
      <c r="J566" s="65"/>
      <c r="K566" s="67" t="s">
        <v>628</v>
      </c>
      <c r="L566" s="64"/>
      <c r="M566" s="64"/>
      <c r="N566" s="68"/>
      <c r="O566" s="64"/>
      <c r="P566" s="69"/>
      <c r="Q566" s="69"/>
      <c r="R566" s="63"/>
      <c r="S566" s="63"/>
      <c r="T566" s="63"/>
      <c r="U566" s="75">
        <f>+AH566/4</f>
        <v>65000</v>
      </c>
      <c r="V566" s="674">
        <f t="shared" si="115"/>
        <v>0</v>
      </c>
      <c r="W566" s="75"/>
      <c r="X566" s="75">
        <f>+AH566/4</f>
        <v>65000</v>
      </c>
      <c r="Y566" s="75"/>
      <c r="Z566" s="75"/>
      <c r="AA566" s="1400"/>
      <c r="AB566" s="325"/>
      <c r="AC566" s="75"/>
      <c r="AD566" s="75">
        <f>+AH566/4</f>
        <v>65000</v>
      </c>
      <c r="AE566" s="592"/>
      <c r="AF566" s="259"/>
      <c r="AG566" s="504">
        <v>35000</v>
      </c>
      <c r="AH566" s="370">
        <v>260000</v>
      </c>
      <c r="AI566" s="75"/>
      <c r="AJ566" s="75"/>
      <c r="AK566" s="75"/>
      <c r="AL566" s="75"/>
      <c r="AM566" s="75"/>
      <c r="AN566" s="64" t="s">
        <v>39</v>
      </c>
      <c r="AO566" s="64" t="s">
        <v>649</v>
      </c>
      <c r="AP566" s="64" t="s">
        <v>649</v>
      </c>
      <c r="AQ566" s="533" t="s">
        <v>649</v>
      </c>
      <c r="AR566" s="554">
        <v>44562</v>
      </c>
      <c r="AS566" s="554">
        <v>44926</v>
      </c>
      <c r="AT566" s="64" t="s">
        <v>1814</v>
      </c>
      <c r="AU566" s="646"/>
      <c r="AV566" s="335" t="s">
        <v>1791</v>
      </c>
    </row>
    <row r="567" spans="1:48" s="180" customFormat="1" ht="66" customHeight="1" outlineLevel="1" x14ac:dyDescent="0.25">
      <c r="A567" s="173" t="str">
        <f t="shared" si="108"/>
        <v>1.3.1.11.0.0</v>
      </c>
      <c r="B567" s="174">
        <v>1</v>
      </c>
      <c r="C567" s="174">
        <v>3</v>
      </c>
      <c r="D567" s="174">
        <v>1</v>
      </c>
      <c r="E567" s="174">
        <v>11</v>
      </c>
      <c r="F567" s="174">
        <v>0</v>
      </c>
      <c r="G567" s="174">
        <v>0</v>
      </c>
      <c r="H567" s="175"/>
      <c r="I567" s="175"/>
      <c r="J567" s="175" t="s">
        <v>629</v>
      </c>
      <c r="K567" s="176"/>
      <c r="L567" s="81" t="s">
        <v>630</v>
      </c>
      <c r="M567" s="81" t="s">
        <v>562</v>
      </c>
      <c r="N567" s="81" t="s">
        <v>631</v>
      </c>
      <c r="O567" s="81" t="s">
        <v>241</v>
      </c>
      <c r="P567" s="114"/>
      <c r="Q567" s="114"/>
      <c r="R567" s="81"/>
      <c r="S567" s="114"/>
      <c r="T567" s="81"/>
      <c r="U567" s="61">
        <f t="shared" ref="U567:AG567" si="116">SUM(U568:U578)</f>
        <v>65000</v>
      </c>
      <c r="V567" s="675">
        <f t="shared" si="116"/>
        <v>0</v>
      </c>
      <c r="W567" s="61">
        <f t="shared" si="116"/>
        <v>0</v>
      </c>
      <c r="X567" s="61">
        <f t="shared" si="116"/>
        <v>65000</v>
      </c>
      <c r="Y567" s="61">
        <f t="shared" si="116"/>
        <v>0</v>
      </c>
      <c r="Z567" s="61">
        <f t="shared" si="116"/>
        <v>0</v>
      </c>
      <c r="AA567" s="61">
        <f t="shared" si="116"/>
        <v>65000</v>
      </c>
      <c r="AB567" s="61">
        <f t="shared" si="116"/>
        <v>0</v>
      </c>
      <c r="AC567" s="61">
        <f t="shared" si="116"/>
        <v>0</v>
      </c>
      <c r="AD567" s="61">
        <f t="shared" si="116"/>
        <v>65000</v>
      </c>
      <c r="AE567" s="61">
        <f t="shared" si="116"/>
        <v>0</v>
      </c>
      <c r="AF567" s="61">
        <f t="shared" si="116"/>
        <v>0</v>
      </c>
      <c r="AG567" s="61">
        <f t="shared" si="116"/>
        <v>35000</v>
      </c>
      <c r="AH567" s="369">
        <f>SUM(AH568:AH578)</f>
        <v>260000</v>
      </c>
      <c r="AI567" s="511">
        <f>SUM(AI568:AI578)</f>
        <v>0</v>
      </c>
      <c r="AJ567" s="511">
        <f>SUM(AJ568:AJ578)</f>
        <v>0</v>
      </c>
      <c r="AK567" s="61"/>
      <c r="AL567" s="61"/>
      <c r="AM567" s="61"/>
      <c r="AN567" s="81" t="s">
        <v>39</v>
      </c>
      <c r="AO567" s="81"/>
      <c r="AP567" s="81"/>
      <c r="AQ567" s="412"/>
      <c r="AR567" s="81"/>
      <c r="AS567" s="474"/>
      <c r="AT567" s="81"/>
      <c r="AU567" s="663"/>
      <c r="AV567" s="428" t="s">
        <v>1792</v>
      </c>
    </row>
    <row r="568" spans="1:48" ht="39.75" customHeight="1" outlineLevel="3" x14ac:dyDescent="0.25">
      <c r="A568" s="63" t="str">
        <f t="shared" si="108"/>
        <v>1.3.1.11.1.58-64</v>
      </c>
      <c r="B568" s="64">
        <v>1</v>
      </c>
      <c r="C568" s="64">
        <v>3</v>
      </c>
      <c r="D568" s="64">
        <v>1</v>
      </c>
      <c r="E568" s="64">
        <v>11</v>
      </c>
      <c r="F568" s="64">
        <v>1</v>
      </c>
      <c r="G568" s="64" t="s">
        <v>64</v>
      </c>
      <c r="H568" s="65"/>
      <c r="I568" s="65"/>
      <c r="J568" s="65"/>
      <c r="K568" s="67" t="s">
        <v>632</v>
      </c>
      <c r="L568" s="64" t="s">
        <v>630</v>
      </c>
      <c r="M568" s="68" t="s">
        <v>633</v>
      </c>
      <c r="N568" s="68" t="s">
        <v>631</v>
      </c>
      <c r="O568" s="64" t="s">
        <v>634</v>
      </c>
      <c r="P568" s="63">
        <v>43862</v>
      </c>
      <c r="Q568" s="63" t="s">
        <v>635</v>
      </c>
      <c r="R568" s="64">
        <v>1</v>
      </c>
      <c r="S568" s="67" t="s">
        <v>636</v>
      </c>
      <c r="T568" s="64"/>
      <c r="U568" s="75"/>
      <c r="V568" s="674">
        <f t="shared" si="115"/>
        <v>0</v>
      </c>
      <c r="W568" s="75"/>
      <c r="X568" s="75"/>
      <c r="Y568" s="75"/>
      <c r="Z568" s="75"/>
      <c r="AA568" s="75"/>
      <c r="AB568" s="75"/>
      <c r="AC568" s="75"/>
      <c r="AD568" s="75"/>
      <c r="AE568" s="592"/>
      <c r="AF568" s="259"/>
      <c r="AG568" s="510">
        <v>0</v>
      </c>
      <c r="AH568" s="370">
        <v>0</v>
      </c>
      <c r="AI568" s="75"/>
      <c r="AJ568" s="75"/>
      <c r="AK568" s="75"/>
      <c r="AL568" s="75"/>
      <c r="AM568" s="75"/>
      <c r="AN568" s="64" t="s">
        <v>39</v>
      </c>
      <c r="AO568" s="64"/>
      <c r="AP568" s="64"/>
      <c r="AQ568" s="189"/>
      <c r="AR568" s="64"/>
      <c r="AS568" s="476"/>
      <c r="AT568" s="64"/>
      <c r="AU568" s="646"/>
      <c r="AV568" s="185"/>
    </row>
    <row r="569" spans="1:48" ht="30" outlineLevel="3" x14ac:dyDescent="0.25">
      <c r="A569" s="63" t="str">
        <f t="shared" si="108"/>
        <v>1.3.1.11.2.58</v>
      </c>
      <c r="B569" s="64">
        <v>1</v>
      </c>
      <c r="C569" s="64">
        <v>3</v>
      </c>
      <c r="D569" s="64">
        <v>1</v>
      </c>
      <c r="E569" s="64">
        <v>11</v>
      </c>
      <c r="F569" s="64">
        <v>2</v>
      </c>
      <c r="G569" s="64">
        <v>58</v>
      </c>
      <c r="H569" s="65"/>
      <c r="I569" s="65"/>
      <c r="J569" s="65"/>
      <c r="K569" s="67" t="s">
        <v>637</v>
      </c>
      <c r="L569" s="64" t="s">
        <v>630</v>
      </c>
      <c r="M569" s="64" t="s">
        <v>562</v>
      </c>
      <c r="N569" s="68" t="s">
        <v>631</v>
      </c>
      <c r="O569" s="64" t="s">
        <v>241</v>
      </c>
      <c r="P569" s="63">
        <v>43800</v>
      </c>
      <c r="Q569" s="63">
        <v>44166</v>
      </c>
      <c r="R569" s="64">
        <v>1</v>
      </c>
      <c r="S569" s="67" t="s">
        <v>619</v>
      </c>
      <c r="T569" s="64"/>
      <c r="U569" s="75"/>
      <c r="V569" s="674">
        <f t="shared" si="115"/>
        <v>0</v>
      </c>
      <c r="W569" s="75"/>
      <c r="X569" s="75"/>
      <c r="Y569" s="75"/>
      <c r="Z569" s="75"/>
      <c r="AA569" s="75"/>
      <c r="AB569" s="75"/>
      <c r="AC569" s="75"/>
      <c r="AD569" s="75"/>
      <c r="AE569" s="592"/>
      <c r="AF569" s="259"/>
      <c r="AG569" s="510">
        <v>0</v>
      </c>
      <c r="AH569" s="370">
        <v>0</v>
      </c>
      <c r="AI569" s="75"/>
      <c r="AJ569" s="75"/>
      <c r="AK569" s="75"/>
      <c r="AL569" s="75"/>
      <c r="AM569" s="75"/>
      <c r="AN569" s="64" t="s">
        <v>39</v>
      </c>
      <c r="AO569" s="64"/>
      <c r="AP569" s="64"/>
      <c r="AQ569" s="189"/>
      <c r="AR569" s="64"/>
      <c r="AS569" s="476"/>
      <c r="AT569" s="64"/>
      <c r="AU569" s="646"/>
      <c r="AV569" s="443"/>
    </row>
    <row r="570" spans="1:48" ht="37.5" customHeight="1" outlineLevel="3" x14ac:dyDescent="0.25">
      <c r="A570" s="63" t="str">
        <f t="shared" si="108"/>
        <v>1.3.1.11.2.59</v>
      </c>
      <c r="B570" s="64">
        <v>1</v>
      </c>
      <c r="C570" s="64">
        <v>3</v>
      </c>
      <c r="D570" s="64">
        <v>1</v>
      </c>
      <c r="E570" s="64">
        <v>11</v>
      </c>
      <c r="F570" s="64">
        <v>2</v>
      </c>
      <c r="G570" s="64">
        <v>59</v>
      </c>
      <c r="H570" s="65"/>
      <c r="I570" s="65"/>
      <c r="J570" s="65"/>
      <c r="K570" s="67" t="s">
        <v>637</v>
      </c>
      <c r="L570" s="64"/>
      <c r="M570" s="64"/>
      <c r="N570" s="68"/>
      <c r="O570" s="64"/>
      <c r="P570" s="170"/>
      <c r="Q570" s="170"/>
      <c r="R570" s="64"/>
      <c r="S570" s="67"/>
      <c r="T570" s="64"/>
      <c r="U570" s="75"/>
      <c r="V570" s="674">
        <f t="shared" si="115"/>
        <v>0</v>
      </c>
      <c r="W570" s="75"/>
      <c r="X570" s="75"/>
      <c r="Y570" s="75"/>
      <c r="Z570" s="75"/>
      <c r="AA570" s="75"/>
      <c r="AB570" s="75"/>
      <c r="AC570" s="75"/>
      <c r="AD570" s="75"/>
      <c r="AE570" s="592"/>
      <c r="AF570" s="259"/>
      <c r="AG570" s="510">
        <v>0</v>
      </c>
      <c r="AH570" s="370">
        <v>0</v>
      </c>
      <c r="AI570" s="75"/>
      <c r="AJ570" s="75"/>
      <c r="AK570" s="75"/>
      <c r="AL570" s="75"/>
      <c r="AM570" s="75"/>
      <c r="AN570" s="64" t="s">
        <v>39</v>
      </c>
      <c r="AO570" s="64"/>
      <c r="AP570" s="64"/>
      <c r="AQ570" s="189"/>
      <c r="AR570" s="64"/>
      <c r="AS570" s="476"/>
      <c r="AT570" s="64"/>
      <c r="AU570" s="646"/>
      <c r="AV570" s="443"/>
    </row>
    <row r="571" spans="1:48" ht="37.5" customHeight="1" outlineLevel="3" x14ac:dyDescent="0.25">
      <c r="A571" s="63" t="str">
        <f t="shared" si="108"/>
        <v>1.3.1.11.2.60</v>
      </c>
      <c r="B571" s="64">
        <v>1</v>
      </c>
      <c r="C571" s="64">
        <v>3</v>
      </c>
      <c r="D571" s="64">
        <v>1</v>
      </c>
      <c r="E571" s="64">
        <v>11</v>
      </c>
      <c r="F571" s="64">
        <v>2</v>
      </c>
      <c r="G571" s="64">
        <v>60</v>
      </c>
      <c r="H571" s="65"/>
      <c r="I571" s="65"/>
      <c r="J571" s="65"/>
      <c r="K571" s="67" t="s">
        <v>637</v>
      </c>
      <c r="L571" s="64"/>
      <c r="M571" s="64"/>
      <c r="N571" s="68"/>
      <c r="O571" s="64"/>
      <c r="P571" s="170"/>
      <c r="Q571" s="170"/>
      <c r="R571" s="64"/>
      <c r="S571" s="67"/>
      <c r="T571" s="64"/>
      <c r="U571" s="75"/>
      <c r="V571" s="674">
        <f t="shared" si="115"/>
        <v>0</v>
      </c>
      <c r="W571" s="75"/>
      <c r="X571" s="75"/>
      <c r="Y571" s="75"/>
      <c r="Z571" s="75"/>
      <c r="AA571" s="75"/>
      <c r="AB571" s="75"/>
      <c r="AC571" s="75"/>
      <c r="AD571" s="75"/>
      <c r="AE571" s="592"/>
      <c r="AF571" s="259"/>
      <c r="AG571" s="510">
        <v>0</v>
      </c>
      <c r="AH571" s="370">
        <v>0</v>
      </c>
      <c r="AI571" s="75"/>
      <c r="AJ571" s="75"/>
      <c r="AK571" s="75"/>
      <c r="AL571" s="75"/>
      <c r="AM571" s="75"/>
      <c r="AN571" s="64" t="s">
        <v>39</v>
      </c>
      <c r="AO571" s="64"/>
      <c r="AP571" s="64"/>
      <c r="AQ571" s="189"/>
      <c r="AR571" s="64"/>
      <c r="AS571" s="476"/>
      <c r="AT571" s="64"/>
      <c r="AU571" s="646"/>
      <c r="AV571" s="443"/>
    </row>
    <row r="572" spans="1:48" ht="37.5" customHeight="1" outlineLevel="3" x14ac:dyDescent="0.25">
      <c r="A572" s="63" t="str">
        <f t="shared" si="108"/>
        <v>1.3.1.11.2.61</v>
      </c>
      <c r="B572" s="64">
        <v>1</v>
      </c>
      <c r="C572" s="64">
        <v>3</v>
      </c>
      <c r="D572" s="64">
        <v>1</v>
      </c>
      <c r="E572" s="64">
        <v>11</v>
      </c>
      <c r="F572" s="64">
        <v>2</v>
      </c>
      <c r="G572" s="64">
        <v>61</v>
      </c>
      <c r="H572" s="65"/>
      <c r="I572" s="65"/>
      <c r="J572" s="65"/>
      <c r="K572" s="67" t="s">
        <v>637</v>
      </c>
      <c r="L572" s="64"/>
      <c r="M572" s="64"/>
      <c r="N572" s="68"/>
      <c r="O572" s="64"/>
      <c r="P572" s="170"/>
      <c r="Q572" s="170"/>
      <c r="R572" s="64"/>
      <c r="S572" s="67"/>
      <c r="T572" s="64"/>
      <c r="U572" s="75"/>
      <c r="V572" s="674">
        <f t="shared" si="115"/>
        <v>0</v>
      </c>
      <c r="W572" s="75"/>
      <c r="X572" s="75"/>
      <c r="Y572" s="75"/>
      <c r="Z572" s="75"/>
      <c r="AA572" s="75"/>
      <c r="AB572" s="75"/>
      <c r="AC572" s="75"/>
      <c r="AD572" s="75"/>
      <c r="AE572" s="592"/>
      <c r="AF572" s="259"/>
      <c r="AG572" s="510">
        <v>0</v>
      </c>
      <c r="AH572" s="370">
        <v>0</v>
      </c>
      <c r="AI572" s="75"/>
      <c r="AJ572" s="75"/>
      <c r="AK572" s="75"/>
      <c r="AL572" s="75"/>
      <c r="AM572" s="75"/>
      <c r="AN572" s="64" t="s">
        <v>39</v>
      </c>
      <c r="AO572" s="64"/>
      <c r="AP572" s="64"/>
      <c r="AQ572" s="189"/>
      <c r="AR572" s="64"/>
      <c r="AS572" s="476"/>
      <c r="AT572" s="64"/>
      <c r="AU572" s="646"/>
      <c r="AV572" s="443"/>
    </row>
    <row r="573" spans="1:48" ht="37.5" customHeight="1" outlineLevel="3" x14ac:dyDescent="0.25">
      <c r="A573" s="63" t="str">
        <f t="shared" si="108"/>
        <v>1.3.1.11.2.62</v>
      </c>
      <c r="B573" s="64">
        <v>1</v>
      </c>
      <c r="C573" s="64">
        <v>3</v>
      </c>
      <c r="D573" s="64">
        <v>1</v>
      </c>
      <c r="E573" s="64">
        <v>11</v>
      </c>
      <c r="F573" s="64">
        <v>2</v>
      </c>
      <c r="G573" s="64">
        <v>62</v>
      </c>
      <c r="H573" s="65"/>
      <c r="I573" s="65"/>
      <c r="J573" s="65"/>
      <c r="K573" s="67" t="s">
        <v>637</v>
      </c>
      <c r="L573" s="64"/>
      <c r="M573" s="64"/>
      <c r="N573" s="68"/>
      <c r="O573" s="64"/>
      <c r="P573" s="170"/>
      <c r="Q573" s="170"/>
      <c r="R573" s="64"/>
      <c r="S573" s="67"/>
      <c r="T573" s="64"/>
      <c r="U573" s="75"/>
      <c r="V573" s="674">
        <f t="shared" si="115"/>
        <v>0</v>
      </c>
      <c r="W573" s="75"/>
      <c r="X573" s="75"/>
      <c r="Y573" s="75"/>
      <c r="Z573" s="75"/>
      <c r="AA573" s="75"/>
      <c r="AB573" s="75"/>
      <c r="AC573" s="75"/>
      <c r="AD573" s="75"/>
      <c r="AE573" s="592"/>
      <c r="AF573" s="259"/>
      <c r="AG573" s="510">
        <v>0</v>
      </c>
      <c r="AH573" s="370">
        <v>0</v>
      </c>
      <c r="AI573" s="75"/>
      <c r="AJ573" s="75"/>
      <c r="AK573" s="75"/>
      <c r="AL573" s="75"/>
      <c r="AM573" s="75"/>
      <c r="AN573" s="64" t="s">
        <v>39</v>
      </c>
      <c r="AO573" s="64"/>
      <c r="AP573" s="64"/>
      <c r="AQ573" s="189"/>
      <c r="AR573" s="64"/>
      <c r="AS573" s="476"/>
      <c r="AT573" s="64"/>
      <c r="AU573" s="646"/>
      <c r="AV573" s="443"/>
    </row>
    <row r="574" spans="1:48" ht="37.5" customHeight="1" outlineLevel="3" x14ac:dyDescent="0.25">
      <c r="A574" s="63" t="str">
        <f t="shared" si="108"/>
        <v>1.3.1.11.2.63</v>
      </c>
      <c r="B574" s="64">
        <v>1</v>
      </c>
      <c r="C574" s="64">
        <v>3</v>
      </c>
      <c r="D574" s="64">
        <v>1</v>
      </c>
      <c r="E574" s="64">
        <v>11</v>
      </c>
      <c r="F574" s="64">
        <v>2</v>
      </c>
      <c r="G574" s="64">
        <v>63</v>
      </c>
      <c r="H574" s="65"/>
      <c r="I574" s="65"/>
      <c r="J574" s="65"/>
      <c r="K574" s="67" t="s">
        <v>637</v>
      </c>
      <c r="L574" s="64"/>
      <c r="M574" s="64"/>
      <c r="N574" s="68"/>
      <c r="O574" s="64"/>
      <c r="P574" s="170"/>
      <c r="Q574" s="170"/>
      <c r="R574" s="64"/>
      <c r="S574" s="67"/>
      <c r="T574" s="64"/>
      <c r="U574" s="75"/>
      <c r="V574" s="674">
        <f t="shared" si="115"/>
        <v>0</v>
      </c>
      <c r="W574" s="75"/>
      <c r="X574" s="75"/>
      <c r="Y574" s="75"/>
      <c r="Z574" s="75"/>
      <c r="AA574" s="75"/>
      <c r="AB574" s="75"/>
      <c r="AC574" s="75"/>
      <c r="AD574" s="75"/>
      <c r="AE574" s="592"/>
      <c r="AF574" s="259"/>
      <c r="AG574" s="510">
        <v>0</v>
      </c>
      <c r="AH574" s="370">
        <v>0</v>
      </c>
      <c r="AI574" s="75"/>
      <c r="AJ574" s="75"/>
      <c r="AK574" s="75"/>
      <c r="AL574" s="75"/>
      <c r="AM574" s="75"/>
      <c r="AN574" s="64" t="s">
        <v>39</v>
      </c>
      <c r="AO574" s="64"/>
      <c r="AP574" s="64"/>
      <c r="AQ574" s="189"/>
      <c r="AR574" s="64"/>
      <c r="AS574" s="476"/>
      <c r="AT574" s="64"/>
      <c r="AU574" s="646"/>
      <c r="AV574" s="443"/>
    </row>
    <row r="575" spans="1:48" ht="37.5" customHeight="1" outlineLevel="3" x14ac:dyDescent="0.25">
      <c r="A575" s="63" t="str">
        <f t="shared" si="108"/>
        <v>1.3.1.11.2.64</v>
      </c>
      <c r="B575" s="64">
        <v>1</v>
      </c>
      <c r="C575" s="64">
        <v>3</v>
      </c>
      <c r="D575" s="64">
        <v>1</v>
      </c>
      <c r="E575" s="64">
        <v>11</v>
      </c>
      <c r="F575" s="64">
        <v>2</v>
      </c>
      <c r="G575" s="64">
        <v>64</v>
      </c>
      <c r="H575" s="65"/>
      <c r="I575" s="65"/>
      <c r="J575" s="65"/>
      <c r="K575" s="67" t="s">
        <v>637</v>
      </c>
      <c r="L575" s="64"/>
      <c r="M575" s="64"/>
      <c r="N575" s="68"/>
      <c r="O575" s="64"/>
      <c r="P575" s="170"/>
      <c r="Q575" s="170"/>
      <c r="R575" s="64"/>
      <c r="S575" s="67"/>
      <c r="T575" s="64"/>
      <c r="U575" s="75"/>
      <c r="V575" s="674">
        <f t="shared" si="115"/>
        <v>0</v>
      </c>
      <c r="W575" s="75"/>
      <c r="X575" s="75"/>
      <c r="Y575" s="75"/>
      <c r="Z575" s="75"/>
      <c r="AA575" s="75"/>
      <c r="AB575" s="75"/>
      <c r="AC575" s="75"/>
      <c r="AD575" s="75"/>
      <c r="AE575" s="592"/>
      <c r="AF575" s="259"/>
      <c r="AG575" s="510">
        <v>0</v>
      </c>
      <c r="AH575" s="370">
        <v>0</v>
      </c>
      <c r="AI575" s="75"/>
      <c r="AJ575" s="75"/>
      <c r="AK575" s="75"/>
      <c r="AL575" s="75"/>
      <c r="AM575" s="75"/>
      <c r="AN575" s="64" t="s">
        <v>39</v>
      </c>
      <c r="AO575" s="64"/>
      <c r="AP575" s="64"/>
      <c r="AQ575" s="189"/>
      <c r="AR575" s="64"/>
      <c r="AS575" s="476"/>
      <c r="AT575" s="64"/>
      <c r="AU575" s="646"/>
      <c r="AV575" s="443"/>
    </row>
    <row r="576" spans="1:48" ht="30" outlineLevel="3" x14ac:dyDescent="0.25">
      <c r="A576" s="63" t="str">
        <f t="shared" si="108"/>
        <v>1.3.1.11.3.58-64</v>
      </c>
      <c r="B576" s="64">
        <v>1</v>
      </c>
      <c r="C576" s="64">
        <v>3</v>
      </c>
      <c r="D576" s="64">
        <v>1</v>
      </c>
      <c r="E576" s="64">
        <v>11</v>
      </c>
      <c r="F576" s="64">
        <v>3</v>
      </c>
      <c r="G576" s="64" t="s">
        <v>64</v>
      </c>
      <c r="H576" s="65"/>
      <c r="I576" s="65"/>
      <c r="J576" s="65"/>
      <c r="K576" s="67" t="s">
        <v>638</v>
      </c>
      <c r="L576" s="64" t="s">
        <v>630</v>
      </c>
      <c r="M576" s="64" t="s">
        <v>299</v>
      </c>
      <c r="N576" s="68" t="s">
        <v>631</v>
      </c>
      <c r="O576" s="64" t="s">
        <v>359</v>
      </c>
      <c r="P576" s="63"/>
      <c r="Q576" s="63"/>
      <c r="R576" s="64">
        <v>7</v>
      </c>
      <c r="S576" s="67" t="s">
        <v>639</v>
      </c>
      <c r="T576" s="64"/>
      <c r="U576" s="75"/>
      <c r="V576" s="674">
        <f t="shared" si="115"/>
        <v>0</v>
      </c>
      <c r="W576" s="75"/>
      <c r="X576" s="75"/>
      <c r="Y576" s="75"/>
      <c r="Z576" s="75"/>
      <c r="AA576" s="75"/>
      <c r="AB576" s="75"/>
      <c r="AC576" s="75"/>
      <c r="AD576" s="75"/>
      <c r="AE576" s="592"/>
      <c r="AF576" s="259"/>
      <c r="AG576" s="510">
        <v>0</v>
      </c>
      <c r="AH576" s="370">
        <v>0</v>
      </c>
      <c r="AI576" s="75"/>
      <c r="AJ576" s="75"/>
      <c r="AK576" s="75"/>
      <c r="AL576" s="75"/>
      <c r="AM576" s="75"/>
      <c r="AN576" s="64" t="s">
        <v>39</v>
      </c>
      <c r="AO576" s="64"/>
      <c r="AP576" s="64"/>
      <c r="AQ576" s="189"/>
      <c r="AR576" s="64"/>
      <c r="AS576" s="476"/>
      <c r="AT576" s="64"/>
      <c r="AU576" s="646"/>
      <c r="AV576" s="443"/>
    </row>
    <row r="577" spans="1:48" ht="31.5" customHeight="1" outlineLevel="3" x14ac:dyDescent="0.25">
      <c r="A577" s="63" t="str">
        <f t="shared" si="108"/>
        <v>1.3.1.11.4.58-64</v>
      </c>
      <c r="B577" s="64">
        <v>1</v>
      </c>
      <c r="C577" s="64">
        <v>3</v>
      </c>
      <c r="D577" s="64">
        <v>1</v>
      </c>
      <c r="E577" s="64">
        <v>11</v>
      </c>
      <c r="F577" s="64">
        <v>4</v>
      </c>
      <c r="G577" s="64" t="s">
        <v>64</v>
      </c>
      <c r="H577" s="65"/>
      <c r="I577" s="65"/>
      <c r="J577" s="65"/>
      <c r="K577" s="67" t="s">
        <v>640</v>
      </c>
      <c r="L577" s="64" t="s">
        <v>630</v>
      </c>
      <c r="M577" s="64" t="s">
        <v>641</v>
      </c>
      <c r="N577" s="68" t="s">
        <v>631</v>
      </c>
      <c r="O577" s="64" t="s">
        <v>359</v>
      </c>
      <c r="P577" s="64"/>
      <c r="Q577" s="64"/>
      <c r="R577" s="64"/>
      <c r="S577" s="65"/>
      <c r="T577" s="64"/>
      <c r="U577" s="75"/>
      <c r="V577" s="674">
        <f t="shared" si="115"/>
        <v>0</v>
      </c>
      <c r="W577" s="75"/>
      <c r="X577" s="75"/>
      <c r="Y577" s="75"/>
      <c r="Z577" s="75"/>
      <c r="AA577" s="75"/>
      <c r="AB577" s="75"/>
      <c r="AC577" s="75"/>
      <c r="AD577" s="75"/>
      <c r="AE577" s="592"/>
      <c r="AF577" s="259"/>
      <c r="AG577" s="510">
        <v>0</v>
      </c>
      <c r="AH577" s="370">
        <v>0</v>
      </c>
      <c r="AI577" s="75"/>
      <c r="AJ577" s="75"/>
      <c r="AK577" s="75"/>
      <c r="AL577" s="75"/>
      <c r="AM577" s="75"/>
      <c r="AN577" s="64" t="s">
        <v>39</v>
      </c>
      <c r="AO577" s="64"/>
      <c r="AP577" s="64"/>
      <c r="AQ577" s="189"/>
      <c r="AR577" s="64"/>
      <c r="AS577" s="476"/>
      <c r="AT577" s="64"/>
      <c r="AU577" s="646"/>
      <c r="AV577" s="185"/>
    </row>
    <row r="578" spans="1:48" ht="39.6" customHeight="1" outlineLevel="4" x14ac:dyDescent="0.25">
      <c r="A578" s="63" t="str">
        <f t="shared" si="108"/>
        <v>1.3.1.11.5.58-64</v>
      </c>
      <c r="B578" s="64">
        <v>1</v>
      </c>
      <c r="C578" s="64">
        <v>3</v>
      </c>
      <c r="D578" s="64">
        <v>1</v>
      </c>
      <c r="E578" s="64">
        <v>11</v>
      </c>
      <c r="F578" s="64">
        <v>5</v>
      </c>
      <c r="G578" s="64" t="s">
        <v>64</v>
      </c>
      <c r="H578" s="65"/>
      <c r="I578" s="65"/>
      <c r="J578" s="65"/>
      <c r="K578" s="67" t="s">
        <v>628</v>
      </c>
      <c r="L578" s="64"/>
      <c r="M578" s="64"/>
      <c r="N578" s="68"/>
      <c r="O578" s="64"/>
      <c r="P578" s="69"/>
      <c r="Q578" s="69"/>
      <c r="R578" s="63"/>
      <c r="S578" s="63"/>
      <c r="T578" s="63"/>
      <c r="U578" s="75">
        <f>+AH578/4</f>
        <v>65000</v>
      </c>
      <c r="V578" s="674">
        <f t="shared" si="115"/>
        <v>0</v>
      </c>
      <c r="W578" s="75"/>
      <c r="X578" s="75">
        <f>+AH578/4</f>
        <v>65000</v>
      </c>
      <c r="Y578" s="75"/>
      <c r="Z578" s="75"/>
      <c r="AA578" s="75">
        <f>+AH578/4</f>
        <v>65000</v>
      </c>
      <c r="AB578" s="75"/>
      <c r="AC578" s="75"/>
      <c r="AD578" s="75">
        <f>+AH578/4</f>
        <v>65000</v>
      </c>
      <c r="AE578" s="592"/>
      <c r="AF578" s="259"/>
      <c r="AG578" s="510">
        <v>35000</v>
      </c>
      <c r="AH578" s="370">
        <v>260000</v>
      </c>
      <c r="AI578" s="75"/>
      <c r="AJ578" s="75"/>
      <c r="AK578" s="75"/>
      <c r="AL578" s="75"/>
      <c r="AM578" s="75"/>
      <c r="AN578" s="64" t="s">
        <v>39</v>
      </c>
      <c r="AO578" s="64" t="s">
        <v>649</v>
      </c>
      <c r="AP578" s="64" t="s">
        <v>649</v>
      </c>
      <c r="AQ578" s="533" t="s">
        <v>649</v>
      </c>
      <c r="AR578" s="554">
        <v>44562</v>
      </c>
      <c r="AS578" s="554">
        <v>44926</v>
      </c>
      <c r="AT578" s="64" t="s">
        <v>1814</v>
      </c>
      <c r="AU578" s="646"/>
      <c r="AV578" s="335" t="s">
        <v>1793</v>
      </c>
    </row>
    <row r="579" spans="1:48" s="153" customFormat="1" ht="25.5" customHeight="1" outlineLevel="1" x14ac:dyDescent="0.25">
      <c r="A579" s="173" t="str">
        <f t="shared" si="108"/>
        <v>1.3.0.12.0.0</v>
      </c>
      <c r="B579" s="174">
        <v>1</v>
      </c>
      <c r="C579" s="174">
        <v>3</v>
      </c>
      <c r="D579" s="174">
        <v>0</v>
      </c>
      <c r="E579" s="174">
        <v>12</v>
      </c>
      <c r="F579" s="174">
        <v>0</v>
      </c>
      <c r="G579" s="174">
        <v>0</v>
      </c>
      <c r="H579" s="175"/>
      <c r="I579" s="175"/>
      <c r="J579" s="175" t="s">
        <v>642</v>
      </c>
      <c r="K579" s="176"/>
      <c r="L579" s="81" t="s">
        <v>643</v>
      </c>
      <c r="M579" s="81" t="s">
        <v>644</v>
      </c>
      <c r="N579" s="81" t="s">
        <v>265</v>
      </c>
      <c r="O579" s="81" t="s">
        <v>645</v>
      </c>
      <c r="P579" s="115">
        <v>44571</v>
      </c>
      <c r="Q579" s="115">
        <v>44925</v>
      </c>
      <c r="R579" s="81">
        <f>+SUM(R580:R586)</f>
        <v>2891.5</v>
      </c>
      <c r="S579" s="114" t="s">
        <v>646</v>
      </c>
      <c r="T579" s="181">
        <f>+SUM(T580:T586)</f>
        <v>43372500</v>
      </c>
      <c r="U579" s="369">
        <f>+SUM(U580:U586)</f>
        <v>0</v>
      </c>
      <c r="V579" s="677">
        <f>+SUM(V580:V586)</f>
        <v>0</v>
      </c>
      <c r="W579" s="369">
        <f t="shared" ref="W579:AG579" si="117">+SUM(W580:W586)</f>
        <v>0</v>
      </c>
      <c r="X579" s="369">
        <f t="shared" si="117"/>
        <v>0</v>
      </c>
      <c r="Y579" s="369">
        <f t="shared" si="117"/>
        <v>0</v>
      </c>
      <c r="Z579" s="369">
        <f t="shared" si="117"/>
        <v>0</v>
      </c>
      <c r="AA579" s="369">
        <f t="shared" si="117"/>
        <v>0</v>
      </c>
      <c r="AB579" s="369">
        <f t="shared" si="117"/>
        <v>0</v>
      </c>
      <c r="AC579" s="369">
        <f t="shared" si="117"/>
        <v>43372500</v>
      </c>
      <c r="AD579" s="369">
        <f t="shared" si="117"/>
        <v>0</v>
      </c>
      <c r="AE579" s="369">
        <f t="shared" si="117"/>
        <v>0</v>
      </c>
      <c r="AF579" s="369">
        <f t="shared" si="117"/>
        <v>0</v>
      </c>
      <c r="AG579" s="369">
        <f t="shared" si="117"/>
        <v>171929255.68000001</v>
      </c>
      <c r="AH579" s="369">
        <f>+SUM(AH580:AH586)</f>
        <v>0</v>
      </c>
      <c r="AI579" s="511">
        <f>+SUM(AI580:AI586)</f>
        <v>0</v>
      </c>
      <c r="AJ579" s="511">
        <f>+SUM(AJ580:AJ586)</f>
        <v>0</v>
      </c>
      <c r="AK579" s="61"/>
      <c r="AL579" s="61"/>
      <c r="AM579" s="61"/>
      <c r="AN579" s="81" t="s">
        <v>181</v>
      </c>
      <c r="AO579" s="81"/>
      <c r="AP579" s="81"/>
      <c r="AQ579" s="412"/>
      <c r="AR579" s="81"/>
      <c r="AS579" s="474"/>
      <c r="AT579" s="81"/>
      <c r="AU579" s="663"/>
      <c r="AV579" s="430" t="s">
        <v>647</v>
      </c>
    </row>
    <row r="580" spans="1:48" ht="18.75" customHeight="1" outlineLevel="3" x14ac:dyDescent="0.25">
      <c r="A580" s="63" t="str">
        <f t="shared" si="108"/>
        <v>1.3.0.12.1.58</v>
      </c>
      <c r="B580" s="64">
        <v>1</v>
      </c>
      <c r="C580" s="64">
        <v>3</v>
      </c>
      <c r="D580" s="64">
        <v>0</v>
      </c>
      <c r="E580" s="64">
        <v>12</v>
      </c>
      <c r="F580" s="64">
        <v>1</v>
      </c>
      <c r="G580" s="100">
        <v>58</v>
      </c>
      <c r="H580" s="65"/>
      <c r="I580" s="65"/>
      <c r="J580" s="65"/>
      <c r="K580" s="65" t="s">
        <v>648</v>
      </c>
      <c r="L580" s="64" t="s">
        <v>72</v>
      </c>
      <c r="M580" s="64" t="s">
        <v>644</v>
      </c>
      <c r="N580" s="64" t="s">
        <v>265</v>
      </c>
      <c r="O580" s="64" t="s">
        <v>645</v>
      </c>
      <c r="P580" s="69">
        <v>44591</v>
      </c>
      <c r="Q580" s="69">
        <v>44925</v>
      </c>
      <c r="R580" s="136">
        <f>791/2</f>
        <v>395.5</v>
      </c>
      <c r="S580" s="65" t="s">
        <v>646</v>
      </c>
      <c r="T580" s="182">
        <f>+R580*5000*3</f>
        <v>5932500</v>
      </c>
      <c r="U580" s="370">
        <v>0</v>
      </c>
      <c r="V580" s="687">
        <v>0</v>
      </c>
      <c r="W580" s="183"/>
      <c r="X580" s="183"/>
      <c r="Y580" s="183"/>
      <c r="Z580" s="183"/>
      <c r="AA580" s="183"/>
      <c r="AB580" s="183"/>
      <c r="AC580" s="75">
        <f t="shared" ref="AC580:AC586" si="118">+R580*5000*3</f>
        <v>5932500</v>
      </c>
      <c r="AD580" s="75"/>
      <c r="AE580" s="592"/>
      <c r="AF580" s="259" t="s">
        <v>649</v>
      </c>
      <c r="AG580" s="504">
        <v>22460000</v>
      </c>
      <c r="AH580" s="370">
        <v>0</v>
      </c>
      <c r="AI580" s="75"/>
      <c r="AJ580" s="75"/>
      <c r="AK580" s="75"/>
      <c r="AL580" s="75"/>
      <c r="AM580" s="75"/>
      <c r="AN580" s="64" t="s">
        <v>181</v>
      </c>
      <c r="AO580" s="165"/>
      <c r="AP580" s="165"/>
      <c r="AQ580" s="413"/>
      <c r="AR580" s="64"/>
      <c r="AS580" s="475"/>
      <c r="AT580" s="64"/>
      <c r="AU580" s="646"/>
      <c r="AV580" s="1274" t="s">
        <v>650</v>
      </c>
    </row>
    <row r="581" spans="1:48" ht="18.75" customHeight="1" outlineLevel="3" x14ac:dyDescent="0.25">
      <c r="A581" s="63" t="str">
        <f t="shared" si="108"/>
        <v>1.3.0.12.2.59</v>
      </c>
      <c r="B581" s="64">
        <v>1</v>
      </c>
      <c r="C581" s="64">
        <v>3</v>
      </c>
      <c r="D581" s="64">
        <v>0</v>
      </c>
      <c r="E581" s="64">
        <v>12</v>
      </c>
      <c r="F581" s="64">
        <v>2</v>
      </c>
      <c r="G581" s="100">
        <v>59</v>
      </c>
      <c r="H581" s="65"/>
      <c r="I581" s="65"/>
      <c r="J581" s="65"/>
      <c r="K581" s="65" t="s">
        <v>651</v>
      </c>
      <c r="L581" s="64" t="s">
        <v>72</v>
      </c>
      <c r="M581" s="64" t="s">
        <v>644</v>
      </c>
      <c r="N581" s="64" t="s">
        <v>265</v>
      </c>
      <c r="O581" s="64" t="s">
        <v>645</v>
      </c>
      <c r="P581" s="69">
        <v>44591</v>
      </c>
      <c r="Q581" s="69">
        <v>44925</v>
      </c>
      <c r="R581" s="136">
        <f>511/2</f>
        <v>255.5</v>
      </c>
      <c r="S581" s="65" t="s">
        <v>646</v>
      </c>
      <c r="T581" s="182">
        <f t="shared" ref="T581:T586" si="119">+R581*5000*3</f>
        <v>3832500</v>
      </c>
      <c r="U581" s="370">
        <v>0</v>
      </c>
      <c r="V581" s="687">
        <v>0</v>
      </c>
      <c r="W581" s="183"/>
      <c r="X581" s="183"/>
      <c r="Y581" s="183"/>
      <c r="Z581" s="183"/>
      <c r="AA581" s="183"/>
      <c r="AB581" s="183"/>
      <c r="AC581" s="75">
        <f t="shared" si="118"/>
        <v>3832500</v>
      </c>
      <c r="AD581" s="75"/>
      <c r="AE581" s="592"/>
      <c r="AF581" s="259" t="s">
        <v>649</v>
      </c>
      <c r="AG581" s="504">
        <v>20750000</v>
      </c>
      <c r="AH581" s="370">
        <v>0</v>
      </c>
      <c r="AI581" s="75"/>
      <c r="AJ581" s="75"/>
      <c r="AK581" s="75"/>
      <c r="AL581" s="75"/>
      <c r="AM581" s="75"/>
      <c r="AN581" s="64" t="s">
        <v>181</v>
      </c>
      <c r="AO581" s="165"/>
      <c r="AP581" s="165"/>
      <c r="AQ581" s="413"/>
      <c r="AR581" s="64"/>
      <c r="AS581" s="475"/>
      <c r="AT581" s="64"/>
      <c r="AU581" s="646"/>
      <c r="AV581" s="1274"/>
    </row>
    <row r="582" spans="1:48" ht="18.75" customHeight="1" outlineLevel="3" x14ac:dyDescent="0.25">
      <c r="A582" s="63" t="str">
        <f t="shared" si="108"/>
        <v>1.3.0.12.3.63</v>
      </c>
      <c r="B582" s="64">
        <v>1</v>
      </c>
      <c r="C582" s="64">
        <v>3</v>
      </c>
      <c r="D582" s="64">
        <v>0</v>
      </c>
      <c r="E582" s="64">
        <v>12</v>
      </c>
      <c r="F582" s="64">
        <v>3</v>
      </c>
      <c r="G582" s="100">
        <v>63</v>
      </c>
      <c r="H582" s="65"/>
      <c r="I582" s="65"/>
      <c r="J582" s="65"/>
      <c r="K582" s="65" t="s">
        <v>652</v>
      </c>
      <c r="L582" s="64" t="s">
        <v>72</v>
      </c>
      <c r="M582" s="64" t="s">
        <v>644</v>
      </c>
      <c r="N582" s="64" t="s">
        <v>265</v>
      </c>
      <c r="O582" s="64" t="s">
        <v>645</v>
      </c>
      <c r="P582" s="69">
        <v>44591</v>
      </c>
      <c r="Q582" s="69">
        <v>44925</v>
      </c>
      <c r="R582" s="136">
        <f>549/2</f>
        <v>274.5</v>
      </c>
      <c r="S582" s="65" t="s">
        <v>646</v>
      </c>
      <c r="T582" s="182">
        <f t="shared" si="119"/>
        <v>4117500</v>
      </c>
      <c r="U582" s="370">
        <v>0</v>
      </c>
      <c r="V582" s="687">
        <v>0</v>
      </c>
      <c r="W582" s="183"/>
      <c r="X582" s="183"/>
      <c r="Y582" s="183"/>
      <c r="Z582" s="183"/>
      <c r="AA582" s="183"/>
      <c r="AB582" s="183"/>
      <c r="AC582" s="75">
        <f t="shared" si="118"/>
        <v>4117500</v>
      </c>
      <c r="AD582" s="75"/>
      <c r="AE582" s="592"/>
      <c r="AF582" s="259" t="s">
        <v>649</v>
      </c>
      <c r="AG582" s="504">
        <v>20940000</v>
      </c>
      <c r="AH582" s="370">
        <v>0</v>
      </c>
      <c r="AI582" s="75"/>
      <c r="AJ582" s="75"/>
      <c r="AK582" s="75"/>
      <c r="AL582" s="75"/>
      <c r="AM582" s="75"/>
      <c r="AN582" s="64" t="s">
        <v>181</v>
      </c>
      <c r="AO582" s="165"/>
      <c r="AP582" s="165"/>
      <c r="AQ582" s="413"/>
      <c r="AR582" s="64"/>
      <c r="AS582" s="475"/>
      <c r="AT582" s="64"/>
      <c r="AU582" s="646"/>
      <c r="AV582" s="1274"/>
    </row>
    <row r="583" spans="1:48" ht="18.75" customHeight="1" outlineLevel="3" x14ac:dyDescent="0.25">
      <c r="A583" s="63" t="str">
        <f t="shared" si="108"/>
        <v>1.3.0.12.4.64</v>
      </c>
      <c r="B583" s="64">
        <v>1</v>
      </c>
      <c r="C583" s="64">
        <v>3</v>
      </c>
      <c r="D583" s="64">
        <v>0</v>
      </c>
      <c r="E583" s="64">
        <v>12</v>
      </c>
      <c r="F583" s="64">
        <v>4</v>
      </c>
      <c r="G583" s="100">
        <v>64</v>
      </c>
      <c r="H583" s="65"/>
      <c r="I583" s="65"/>
      <c r="J583" s="65"/>
      <c r="K583" s="65" t="s">
        <v>653</v>
      </c>
      <c r="L583" s="64" t="s">
        <v>72</v>
      </c>
      <c r="M583" s="64" t="s">
        <v>644</v>
      </c>
      <c r="N583" s="64" t="s">
        <v>265</v>
      </c>
      <c r="O583" s="64" t="s">
        <v>645</v>
      </c>
      <c r="P583" s="69">
        <v>44591</v>
      </c>
      <c r="Q583" s="69">
        <v>44925</v>
      </c>
      <c r="R583" s="136">
        <f>565/2</f>
        <v>282.5</v>
      </c>
      <c r="S583" s="65" t="s">
        <v>646</v>
      </c>
      <c r="T583" s="182">
        <f t="shared" si="119"/>
        <v>4237500</v>
      </c>
      <c r="U583" s="370">
        <v>0</v>
      </c>
      <c r="V583" s="687">
        <v>0</v>
      </c>
      <c r="W583" s="183"/>
      <c r="X583" s="183"/>
      <c r="Y583" s="183"/>
      <c r="Z583" s="183"/>
      <c r="AA583" s="183"/>
      <c r="AB583" s="183"/>
      <c r="AC583" s="75">
        <f t="shared" si="118"/>
        <v>4237500</v>
      </c>
      <c r="AD583" s="75"/>
      <c r="AE583" s="592"/>
      <c r="AF583" s="259" t="s">
        <v>649</v>
      </c>
      <c r="AG583" s="504">
        <v>17900000</v>
      </c>
      <c r="AH583" s="370">
        <v>0</v>
      </c>
      <c r="AI583" s="75"/>
      <c r="AJ583" s="75"/>
      <c r="AK583" s="75"/>
      <c r="AL583" s="75"/>
      <c r="AM583" s="75"/>
      <c r="AN583" s="64" t="s">
        <v>181</v>
      </c>
      <c r="AO583" s="165"/>
      <c r="AP583" s="165"/>
      <c r="AQ583" s="413"/>
      <c r="AR583" s="64"/>
      <c r="AS583" s="475"/>
      <c r="AT583" s="64"/>
      <c r="AU583" s="646"/>
      <c r="AV583" s="1274"/>
    </row>
    <row r="584" spans="1:48" ht="18.75" customHeight="1" outlineLevel="3" x14ac:dyDescent="0.25">
      <c r="A584" s="63" t="str">
        <f t="shared" si="108"/>
        <v>1.3.0.12.5.61</v>
      </c>
      <c r="B584" s="64">
        <v>1</v>
      </c>
      <c r="C584" s="64">
        <v>3</v>
      </c>
      <c r="D584" s="64">
        <v>0</v>
      </c>
      <c r="E584" s="64">
        <v>12</v>
      </c>
      <c r="F584" s="64">
        <v>5</v>
      </c>
      <c r="G584" s="100">
        <v>61</v>
      </c>
      <c r="H584" s="65"/>
      <c r="I584" s="65"/>
      <c r="J584" s="65"/>
      <c r="K584" s="65" t="s">
        <v>654</v>
      </c>
      <c r="L584" s="64" t="s">
        <v>72</v>
      </c>
      <c r="M584" s="64" t="s">
        <v>644</v>
      </c>
      <c r="N584" s="64" t="s">
        <v>265</v>
      </c>
      <c r="O584" s="64" t="s">
        <v>645</v>
      </c>
      <c r="P584" s="69">
        <v>44591</v>
      </c>
      <c r="Q584" s="69">
        <v>44925</v>
      </c>
      <c r="R584" s="136">
        <f>1087/2</f>
        <v>543.5</v>
      </c>
      <c r="S584" s="65" t="s">
        <v>646</v>
      </c>
      <c r="T584" s="182">
        <f t="shared" si="119"/>
        <v>8152500</v>
      </c>
      <c r="U584" s="370">
        <v>0</v>
      </c>
      <c r="V584" s="687">
        <v>0</v>
      </c>
      <c r="W584" s="183"/>
      <c r="X584" s="183"/>
      <c r="Y584" s="183"/>
      <c r="Z584" s="183"/>
      <c r="AA584" s="183"/>
      <c r="AB584" s="183"/>
      <c r="AC584" s="75">
        <f t="shared" si="118"/>
        <v>8152500</v>
      </c>
      <c r="AD584" s="75"/>
      <c r="AE584" s="592"/>
      <c r="AF584" s="259" t="s">
        <v>649</v>
      </c>
      <c r="AG584" s="504">
        <v>32220000</v>
      </c>
      <c r="AH584" s="370">
        <v>0</v>
      </c>
      <c r="AI584" s="75"/>
      <c r="AJ584" s="75"/>
      <c r="AK584" s="75"/>
      <c r="AL584" s="75"/>
      <c r="AM584" s="75"/>
      <c r="AN584" s="64" t="s">
        <v>181</v>
      </c>
      <c r="AO584" s="165"/>
      <c r="AP584" s="165"/>
      <c r="AQ584" s="413"/>
      <c r="AR584" s="64"/>
      <c r="AS584" s="475"/>
      <c r="AT584" s="64"/>
      <c r="AU584" s="646"/>
      <c r="AV584" s="1274"/>
    </row>
    <row r="585" spans="1:48" ht="18.75" customHeight="1" outlineLevel="3" x14ac:dyDescent="0.25">
      <c r="A585" s="63" t="str">
        <f t="shared" si="108"/>
        <v>1.3.0.12.6.62</v>
      </c>
      <c r="B585" s="64">
        <v>1</v>
      </c>
      <c r="C585" s="64">
        <v>3</v>
      </c>
      <c r="D585" s="64">
        <v>0</v>
      </c>
      <c r="E585" s="64">
        <v>12</v>
      </c>
      <c r="F585" s="64">
        <v>6</v>
      </c>
      <c r="G585" s="100">
        <v>62</v>
      </c>
      <c r="H585" s="65"/>
      <c r="I585" s="65"/>
      <c r="J585" s="65"/>
      <c r="K585" s="65" t="s">
        <v>655</v>
      </c>
      <c r="L585" s="64" t="s">
        <v>72</v>
      </c>
      <c r="M585" s="64" t="s">
        <v>644</v>
      </c>
      <c r="N585" s="64" t="s">
        <v>265</v>
      </c>
      <c r="O585" s="64" t="s">
        <v>645</v>
      </c>
      <c r="P585" s="69">
        <v>44591</v>
      </c>
      <c r="Q585" s="69">
        <v>44925</v>
      </c>
      <c r="R585" s="136">
        <f>799/2</f>
        <v>399.5</v>
      </c>
      <c r="S585" s="65" t="s">
        <v>646</v>
      </c>
      <c r="T585" s="182">
        <f t="shared" si="119"/>
        <v>5992500</v>
      </c>
      <c r="U585" s="370">
        <v>0</v>
      </c>
      <c r="V585" s="687">
        <v>0</v>
      </c>
      <c r="W585" s="183"/>
      <c r="X585" s="183"/>
      <c r="Y585" s="183"/>
      <c r="Z585" s="183"/>
      <c r="AA585" s="183"/>
      <c r="AB585" s="183"/>
      <c r="AC585" s="75">
        <f t="shared" si="118"/>
        <v>5992500</v>
      </c>
      <c r="AD585" s="75"/>
      <c r="AE585" s="592"/>
      <c r="AF585" s="259" t="s">
        <v>649</v>
      </c>
      <c r="AG585" s="504">
        <v>32000000</v>
      </c>
      <c r="AH585" s="370">
        <v>0</v>
      </c>
      <c r="AI585" s="75"/>
      <c r="AJ585" s="75"/>
      <c r="AK585" s="75"/>
      <c r="AL585" s="75"/>
      <c r="AM585" s="75"/>
      <c r="AN585" s="64" t="s">
        <v>181</v>
      </c>
      <c r="AO585" s="165"/>
      <c r="AP585" s="165"/>
      <c r="AQ585" s="413"/>
      <c r="AR585" s="64"/>
      <c r="AS585" s="475"/>
      <c r="AT585" s="64"/>
      <c r="AU585" s="646"/>
      <c r="AV585" s="1274"/>
    </row>
    <row r="586" spans="1:48" ht="18.75" customHeight="1" outlineLevel="3" x14ac:dyDescent="0.25">
      <c r="A586" s="63" t="str">
        <f t="shared" si="108"/>
        <v>1.3.0.12.7.60</v>
      </c>
      <c r="B586" s="64">
        <v>1</v>
      </c>
      <c r="C586" s="64">
        <v>3</v>
      </c>
      <c r="D586" s="64">
        <v>0</v>
      </c>
      <c r="E586" s="64">
        <v>12</v>
      </c>
      <c r="F586" s="64">
        <v>7</v>
      </c>
      <c r="G586" s="100">
        <v>60</v>
      </c>
      <c r="H586" s="65"/>
      <c r="I586" s="65"/>
      <c r="J586" s="65"/>
      <c r="K586" s="65" t="s">
        <v>656</v>
      </c>
      <c r="L586" s="64" t="s">
        <v>72</v>
      </c>
      <c r="M586" s="64" t="s">
        <v>644</v>
      </c>
      <c r="N586" s="64" t="s">
        <v>265</v>
      </c>
      <c r="O586" s="64" t="s">
        <v>645</v>
      </c>
      <c r="P586" s="69">
        <v>44591</v>
      </c>
      <c r="Q586" s="69">
        <v>44925</v>
      </c>
      <c r="R586" s="136">
        <f>1481/2</f>
        <v>740.5</v>
      </c>
      <c r="S586" s="65" t="s">
        <v>646</v>
      </c>
      <c r="T586" s="182">
        <f t="shared" si="119"/>
        <v>11107500</v>
      </c>
      <c r="U586" s="370">
        <v>0</v>
      </c>
      <c r="V586" s="687">
        <v>0</v>
      </c>
      <c r="W586" s="183"/>
      <c r="X586" s="183"/>
      <c r="Y586" s="183"/>
      <c r="Z586" s="183"/>
      <c r="AA586" s="183"/>
      <c r="AB586" s="183"/>
      <c r="AC586" s="75">
        <f t="shared" si="118"/>
        <v>11107500</v>
      </c>
      <c r="AD586" s="75"/>
      <c r="AE586" s="592"/>
      <c r="AF586" s="259" t="s">
        <v>649</v>
      </c>
      <c r="AG586" s="504">
        <v>25659255.68</v>
      </c>
      <c r="AH586" s="370">
        <v>0</v>
      </c>
      <c r="AI586" s="75"/>
      <c r="AJ586" s="75"/>
      <c r="AK586" s="75"/>
      <c r="AL586" s="75"/>
      <c r="AM586" s="75"/>
      <c r="AN586" s="64" t="s">
        <v>181</v>
      </c>
      <c r="AO586" s="165"/>
      <c r="AP586" s="165"/>
      <c r="AQ586" s="413"/>
      <c r="AR586" s="64"/>
      <c r="AS586" s="475"/>
      <c r="AT586" s="64"/>
      <c r="AU586" s="646"/>
      <c r="AV586" s="1274"/>
    </row>
    <row r="587" spans="1:48" s="153" customFormat="1" ht="27" customHeight="1" outlineLevel="1" x14ac:dyDescent="0.25">
      <c r="A587" s="173" t="str">
        <f t="shared" si="108"/>
        <v>1.3.0.13.0.51</v>
      </c>
      <c r="B587" s="174">
        <v>1</v>
      </c>
      <c r="C587" s="174">
        <v>3</v>
      </c>
      <c r="D587" s="174">
        <v>0</v>
      </c>
      <c r="E587" s="174">
        <v>13</v>
      </c>
      <c r="F587" s="174">
        <v>0</v>
      </c>
      <c r="G587" s="174">
        <v>51</v>
      </c>
      <c r="H587" s="175"/>
      <c r="I587" s="175"/>
      <c r="J587" s="175" t="s">
        <v>657</v>
      </c>
      <c r="K587" s="176"/>
      <c r="L587" s="81" t="s">
        <v>236</v>
      </c>
      <c r="M587" s="81">
        <v>0</v>
      </c>
      <c r="N587" s="81">
        <v>0</v>
      </c>
      <c r="O587" s="81">
        <v>0</v>
      </c>
      <c r="P587" s="81"/>
      <c r="Q587" s="81"/>
      <c r="R587" s="119">
        <f>R591+R590+R589+R588</f>
        <v>0</v>
      </c>
      <c r="S587" s="120" t="s">
        <v>242</v>
      </c>
      <c r="T587" s="119">
        <f>T591+T590+T589+T588</f>
        <v>0</v>
      </c>
      <c r="U587" s="369">
        <f>+SUM(U588:U592)</f>
        <v>0</v>
      </c>
      <c r="V587" s="677">
        <f>+SUM(V588:V592)</f>
        <v>0</v>
      </c>
      <c r="W587" s="61">
        <f>W591+W590+W589+W588</f>
        <v>0</v>
      </c>
      <c r="X587" s="61"/>
      <c r="Y587" s="61"/>
      <c r="Z587" s="61">
        <f>Z591+Z590+Z589+Z588</f>
        <v>0</v>
      </c>
      <c r="AA587" s="61"/>
      <c r="AB587" s="61"/>
      <c r="AC587" s="61">
        <f>AC591+AC590+AC589+AC588</f>
        <v>0</v>
      </c>
      <c r="AD587" s="61"/>
      <c r="AE587" s="594"/>
      <c r="AF587" s="346">
        <f>AF589</f>
        <v>0</v>
      </c>
      <c r="AG587" s="511">
        <f>+SUM(AG588:AG592)</f>
        <v>0</v>
      </c>
      <c r="AH587" s="369">
        <f>+SUM(AH588:AH592)</f>
        <v>0</v>
      </c>
      <c r="AI587" s="511">
        <f>+SUM(AI588:AI592)</f>
        <v>0</v>
      </c>
      <c r="AJ587" s="511">
        <f>+SUM(AJ588:AJ592)</f>
        <v>0</v>
      </c>
      <c r="AK587" s="61"/>
      <c r="AL587" s="61"/>
      <c r="AM587" s="61"/>
      <c r="AN587" s="81" t="s">
        <v>181</v>
      </c>
      <c r="AO587" s="81"/>
      <c r="AP587" s="81"/>
      <c r="AQ587" s="412"/>
      <c r="AR587" s="81"/>
      <c r="AS587" s="474"/>
      <c r="AT587" s="81"/>
      <c r="AU587" s="663"/>
      <c r="AV587" s="444" t="s">
        <v>658</v>
      </c>
    </row>
    <row r="588" spans="1:48" outlineLevel="3" x14ac:dyDescent="0.25">
      <c r="A588" s="63" t="str">
        <f t="shared" si="108"/>
        <v>1.3.0.13.1.51</v>
      </c>
      <c r="B588" s="64">
        <v>1</v>
      </c>
      <c r="C588" s="64">
        <v>3</v>
      </c>
      <c r="D588" s="64">
        <v>0</v>
      </c>
      <c r="E588" s="64">
        <v>13</v>
      </c>
      <c r="F588" s="64">
        <v>1</v>
      </c>
      <c r="G588" s="189">
        <v>51</v>
      </c>
      <c r="H588" s="65"/>
      <c r="I588" s="65"/>
      <c r="J588" s="66"/>
      <c r="K588" s="185" t="s">
        <v>245</v>
      </c>
      <c r="L588" s="64" t="s">
        <v>246</v>
      </c>
      <c r="M588" s="64" t="s">
        <v>240</v>
      </c>
      <c r="N588" s="64" t="s">
        <v>247</v>
      </c>
      <c r="O588" s="64" t="s">
        <v>241</v>
      </c>
      <c r="P588" s="186"/>
      <c r="Q588" s="186"/>
      <c r="R588" s="186"/>
      <c r="S588" s="187" t="s">
        <v>248</v>
      </c>
      <c r="T588" s="186"/>
      <c r="U588" s="370">
        <v>0</v>
      </c>
      <c r="V588" s="687">
        <v>0</v>
      </c>
      <c r="W588" s="75"/>
      <c r="X588" s="75"/>
      <c r="Y588" s="75"/>
      <c r="Z588" s="75"/>
      <c r="AA588" s="75"/>
      <c r="AB588" s="75"/>
      <c r="AC588" s="75"/>
      <c r="AD588" s="75"/>
      <c r="AE588" s="592"/>
      <c r="AF588" s="355"/>
      <c r="AG588" s="510">
        <v>0</v>
      </c>
      <c r="AH588" s="370">
        <v>0</v>
      </c>
      <c r="AI588" s="75"/>
      <c r="AJ588" s="75"/>
      <c r="AK588" s="75"/>
      <c r="AL588" s="75"/>
      <c r="AM588" s="75"/>
      <c r="AN588" s="64" t="s">
        <v>181</v>
      </c>
      <c r="AO588" s="64"/>
      <c r="AP588" s="64"/>
      <c r="AQ588" s="189"/>
      <c r="AR588" s="64"/>
      <c r="AS588" s="476"/>
      <c r="AT588" s="64"/>
      <c r="AU588" s="646"/>
      <c r="AV588" s="185"/>
    </row>
    <row r="589" spans="1:48" outlineLevel="3" x14ac:dyDescent="0.25">
      <c r="A589" s="63" t="str">
        <f t="shared" si="108"/>
        <v>1.3.0.13.2.51</v>
      </c>
      <c r="B589" s="64">
        <v>1</v>
      </c>
      <c r="C589" s="64">
        <v>3</v>
      </c>
      <c r="D589" s="64">
        <v>0</v>
      </c>
      <c r="E589" s="64">
        <v>13</v>
      </c>
      <c r="F589" s="64">
        <v>2</v>
      </c>
      <c r="G589" s="189">
        <v>51</v>
      </c>
      <c r="H589" s="65"/>
      <c r="I589" s="65"/>
      <c r="J589" s="65"/>
      <c r="K589" s="185" t="s">
        <v>251</v>
      </c>
      <c r="L589" s="64" t="s">
        <v>246</v>
      </c>
      <c r="M589" s="64" t="s">
        <v>240</v>
      </c>
      <c r="N589" s="64" t="s">
        <v>247</v>
      </c>
      <c r="O589" s="64" t="s">
        <v>241</v>
      </c>
      <c r="P589" s="69"/>
      <c r="Q589" s="69"/>
      <c r="R589" s="188"/>
      <c r="S589" s="187" t="s">
        <v>248</v>
      </c>
      <c r="T589" s="186"/>
      <c r="U589" s="370">
        <v>0</v>
      </c>
      <c r="V589" s="687">
        <v>0</v>
      </c>
      <c r="W589" s="75"/>
      <c r="X589" s="75"/>
      <c r="Y589" s="75"/>
      <c r="Z589" s="75"/>
      <c r="AA589" s="75"/>
      <c r="AB589" s="75"/>
      <c r="AC589" s="75"/>
      <c r="AD589" s="75"/>
      <c r="AE589" s="592"/>
      <c r="AF589" s="355"/>
      <c r="AG589" s="510">
        <v>0</v>
      </c>
      <c r="AH589" s="370">
        <v>0</v>
      </c>
      <c r="AI589" s="75"/>
      <c r="AJ589" s="75"/>
      <c r="AK589" s="75"/>
      <c r="AL589" s="75"/>
      <c r="AM589" s="75"/>
      <c r="AN589" s="64" t="s">
        <v>181</v>
      </c>
      <c r="AO589" s="64"/>
      <c r="AP589" s="64"/>
      <c r="AQ589" s="189"/>
      <c r="AR589" s="64"/>
      <c r="AS589" s="476"/>
      <c r="AT589" s="64"/>
      <c r="AU589" s="646"/>
      <c r="AV589" s="185"/>
    </row>
    <row r="590" spans="1:48" outlineLevel="3" x14ac:dyDescent="0.25">
      <c r="A590" s="63" t="str">
        <f t="shared" si="108"/>
        <v>1.3.0.13.3.51</v>
      </c>
      <c r="B590" s="64">
        <v>1</v>
      </c>
      <c r="C590" s="64">
        <v>3</v>
      </c>
      <c r="D590" s="64">
        <v>0</v>
      </c>
      <c r="E590" s="64">
        <v>13</v>
      </c>
      <c r="F590" s="64">
        <v>3</v>
      </c>
      <c r="G590" s="189">
        <v>51</v>
      </c>
      <c r="H590" s="65"/>
      <c r="I590" s="65"/>
      <c r="J590" s="66"/>
      <c r="K590" s="185" t="s">
        <v>255</v>
      </c>
      <c r="L590" s="64" t="s">
        <v>246</v>
      </c>
      <c r="M590" s="64" t="s">
        <v>256</v>
      </c>
      <c r="N590" s="64" t="s">
        <v>257</v>
      </c>
      <c r="O590" s="64" t="s">
        <v>241</v>
      </c>
      <c r="P590" s="69"/>
      <c r="Q590" s="190"/>
      <c r="R590" s="186"/>
      <c r="S590" s="187" t="s">
        <v>258</v>
      </c>
      <c r="T590" s="186"/>
      <c r="U590" s="370">
        <v>0</v>
      </c>
      <c r="V590" s="687">
        <v>0</v>
      </c>
      <c r="W590" s="75"/>
      <c r="X590" s="75"/>
      <c r="Y590" s="75"/>
      <c r="Z590" s="75"/>
      <c r="AA590" s="75"/>
      <c r="AB590" s="75"/>
      <c r="AC590" s="75"/>
      <c r="AD590" s="75"/>
      <c r="AE590" s="592"/>
      <c r="AF590" s="356"/>
      <c r="AG590" s="510">
        <v>0</v>
      </c>
      <c r="AH590" s="370">
        <v>0</v>
      </c>
      <c r="AI590" s="75"/>
      <c r="AJ590" s="75"/>
      <c r="AK590" s="75"/>
      <c r="AL590" s="75"/>
      <c r="AM590" s="75"/>
      <c r="AN590" s="64" t="s">
        <v>181</v>
      </c>
      <c r="AO590" s="64" t="s">
        <v>1839</v>
      </c>
      <c r="AP590" s="64" t="s">
        <v>649</v>
      </c>
      <c r="AQ590" s="533" t="s">
        <v>649</v>
      </c>
      <c r="AR590" s="554">
        <v>44562</v>
      </c>
      <c r="AS590" s="554">
        <v>44561</v>
      </c>
      <c r="AT590" s="64" t="s">
        <v>1814</v>
      </c>
      <c r="AU590" s="646"/>
      <c r="AV590" s="335"/>
    </row>
    <row r="591" spans="1:48" outlineLevel="3" x14ac:dyDescent="0.25">
      <c r="A591" s="63" t="str">
        <f t="shared" si="108"/>
        <v>1.3.0.13.4.51</v>
      </c>
      <c r="B591" s="64">
        <v>1</v>
      </c>
      <c r="C591" s="64">
        <v>3</v>
      </c>
      <c r="D591" s="64">
        <v>0</v>
      </c>
      <c r="E591" s="64">
        <v>13</v>
      </c>
      <c r="F591" s="64">
        <v>4</v>
      </c>
      <c r="G591" s="189">
        <v>51</v>
      </c>
      <c r="H591" s="65"/>
      <c r="I591" s="65"/>
      <c r="J591" s="66"/>
      <c r="K591" s="185" t="s">
        <v>263</v>
      </c>
      <c r="L591" s="64" t="s">
        <v>264</v>
      </c>
      <c r="M591" s="64" t="s">
        <v>144</v>
      </c>
      <c r="N591" s="64" t="s">
        <v>265</v>
      </c>
      <c r="O591" s="64" t="s">
        <v>266</v>
      </c>
      <c r="P591" s="69"/>
      <c r="Q591" s="69"/>
      <c r="R591" s="186"/>
      <c r="S591" s="187" t="s">
        <v>258</v>
      </c>
      <c r="T591" s="186"/>
      <c r="U591" s="370">
        <v>0</v>
      </c>
      <c r="V591" s="687">
        <v>0</v>
      </c>
      <c r="W591" s="75"/>
      <c r="X591" s="75"/>
      <c r="Y591" s="75"/>
      <c r="Z591" s="75"/>
      <c r="AA591" s="75"/>
      <c r="AB591" s="75"/>
      <c r="AC591" s="75"/>
      <c r="AD591" s="75"/>
      <c r="AE591" s="592"/>
      <c r="AF591" s="355"/>
      <c r="AG591" s="510">
        <v>0</v>
      </c>
      <c r="AH591" s="370">
        <v>0</v>
      </c>
      <c r="AI591" s="75"/>
      <c r="AJ591" s="75"/>
      <c r="AK591" s="75"/>
      <c r="AL591" s="75"/>
      <c r="AM591" s="75"/>
      <c r="AN591" s="64" t="s">
        <v>181</v>
      </c>
      <c r="AO591" s="64"/>
      <c r="AP591" s="64"/>
      <c r="AQ591" s="189"/>
      <c r="AR591" s="64"/>
      <c r="AS591" s="476"/>
      <c r="AT591" s="64"/>
      <c r="AU591" s="646"/>
      <c r="AV591" s="185"/>
    </row>
    <row r="592" spans="1:48" ht="30" outlineLevel="3" x14ac:dyDescent="0.25">
      <c r="A592" s="63" t="str">
        <f t="shared" si="108"/>
        <v>1.3.0.13.5.51</v>
      </c>
      <c r="B592" s="191">
        <v>1</v>
      </c>
      <c r="C592" s="191">
        <v>3</v>
      </c>
      <c r="D592" s="191">
        <v>0</v>
      </c>
      <c r="E592" s="191">
        <v>13</v>
      </c>
      <c r="F592" s="191">
        <v>5</v>
      </c>
      <c r="G592" s="192">
        <v>51</v>
      </c>
      <c r="H592" s="65"/>
      <c r="I592" s="65"/>
      <c r="J592" s="66"/>
      <c r="K592" s="137" t="s">
        <v>659</v>
      </c>
      <c r="L592" s="64"/>
      <c r="M592" s="64"/>
      <c r="N592" s="64"/>
      <c r="O592" s="64"/>
      <c r="P592" s="186"/>
      <c r="Q592" s="186"/>
      <c r="R592" s="186"/>
      <c r="S592" s="187"/>
      <c r="T592" s="186"/>
      <c r="U592" s="370">
        <v>0</v>
      </c>
      <c r="V592" s="687">
        <v>0</v>
      </c>
      <c r="W592" s="75"/>
      <c r="X592" s="75"/>
      <c r="Y592" s="75"/>
      <c r="Z592" s="75"/>
      <c r="AA592" s="75"/>
      <c r="AB592" s="75"/>
      <c r="AC592" s="75"/>
      <c r="AD592" s="75"/>
      <c r="AE592" s="592"/>
      <c r="AF592" s="355"/>
      <c r="AG592" s="510">
        <v>0</v>
      </c>
      <c r="AH592" s="370">
        <v>0</v>
      </c>
      <c r="AI592" s="75"/>
      <c r="AJ592" s="75"/>
      <c r="AK592" s="75"/>
      <c r="AL592" s="75"/>
      <c r="AM592" s="75"/>
      <c r="AN592" s="64" t="s">
        <v>181</v>
      </c>
      <c r="AO592" s="64"/>
      <c r="AP592" s="64"/>
      <c r="AQ592" s="189"/>
      <c r="AR592" s="64"/>
      <c r="AS592" s="476"/>
      <c r="AT592" s="64"/>
      <c r="AU592" s="646"/>
      <c r="AV592" s="185"/>
    </row>
    <row r="593" spans="1:48" s="153" customFormat="1" ht="27" customHeight="1" outlineLevel="1" x14ac:dyDescent="0.25">
      <c r="A593" s="148" t="str">
        <f t="shared" si="108"/>
        <v>1.3.0.14.0.1</v>
      </c>
      <c r="B593" s="82">
        <v>1</v>
      </c>
      <c r="C593" s="82">
        <v>3</v>
      </c>
      <c r="D593" s="82">
        <v>0</v>
      </c>
      <c r="E593" s="82">
        <v>14</v>
      </c>
      <c r="F593" s="82">
        <v>0</v>
      </c>
      <c r="G593" s="193">
        <v>1</v>
      </c>
      <c r="H593" s="149"/>
      <c r="I593" s="149"/>
      <c r="J593" s="1260" t="s">
        <v>660</v>
      </c>
      <c r="K593" s="1260"/>
      <c r="L593" s="82" t="s">
        <v>236</v>
      </c>
      <c r="M593" s="82">
        <v>0</v>
      </c>
      <c r="N593" s="82">
        <v>0</v>
      </c>
      <c r="O593" s="82">
        <v>0</v>
      </c>
      <c r="P593" s="82"/>
      <c r="Q593" s="82"/>
      <c r="R593" s="150"/>
      <c r="S593" s="151" t="s">
        <v>242</v>
      </c>
      <c r="T593" s="150"/>
      <c r="U593" s="379">
        <f>SUM(U594:U598)</f>
        <v>0</v>
      </c>
      <c r="V593" s="682">
        <f>SUM(V594:V598)</f>
        <v>0</v>
      </c>
      <c r="W593" s="152"/>
      <c r="X593" s="152"/>
      <c r="Y593" s="152"/>
      <c r="Z593" s="152"/>
      <c r="AA593" s="152"/>
      <c r="AB593" s="152"/>
      <c r="AC593" s="152"/>
      <c r="AD593" s="152"/>
      <c r="AE593" s="597"/>
      <c r="AF593" s="351"/>
      <c r="AG593" s="512">
        <f>SUM(AG594:AG598)</f>
        <v>0</v>
      </c>
      <c r="AH593" s="379">
        <f>SUM(AH594:AH598)</f>
        <v>0</v>
      </c>
      <c r="AI593" s="512">
        <f>SUM(AI594:AI598)</f>
        <v>0</v>
      </c>
      <c r="AJ593" s="512">
        <f>SUM(AJ594:AJ598)</f>
        <v>0</v>
      </c>
      <c r="AK593" s="152"/>
      <c r="AL593" s="152"/>
      <c r="AM593" s="152"/>
      <c r="AN593" s="82" t="s">
        <v>181</v>
      </c>
      <c r="AO593" s="82"/>
      <c r="AP593" s="82"/>
      <c r="AQ593" s="365"/>
      <c r="AR593" s="82"/>
      <c r="AS593" s="483"/>
      <c r="AT593" s="82"/>
      <c r="AU593" s="666"/>
      <c r="AV593" s="444" t="s">
        <v>658</v>
      </c>
    </row>
    <row r="594" spans="1:48" outlineLevel="2" x14ac:dyDescent="0.25">
      <c r="A594" s="63" t="str">
        <f t="shared" si="108"/>
        <v>1.3.0.14.1.1</v>
      </c>
      <c r="B594" s="64">
        <v>1</v>
      </c>
      <c r="C594" s="64">
        <v>3</v>
      </c>
      <c r="D594" s="64">
        <v>0</v>
      </c>
      <c r="E594" s="64">
        <v>14</v>
      </c>
      <c r="F594" s="64">
        <v>1</v>
      </c>
      <c r="G594" s="194">
        <v>1</v>
      </c>
      <c r="H594" s="65"/>
      <c r="I594" s="65"/>
      <c r="J594" s="66"/>
      <c r="K594" s="65" t="s">
        <v>245</v>
      </c>
      <c r="L594" s="64" t="s">
        <v>246</v>
      </c>
      <c r="M594" s="64" t="s">
        <v>240</v>
      </c>
      <c r="N594" s="64" t="s">
        <v>247</v>
      </c>
      <c r="O594" s="64" t="s">
        <v>241</v>
      </c>
      <c r="P594" s="64"/>
      <c r="Q594" s="64"/>
      <c r="R594" s="124"/>
      <c r="S594" s="123" t="s">
        <v>248</v>
      </c>
      <c r="T594" s="124">
        <v>0</v>
      </c>
      <c r="U594" s="370">
        <v>0</v>
      </c>
      <c r="V594" s="687">
        <v>0</v>
      </c>
      <c r="W594" s="75"/>
      <c r="X594" s="75"/>
      <c r="Y594" s="75"/>
      <c r="Z594" s="75"/>
      <c r="AA594" s="75"/>
      <c r="AB594" s="75"/>
      <c r="AC594" s="75"/>
      <c r="AD594" s="75"/>
      <c r="AE594" s="592"/>
      <c r="AF594" s="347"/>
      <c r="AG594" s="510">
        <v>0</v>
      </c>
      <c r="AH594" s="370">
        <v>0</v>
      </c>
      <c r="AI594" s="75"/>
      <c r="AJ594" s="75"/>
      <c r="AK594" s="75"/>
      <c r="AL594" s="75"/>
      <c r="AM594" s="75"/>
      <c r="AN594" s="171" t="s">
        <v>181</v>
      </c>
      <c r="AO594" s="171"/>
      <c r="AP594" s="171"/>
      <c r="AQ594" s="418"/>
      <c r="AS594" s="484"/>
      <c r="AV594" s="185"/>
    </row>
    <row r="595" spans="1:48" outlineLevel="2" x14ac:dyDescent="0.25">
      <c r="A595" s="63" t="str">
        <f t="shared" si="108"/>
        <v>1.3.0.14.2.1</v>
      </c>
      <c r="B595" s="64">
        <v>1</v>
      </c>
      <c r="C595" s="64">
        <v>3</v>
      </c>
      <c r="D595" s="64">
        <v>0</v>
      </c>
      <c r="E595" s="64">
        <v>14</v>
      </c>
      <c r="F595" s="64">
        <v>2</v>
      </c>
      <c r="G595" s="194">
        <v>1</v>
      </c>
      <c r="H595" s="65"/>
      <c r="I595" s="65"/>
      <c r="J595" s="65"/>
      <c r="K595" s="65" t="s">
        <v>251</v>
      </c>
      <c r="L595" s="64" t="s">
        <v>246</v>
      </c>
      <c r="M595" s="64" t="s">
        <v>240</v>
      </c>
      <c r="N595" s="64" t="s">
        <v>252</v>
      </c>
      <c r="O595" s="64" t="s">
        <v>241</v>
      </c>
      <c r="P595" s="69"/>
      <c r="Q595" s="69"/>
      <c r="R595" s="158"/>
      <c r="S595" s="123" t="s">
        <v>248</v>
      </c>
      <c r="T595" s="124"/>
      <c r="U595" s="370">
        <v>0</v>
      </c>
      <c r="V595" s="687">
        <v>0</v>
      </c>
      <c r="W595" s="75"/>
      <c r="X595" s="75"/>
      <c r="Y595" s="75"/>
      <c r="Z595" s="75"/>
      <c r="AA595" s="75"/>
      <c r="AB595" s="75"/>
      <c r="AC595" s="75"/>
      <c r="AD595" s="75"/>
      <c r="AE595" s="592"/>
      <c r="AF595" s="347"/>
      <c r="AG595" s="510">
        <v>0</v>
      </c>
      <c r="AH595" s="370">
        <v>0</v>
      </c>
      <c r="AI595" s="75"/>
      <c r="AJ595" s="75"/>
      <c r="AK595" s="75"/>
      <c r="AL595" s="75"/>
      <c r="AM595" s="75"/>
      <c r="AN595" s="171" t="s">
        <v>181</v>
      </c>
      <c r="AO595" s="171"/>
      <c r="AP595" s="171"/>
      <c r="AQ595" s="418"/>
      <c r="AS595" s="484"/>
      <c r="AV595" s="185"/>
    </row>
    <row r="596" spans="1:48" outlineLevel="2" x14ac:dyDescent="0.25">
      <c r="A596" s="63" t="str">
        <f t="shared" si="108"/>
        <v>1.3.0.14.3.1</v>
      </c>
      <c r="B596" s="64">
        <v>1</v>
      </c>
      <c r="C596" s="64">
        <v>3</v>
      </c>
      <c r="D596" s="64">
        <v>0</v>
      </c>
      <c r="E596" s="64">
        <v>14</v>
      </c>
      <c r="F596" s="64">
        <v>3</v>
      </c>
      <c r="G596" s="194">
        <v>1</v>
      </c>
      <c r="H596" s="65"/>
      <c r="I596" s="65"/>
      <c r="J596" s="66"/>
      <c r="K596" s="65" t="s">
        <v>255</v>
      </c>
      <c r="L596" s="64" t="s">
        <v>246</v>
      </c>
      <c r="M596" s="64" t="s">
        <v>256</v>
      </c>
      <c r="N596" s="64" t="s">
        <v>257</v>
      </c>
      <c r="O596" s="64" t="s">
        <v>241</v>
      </c>
      <c r="P596" s="69"/>
      <c r="Q596" s="170"/>
      <c r="R596" s="124"/>
      <c r="S596" s="123" t="s">
        <v>258</v>
      </c>
      <c r="T596" s="124"/>
      <c r="U596" s="370">
        <v>0</v>
      </c>
      <c r="V596" s="687">
        <v>0</v>
      </c>
      <c r="W596" s="75"/>
      <c r="X596" s="75"/>
      <c r="Y596" s="75"/>
      <c r="Z596" s="75"/>
      <c r="AA596" s="75"/>
      <c r="AB596" s="75"/>
      <c r="AC596" s="75"/>
      <c r="AD596" s="75"/>
      <c r="AE596" s="592"/>
      <c r="AF596" s="347"/>
      <c r="AG596" s="510">
        <v>0</v>
      </c>
      <c r="AH596" s="370">
        <v>0</v>
      </c>
      <c r="AI596" s="75"/>
      <c r="AJ596" s="75"/>
      <c r="AK596" s="75"/>
      <c r="AL596" s="75"/>
      <c r="AM596" s="75"/>
      <c r="AN596" s="171" t="s">
        <v>181</v>
      </c>
      <c r="AO596" s="533" t="s">
        <v>1839</v>
      </c>
      <c r="AP596" s="533" t="s">
        <v>649</v>
      </c>
      <c r="AQ596" s="533" t="s">
        <v>649</v>
      </c>
      <c r="AR596" s="554">
        <v>44562</v>
      </c>
      <c r="AS596" s="554">
        <v>44561</v>
      </c>
      <c r="AT596" s="533" t="s">
        <v>1814</v>
      </c>
      <c r="AV596" s="335"/>
    </row>
    <row r="597" spans="1:48" outlineLevel="2" x14ac:dyDescent="0.25">
      <c r="A597" s="63" t="str">
        <f t="shared" si="108"/>
        <v>1.3.0.14.4.1</v>
      </c>
      <c r="B597" s="64">
        <v>1</v>
      </c>
      <c r="C597" s="64">
        <v>3</v>
      </c>
      <c r="D597" s="64">
        <v>0</v>
      </c>
      <c r="E597" s="64">
        <v>14</v>
      </c>
      <c r="F597" s="64">
        <v>4</v>
      </c>
      <c r="G597" s="194">
        <v>1</v>
      </c>
      <c r="H597" s="65"/>
      <c r="I597" s="65"/>
      <c r="J597" s="66"/>
      <c r="K597" s="65" t="s">
        <v>263</v>
      </c>
      <c r="L597" s="64" t="s">
        <v>264</v>
      </c>
      <c r="M597" s="64" t="s">
        <v>76</v>
      </c>
      <c r="N597" s="64" t="s">
        <v>265</v>
      </c>
      <c r="O597" s="64" t="s">
        <v>266</v>
      </c>
      <c r="P597" s="69"/>
      <c r="Q597" s="170"/>
      <c r="R597" s="124"/>
      <c r="S597" s="123" t="s">
        <v>258</v>
      </c>
      <c r="T597" s="124"/>
      <c r="U597" s="370">
        <v>0</v>
      </c>
      <c r="V597" s="687">
        <v>0</v>
      </c>
      <c r="W597" s="75"/>
      <c r="X597" s="75"/>
      <c r="Y597" s="75"/>
      <c r="Z597" s="75"/>
      <c r="AA597" s="75"/>
      <c r="AB597" s="75"/>
      <c r="AC597" s="75"/>
      <c r="AD597" s="75"/>
      <c r="AE597" s="592"/>
      <c r="AF597" s="347"/>
      <c r="AG597" s="510">
        <v>0</v>
      </c>
      <c r="AH597" s="370">
        <v>0</v>
      </c>
      <c r="AI597" s="75"/>
      <c r="AJ597" s="75"/>
      <c r="AK597" s="75"/>
      <c r="AL597" s="75"/>
      <c r="AM597" s="75"/>
      <c r="AN597" s="64" t="s">
        <v>181</v>
      </c>
      <c r="AO597" s="64"/>
      <c r="AP597" s="64"/>
      <c r="AQ597" s="189"/>
      <c r="AR597" s="64"/>
      <c r="AS597" s="476"/>
      <c r="AT597" s="64"/>
      <c r="AU597" s="646"/>
      <c r="AV597" s="185"/>
    </row>
    <row r="598" spans="1:48" ht="30" outlineLevel="2" x14ac:dyDescent="0.25">
      <c r="A598" s="63" t="str">
        <f t="shared" si="108"/>
        <v>1.3.0.14.5.1</v>
      </c>
      <c r="B598" s="191">
        <v>1</v>
      </c>
      <c r="C598" s="191">
        <v>3</v>
      </c>
      <c r="D598" s="191">
        <v>0</v>
      </c>
      <c r="E598" s="191">
        <v>14</v>
      </c>
      <c r="F598" s="191">
        <v>5</v>
      </c>
      <c r="G598" s="194">
        <v>1</v>
      </c>
      <c r="H598" s="195"/>
      <c r="I598" s="65"/>
      <c r="J598" s="66"/>
      <c r="K598" s="137" t="s">
        <v>659</v>
      </c>
      <c r="L598" s="64"/>
      <c r="M598" s="64"/>
      <c r="N598" s="64"/>
      <c r="O598" s="64"/>
      <c r="P598" s="69"/>
      <c r="Q598" s="170"/>
      <c r="R598" s="124"/>
      <c r="S598" s="123"/>
      <c r="T598" s="124"/>
      <c r="U598" s="370">
        <v>0</v>
      </c>
      <c r="V598" s="687">
        <v>0</v>
      </c>
      <c r="W598" s="75"/>
      <c r="X598" s="75"/>
      <c r="Y598" s="75"/>
      <c r="Z598" s="75"/>
      <c r="AA598" s="75"/>
      <c r="AB598" s="75"/>
      <c r="AC598" s="75"/>
      <c r="AD598" s="75"/>
      <c r="AE598" s="592"/>
      <c r="AF598" s="347"/>
      <c r="AG598" s="510">
        <v>0</v>
      </c>
      <c r="AH598" s="370">
        <v>0</v>
      </c>
      <c r="AI598" s="75"/>
      <c r="AJ598" s="75"/>
      <c r="AK598" s="75"/>
      <c r="AL598" s="75"/>
      <c r="AM598" s="75"/>
      <c r="AN598" s="64" t="s">
        <v>181</v>
      </c>
      <c r="AO598" s="64"/>
      <c r="AP598" s="64"/>
      <c r="AQ598" s="189"/>
      <c r="AR598" s="64"/>
      <c r="AS598" s="476"/>
      <c r="AT598" s="64"/>
      <c r="AU598" s="646"/>
      <c r="AV598" s="185"/>
    </row>
    <row r="599" spans="1:48" s="153" customFormat="1" ht="30.75" customHeight="1" outlineLevel="1" x14ac:dyDescent="0.25">
      <c r="A599" s="148" t="str">
        <f t="shared" si="108"/>
        <v>1.3.0.15.0.6</v>
      </c>
      <c r="B599" s="82">
        <v>1</v>
      </c>
      <c r="C599" s="82">
        <v>3</v>
      </c>
      <c r="D599" s="82">
        <v>0</v>
      </c>
      <c r="E599" s="82">
        <v>15</v>
      </c>
      <c r="F599" s="82">
        <v>0</v>
      </c>
      <c r="G599" s="82">
        <v>6</v>
      </c>
      <c r="H599" s="149"/>
      <c r="I599" s="149"/>
      <c r="J599" s="1260" t="s">
        <v>661</v>
      </c>
      <c r="K599" s="1260"/>
      <c r="L599" s="82" t="s">
        <v>236</v>
      </c>
      <c r="M599" s="82" t="s">
        <v>240</v>
      </c>
      <c r="N599" s="82" t="s">
        <v>226</v>
      </c>
      <c r="O599" s="82" t="s">
        <v>542</v>
      </c>
      <c r="P599" s="82"/>
      <c r="Q599" s="82"/>
      <c r="R599" s="150">
        <f>R603+R602+R601+R600</f>
        <v>0</v>
      </c>
      <c r="S599" s="151" t="s">
        <v>242</v>
      </c>
      <c r="T599" s="150">
        <f>T603+T602+T601+T600</f>
        <v>0</v>
      </c>
      <c r="U599" s="379">
        <f>+SUM(U600:U604)</f>
        <v>0</v>
      </c>
      <c r="V599" s="682">
        <f>+SUM(V600:V604)</f>
        <v>0</v>
      </c>
      <c r="W599" s="152">
        <f>W603+W602+W601+W600</f>
        <v>0</v>
      </c>
      <c r="X599" s="152"/>
      <c r="Y599" s="152"/>
      <c r="Z599" s="152">
        <f>Z603+Z602+Z601+Z600</f>
        <v>0</v>
      </c>
      <c r="AA599" s="152"/>
      <c r="AB599" s="152"/>
      <c r="AC599" s="152">
        <f>AC603+AC602+AC601+AC600</f>
        <v>0</v>
      </c>
      <c r="AD599" s="152"/>
      <c r="AE599" s="597"/>
      <c r="AF599" s="351">
        <f>AF601</f>
        <v>0</v>
      </c>
      <c r="AG599" s="512">
        <f>+SUM(AG600:AG604)</f>
        <v>0</v>
      </c>
      <c r="AH599" s="379">
        <f>+SUM(AH600:AH604)</f>
        <v>0</v>
      </c>
      <c r="AI599" s="512">
        <f>+SUM(AI600:AI604)</f>
        <v>0</v>
      </c>
      <c r="AJ599" s="512">
        <f>+SUM(AJ600:AJ604)</f>
        <v>0</v>
      </c>
      <c r="AK599" s="152"/>
      <c r="AL599" s="152"/>
      <c r="AM599" s="152"/>
      <c r="AN599" s="82" t="s">
        <v>181</v>
      </c>
      <c r="AO599" s="82"/>
      <c r="AP599" s="82"/>
      <c r="AQ599" s="365"/>
      <c r="AR599" s="82"/>
      <c r="AS599" s="483"/>
      <c r="AT599" s="82"/>
      <c r="AU599" s="666"/>
      <c r="AV599" s="444"/>
    </row>
    <row r="600" spans="1:48" outlineLevel="4" x14ac:dyDescent="0.25">
      <c r="A600" s="63" t="str">
        <f t="shared" si="108"/>
        <v>1.3.0.15.1.6</v>
      </c>
      <c r="B600" s="64">
        <v>1</v>
      </c>
      <c r="C600" s="64">
        <v>3</v>
      </c>
      <c r="D600" s="64">
        <v>0</v>
      </c>
      <c r="E600" s="64">
        <v>15</v>
      </c>
      <c r="F600" s="64">
        <v>1</v>
      </c>
      <c r="G600" s="64">
        <v>6</v>
      </c>
      <c r="H600" s="65"/>
      <c r="I600" s="65"/>
      <c r="J600" s="66"/>
      <c r="K600" s="65" t="s">
        <v>245</v>
      </c>
      <c r="L600" s="64" t="s">
        <v>246</v>
      </c>
      <c r="M600" s="64" t="s">
        <v>240</v>
      </c>
      <c r="N600" s="64" t="s">
        <v>247</v>
      </c>
      <c r="O600" s="64" t="s">
        <v>241</v>
      </c>
      <c r="P600" s="64"/>
      <c r="Q600" s="64"/>
      <c r="R600" s="124"/>
      <c r="S600" s="123" t="s">
        <v>248</v>
      </c>
      <c r="T600" s="124">
        <v>0</v>
      </c>
      <c r="U600" s="370">
        <v>0</v>
      </c>
      <c r="V600" s="687">
        <v>0</v>
      </c>
      <c r="W600" s="75"/>
      <c r="X600" s="75"/>
      <c r="Y600" s="75"/>
      <c r="Z600" s="75"/>
      <c r="AA600" s="75"/>
      <c r="AB600" s="75"/>
      <c r="AC600" s="75"/>
      <c r="AD600" s="75"/>
      <c r="AE600" s="592"/>
      <c r="AF600" s="347"/>
      <c r="AG600" s="510">
        <v>0</v>
      </c>
      <c r="AH600" s="370">
        <v>0</v>
      </c>
      <c r="AI600" s="75"/>
      <c r="AJ600" s="75"/>
      <c r="AK600" s="75"/>
      <c r="AL600" s="75"/>
      <c r="AM600" s="75"/>
      <c r="AN600" s="171" t="s">
        <v>181</v>
      </c>
      <c r="AO600" s="171"/>
      <c r="AP600" s="171"/>
      <c r="AQ600" s="418"/>
      <c r="AS600" s="484"/>
      <c r="AV600" s="185"/>
    </row>
    <row r="601" spans="1:48" outlineLevel="4" x14ac:dyDescent="0.25">
      <c r="A601" s="63" t="str">
        <f t="shared" si="108"/>
        <v>1.3.0.15.2.6</v>
      </c>
      <c r="B601" s="64">
        <v>1</v>
      </c>
      <c r="C601" s="64">
        <v>3</v>
      </c>
      <c r="D601" s="64">
        <v>0</v>
      </c>
      <c r="E601" s="64">
        <v>15</v>
      </c>
      <c r="F601" s="64">
        <v>2</v>
      </c>
      <c r="G601" s="64">
        <v>6</v>
      </c>
      <c r="H601" s="65"/>
      <c r="I601" s="65"/>
      <c r="J601" s="65"/>
      <c r="K601" s="65" t="s">
        <v>251</v>
      </c>
      <c r="L601" s="64" t="s">
        <v>246</v>
      </c>
      <c r="M601" s="64" t="s">
        <v>240</v>
      </c>
      <c r="N601" s="64" t="s">
        <v>252</v>
      </c>
      <c r="O601" s="64" t="s">
        <v>241</v>
      </c>
      <c r="P601" s="69"/>
      <c r="Q601" s="196"/>
      <c r="R601" s="158"/>
      <c r="S601" s="123" t="s">
        <v>248</v>
      </c>
      <c r="T601" s="124"/>
      <c r="U601" s="370">
        <v>0</v>
      </c>
      <c r="V601" s="687">
        <v>0</v>
      </c>
      <c r="W601" s="75"/>
      <c r="X601" s="75"/>
      <c r="Y601" s="75"/>
      <c r="Z601" s="75"/>
      <c r="AA601" s="75"/>
      <c r="AB601" s="75"/>
      <c r="AC601" s="75"/>
      <c r="AD601" s="75"/>
      <c r="AE601" s="592"/>
      <c r="AF601" s="347"/>
      <c r="AG601" s="510">
        <v>0</v>
      </c>
      <c r="AH601" s="370">
        <v>0</v>
      </c>
      <c r="AI601" s="75"/>
      <c r="AJ601" s="75"/>
      <c r="AK601" s="75"/>
      <c r="AL601" s="75"/>
      <c r="AM601" s="75"/>
      <c r="AN601" s="171" t="s">
        <v>181</v>
      </c>
      <c r="AO601" s="171"/>
      <c r="AP601" s="171"/>
      <c r="AQ601" s="418"/>
      <c r="AS601" s="484"/>
      <c r="AV601" s="185"/>
    </row>
    <row r="602" spans="1:48" outlineLevel="4" x14ac:dyDescent="0.25">
      <c r="A602" s="63" t="str">
        <f t="shared" si="108"/>
        <v>1.3.0.15.3.6</v>
      </c>
      <c r="B602" s="64">
        <v>1</v>
      </c>
      <c r="C602" s="64">
        <v>3</v>
      </c>
      <c r="D602" s="64">
        <v>0</v>
      </c>
      <c r="E602" s="64">
        <v>15</v>
      </c>
      <c r="F602" s="64">
        <v>3</v>
      </c>
      <c r="G602" s="64">
        <v>6</v>
      </c>
      <c r="H602" s="65"/>
      <c r="I602" s="65"/>
      <c r="J602" s="66"/>
      <c r="K602" s="65" t="s">
        <v>255</v>
      </c>
      <c r="L602" s="64" t="s">
        <v>246</v>
      </c>
      <c r="M602" s="64" t="s">
        <v>256</v>
      </c>
      <c r="N602" s="64" t="s">
        <v>257</v>
      </c>
      <c r="O602" s="64" t="s">
        <v>241</v>
      </c>
      <c r="P602" s="69"/>
      <c r="Q602" s="170"/>
      <c r="R602" s="124"/>
      <c r="S602" s="123" t="s">
        <v>258</v>
      </c>
      <c r="T602" s="124"/>
      <c r="U602" s="370">
        <v>0</v>
      </c>
      <c r="V602" s="687">
        <v>0</v>
      </c>
      <c r="W602" s="75"/>
      <c r="X602" s="75"/>
      <c r="Y602" s="75"/>
      <c r="Z602" s="75"/>
      <c r="AA602" s="75"/>
      <c r="AB602" s="75"/>
      <c r="AC602" s="75"/>
      <c r="AD602" s="75"/>
      <c r="AE602" s="592"/>
      <c r="AF602" s="347"/>
      <c r="AG602" s="510">
        <v>0</v>
      </c>
      <c r="AH602" s="370">
        <v>0</v>
      </c>
      <c r="AI602" s="75"/>
      <c r="AJ602" s="75"/>
      <c r="AK602" s="75"/>
      <c r="AL602" s="75"/>
      <c r="AM602" s="75"/>
      <c r="AN602" s="64" t="s">
        <v>181</v>
      </c>
      <c r="AO602" s="64" t="s">
        <v>1839</v>
      </c>
      <c r="AP602" s="64" t="s">
        <v>649</v>
      </c>
      <c r="AQ602" s="533" t="s">
        <v>649</v>
      </c>
      <c r="AR602" s="554">
        <v>44562</v>
      </c>
      <c r="AS602" s="554">
        <v>44561</v>
      </c>
      <c r="AT602" s="64" t="s">
        <v>1814</v>
      </c>
      <c r="AU602" s="646"/>
      <c r="AV602" s="185"/>
    </row>
    <row r="603" spans="1:48" outlineLevel="4" x14ac:dyDescent="0.25">
      <c r="A603" s="63" t="str">
        <f t="shared" si="108"/>
        <v>1.3.0.15.4.6</v>
      </c>
      <c r="B603" s="64">
        <v>1</v>
      </c>
      <c r="C603" s="64">
        <v>3</v>
      </c>
      <c r="D603" s="64">
        <v>0</v>
      </c>
      <c r="E603" s="64">
        <v>15</v>
      </c>
      <c r="F603" s="64">
        <v>4</v>
      </c>
      <c r="G603" s="64">
        <v>6</v>
      </c>
      <c r="H603" s="65"/>
      <c r="I603" s="65"/>
      <c r="J603" s="66"/>
      <c r="K603" s="65" t="s">
        <v>263</v>
      </c>
      <c r="L603" s="64" t="s">
        <v>264</v>
      </c>
      <c r="M603" s="64" t="s">
        <v>144</v>
      </c>
      <c r="N603" s="64" t="s">
        <v>265</v>
      </c>
      <c r="O603" s="64" t="s">
        <v>662</v>
      </c>
      <c r="P603" s="69"/>
      <c r="Q603" s="170"/>
      <c r="R603" s="124"/>
      <c r="S603" s="123" t="s">
        <v>258</v>
      </c>
      <c r="T603" s="124"/>
      <c r="U603" s="370">
        <v>0</v>
      </c>
      <c r="V603" s="687">
        <v>0</v>
      </c>
      <c r="W603" s="75"/>
      <c r="X603" s="75"/>
      <c r="Y603" s="75"/>
      <c r="Z603" s="75"/>
      <c r="AA603" s="75"/>
      <c r="AB603" s="75"/>
      <c r="AC603" s="75"/>
      <c r="AD603" s="75"/>
      <c r="AE603" s="592"/>
      <c r="AF603" s="347"/>
      <c r="AG603" s="510">
        <v>0</v>
      </c>
      <c r="AH603" s="370">
        <v>0</v>
      </c>
      <c r="AI603" s="75"/>
      <c r="AJ603" s="75"/>
      <c r="AK603" s="75"/>
      <c r="AL603" s="75"/>
      <c r="AM603" s="75"/>
      <c r="AN603" s="64" t="s">
        <v>181</v>
      </c>
      <c r="AO603" s="64"/>
      <c r="AP603" s="64"/>
      <c r="AQ603" s="189"/>
      <c r="AR603" s="64"/>
      <c r="AS603" s="476"/>
      <c r="AT603" s="64"/>
      <c r="AU603" s="646"/>
      <c r="AV603" s="185"/>
    </row>
    <row r="604" spans="1:48" ht="30" outlineLevel="4" x14ac:dyDescent="0.25">
      <c r="A604" s="63" t="str">
        <f t="shared" si="108"/>
        <v>1.3.0.15.5.6</v>
      </c>
      <c r="B604" s="64">
        <v>1</v>
      </c>
      <c r="C604" s="64">
        <v>3</v>
      </c>
      <c r="D604" s="64">
        <v>0</v>
      </c>
      <c r="E604" s="64">
        <v>15</v>
      </c>
      <c r="F604" s="64">
        <v>5</v>
      </c>
      <c r="G604" s="64">
        <v>6</v>
      </c>
      <c r="H604" s="65"/>
      <c r="I604" s="65"/>
      <c r="J604" s="66"/>
      <c r="K604" s="137" t="s">
        <v>659</v>
      </c>
      <c r="L604" s="64"/>
      <c r="M604" s="64"/>
      <c r="N604" s="64"/>
      <c r="O604" s="64"/>
      <c r="P604" s="69"/>
      <c r="Q604" s="170"/>
      <c r="R604" s="124"/>
      <c r="S604" s="123"/>
      <c r="T604" s="124"/>
      <c r="U604" s="370">
        <v>0</v>
      </c>
      <c r="V604" s="687">
        <v>0</v>
      </c>
      <c r="W604" s="75"/>
      <c r="X604" s="75"/>
      <c r="Y604" s="75"/>
      <c r="Z604" s="75"/>
      <c r="AA604" s="75"/>
      <c r="AB604" s="75"/>
      <c r="AC604" s="75"/>
      <c r="AD604" s="75"/>
      <c r="AE604" s="592"/>
      <c r="AF604" s="347"/>
      <c r="AG604" s="510">
        <v>0</v>
      </c>
      <c r="AH604" s="370">
        <v>0</v>
      </c>
      <c r="AI604" s="75"/>
      <c r="AJ604" s="75"/>
      <c r="AK604" s="75"/>
      <c r="AL604" s="75"/>
      <c r="AM604" s="75"/>
      <c r="AN604" s="64" t="s">
        <v>181</v>
      </c>
      <c r="AO604" s="64"/>
      <c r="AP604" s="64"/>
      <c r="AQ604" s="189"/>
      <c r="AR604" s="64"/>
      <c r="AS604" s="476"/>
      <c r="AT604" s="64"/>
      <c r="AU604" s="646"/>
      <c r="AV604" s="185"/>
    </row>
    <row r="605" spans="1:48" s="153" customFormat="1" ht="27.75" customHeight="1" outlineLevel="1" x14ac:dyDescent="0.25">
      <c r="A605" s="148" t="str">
        <f t="shared" si="108"/>
        <v>1.3.0.16.0.0</v>
      </c>
      <c r="B605" s="82">
        <v>1</v>
      </c>
      <c r="C605" s="82">
        <v>3</v>
      </c>
      <c r="D605" s="82">
        <v>0</v>
      </c>
      <c r="E605" s="82">
        <v>16</v>
      </c>
      <c r="F605" s="82">
        <v>0</v>
      </c>
      <c r="G605" s="82">
        <v>0</v>
      </c>
      <c r="H605" s="149"/>
      <c r="I605" s="149"/>
      <c r="J605" s="1260" t="s">
        <v>663</v>
      </c>
      <c r="K605" s="1260"/>
      <c r="L605" s="82" t="s">
        <v>236</v>
      </c>
      <c r="M605" s="82" t="s">
        <v>240</v>
      </c>
      <c r="N605" s="82" t="s">
        <v>226</v>
      </c>
      <c r="O605" s="82" t="s">
        <v>444</v>
      </c>
      <c r="P605" s="82"/>
      <c r="Q605" s="82"/>
      <c r="R605" s="150">
        <f>R609+R608+R607+R606</f>
        <v>0</v>
      </c>
      <c r="S605" s="151" t="s">
        <v>242</v>
      </c>
      <c r="T605" s="150">
        <f>T609+T608+T607+T606</f>
        <v>0</v>
      </c>
      <c r="U605" s="379">
        <f>SUM(U606:U610)</f>
        <v>0</v>
      </c>
      <c r="V605" s="682">
        <f>SUM(V606:V610)</f>
        <v>0</v>
      </c>
      <c r="W605" s="152">
        <f>W609+W608+W607+W606</f>
        <v>0</v>
      </c>
      <c r="X605" s="152"/>
      <c r="Y605" s="152"/>
      <c r="Z605" s="152">
        <f>Z609+Z608+Z607+Z606</f>
        <v>0</v>
      </c>
      <c r="AA605" s="152"/>
      <c r="AB605" s="152"/>
      <c r="AC605" s="152">
        <f>AC609+AC608+AC607+AC606</f>
        <v>0</v>
      </c>
      <c r="AD605" s="152"/>
      <c r="AE605" s="597"/>
      <c r="AF605" s="351">
        <f>AF607</f>
        <v>0</v>
      </c>
      <c r="AG605" s="512">
        <f>SUM(AG606:AG610)</f>
        <v>0</v>
      </c>
      <c r="AH605" s="379">
        <f>SUM(AH606:AH610)</f>
        <v>0</v>
      </c>
      <c r="AI605" s="152"/>
      <c r="AJ605" s="152"/>
      <c r="AK605" s="152"/>
      <c r="AL605" s="152"/>
      <c r="AM605" s="152"/>
      <c r="AN605" s="82" t="s">
        <v>181</v>
      </c>
      <c r="AO605" s="82"/>
      <c r="AP605" s="82"/>
      <c r="AQ605" s="365"/>
      <c r="AR605" s="82"/>
      <c r="AS605" s="483"/>
      <c r="AT605" s="82"/>
      <c r="AU605" s="666"/>
      <c r="AV605" s="444" t="s">
        <v>658</v>
      </c>
    </row>
    <row r="606" spans="1:48" outlineLevel="2" x14ac:dyDescent="0.25">
      <c r="A606" s="63" t="str">
        <f t="shared" si="108"/>
        <v>1.3.0.16.1.3</v>
      </c>
      <c r="B606" s="64">
        <v>1</v>
      </c>
      <c r="C606" s="64">
        <v>3</v>
      </c>
      <c r="D606" s="64">
        <v>0</v>
      </c>
      <c r="E606" s="64">
        <v>16</v>
      </c>
      <c r="F606" s="64">
        <v>1</v>
      </c>
      <c r="G606" s="64">
        <v>3</v>
      </c>
      <c r="H606" s="65"/>
      <c r="I606" s="65"/>
      <c r="J606" s="66"/>
      <c r="K606" s="65" t="s">
        <v>245</v>
      </c>
      <c r="L606" s="64" t="s">
        <v>246</v>
      </c>
      <c r="M606" s="64" t="s">
        <v>240</v>
      </c>
      <c r="N606" s="64" t="s">
        <v>247</v>
      </c>
      <c r="O606" s="64" t="s">
        <v>241</v>
      </c>
      <c r="P606" s="64"/>
      <c r="Q606" s="64"/>
      <c r="R606" s="124"/>
      <c r="S606" s="123" t="s">
        <v>248</v>
      </c>
      <c r="T606" s="124">
        <v>0</v>
      </c>
      <c r="U606" s="370">
        <v>0</v>
      </c>
      <c r="V606" s="687">
        <v>0</v>
      </c>
      <c r="W606" s="75"/>
      <c r="X606" s="75"/>
      <c r="Y606" s="75"/>
      <c r="Z606" s="75"/>
      <c r="AA606" s="75"/>
      <c r="AB606" s="75"/>
      <c r="AC606" s="75"/>
      <c r="AD606" s="75"/>
      <c r="AE606" s="592"/>
      <c r="AF606" s="347"/>
      <c r="AG606" s="510">
        <v>0</v>
      </c>
      <c r="AH606" s="370">
        <v>0</v>
      </c>
      <c r="AI606" s="75"/>
      <c r="AJ606" s="75"/>
      <c r="AK606" s="75"/>
      <c r="AL606" s="75"/>
      <c r="AM606" s="75"/>
      <c r="AN606" s="171" t="s">
        <v>181</v>
      </c>
      <c r="AO606" s="171"/>
      <c r="AP606" s="171"/>
      <c r="AQ606" s="418"/>
      <c r="AS606" s="484"/>
      <c r="AV606" s="185"/>
    </row>
    <row r="607" spans="1:48" outlineLevel="2" x14ac:dyDescent="0.25">
      <c r="A607" s="63" t="str">
        <f t="shared" ref="A607:A863" si="120">CONCATENATE(B607,".",C607,".",D607,".",E607,".",F607,".",G607)</f>
        <v>1.3.0.16.2.3</v>
      </c>
      <c r="B607" s="64">
        <v>1</v>
      </c>
      <c r="C607" s="64">
        <v>3</v>
      </c>
      <c r="D607" s="64">
        <v>0</v>
      </c>
      <c r="E607" s="64">
        <v>16</v>
      </c>
      <c r="F607" s="64">
        <v>2</v>
      </c>
      <c r="G607" s="64">
        <v>3</v>
      </c>
      <c r="H607" s="65"/>
      <c r="I607" s="65"/>
      <c r="J607" s="65"/>
      <c r="K607" s="65" t="s">
        <v>251</v>
      </c>
      <c r="L607" s="64" t="s">
        <v>246</v>
      </c>
      <c r="M607" s="64" t="s">
        <v>240</v>
      </c>
      <c r="N607" s="64" t="s">
        <v>252</v>
      </c>
      <c r="O607" s="64" t="s">
        <v>241</v>
      </c>
      <c r="P607" s="69"/>
      <c r="Q607" s="69"/>
      <c r="R607" s="158"/>
      <c r="S607" s="123" t="s">
        <v>248</v>
      </c>
      <c r="T607" s="124"/>
      <c r="U607" s="370">
        <v>0</v>
      </c>
      <c r="V607" s="687">
        <v>0</v>
      </c>
      <c r="W607" s="75"/>
      <c r="X607" s="75"/>
      <c r="Y607" s="75"/>
      <c r="Z607" s="75"/>
      <c r="AA607" s="75"/>
      <c r="AB607" s="75"/>
      <c r="AC607" s="75"/>
      <c r="AD607" s="75"/>
      <c r="AE607" s="592"/>
      <c r="AF607" s="347"/>
      <c r="AG607" s="510">
        <v>0</v>
      </c>
      <c r="AH607" s="370">
        <v>0</v>
      </c>
      <c r="AI607" s="75"/>
      <c r="AJ607" s="75"/>
      <c r="AK607" s="75"/>
      <c r="AL607" s="75"/>
      <c r="AM607" s="75"/>
      <c r="AN607" s="64" t="s">
        <v>181</v>
      </c>
      <c r="AO607" s="64"/>
      <c r="AP607" s="64"/>
      <c r="AQ607" s="189"/>
      <c r="AR607" s="64"/>
      <c r="AS607" s="476"/>
      <c r="AT607" s="64"/>
      <c r="AU607" s="646"/>
      <c r="AV607" s="335"/>
    </row>
    <row r="608" spans="1:48" outlineLevel="2" x14ac:dyDescent="0.25">
      <c r="A608" s="63" t="str">
        <f t="shared" si="120"/>
        <v>1.3.0.16.3.3</v>
      </c>
      <c r="B608" s="64">
        <v>1</v>
      </c>
      <c r="C608" s="64">
        <v>3</v>
      </c>
      <c r="D608" s="64">
        <v>0</v>
      </c>
      <c r="E608" s="64">
        <v>16</v>
      </c>
      <c r="F608" s="64">
        <v>3</v>
      </c>
      <c r="G608" s="64">
        <v>3</v>
      </c>
      <c r="H608" s="65"/>
      <c r="I608" s="65"/>
      <c r="J608" s="66"/>
      <c r="K608" s="65" t="s">
        <v>255</v>
      </c>
      <c r="L608" s="64" t="s">
        <v>246</v>
      </c>
      <c r="M608" s="64" t="s">
        <v>256</v>
      </c>
      <c r="N608" s="64" t="s">
        <v>257</v>
      </c>
      <c r="O608" s="64" t="s">
        <v>241</v>
      </c>
      <c r="P608" s="69"/>
      <c r="Q608" s="170"/>
      <c r="R608" s="124"/>
      <c r="S608" s="123" t="s">
        <v>258</v>
      </c>
      <c r="T608" s="124"/>
      <c r="U608" s="370">
        <v>0</v>
      </c>
      <c r="V608" s="687">
        <v>0</v>
      </c>
      <c r="W608" s="75"/>
      <c r="X608" s="75"/>
      <c r="Y608" s="75"/>
      <c r="Z608" s="75"/>
      <c r="AA608" s="75"/>
      <c r="AB608" s="75"/>
      <c r="AC608" s="75"/>
      <c r="AD608" s="75"/>
      <c r="AE608" s="592"/>
      <c r="AF608" s="347"/>
      <c r="AG608" s="510">
        <v>0</v>
      </c>
      <c r="AH608" s="370">
        <v>0</v>
      </c>
      <c r="AI608" s="75"/>
      <c r="AJ608" s="75"/>
      <c r="AK608" s="75"/>
      <c r="AL608" s="75"/>
      <c r="AM608" s="75"/>
      <c r="AN608" s="171" t="s">
        <v>181</v>
      </c>
      <c r="AO608" s="533" t="s">
        <v>1839</v>
      </c>
      <c r="AP608" s="533" t="s">
        <v>649</v>
      </c>
      <c r="AQ608" s="533" t="s">
        <v>649</v>
      </c>
      <c r="AR608" s="554">
        <v>44562</v>
      </c>
      <c r="AS608" s="554">
        <v>44561</v>
      </c>
      <c r="AT608" s="533" t="s">
        <v>1814</v>
      </c>
      <c r="AV608" s="335" t="s">
        <v>664</v>
      </c>
    </row>
    <row r="609" spans="1:48" outlineLevel="2" x14ac:dyDescent="0.25">
      <c r="A609" s="63" t="str">
        <f t="shared" si="120"/>
        <v>1.3.0.16.4.3</v>
      </c>
      <c r="B609" s="64">
        <v>1</v>
      </c>
      <c r="C609" s="64">
        <v>3</v>
      </c>
      <c r="D609" s="64">
        <v>0</v>
      </c>
      <c r="E609" s="64">
        <v>16</v>
      </c>
      <c r="F609" s="64">
        <v>4</v>
      </c>
      <c r="G609" s="64">
        <v>3</v>
      </c>
      <c r="H609" s="65"/>
      <c r="I609" s="65"/>
      <c r="J609" s="66"/>
      <c r="K609" s="65" t="s">
        <v>263</v>
      </c>
      <c r="L609" s="64" t="s">
        <v>264</v>
      </c>
      <c r="M609" s="64" t="s">
        <v>144</v>
      </c>
      <c r="N609" s="64" t="s">
        <v>665</v>
      </c>
      <c r="O609" s="64" t="s">
        <v>444</v>
      </c>
      <c r="P609" s="69"/>
      <c r="Q609" s="170"/>
      <c r="R609" s="124"/>
      <c r="S609" s="123" t="s">
        <v>258</v>
      </c>
      <c r="T609" s="124"/>
      <c r="U609" s="370">
        <v>0</v>
      </c>
      <c r="V609" s="687">
        <v>0</v>
      </c>
      <c r="W609" s="75"/>
      <c r="X609" s="75"/>
      <c r="Y609" s="75"/>
      <c r="Z609" s="75"/>
      <c r="AA609" s="75"/>
      <c r="AB609" s="75"/>
      <c r="AC609" s="75"/>
      <c r="AD609" s="75"/>
      <c r="AE609" s="592"/>
      <c r="AF609" s="347"/>
      <c r="AG609" s="510">
        <v>0</v>
      </c>
      <c r="AH609" s="370">
        <v>0</v>
      </c>
      <c r="AI609" s="75"/>
      <c r="AJ609" s="75"/>
      <c r="AK609" s="75"/>
      <c r="AL609" s="75"/>
      <c r="AM609" s="75"/>
      <c r="AN609" s="64" t="s">
        <v>181</v>
      </c>
      <c r="AO609" s="64"/>
      <c r="AP609" s="64"/>
      <c r="AQ609" s="189"/>
      <c r="AR609" s="64"/>
      <c r="AS609" s="476"/>
      <c r="AT609" s="64"/>
      <c r="AU609" s="646"/>
      <c r="AV609" s="185"/>
    </row>
    <row r="610" spans="1:48" ht="30" outlineLevel="2" x14ac:dyDescent="0.25">
      <c r="A610" s="63" t="str">
        <f t="shared" si="120"/>
        <v>1.3.0.16.5.3</v>
      </c>
      <c r="B610" s="64">
        <v>1</v>
      </c>
      <c r="C610" s="64">
        <v>3</v>
      </c>
      <c r="D610" s="64">
        <v>0</v>
      </c>
      <c r="E610" s="64">
        <v>16</v>
      </c>
      <c r="F610" s="64">
        <v>5</v>
      </c>
      <c r="G610" s="64">
        <v>3</v>
      </c>
      <c r="H610" s="65"/>
      <c r="I610" s="65"/>
      <c r="J610" s="66"/>
      <c r="K610" s="137" t="s">
        <v>659</v>
      </c>
      <c r="L610" s="64"/>
      <c r="M610" s="64"/>
      <c r="N610" s="64"/>
      <c r="O610" s="64"/>
      <c r="P610" s="69"/>
      <c r="Q610" s="170"/>
      <c r="R610" s="124"/>
      <c r="S610" s="123"/>
      <c r="T610" s="124"/>
      <c r="U610" s="370">
        <v>0</v>
      </c>
      <c r="V610" s="687">
        <v>0</v>
      </c>
      <c r="W610" s="75"/>
      <c r="X610" s="75"/>
      <c r="Y610" s="75"/>
      <c r="Z610" s="75"/>
      <c r="AA610" s="75"/>
      <c r="AB610" s="75"/>
      <c r="AC610" s="75"/>
      <c r="AD610" s="75"/>
      <c r="AE610" s="592"/>
      <c r="AF610" s="347"/>
      <c r="AG610" s="510">
        <v>0</v>
      </c>
      <c r="AH610" s="370">
        <v>0</v>
      </c>
      <c r="AI610" s="75"/>
      <c r="AJ610" s="75"/>
      <c r="AK610" s="75"/>
      <c r="AL610" s="75"/>
      <c r="AM610" s="75"/>
      <c r="AN610" s="64" t="s">
        <v>181</v>
      </c>
      <c r="AO610" s="64"/>
      <c r="AP610" s="64"/>
      <c r="AQ610" s="189"/>
      <c r="AR610" s="64"/>
      <c r="AS610" s="476"/>
      <c r="AT610" s="64"/>
      <c r="AU610" s="646"/>
      <c r="AV610" s="185"/>
    </row>
    <row r="611" spans="1:48" s="153" customFormat="1" ht="15" customHeight="1" outlineLevel="1" x14ac:dyDescent="0.25">
      <c r="A611" s="148" t="str">
        <f t="shared" si="120"/>
        <v>1.3.0.17.0.0</v>
      </c>
      <c r="B611" s="82">
        <v>1</v>
      </c>
      <c r="C611" s="82">
        <v>3</v>
      </c>
      <c r="D611" s="82">
        <v>0</v>
      </c>
      <c r="E611" s="82">
        <v>17</v>
      </c>
      <c r="F611" s="82">
        <v>0</v>
      </c>
      <c r="G611" s="82">
        <v>0</v>
      </c>
      <c r="H611" s="149"/>
      <c r="I611" s="149"/>
      <c r="J611" s="1260" t="s">
        <v>666</v>
      </c>
      <c r="K611" s="1260"/>
      <c r="L611" s="82" t="s">
        <v>236</v>
      </c>
      <c r="M611" s="82" t="s">
        <v>667</v>
      </c>
      <c r="N611" s="82" t="s">
        <v>226</v>
      </c>
      <c r="O611" s="82" t="s">
        <v>668</v>
      </c>
      <c r="P611" s="82"/>
      <c r="Q611" s="82"/>
      <c r="R611" s="150">
        <v>0</v>
      </c>
      <c r="S611" s="151" t="s">
        <v>242</v>
      </c>
      <c r="T611" s="150">
        <f>T615+T614+T613+T612</f>
        <v>0</v>
      </c>
      <c r="U611" s="379">
        <f>SUM(U612:U615)</f>
        <v>0</v>
      </c>
      <c r="V611" s="682">
        <f>SUM(V612:V615)</f>
        <v>0</v>
      </c>
      <c r="W611" s="152">
        <f>W620+W619+W618+W617</f>
        <v>0</v>
      </c>
      <c r="X611" s="152"/>
      <c r="Y611" s="152"/>
      <c r="Z611" s="152">
        <f>Z615+Z614+Z613+Z612</f>
        <v>0</v>
      </c>
      <c r="AA611" s="152"/>
      <c r="AB611" s="152"/>
      <c r="AC611" s="152">
        <f>AC620+AC619+AC618+AC617</f>
        <v>0</v>
      </c>
      <c r="AD611" s="152"/>
      <c r="AE611" s="597"/>
      <c r="AF611" s="357">
        <v>0</v>
      </c>
      <c r="AG611" s="512">
        <f>SUM(AG612:AG615)</f>
        <v>0</v>
      </c>
      <c r="AH611" s="379">
        <f>SUM(AH612:AH615)</f>
        <v>0</v>
      </c>
      <c r="AI611" s="152"/>
      <c r="AJ611" s="152"/>
      <c r="AK611" s="152"/>
      <c r="AL611" s="152"/>
      <c r="AM611" s="152"/>
      <c r="AN611" s="82" t="s">
        <v>181</v>
      </c>
      <c r="AO611" s="82"/>
      <c r="AP611" s="82"/>
      <c r="AQ611" s="365"/>
      <c r="AR611" s="82"/>
      <c r="AS611" s="483"/>
      <c r="AT611" s="82"/>
      <c r="AU611" s="666"/>
      <c r="AV611" s="444"/>
    </row>
    <row r="612" spans="1:48" ht="20.25" customHeight="1" outlineLevel="2" x14ac:dyDescent="0.25">
      <c r="A612" s="63" t="str">
        <f t="shared" si="120"/>
        <v>1.3.0.17.1.3</v>
      </c>
      <c r="B612" s="64">
        <v>1</v>
      </c>
      <c r="C612" s="64">
        <v>3</v>
      </c>
      <c r="D612" s="64">
        <v>0</v>
      </c>
      <c r="E612" s="64">
        <v>17</v>
      </c>
      <c r="F612" s="64">
        <v>1</v>
      </c>
      <c r="G612" s="64">
        <v>3</v>
      </c>
      <c r="H612" s="65"/>
      <c r="I612" s="65"/>
      <c r="J612" s="66"/>
      <c r="K612" s="65" t="s">
        <v>245</v>
      </c>
      <c r="L612" s="64" t="s">
        <v>246</v>
      </c>
      <c r="M612" s="64" t="s">
        <v>240</v>
      </c>
      <c r="N612" s="64" t="s">
        <v>247</v>
      </c>
      <c r="O612" s="64" t="s">
        <v>241</v>
      </c>
      <c r="P612" s="64"/>
      <c r="Q612" s="64"/>
      <c r="R612" s="124"/>
      <c r="S612" s="123" t="s">
        <v>248</v>
      </c>
      <c r="T612" s="124">
        <v>0</v>
      </c>
      <c r="U612" s="370">
        <v>0</v>
      </c>
      <c r="V612" s="687">
        <v>0</v>
      </c>
      <c r="W612" s="75"/>
      <c r="X612" s="75"/>
      <c r="Y612" s="75"/>
      <c r="Z612" s="75"/>
      <c r="AA612" s="75"/>
      <c r="AB612" s="75"/>
      <c r="AC612" s="75"/>
      <c r="AD612" s="75"/>
      <c r="AE612" s="592"/>
      <c r="AF612" s="347"/>
      <c r="AG612" s="510">
        <v>0</v>
      </c>
      <c r="AH612" s="370">
        <v>0</v>
      </c>
      <c r="AI612" s="75"/>
      <c r="AJ612" s="75"/>
      <c r="AK612" s="75"/>
      <c r="AL612" s="75"/>
      <c r="AM612" s="75"/>
      <c r="AN612" s="171" t="s">
        <v>181</v>
      </c>
      <c r="AO612" s="171"/>
      <c r="AP612" s="171"/>
      <c r="AQ612" s="418"/>
      <c r="AS612" s="484"/>
      <c r="AV612" s="185"/>
    </row>
    <row r="613" spans="1:48" ht="20.25" customHeight="1" outlineLevel="2" x14ac:dyDescent="0.25">
      <c r="A613" s="63" t="str">
        <f t="shared" si="120"/>
        <v>1.3.0.17.2.3</v>
      </c>
      <c r="B613" s="64">
        <v>1</v>
      </c>
      <c r="C613" s="64">
        <v>3</v>
      </c>
      <c r="D613" s="64">
        <v>0</v>
      </c>
      <c r="E613" s="64">
        <v>17</v>
      </c>
      <c r="F613" s="64">
        <v>2</v>
      </c>
      <c r="G613" s="64">
        <v>3</v>
      </c>
      <c r="H613" s="65"/>
      <c r="I613" s="65"/>
      <c r="J613" s="65"/>
      <c r="K613" s="65" t="s">
        <v>251</v>
      </c>
      <c r="L613" s="64" t="s">
        <v>246</v>
      </c>
      <c r="M613" s="64" t="s">
        <v>240</v>
      </c>
      <c r="N613" s="64" t="s">
        <v>252</v>
      </c>
      <c r="O613" s="64" t="s">
        <v>241</v>
      </c>
      <c r="P613" s="69"/>
      <c r="Q613" s="69"/>
      <c r="R613" s="158">
        <v>0</v>
      </c>
      <c r="S613" s="123" t="s">
        <v>248</v>
      </c>
      <c r="T613" s="124"/>
      <c r="U613" s="370">
        <v>0</v>
      </c>
      <c r="V613" s="687">
        <v>0</v>
      </c>
      <c r="W613" s="75"/>
      <c r="X613" s="75"/>
      <c r="Y613" s="75"/>
      <c r="Z613" s="75"/>
      <c r="AA613" s="75"/>
      <c r="AB613" s="75"/>
      <c r="AC613" s="75"/>
      <c r="AD613" s="75"/>
      <c r="AE613" s="592"/>
      <c r="AF613" s="347">
        <v>0</v>
      </c>
      <c r="AG613" s="510">
        <v>0</v>
      </c>
      <c r="AH613" s="370">
        <v>0</v>
      </c>
      <c r="AI613" s="75"/>
      <c r="AJ613" s="75"/>
      <c r="AK613" s="75"/>
      <c r="AL613" s="75"/>
      <c r="AM613" s="75"/>
      <c r="AN613" s="171" t="s">
        <v>181</v>
      </c>
      <c r="AO613" s="171"/>
      <c r="AP613" s="171"/>
      <c r="AQ613" s="418"/>
      <c r="AS613" s="484"/>
      <c r="AV613" s="185"/>
    </row>
    <row r="614" spans="1:48" ht="20.25" customHeight="1" outlineLevel="2" x14ac:dyDescent="0.25">
      <c r="A614" s="63" t="str">
        <f t="shared" si="120"/>
        <v>1.3.0.17.3.3</v>
      </c>
      <c r="B614" s="64">
        <v>1</v>
      </c>
      <c r="C614" s="64">
        <v>3</v>
      </c>
      <c r="D614" s="64">
        <v>0</v>
      </c>
      <c r="E614" s="64">
        <v>17</v>
      </c>
      <c r="F614" s="64">
        <v>3</v>
      </c>
      <c r="G614" s="64">
        <v>3</v>
      </c>
      <c r="H614" s="65"/>
      <c r="I614" s="65"/>
      <c r="J614" s="66"/>
      <c r="K614" s="65" t="s">
        <v>255</v>
      </c>
      <c r="L614" s="64" t="s">
        <v>246</v>
      </c>
      <c r="M614" s="64" t="s">
        <v>256</v>
      </c>
      <c r="N614" s="64" t="s">
        <v>257</v>
      </c>
      <c r="O614" s="64" t="s">
        <v>241</v>
      </c>
      <c r="P614" s="69"/>
      <c r="Q614" s="170"/>
      <c r="R614" s="124"/>
      <c r="S614" s="123" t="s">
        <v>258</v>
      </c>
      <c r="T614" s="124"/>
      <c r="U614" s="370">
        <v>0</v>
      </c>
      <c r="V614" s="687">
        <v>0</v>
      </c>
      <c r="W614" s="75"/>
      <c r="X614" s="75"/>
      <c r="Y614" s="75"/>
      <c r="Z614" s="75"/>
      <c r="AA614" s="75"/>
      <c r="AB614" s="75"/>
      <c r="AC614" s="75"/>
      <c r="AD614" s="75"/>
      <c r="AE614" s="592"/>
      <c r="AF614" s="347"/>
      <c r="AG614" s="510">
        <v>0</v>
      </c>
      <c r="AH614" s="370">
        <v>0</v>
      </c>
      <c r="AI614" s="75"/>
      <c r="AJ614" s="75"/>
      <c r="AK614" s="75"/>
      <c r="AL614" s="75"/>
      <c r="AM614" s="75"/>
      <c r="AN614" s="171" t="s">
        <v>181</v>
      </c>
      <c r="AO614" s="533" t="s">
        <v>1839</v>
      </c>
      <c r="AP614" s="533" t="s">
        <v>649</v>
      </c>
      <c r="AQ614" s="533" t="s">
        <v>649</v>
      </c>
      <c r="AR614" s="554">
        <v>44562</v>
      </c>
      <c r="AS614" s="554">
        <v>44561</v>
      </c>
      <c r="AT614" s="533" t="s">
        <v>1814</v>
      </c>
      <c r="AV614" s="185"/>
    </row>
    <row r="615" spans="1:48" ht="20.25" customHeight="1" outlineLevel="2" x14ac:dyDescent="0.25">
      <c r="A615" s="63" t="str">
        <f t="shared" si="120"/>
        <v>1.3.0.17.4.3</v>
      </c>
      <c r="B615" s="64">
        <v>1</v>
      </c>
      <c r="C615" s="64">
        <v>3</v>
      </c>
      <c r="D615" s="64">
        <v>0</v>
      </c>
      <c r="E615" s="64">
        <v>17</v>
      </c>
      <c r="F615" s="64">
        <v>4</v>
      </c>
      <c r="G615" s="64">
        <v>3</v>
      </c>
      <c r="H615" s="65"/>
      <c r="I615" s="65"/>
      <c r="J615" s="66"/>
      <c r="K615" s="65" t="s">
        <v>263</v>
      </c>
      <c r="L615" s="64" t="s">
        <v>264</v>
      </c>
      <c r="M615" s="64" t="s">
        <v>144</v>
      </c>
      <c r="N615" s="64" t="s">
        <v>265</v>
      </c>
      <c r="O615" s="64" t="s">
        <v>266</v>
      </c>
      <c r="P615" s="69"/>
      <c r="Q615" s="197"/>
      <c r="R615" s="124"/>
      <c r="S615" s="123" t="s">
        <v>258</v>
      </c>
      <c r="T615" s="124"/>
      <c r="U615" s="370">
        <v>0</v>
      </c>
      <c r="V615" s="687">
        <v>0</v>
      </c>
      <c r="W615" s="75"/>
      <c r="X615" s="75"/>
      <c r="Y615" s="75"/>
      <c r="Z615" s="75"/>
      <c r="AA615" s="75"/>
      <c r="AB615" s="75"/>
      <c r="AC615" s="75"/>
      <c r="AD615" s="75"/>
      <c r="AE615" s="592"/>
      <c r="AF615" s="347"/>
      <c r="AG615" s="510">
        <v>0</v>
      </c>
      <c r="AH615" s="370">
        <v>0</v>
      </c>
      <c r="AI615" s="75"/>
      <c r="AJ615" s="75"/>
      <c r="AK615" s="75"/>
      <c r="AL615" s="75"/>
      <c r="AM615" s="75"/>
      <c r="AN615" s="64" t="s">
        <v>181</v>
      </c>
      <c r="AO615" s="64"/>
      <c r="AP615" s="64"/>
      <c r="AQ615" s="189"/>
      <c r="AR615" s="64"/>
      <c r="AS615" s="476"/>
      <c r="AT615" s="64"/>
      <c r="AU615" s="646"/>
      <c r="AV615" s="185"/>
    </row>
    <row r="616" spans="1:48" s="153" customFormat="1" ht="15" customHeight="1" outlineLevel="1" x14ac:dyDescent="0.25">
      <c r="A616" s="148" t="str">
        <f t="shared" si="120"/>
        <v>1.3.0.18.0.0</v>
      </c>
      <c r="B616" s="82">
        <v>1</v>
      </c>
      <c r="C616" s="82">
        <v>3</v>
      </c>
      <c r="D616" s="82">
        <v>0</v>
      </c>
      <c r="E616" s="82">
        <v>18</v>
      </c>
      <c r="F616" s="82">
        <v>0</v>
      </c>
      <c r="G616" s="82">
        <v>0</v>
      </c>
      <c r="H616" s="149"/>
      <c r="I616" s="149"/>
      <c r="J616" s="1260" t="s">
        <v>669</v>
      </c>
      <c r="K616" s="1260"/>
      <c r="L616" s="82" t="s">
        <v>236</v>
      </c>
      <c r="M616" s="82" t="s">
        <v>667</v>
      </c>
      <c r="N616" s="82" t="s">
        <v>226</v>
      </c>
      <c r="O616" s="82" t="s">
        <v>668</v>
      </c>
      <c r="P616" s="82"/>
      <c r="Q616" s="82"/>
      <c r="R616" s="150">
        <f>R620+R619+R618+R617</f>
        <v>0</v>
      </c>
      <c r="S616" s="151" t="s">
        <v>242</v>
      </c>
      <c r="T616" s="150">
        <f>T620+T619+T618+T617</f>
        <v>0</v>
      </c>
      <c r="U616" s="379">
        <f>SUM(U617:U620)</f>
        <v>0</v>
      </c>
      <c r="V616" s="682">
        <f>SUM(V617:V620)</f>
        <v>0</v>
      </c>
      <c r="W616" s="152">
        <f>W620+W619+W618+W617</f>
        <v>0</v>
      </c>
      <c r="X616" s="152"/>
      <c r="Y616" s="152"/>
      <c r="Z616" s="152">
        <f>Z620+Z619+Z618+Z617</f>
        <v>0</v>
      </c>
      <c r="AA616" s="152"/>
      <c r="AB616" s="152"/>
      <c r="AC616" s="152">
        <f>AC620+AC619+AC618+AC617</f>
        <v>0</v>
      </c>
      <c r="AD616" s="152"/>
      <c r="AE616" s="597"/>
      <c r="AF616" s="357">
        <f>AF618</f>
        <v>0</v>
      </c>
      <c r="AG616" s="512">
        <f>SUM(AG617:AG620)</f>
        <v>0</v>
      </c>
      <c r="AH616" s="379">
        <f>SUM(AH617:AH620)</f>
        <v>0</v>
      </c>
      <c r="AI616" s="152"/>
      <c r="AJ616" s="152"/>
      <c r="AK616" s="152"/>
      <c r="AL616" s="152"/>
      <c r="AM616" s="152"/>
      <c r="AN616" s="82" t="s">
        <v>181</v>
      </c>
      <c r="AO616" s="82"/>
      <c r="AP616" s="82"/>
      <c r="AQ616" s="365"/>
      <c r="AR616" s="82"/>
      <c r="AS616" s="483"/>
      <c r="AT616" s="82"/>
      <c r="AU616" s="666"/>
      <c r="AV616" s="444"/>
    </row>
    <row r="617" spans="1:48" ht="21" customHeight="1" outlineLevel="4" x14ac:dyDescent="0.25">
      <c r="A617" s="63" t="str">
        <f t="shared" si="120"/>
        <v>1.3.0.18.1.9</v>
      </c>
      <c r="B617" s="64">
        <v>1</v>
      </c>
      <c r="C617" s="64">
        <v>3</v>
      </c>
      <c r="D617" s="64">
        <v>0</v>
      </c>
      <c r="E617" s="64">
        <v>18</v>
      </c>
      <c r="F617" s="64">
        <v>1</v>
      </c>
      <c r="G617" s="64">
        <v>9</v>
      </c>
      <c r="H617" s="65"/>
      <c r="I617" s="65"/>
      <c r="J617" s="66"/>
      <c r="K617" s="65" t="s">
        <v>245</v>
      </c>
      <c r="L617" s="64" t="s">
        <v>246</v>
      </c>
      <c r="M617" s="64" t="s">
        <v>240</v>
      </c>
      <c r="N617" s="64" t="s">
        <v>247</v>
      </c>
      <c r="O617" s="64" t="s">
        <v>241</v>
      </c>
      <c r="P617" s="64"/>
      <c r="Q617" s="64"/>
      <c r="R617" s="124"/>
      <c r="S617" s="123" t="s">
        <v>248</v>
      </c>
      <c r="T617" s="124">
        <v>0</v>
      </c>
      <c r="U617" s="370">
        <v>0</v>
      </c>
      <c r="V617" s="687">
        <v>0</v>
      </c>
      <c r="W617" s="75"/>
      <c r="X617" s="75"/>
      <c r="Y617" s="75"/>
      <c r="Z617" s="75"/>
      <c r="AA617" s="75"/>
      <c r="AB617" s="75"/>
      <c r="AC617" s="75"/>
      <c r="AD617" s="75"/>
      <c r="AE617" s="592"/>
      <c r="AF617" s="347"/>
      <c r="AG617" s="510">
        <v>0</v>
      </c>
      <c r="AH617" s="370">
        <v>0</v>
      </c>
      <c r="AI617" s="75"/>
      <c r="AJ617" s="75"/>
      <c r="AK617" s="75"/>
      <c r="AL617" s="75"/>
      <c r="AM617" s="75"/>
      <c r="AN617" s="64" t="s">
        <v>181</v>
      </c>
      <c r="AO617" s="64"/>
      <c r="AP617" s="64"/>
      <c r="AQ617" s="189"/>
      <c r="AR617" s="64"/>
      <c r="AS617" s="476"/>
      <c r="AT617" s="64"/>
      <c r="AU617" s="646"/>
      <c r="AV617" s="185"/>
    </row>
    <row r="618" spans="1:48" ht="21" customHeight="1" outlineLevel="4" x14ac:dyDescent="0.25">
      <c r="A618" s="63" t="str">
        <f t="shared" si="120"/>
        <v>1.3.0.18.2.9</v>
      </c>
      <c r="B618" s="64">
        <v>1</v>
      </c>
      <c r="C618" s="64">
        <v>3</v>
      </c>
      <c r="D618" s="64">
        <v>0</v>
      </c>
      <c r="E618" s="64">
        <v>18</v>
      </c>
      <c r="F618" s="64">
        <v>2</v>
      </c>
      <c r="G618" s="64">
        <v>9</v>
      </c>
      <c r="H618" s="65"/>
      <c r="I618" s="65"/>
      <c r="J618" s="65"/>
      <c r="K618" s="65" t="s">
        <v>251</v>
      </c>
      <c r="L618" s="64" t="s">
        <v>246</v>
      </c>
      <c r="M618" s="64" t="s">
        <v>240</v>
      </c>
      <c r="N618" s="64" t="s">
        <v>252</v>
      </c>
      <c r="O618" s="64" t="s">
        <v>241</v>
      </c>
      <c r="P618" s="69"/>
      <c r="Q618" s="69"/>
      <c r="R618" s="158">
        <f>+SUM(T618+W618+Z618+AC618)</f>
        <v>0</v>
      </c>
      <c r="S618" s="123" t="s">
        <v>248</v>
      </c>
      <c r="T618" s="124">
        <v>0</v>
      </c>
      <c r="U618" s="370">
        <v>0</v>
      </c>
      <c r="V618" s="687">
        <v>0</v>
      </c>
      <c r="W618" s="75">
        <v>0</v>
      </c>
      <c r="X618" s="75"/>
      <c r="Y618" s="75"/>
      <c r="Z618" s="75">
        <v>0</v>
      </c>
      <c r="AA618" s="75"/>
      <c r="AB618" s="75"/>
      <c r="AC618" s="75">
        <v>0</v>
      </c>
      <c r="AD618" s="75"/>
      <c r="AE618" s="592"/>
      <c r="AF618" s="347"/>
      <c r="AG618" s="510">
        <v>0</v>
      </c>
      <c r="AH618" s="370">
        <v>0</v>
      </c>
      <c r="AI618" s="75"/>
      <c r="AJ618" s="75"/>
      <c r="AK618" s="75"/>
      <c r="AL618" s="75"/>
      <c r="AM618" s="75"/>
      <c r="AN618" s="64" t="s">
        <v>181</v>
      </c>
      <c r="AO618" s="64"/>
      <c r="AP618" s="64"/>
      <c r="AQ618" s="189"/>
      <c r="AR618" s="64"/>
      <c r="AS618" s="476"/>
      <c r="AT618" s="64"/>
      <c r="AU618" s="646"/>
      <c r="AV618" s="185"/>
    </row>
    <row r="619" spans="1:48" ht="21" customHeight="1" outlineLevel="4" x14ac:dyDescent="0.25">
      <c r="A619" s="63" t="str">
        <f t="shared" si="120"/>
        <v>1.3.0.18.3.9</v>
      </c>
      <c r="B619" s="64">
        <v>1</v>
      </c>
      <c r="C619" s="64">
        <v>3</v>
      </c>
      <c r="D619" s="64">
        <v>0</v>
      </c>
      <c r="E619" s="64">
        <v>18</v>
      </c>
      <c r="F619" s="64">
        <v>3</v>
      </c>
      <c r="G619" s="64">
        <v>9</v>
      </c>
      <c r="H619" s="65"/>
      <c r="I619" s="65"/>
      <c r="J619" s="66"/>
      <c r="K619" s="65" t="s">
        <v>255</v>
      </c>
      <c r="L619" s="64" t="s">
        <v>246</v>
      </c>
      <c r="M619" s="64" t="s">
        <v>256</v>
      </c>
      <c r="N619" s="64" t="s">
        <v>257</v>
      </c>
      <c r="O619" s="64" t="s">
        <v>241</v>
      </c>
      <c r="P619" s="69"/>
      <c r="Q619" s="170"/>
      <c r="R619" s="124"/>
      <c r="S619" s="123" t="s">
        <v>258</v>
      </c>
      <c r="T619" s="124"/>
      <c r="U619" s="370">
        <v>0</v>
      </c>
      <c r="V619" s="687">
        <v>0</v>
      </c>
      <c r="W619" s="75"/>
      <c r="X619" s="75"/>
      <c r="Y619" s="75"/>
      <c r="Z619" s="75"/>
      <c r="AA619" s="75"/>
      <c r="AB619" s="75"/>
      <c r="AC619" s="75"/>
      <c r="AD619" s="75"/>
      <c r="AE619" s="592"/>
      <c r="AF619" s="347"/>
      <c r="AG619" s="510">
        <v>0</v>
      </c>
      <c r="AH619" s="370">
        <v>0</v>
      </c>
      <c r="AI619" s="75"/>
      <c r="AJ619" s="75"/>
      <c r="AK619" s="75"/>
      <c r="AL619" s="75"/>
      <c r="AM619" s="75"/>
      <c r="AN619" s="64" t="s">
        <v>181</v>
      </c>
      <c r="AO619" s="64" t="s">
        <v>1839</v>
      </c>
      <c r="AP619" s="64" t="s">
        <v>649</v>
      </c>
      <c r="AQ619" s="533" t="s">
        <v>649</v>
      </c>
      <c r="AR619" s="554">
        <v>44562</v>
      </c>
      <c r="AS619" s="554">
        <v>44561</v>
      </c>
      <c r="AT619" s="64" t="s">
        <v>1814</v>
      </c>
      <c r="AU619" s="646"/>
      <c r="AV619" s="185"/>
    </row>
    <row r="620" spans="1:48" ht="21" customHeight="1" outlineLevel="4" x14ac:dyDescent="0.25">
      <c r="A620" s="63" t="str">
        <f t="shared" si="120"/>
        <v>1.3.0.18.4.9</v>
      </c>
      <c r="B620" s="64">
        <v>1</v>
      </c>
      <c r="C620" s="64">
        <v>3</v>
      </c>
      <c r="D620" s="64">
        <v>0</v>
      </c>
      <c r="E620" s="64">
        <v>18</v>
      </c>
      <c r="F620" s="64">
        <v>4</v>
      </c>
      <c r="G620" s="64">
        <v>9</v>
      </c>
      <c r="H620" s="65"/>
      <c r="I620" s="65"/>
      <c r="J620" s="66"/>
      <c r="K620" s="65" t="s">
        <v>263</v>
      </c>
      <c r="L620" s="64" t="s">
        <v>264</v>
      </c>
      <c r="M620" s="64" t="s">
        <v>144</v>
      </c>
      <c r="N620" s="64" t="s">
        <v>265</v>
      </c>
      <c r="O620" s="64" t="s">
        <v>266</v>
      </c>
      <c r="P620" s="69"/>
      <c r="Q620" s="69"/>
      <c r="R620" s="124">
        <v>0</v>
      </c>
      <c r="S620" s="123" t="s">
        <v>258</v>
      </c>
      <c r="T620" s="124"/>
      <c r="U620" s="370">
        <v>0</v>
      </c>
      <c r="V620" s="687">
        <v>0</v>
      </c>
      <c r="W620" s="75"/>
      <c r="X620" s="75"/>
      <c r="Y620" s="75"/>
      <c r="Z620" s="75"/>
      <c r="AA620" s="75"/>
      <c r="AB620" s="75"/>
      <c r="AC620" s="75"/>
      <c r="AD620" s="75"/>
      <c r="AE620" s="592"/>
      <c r="AF620" s="347"/>
      <c r="AG620" s="510">
        <v>0</v>
      </c>
      <c r="AH620" s="370">
        <v>0</v>
      </c>
      <c r="AI620" s="75"/>
      <c r="AJ620" s="75"/>
      <c r="AK620" s="75"/>
      <c r="AL620" s="75"/>
      <c r="AM620" s="75"/>
      <c r="AN620" s="64" t="s">
        <v>181</v>
      </c>
      <c r="AO620" s="64"/>
      <c r="AP620" s="64"/>
      <c r="AQ620" s="189"/>
      <c r="AR620" s="64"/>
      <c r="AS620" s="476"/>
      <c r="AT620" s="64"/>
      <c r="AU620" s="646"/>
      <c r="AV620" s="185"/>
    </row>
    <row r="621" spans="1:48" s="153" customFormat="1" ht="15" customHeight="1" outlineLevel="1" x14ac:dyDescent="0.25">
      <c r="A621" s="148" t="str">
        <f t="shared" si="120"/>
        <v>1.3.0.19.0.0</v>
      </c>
      <c r="B621" s="82">
        <v>1</v>
      </c>
      <c r="C621" s="82">
        <v>3</v>
      </c>
      <c r="D621" s="82">
        <v>0</v>
      </c>
      <c r="E621" s="82">
        <v>19</v>
      </c>
      <c r="F621" s="82">
        <v>0</v>
      </c>
      <c r="G621" s="82">
        <v>0</v>
      </c>
      <c r="H621" s="149"/>
      <c r="I621" s="149"/>
      <c r="J621" s="1260" t="s">
        <v>670</v>
      </c>
      <c r="K621" s="1260"/>
      <c r="L621" s="82" t="s">
        <v>236</v>
      </c>
      <c r="M621" s="82" t="s">
        <v>240</v>
      </c>
      <c r="N621" s="82" t="s">
        <v>226</v>
      </c>
      <c r="O621" s="82" t="s">
        <v>668</v>
      </c>
      <c r="P621" s="82"/>
      <c r="Q621" s="82"/>
      <c r="R621" s="150"/>
      <c r="S621" s="151"/>
      <c r="T621" s="150"/>
      <c r="U621" s="379">
        <f>+SUM(U622:U625)</f>
        <v>0</v>
      </c>
      <c r="V621" s="682">
        <f>+SUM(V622:V625)</f>
        <v>0</v>
      </c>
      <c r="W621" s="152"/>
      <c r="X621" s="152"/>
      <c r="Y621" s="152"/>
      <c r="Z621" s="152"/>
      <c r="AA621" s="152"/>
      <c r="AB621" s="152"/>
      <c r="AC621" s="152"/>
      <c r="AD621" s="152"/>
      <c r="AE621" s="597"/>
      <c r="AF621" s="351"/>
      <c r="AG621" s="512">
        <f>+SUM(AG622:AG625)</f>
        <v>0</v>
      </c>
      <c r="AH621" s="379">
        <f>+SUM(AH622:AH625)</f>
        <v>0</v>
      </c>
      <c r="AI621" s="152"/>
      <c r="AJ621" s="152"/>
      <c r="AK621" s="152"/>
      <c r="AL621" s="152"/>
      <c r="AM621" s="152"/>
      <c r="AN621" s="82" t="s">
        <v>181</v>
      </c>
      <c r="AO621" s="82"/>
      <c r="AP621" s="82"/>
      <c r="AQ621" s="365"/>
      <c r="AR621" s="82"/>
      <c r="AS621" s="483"/>
      <c r="AT621" s="82"/>
      <c r="AU621" s="666"/>
      <c r="AV621" s="444"/>
    </row>
    <row r="622" spans="1:48" ht="20.25" customHeight="1" outlineLevel="2" x14ac:dyDescent="0.25">
      <c r="A622" s="63" t="str">
        <f t="shared" si="120"/>
        <v>1.3.0.19.1.5</v>
      </c>
      <c r="B622" s="64">
        <v>1</v>
      </c>
      <c r="C622" s="64">
        <v>3</v>
      </c>
      <c r="D622" s="64">
        <v>0</v>
      </c>
      <c r="E622" s="64">
        <v>19</v>
      </c>
      <c r="F622" s="64">
        <v>1</v>
      </c>
      <c r="G622" s="64">
        <v>5</v>
      </c>
      <c r="H622" s="65"/>
      <c r="I622" s="65"/>
      <c r="J622" s="66"/>
      <c r="K622" s="65" t="s">
        <v>245</v>
      </c>
      <c r="L622" s="64" t="s">
        <v>246</v>
      </c>
      <c r="M622" s="64" t="s">
        <v>240</v>
      </c>
      <c r="N622" s="64" t="s">
        <v>247</v>
      </c>
      <c r="O622" s="64" t="s">
        <v>241</v>
      </c>
      <c r="P622" s="64"/>
      <c r="Q622" s="64"/>
      <c r="R622" s="124"/>
      <c r="S622" s="123" t="s">
        <v>248</v>
      </c>
      <c r="T622" s="124">
        <v>0</v>
      </c>
      <c r="U622" s="370">
        <v>0</v>
      </c>
      <c r="V622" s="687">
        <v>0</v>
      </c>
      <c r="W622" s="75"/>
      <c r="X622" s="75"/>
      <c r="Y622" s="75"/>
      <c r="Z622" s="75"/>
      <c r="AA622" s="75"/>
      <c r="AB622" s="75"/>
      <c r="AC622" s="75"/>
      <c r="AD622" s="75"/>
      <c r="AE622" s="592"/>
      <c r="AF622" s="347"/>
      <c r="AG622" s="510">
        <v>0</v>
      </c>
      <c r="AH622" s="370">
        <v>0</v>
      </c>
      <c r="AI622" s="75"/>
      <c r="AJ622" s="75"/>
      <c r="AK622" s="75"/>
      <c r="AL622" s="75"/>
      <c r="AM622" s="75"/>
      <c r="AN622" s="64" t="s">
        <v>181</v>
      </c>
      <c r="AO622" s="64"/>
      <c r="AP622" s="64"/>
      <c r="AQ622" s="189"/>
      <c r="AR622" s="64"/>
      <c r="AS622" s="476"/>
      <c r="AT622" s="64"/>
      <c r="AU622" s="646"/>
      <c r="AV622" s="185"/>
    </row>
    <row r="623" spans="1:48" ht="20.25" customHeight="1" outlineLevel="2" x14ac:dyDescent="0.25">
      <c r="A623" s="63" t="str">
        <f t="shared" si="120"/>
        <v>1.3.0.19.2.5</v>
      </c>
      <c r="B623" s="64">
        <v>1</v>
      </c>
      <c r="C623" s="64">
        <v>3</v>
      </c>
      <c r="D623" s="64">
        <v>0</v>
      </c>
      <c r="E623" s="64">
        <v>19</v>
      </c>
      <c r="F623" s="64">
        <v>2</v>
      </c>
      <c r="G623" s="64">
        <v>5</v>
      </c>
      <c r="H623" s="65"/>
      <c r="I623" s="65"/>
      <c r="J623" s="65"/>
      <c r="K623" s="65" t="s">
        <v>251</v>
      </c>
      <c r="L623" s="64" t="s">
        <v>246</v>
      </c>
      <c r="M623" s="64" t="s">
        <v>240</v>
      </c>
      <c r="N623" s="64" t="s">
        <v>252</v>
      </c>
      <c r="O623" s="64" t="s">
        <v>241</v>
      </c>
      <c r="P623" s="69"/>
      <c r="Q623" s="69"/>
      <c r="R623" s="124"/>
      <c r="S623" s="123" t="s">
        <v>248</v>
      </c>
      <c r="T623" s="124">
        <v>1000</v>
      </c>
      <c r="U623" s="370">
        <v>0</v>
      </c>
      <c r="V623" s="687">
        <v>0</v>
      </c>
      <c r="W623" s="75">
        <v>0</v>
      </c>
      <c r="X623" s="75"/>
      <c r="Y623" s="75"/>
      <c r="Z623" s="75">
        <v>0</v>
      </c>
      <c r="AA623" s="75"/>
      <c r="AB623" s="75"/>
      <c r="AC623" s="75">
        <v>0</v>
      </c>
      <c r="AD623" s="75"/>
      <c r="AE623" s="592"/>
      <c r="AF623" s="347">
        <f>+(R623*252)*1.1</f>
        <v>0</v>
      </c>
      <c r="AG623" s="510">
        <v>0</v>
      </c>
      <c r="AH623" s="370">
        <v>0</v>
      </c>
      <c r="AI623" s="75"/>
      <c r="AJ623" s="75"/>
      <c r="AK623" s="75"/>
      <c r="AL623" s="75"/>
      <c r="AM623" s="75"/>
      <c r="AN623" s="64" t="s">
        <v>181</v>
      </c>
      <c r="AO623" s="64"/>
      <c r="AP623" s="64"/>
      <c r="AQ623" s="189"/>
      <c r="AR623" s="64"/>
      <c r="AS623" s="476"/>
      <c r="AT623" s="64"/>
      <c r="AU623" s="646"/>
      <c r="AV623" s="185"/>
    </row>
    <row r="624" spans="1:48" ht="20.25" customHeight="1" outlineLevel="2" x14ac:dyDescent="0.25">
      <c r="A624" s="63" t="str">
        <f t="shared" si="120"/>
        <v>1.3.0.19.3.5</v>
      </c>
      <c r="B624" s="64">
        <v>1</v>
      </c>
      <c r="C624" s="64">
        <v>3</v>
      </c>
      <c r="D624" s="64">
        <v>0</v>
      </c>
      <c r="E624" s="64">
        <v>19</v>
      </c>
      <c r="F624" s="64">
        <v>3</v>
      </c>
      <c r="G624" s="64">
        <v>5</v>
      </c>
      <c r="H624" s="65"/>
      <c r="I624" s="65"/>
      <c r="J624" s="66"/>
      <c r="K624" s="65" t="s">
        <v>255</v>
      </c>
      <c r="L624" s="64" t="s">
        <v>246</v>
      </c>
      <c r="M624" s="64" t="s">
        <v>256</v>
      </c>
      <c r="N624" s="64" t="s">
        <v>671</v>
      </c>
      <c r="O624" s="64" t="s">
        <v>241</v>
      </c>
      <c r="P624" s="170"/>
      <c r="Q624" s="170"/>
      <c r="R624" s="124"/>
      <c r="S624" s="123" t="s">
        <v>672</v>
      </c>
      <c r="T624" s="124"/>
      <c r="U624" s="370">
        <v>0</v>
      </c>
      <c r="V624" s="687">
        <v>0</v>
      </c>
      <c r="W624" s="75"/>
      <c r="X624" s="75"/>
      <c r="Y624" s="75"/>
      <c r="Z624" s="75"/>
      <c r="AA624" s="75"/>
      <c r="AB624" s="75"/>
      <c r="AC624" s="75"/>
      <c r="AD624" s="75"/>
      <c r="AE624" s="592"/>
      <c r="AF624" s="347"/>
      <c r="AG624" s="510">
        <v>0</v>
      </c>
      <c r="AH624" s="370">
        <v>0</v>
      </c>
      <c r="AI624" s="75"/>
      <c r="AJ624" s="75"/>
      <c r="AK624" s="75"/>
      <c r="AL624" s="75"/>
      <c r="AM624" s="75"/>
      <c r="AN624" s="64" t="s">
        <v>181</v>
      </c>
      <c r="AO624" s="64" t="s">
        <v>1839</v>
      </c>
      <c r="AP624" s="64" t="s">
        <v>649</v>
      </c>
      <c r="AQ624" s="533" t="s">
        <v>649</v>
      </c>
      <c r="AR624" s="554">
        <v>44562</v>
      </c>
      <c r="AS624" s="554">
        <v>44561</v>
      </c>
      <c r="AT624" s="64" t="s">
        <v>1814</v>
      </c>
      <c r="AU624" s="646"/>
      <c r="AV624" s="185"/>
    </row>
    <row r="625" spans="1:50" ht="20.25" customHeight="1" outlineLevel="2" x14ac:dyDescent="0.25">
      <c r="A625" s="63" t="str">
        <f t="shared" si="120"/>
        <v>1.3.0.19.4.5</v>
      </c>
      <c r="B625" s="64">
        <v>1</v>
      </c>
      <c r="C625" s="64">
        <v>3</v>
      </c>
      <c r="D625" s="64">
        <v>0</v>
      </c>
      <c r="E625" s="64">
        <v>19</v>
      </c>
      <c r="F625" s="64">
        <v>4</v>
      </c>
      <c r="G625" s="64">
        <v>5</v>
      </c>
      <c r="H625" s="65"/>
      <c r="I625" s="65"/>
      <c r="J625" s="66"/>
      <c r="K625" s="65" t="s">
        <v>263</v>
      </c>
      <c r="L625" s="64" t="s">
        <v>264</v>
      </c>
      <c r="M625" s="64" t="s">
        <v>76</v>
      </c>
      <c r="N625" s="64" t="s">
        <v>265</v>
      </c>
      <c r="O625" s="64" t="s">
        <v>266</v>
      </c>
      <c r="P625" s="170"/>
      <c r="Q625" s="170"/>
      <c r="R625" s="124"/>
      <c r="S625" s="123" t="s">
        <v>672</v>
      </c>
      <c r="T625" s="124"/>
      <c r="U625" s="370">
        <v>0</v>
      </c>
      <c r="V625" s="687">
        <v>0</v>
      </c>
      <c r="W625" s="75"/>
      <c r="X625" s="75"/>
      <c r="Y625" s="75"/>
      <c r="Z625" s="75"/>
      <c r="AA625" s="75"/>
      <c r="AB625" s="75"/>
      <c r="AC625" s="75"/>
      <c r="AD625" s="75"/>
      <c r="AE625" s="592"/>
      <c r="AF625" s="347"/>
      <c r="AG625" s="510">
        <v>0</v>
      </c>
      <c r="AH625" s="370">
        <v>0</v>
      </c>
      <c r="AI625" s="75"/>
      <c r="AJ625" s="75"/>
      <c r="AK625" s="75"/>
      <c r="AL625" s="75"/>
      <c r="AM625" s="75"/>
      <c r="AN625" s="64" t="s">
        <v>181</v>
      </c>
      <c r="AO625" s="64"/>
      <c r="AP625" s="64"/>
      <c r="AQ625" s="189"/>
      <c r="AR625" s="64"/>
      <c r="AS625" s="476"/>
      <c r="AT625" s="64"/>
      <c r="AU625" s="646"/>
      <c r="AV625" s="185"/>
    </row>
    <row r="626" spans="1:50" s="153" customFormat="1" ht="15" customHeight="1" outlineLevel="1" x14ac:dyDescent="0.25">
      <c r="A626" s="148" t="str">
        <f t="shared" si="120"/>
        <v>1.3.0.20.0.0</v>
      </c>
      <c r="B626" s="82">
        <v>1</v>
      </c>
      <c r="C626" s="82">
        <v>3</v>
      </c>
      <c r="D626" s="82">
        <v>0</v>
      </c>
      <c r="E626" s="82">
        <v>20</v>
      </c>
      <c r="F626" s="82">
        <v>0</v>
      </c>
      <c r="G626" s="82">
        <v>0</v>
      </c>
      <c r="H626" s="149"/>
      <c r="I626" s="149"/>
      <c r="J626" s="1291" t="s">
        <v>673</v>
      </c>
      <c r="K626" s="1291"/>
      <c r="L626" s="82" t="s">
        <v>236</v>
      </c>
      <c r="M626" s="82" t="s">
        <v>674</v>
      </c>
      <c r="N626" s="82" t="s">
        <v>226</v>
      </c>
      <c r="O626" s="82" t="s">
        <v>668</v>
      </c>
      <c r="P626" s="82"/>
      <c r="Q626" s="82"/>
      <c r="R626" s="150">
        <f>R627</f>
        <v>0</v>
      </c>
      <c r="S626" s="151" t="s">
        <v>248</v>
      </c>
      <c r="T626" s="150">
        <f>T627</f>
        <v>0</v>
      </c>
      <c r="U626" s="379">
        <f>+SUM(U627:U630)</f>
        <v>0</v>
      </c>
      <c r="V626" s="682">
        <f>+SUM(V627:V630)</f>
        <v>0</v>
      </c>
      <c r="W626" s="152">
        <f>W627</f>
        <v>0</v>
      </c>
      <c r="X626" s="152"/>
      <c r="Y626" s="152"/>
      <c r="Z626" s="152">
        <f>Z627</f>
        <v>0</v>
      </c>
      <c r="AA626" s="152"/>
      <c r="AB626" s="152"/>
      <c r="AC626" s="152">
        <f>AC627</f>
        <v>0</v>
      </c>
      <c r="AD626" s="152"/>
      <c r="AE626" s="597"/>
      <c r="AF626" s="357">
        <f>AF627</f>
        <v>0</v>
      </c>
      <c r="AG626" s="512">
        <f>+SUM(AG627:AG630)</f>
        <v>0</v>
      </c>
      <c r="AH626" s="379">
        <f>+SUM(AH627:AH630)</f>
        <v>0</v>
      </c>
      <c r="AI626" s="152"/>
      <c r="AJ626" s="152"/>
      <c r="AK626" s="152"/>
      <c r="AL626" s="152"/>
      <c r="AM626" s="152"/>
      <c r="AN626" s="82" t="s">
        <v>181</v>
      </c>
      <c r="AO626" s="82"/>
      <c r="AP626" s="82"/>
      <c r="AQ626" s="365"/>
      <c r="AR626" s="82"/>
      <c r="AS626" s="483"/>
      <c r="AT626" s="82"/>
      <c r="AU626" s="666"/>
      <c r="AV626" s="444"/>
    </row>
    <row r="627" spans="1:50" outlineLevel="2" x14ac:dyDescent="0.25">
      <c r="A627" s="63" t="str">
        <f t="shared" si="120"/>
        <v>1.3.0.20.1.4</v>
      </c>
      <c r="B627" s="64">
        <v>1</v>
      </c>
      <c r="C627" s="64">
        <v>3</v>
      </c>
      <c r="D627" s="64">
        <v>0</v>
      </c>
      <c r="E627" s="64">
        <v>20</v>
      </c>
      <c r="F627" s="64">
        <v>1</v>
      </c>
      <c r="G627" s="64">
        <v>4</v>
      </c>
      <c r="H627" s="65"/>
      <c r="I627" s="65"/>
      <c r="J627" s="65"/>
      <c r="K627" s="65" t="s">
        <v>245</v>
      </c>
      <c r="L627" s="64" t="s">
        <v>246</v>
      </c>
      <c r="M627" s="64" t="s">
        <v>240</v>
      </c>
      <c r="N627" s="64" t="s">
        <v>247</v>
      </c>
      <c r="O627" s="64" t="s">
        <v>241</v>
      </c>
      <c r="P627" s="69"/>
      <c r="Q627" s="69"/>
      <c r="R627" s="158"/>
      <c r="S627" s="123" t="s">
        <v>248</v>
      </c>
      <c r="T627" s="124"/>
      <c r="U627" s="370">
        <v>0</v>
      </c>
      <c r="V627" s="687">
        <v>0</v>
      </c>
      <c r="W627" s="75"/>
      <c r="X627" s="75"/>
      <c r="Y627" s="75"/>
      <c r="Z627" s="75"/>
      <c r="AA627" s="75"/>
      <c r="AB627" s="75"/>
      <c r="AC627" s="75"/>
      <c r="AD627" s="75"/>
      <c r="AE627" s="592"/>
      <c r="AF627" s="347"/>
      <c r="AG627" s="510">
        <v>0</v>
      </c>
      <c r="AH627" s="370">
        <v>0</v>
      </c>
      <c r="AI627" s="75"/>
      <c r="AJ627" s="75"/>
      <c r="AK627" s="75"/>
      <c r="AL627" s="75"/>
      <c r="AM627" s="75"/>
      <c r="AN627" s="64" t="s">
        <v>181</v>
      </c>
      <c r="AO627" s="64"/>
      <c r="AP627" s="64"/>
      <c r="AQ627" s="189"/>
      <c r="AR627" s="64"/>
      <c r="AS627" s="476"/>
      <c r="AT627" s="64"/>
      <c r="AU627" s="646"/>
      <c r="AV627" s="185"/>
    </row>
    <row r="628" spans="1:50" outlineLevel="2" x14ac:dyDescent="0.25">
      <c r="A628" s="63" t="str">
        <f t="shared" si="120"/>
        <v>1.3.0.20.2.4</v>
      </c>
      <c r="B628" s="64">
        <v>1</v>
      </c>
      <c r="C628" s="64">
        <v>3</v>
      </c>
      <c r="D628" s="64">
        <v>0</v>
      </c>
      <c r="E628" s="64">
        <v>20</v>
      </c>
      <c r="F628" s="64">
        <v>2</v>
      </c>
      <c r="G628" s="64">
        <v>4</v>
      </c>
      <c r="H628" s="65"/>
      <c r="I628" s="65"/>
      <c r="J628" s="65"/>
      <c r="K628" s="65" t="s">
        <v>251</v>
      </c>
      <c r="L628" s="64" t="s">
        <v>246</v>
      </c>
      <c r="M628" s="64" t="s">
        <v>240</v>
      </c>
      <c r="N628" s="64" t="s">
        <v>675</v>
      </c>
      <c r="O628" s="64" t="s">
        <v>241</v>
      </c>
      <c r="P628" s="171"/>
      <c r="Q628" s="171"/>
      <c r="R628" s="170"/>
      <c r="S628" s="123"/>
      <c r="T628" s="124"/>
      <c r="U628" s="370">
        <v>0</v>
      </c>
      <c r="V628" s="687">
        <v>0</v>
      </c>
      <c r="W628" s="75"/>
      <c r="X628" s="75"/>
      <c r="Y628" s="75"/>
      <c r="Z628" s="75"/>
      <c r="AA628" s="75"/>
      <c r="AB628" s="75"/>
      <c r="AC628" s="75"/>
      <c r="AD628" s="75"/>
      <c r="AE628" s="592"/>
      <c r="AF628" s="347"/>
      <c r="AG628" s="510">
        <v>0</v>
      </c>
      <c r="AH628" s="370">
        <v>0</v>
      </c>
      <c r="AI628" s="75"/>
      <c r="AJ628" s="75"/>
      <c r="AK628" s="75"/>
      <c r="AL628" s="75"/>
      <c r="AM628" s="75"/>
      <c r="AN628" s="64" t="s">
        <v>181</v>
      </c>
      <c r="AO628" s="64"/>
      <c r="AP628" s="64"/>
      <c r="AQ628" s="189"/>
      <c r="AR628" s="64"/>
      <c r="AS628" s="476"/>
      <c r="AT628" s="64"/>
      <c r="AU628" s="646"/>
      <c r="AV628" s="185"/>
    </row>
    <row r="629" spans="1:50" outlineLevel="2" x14ac:dyDescent="0.25">
      <c r="A629" s="63" t="str">
        <f t="shared" si="120"/>
        <v>1.3.0.20.3.4</v>
      </c>
      <c r="B629" s="64">
        <v>1</v>
      </c>
      <c r="C629" s="64">
        <v>3</v>
      </c>
      <c r="D629" s="64">
        <v>0</v>
      </c>
      <c r="E629" s="64">
        <v>20</v>
      </c>
      <c r="F629" s="64">
        <v>3</v>
      </c>
      <c r="G629" s="64">
        <v>4</v>
      </c>
      <c r="H629" s="65"/>
      <c r="I629" s="65"/>
      <c r="J629" s="65"/>
      <c r="K629" s="65" t="s">
        <v>255</v>
      </c>
      <c r="L629" s="64" t="s">
        <v>246</v>
      </c>
      <c r="M629" s="64" t="s">
        <v>256</v>
      </c>
      <c r="N629" s="64" t="s">
        <v>671</v>
      </c>
      <c r="O629" s="64" t="s">
        <v>241</v>
      </c>
      <c r="P629" s="171"/>
      <c r="Q629" s="171"/>
      <c r="R629" s="124"/>
      <c r="S629" s="123"/>
      <c r="T629" s="124"/>
      <c r="U629" s="370">
        <v>0</v>
      </c>
      <c r="V629" s="687">
        <v>0</v>
      </c>
      <c r="W629" s="75"/>
      <c r="X629" s="75"/>
      <c r="Y629" s="75"/>
      <c r="Z629" s="75"/>
      <c r="AA629" s="75"/>
      <c r="AB629" s="75"/>
      <c r="AC629" s="75"/>
      <c r="AD629" s="75"/>
      <c r="AE629" s="592"/>
      <c r="AF629" s="347"/>
      <c r="AG629" s="510">
        <v>0</v>
      </c>
      <c r="AH629" s="370">
        <v>0</v>
      </c>
      <c r="AI629" s="75"/>
      <c r="AJ629" s="75"/>
      <c r="AK629" s="75"/>
      <c r="AL629" s="75"/>
      <c r="AM629" s="75"/>
      <c r="AN629" s="64" t="s">
        <v>181</v>
      </c>
      <c r="AO629" s="64" t="s">
        <v>1839</v>
      </c>
      <c r="AP629" s="64" t="s">
        <v>649</v>
      </c>
      <c r="AQ629" s="533" t="s">
        <v>649</v>
      </c>
      <c r="AR629" s="69">
        <v>44562</v>
      </c>
      <c r="AS629" s="554">
        <v>44561</v>
      </c>
      <c r="AT629" s="64" t="s">
        <v>1814</v>
      </c>
      <c r="AU629" s="646"/>
      <c r="AV629" s="561"/>
    </row>
    <row r="630" spans="1:50" outlineLevel="2" x14ac:dyDescent="0.25">
      <c r="A630" s="63" t="str">
        <f t="shared" si="120"/>
        <v>1.3.0.20.4.4</v>
      </c>
      <c r="B630" s="64">
        <v>1</v>
      </c>
      <c r="C630" s="64">
        <v>3</v>
      </c>
      <c r="D630" s="64">
        <v>0</v>
      </c>
      <c r="E630" s="64">
        <v>20</v>
      </c>
      <c r="F630" s="64">
        <v>4</v>
      </c>
      <c r="G630" s="64">
        <v>4</v>
      </c>
      <c r="H630" s="65"/>
      <c r="I630" s="65"/>
      <c r="J630" s="65"/>
      <c r="K630" s="65" t="s">
        <v>263</v>
      </c>
      <c r="L630" s="64" t="s">
        <v>264</v>
      </c>
      <c r="M630" s="64" t="s">
        <v>76</v>
      </c>
      <c r="N630" s="64" t="s">
        <v>265</v>
      </c>
      <c r="O630" s="64" t="s">
        <v>266</v>
      </c>
      <c r="P630" s="64"/>
      <c r="Q630" s="64"/>
      <c r="R630" s="124"/>
      <c r="S630" s="123"/>
      <c r="T630" s="124"/>
      <c r="U630" s="370">
        <v>0</v>
      </c>
      <c r="V630" s="687">
        <v>0</v>
      </c>
      <c r="W630" s="75"/>
      <c r="X630" s="75"/>
      <c r="Y630" s="75"/>
      <c r="Z630" s="75"/>
      <c r="AA630" s="75"/>
      <c r="AB630" s="75"/>
      <c r="AC630" s="75"/>
      <c r="AD630" s="75"/>
      <c r="AE630" s="592"/>
      <c r="AF630" s="347"/>
      <c r="AG630" s="510">
        <v>0</v>
      </c>
      <c r="AH630" s="370">
        <v>0</v>
      </c>
      <c r="AI630" s="75"/>
      <c r="AJ630" s="75"/>
      <c r="AK630" s="75"/>
      <c r="AL630" s="75"/>
      <c r="AM630" s="75"/>
      <c r="AN630" s="64" t="s">
        <v>181</v>
      </c>
      <c r="AO630" s="64"/>
      <c r="AP630" s="64"/>
      <c r="AQ630" s="189"/>
      <c r="AR630" s="64"/>
      <c r="AS630" s="476"/>
      <c r="AT630" s="64"/>
      <c r="AU630" s="646"/>
      <c r="AV630" s="185"/>
    </row>
    <row r="631" spans="1:50" s="153" customFormat="1" ht="37.5" customHeight="1" outlineLevel="1" x14ac:dyDescent="0.25">
      <c r="A631" s="108" t="str">
        <f t="shared" si="120"/>
        <v>1.4.1.0.0.0</v>
      </c>
      <c r="B631" s="109">
        <v>1</v>
      </c>
      <c r="C631" s="109">
        <v>4</v>
      </c>
      <c r="D631" s="109">
        <v>1</v>
      </c>
      <c r="E631" s="109">
        <v>0</v>
      </c>
      <c r="F631" s="109">
        <v>0</v>
      </c>
      <c r="G631" s="109">
        <v>0</v>
      </c>
      <c r="H631" s="110"/>
      <c r="I631" s="1265" t="s">
        <v>676</v>
      </c>
      <c r="J631" s="1265"/>
      <c r="K631" s="1265"/>
      <c r="L631" s="109" t="s">
        <v>236</v>
      </c>
      <c r="M631" s="109" t="s">
        <v>299</v>
      </c>
      <c r="N631" s="109" t="s">
        <v>226</v>
      </c>
      <c r="O631" s="109" t="s">
        <v>677</v>
      </c>
      <c r="P631" s="109"/>
      <c r="Q631" s="109"/>
      <c r="R631" s="109"/>
      <c r="S631" s="110"/>
      <c r="T631" s="109"/>
      <c r="U631" s="112">
        <f>+U632+U643+U672+U675+U678+U681+U684+U687+U690+U693+U696++U699+U702+U705+U708+U711+U714+U717</f>
        <v>8243850</v>
      </c>
      <c r="V631" s="680">
        <f>+V632+V643+V672+V675+V678+V681+V684+V687+V690+V693+V696++V699+V702+V705+V708+V711+V714+V717</f>
        <v>2820550</v>
      </c>
      <c r="W631" s="112"/>
      <c r="X631" s="112">
        <f>+X632+X643+X672+X675+X678+X681+X684+X687+X690+X693+X696++X699+X702+X705+X708+X711+X714+X717</f>
        <v>7453850</v>
      </c>
      <c r="Y631" s="112"/>
      <c r="Z631" s="112"/>
      <c r="AA631" s="112">
        <f>+AA632+AA643+AA672+AA675+AA678+AA681+AA684+AA687+AA690+AA693+AA696++AA699+AA702+AA705+AA708+AA711+AA714+AA717</f>
        <v>1898870.4</v>
      </c>
      <c r="AB631" s="112"/>
      <c r="AC631" s="112"/>
      <c r="AD631" s="112">
        <f>+AD632+AD643+AD672+AD675+AD678+AD681+AD684+AD687+AD690+AD693+AD696++AD699+AD702+AD705+AD708+AD711+AD714+AD717</f>
        <v>1790229.5999999996</v>
      </c>
      <c r="AE631" s="574"/>
      <c r="AF631" s="333"/>
      <c r="AG631" s="514">
        <f>+AG632+AG643+AG672+AG675+AG678+AG681+AG684+AG687+AG690+AG693+AG696+AG699+AG702+AG705+AG708+AG711+AG714+AG717</f>
        <v>20934857.149999999</v>
      </c>
      <c r="AH631" s="374">
        <f>+AH632+AH643+AH672+AH675+AH678+AH681+AH684+AH687+AH690+AH693+AH696+AH699+AH702+AH705+AH708+AH711+AH714+AH717</f>
        <v>16470800</v>
      </c>
      <c r="AI631" s="514">
        <f>+AI632+AI643+AI672+AI675+AI678+AI681+AI684+AI687+AI690+AI693+AI696+AI699+AI702+AI705+AI708+AI711+AI714+AI717</f>
        <v>0</v>
      </c>
      <c r="AJ631" s="514">
        <f>+AJ632+AJ643+AJ672+AJ675+AJ678+AJ681+AJ684+AJ687+AJ690+AJ693+AJ696+AJ699+AJ702+AJ705+AJ708+AJ711+AJ714+AJ717</f>
        <v>2820550</v>
      </c>
      <c r="AK631" s="112"/>
      <c r="AL631" s="112"/>
      <c r="AM631" s="112"/>
      <c r="AN631" s="109" t="s">
        <v>243</v>
      </c>
      <c r="AO631" s="109"/>
      <c r="AP631" s="109"/>
      <c r="AQ631" s="411"/>
      <c r="AR631" s="109"/>
      <c r="AS631" s="473"/>
      <c r="AT631" s="109"/>
      <c r="AU631" s="659"/>
      <c r="AV631" s="445" t="s">
        <v>678</v>
      </c>
    </row>
    <row r="632" spans="1:50" s="153" customFormat="1" ht="27" customHeight="1" outlineLevel="1" x14ac:dyDescent="0.25">
      <c r="A632" s="148" t="str">
        <f t="shared" si="120"/>
        <v>1.4.1.1.0.0</v>
      </c>
      <c r="B632" s="82">
        <v>1</v>
      </c>
      <c r="C632" s="82">
        <v>4</v>
      </c>
      <c r="D632" s="82">
        <v>1</v>
      </c>
      <c r="E632" s="82">
        <v>1</v>
      </c>
      <c r="F632" s="82">
        <v>0</v>
      </c>
      <c r="G632" s="82">
        <v>0</v>
      </c>
      <c r="H632" s="149"/>
      <c r="I632" s="149"/>
      <c r="J632" s="1260" t="s">
        <v>679</v>
      </c>
      <c r="K632" s="1260"/>
      <c r="L632" s="82" t="s">
        <v>224</v>
      </c>
      <c r="M632" s="82" t="s">
        <v>299</v>
      </c>
      <c r="N632" s="82" t="s">
        <v>671</v>
      </c>
      <c r="O632" s="82" t="s">
        <v>359</v>
      </c>
      <c r="P632" s="82"/>
      <c r="Q632" s="82"/>
      <c r="R632" s="82"/>
      <c r="S632" s="149"/>
      <c r="T632" s="82"/>
      <c r="U632" s="152">
        <f t="shared" ref="U632:AD632" si="121">SUM(U633:U642)</f>
        <v>923849.99999999977</v>
      </c>
      <c r="V632" s="681">
        <f>SUM(V633:V642)</f>
        <v>2820550</v>
      </c>
      <c r="W632" s="152">
        <f t="shared" si="121"/>
        <v>24</v>
      </c>
      <c r="X632" s="152">
        <f t="shared" si="121"/>
        <v>923849.99999999977</v>
      </c>
      <c r="Y632" s="152"/>
      <c r="Z632" s="152">
        <f t="shared" si="121"/>
        <v>24</v>
      </c>
      <c r="AA632" s="152">
        <f t="shared" si="121"/>
        <v>1898870.4</v>
      </c>
      <c r="AB632" s="152"/>
      <c r="AC632" s="152">
        <f t="shared" si="121"/>
        <v>24</v>
      </c>
      <c r="AD632" s="152">
        <f t="shared" si="121"/>
        <v>1790229.5999999996</v>
      </c>
      <c r="AE632" s="597"/>
      <c r="AF632" s="358"/>
      <c r="AG632" s="513">
        <f>+SUM(AG633:AG642)</f>
        <v>10000857.149999999</v>
      </c>
      <c r="AH632" s="380">
        <f>+SUM(AH633:AH642)</f>
        <v>5536799.9999999991</v>
      </c>
      <c r="AI632" s="513">
        <f>+SUM(AI633:AI642)</f>
        <v>0</v>
      </c>
      <c r="AJ632" s="513">
        <f>+SUM(AJ633:AJ642)</f>
        <v>2820550</v>
      </c>
      <c r="AK632" s="198"/>
      <c r="AL632" s="198"/>
      <c r="AM632" s="198"/>
      <c r="AN632" s="82" t="s">
        <v>243</v>
      </c>
      <c r="AO632" s="82"/>
      <c r="AP632" s="82"/>
      <c r="AQ632" s="365"/>
      <c r="AR632" s="82"/>
      <c r="AS632" s="483"/>
      <c r="AT632" s="82"/>
      <c r="AU632" s="666"/>
      <c r="AV632" s="444" t="s">
        <v>1794</v>
      </c>
    </row>
    <row r="633" spans="1:50" outlineLevel="2" x14ac:dyDescent="0.25">
      <c r="A633" s="63" t="str">
        <f t="shared" si="120"/>
        <v>1.4.1.1.15.58</v>
      </c>
      <c r="B633" s="64">
        <v>1</v>
      </c>
      <c r="C633" s="64">
        <v>4</v>
      </c>
      <c r="D633" s="64">
        <v>1</v>
      </c>
      <c r="E633" s="64">
        <v>1</v>
      </c>
      <c r="F633" s="64">
        <v>15</v>
      </c>
      <c r="G633" s="64">
        <v>58</v>
      </c>
      <c r="H633" s="65"/>
      <c r="I633" s="65"/>
      <c r="J633" s="66"/>
      <c r="K633" s="65" t="s">
        <v>1714</v>
      </c>
      <c r="L633" s="64" t="s">
        <v>246</v>
      </c>
      <c r="M633" s="64" t="s">
        <v>680</v>
      </c>
      <c r="N633" s="64" t="s">
        <v>671</v>
      </c>
      <c r="O633" s="64" t="s">
        <v>359</v>
      </c>
      <c r="P633" s="69">
        <v>44586</v>
      </c>
      <c r="Q633" s="69">
        <v>44920</v>
      </c>
      <c r="R633" s="64">
        <v>12</v>
      </c>
      <c r="S633" s="65" t="s">
        <v>267</v>
      </c>
      <c r="T633" s="64">
        <v>3</v>
      </c>
      <c r="U633" s="155">
        <f>+$AH$633/4</f>
        <v>131978.57142857142</v>
      </c>
      <c r="V633" s="679">
        <f>+AJ633</f>
        <v>0</v>
      </c>
      <c r="W633" s="75">
        <v>3</v>
      </c>
      <c r="X633" s="155">
        <f>+$AH$633/4</f>
        <v>131978.57142857142</v>
      </c>
      <c r="Y633" s="155"/>
      <c r="Z633" s="75">
        <v>3</v>
      </c>
      <c r="AA633" s="155">
        <f>+$AH$633/4</f>
        <v>131978.57142857142</v>
      </c>
      <c r="AB633" s="155"/>
      <c r="AC633" s="75">
        <v>3</v>
      </c>
      <c r="AD633" s="155">
        <f>+$AH$633/4</f>
        <v>131978.57142857142</v>
      </c>
      <c r="AE633" s="599"/>
      <c r="AF633" s="259"/>
      <c r="AG633" s="510">
        <v>1500000</v>
      </c>
      <c r="AH633" s="370">
        <f>3695400/7</f>
        <v>527914.28571428568</v>
      </c>
      <c r="AI633" s="75"/>
      <c r="AJ633" s="75"/>
      <c r="AK633" s="75"/>
      <c r="AL633" s="75"/>
      <c r="AM633" s="75"/>
      <c r="AN633" s="64" t="s">
        <v>39</v>
      </c>
      <c r="AO633" s="165"/>
      <c r="AP633" s="165"/>
      <c r="AQ633" s="413"/>
      <c r="AR633" s="64"/>
      <c r="AS633" s="475"/>
      <c r="AT633" s="64"/>
      <c r="AU633" s="646"/>
      <c r="AV633" s="1274" t="s">
        <v>1837</v>
      </c>
    </row>
    <row r="634" spans="1:50" outlineLevel="2" x14ac:dyDescent="0.25">
      <c r="A634" s="63" t="str">
        <f>CONCATENATE(B634,".",C634,".",D634,".",E634,".",F634,".",G634)</f>
        <v>1.4.1.1.15.58</v>
      </c>
      <c r="B634" s="64">
        <v>1</v>
      </c>
      <c r="C634" s="64">
        <v>4</v>
      </c>
      <c r="D634" s="64">
        <v>1</v>
      </c>
      <c r="E634" s="64">
        <v>1</v>
      </c>
      <c r="F634" s="64">
        <v>15</v>
      </c>
      <c r="G634" s="64">
        <v>58</v>
      </c>
      <c r="H634" s="65"/>
      <c r="I634" s="65"/>
      <c r="J634" s="66"/>
      <c r="K634" s="65" t="s">
        <v>1715</v>
      </c>
      <c r="L634" s="64"/>
      <c r="M634" s="64"/>
      <c r="N634" s="64"/>
      <c r="O634" s="64"/>
      <c r="P634" s="69"/>
      <c r="Q634" s="69"/>
      <c r="R634" s="64"/>
      <c r="S634" s="65"/>
      <c r="T634" s="64"/>
      <c r="U634" s="155"/>
      <c r="V634" s="703">
        <f t="shared" ref="V634:V642" si="122">+AJ634</f>
        <v>271375</v>
      </c>
      <c r="W634" s="75"/>
      <c r="X634" s="155"/>
      <c r="Y634" s="155"/>
      <c r="Z634" s="75"/>
      <c r="AA634" s="155"/>
      <c r="AB634" s="155"/>
      <c r="AC634" s="75"/>
      <c r="AD634" s="155"/>
      <c r="AE634" s="599"/>
      <c r="AF634" s="259"/>
      <c r="AG634" s="510"/>
      <c r="AH634" s="370"/>
      <c r="AI634" s="75"/>
      <c r="AJ634" s="75">
        <f>84420+89290+97665</f>
        <v>271375</v>
      </c>
      <c r="AK634" s="75"/>
      <c r="AL634" s="75"/>
      <c r="AM634" s="75"/>
      <c r="AN634" s="64" t="s">
        <v>39</v>
      </c>
      <c r="AO634" s="533" t="s">
        <v>649</v>
      </c>
      <c r="AP634" s="533" t="s">
        <v>649</v>
      </c>
      <c r="AQ634" s="533" t="s">
        <v>649</v>
      </c>
      <c r="AR634" s="554">
        <v>44562</v>
      </c>
      <c r="AS634" s="554">
        <v>44926</v>
      </c>
      <c r="AT634" s="64" t="s">
        <v>1814</v>
      </c>
      <c r="AU634" s="646" t="s">
        <v>1923</v>
      </c>
      <c r="AV634" s="1274"/>
    </row>
    <row r="635" spans="1:50" outlineLevel="2" x14ac:dyDescent="0.25">
      <c r="A635" s="63" t="str">
        <f t="shared" si="120"/>
        <v>1.4.1.1.15.59</v>
      </c>
      <c r="B635" s="64">
        <v>1</v>
      </c>
      <c r="C635" s="64">
        <v>4</v>
      </c>
      <c r="D635" s="64">
        <v>1</v>
      </c>
      <c r="E635" s="64">
        <v>1</v>
      </c>
      <c r="F635" s="64">
        <v>15</v>
      </c>
      <c r="G635" s="64">
        <v>59</v>
      </c>
      <c r="H635" s="65"/>
      <c r="I635" s="65"/>
      <c r="J635" s="66"/>
      <c r="K635" s="65" t="s">
        <v>1715</v>
      </c>
      <c r="L635" s="64" t="s">
        <v>246</v>
      </c>
      <c r="M635" s="64" t="s">
        <v>680</v>
      </c>
      <c r="N635" s="64" t="s">
        <v>671</v>
      </c>
      <c r="O635" s="64" t="s">
        <v>359</v>
      </c>
      <c r="P635" s="69">
        <v>44586</v>
      </c>
      <c r="Q635" s="69">
        <v>44920</v>
      </c>
      <c r="R635" s="64">
        <v>12</v>
      </c>
      <c r="S635" s="65" t="s">
        <v>267</v>
      </c>
      <c r="T635" s="64">
        <v>3</v>
      </c>
      <c r="U635" s="155">
        <f>+$AH$635/4</f>
        <v>131978.57142857142</v>
      </c>
      <c r="V635" s="703">
        <f t="shared" si="122"/>
        <v>271600</v>
      </c>
      <c r="W635" s="75">
        <v>3</v>
      </c>
      <c r="X635" s="155">
        <f>+$AH$635/4</f>
        <v>131978.57142857142</v>
      </c>
      <c r="Y635" s="155"/>
      <c r="Z635" s="75">
        <v>3</v>
      </c>
      <c r="AA635" s="155">
        <f>+$AH$635/4</f>
        <v>131978.57142857142</v>
      </c>
      <c r="AB635" s="155"/>
      <c r="AC635" s="75">
        <v>3</v>
      </c>
      <c r="AD635" s="155">
        <f>+$AH$635/4</f>
        <v>131978.57142857142</v>
      </c>
      <c r="AE635" s="599"/>
      <c r="AF635" s="259"/>
      <c r="AG635" s="510">
        <v>1500000</v>
      </c>
      <c r="AH635" s="370">
        <f>3695400/7</f>
        <v>527914.28571428568</v>
      </c>
      <c r="AI635" s="75"/>
      <c r="AJ635" s="75">
        <f>84430+89510+97660</f>
        <v>271600</v>
      </c>
      <c r="AK635" s="75"/>
      <c r="AL635" s="75"/>
      <c r="AM635" s="75"/>
      <c r="AN635" s="64" t="s">
        <v>39</v>
      </c>
      <c r="AO635" s="533" t="s">
        <v>649</v>
      </c>
      <c r="AP635" s="533" t="s">
        <v>649</v>
      </c>
      <c r="AQ635" s="533" t="s">
        <v>649</v>
      </c>
      <c r="AR635" s="554">
        <v>44562</v>
      </c>
      <c r="AS635" s="554">
        <v>44926</v>
      </c>
      <c r="AT635" s="64" t="s">
        <v>1814</v>
      </c>
      <c r="AU635" s="646" t="s">
        <v>1923</v>
      </c>
      <c r="AV635" s="1274"/>
    </row>
    <row r="636" spans="1:50" outlineLevel="2" x14ac:dyDescent="0.25">
      <c r="A636" s="63" t="str">
        <f t="shared" si="120"/>
        <v>1.4.1.1.15.60</v>
      </c>
      <c r="B636" s="64">
        <v>1</v>
      </c>
      <c r="C636" s="64">
        <v>4</v>
      </c>
      <c r="D636" s="64">
        <v>1</v>
      </c>
      <c r="E636" s="64">
        <v>1</v>
      </c>
      <c r="F636" s="64">
        <v>15</v>
      </c>
      <c r="G636" s="64">
        <v>60</v>
      </c>
      <c r="H636" s="65"/>
      <c r="I636" s="65"/>
      <c r="J636" s="66"/>
      <c r="K636" s="65" t="s">
        <v>1715</v>
      </c>
      <c r="L636" s="64" t="s">
        <v>246</v>
      </c>
      <c r="M636" s="64" t="s">
        <v>680</v>
      </c>
      <c r="N636" s="64" t="s">
        <v>671</v>
      </c>
      <c r="O636" s="64" t="s">
        <v>359</v>
      </c>
      <c r="P636" s="69">
        <v>44586</v>
      </c>
      <c r="Q636" s="69">
        <v>44920</v>
      </c>
      <c r="R636" s="64">
        <v>12</v>
      </c>
      <c r="S636" s="65" t="s">
        <v>267</v>
      </c>
      <c r="T636" s="64">
        <v>3</v>
      </c>
      <c r="U636" s="155">
        <f>$AH$636/4</f>
        <v>131978.57142857142</v>
      </c>
      <c r="V636" s="703">
        <f t="shared" si="122"/>
        <v>271375</v>
      </c>
      <c r="W636" s="75">
        <v>3</v>
      </c>
      <c r="X636" s="155">
        <f>$AH$636/4</f>
        <v>131978.57142857142</v>
      </c>
      <c r="Y636" s="155"/>
      <c r="Z636" s="75">
        <v>3</v>
      </c>
      <c r="AA636" s="155">
        <f>$AH$636/4</f>
        <v>131978.57142857142</v>
      </c>
      <c r="AB636" s="155"/>
      <c r="AC636" s="75">
        <v>3</v>
      </c>
      <c r="AD636" s="155">
        <f>$AH$636/4</f>
        <v>131978.57142857142</v>
      </c>
      <c r="AE636" s="599"/>
      <c r="AF636" s="259"/>
      <c r="AG636" s="510">
        <v>1400171.43</v>
      </c>
      <c r="AH636" s="370">
        <f t="shared" ref="AH636:AH640" si="123">3695400/7</f>
        <v>527914.28571428568</v>
      </c>
      <c r="AI636" s="75"/>
      <c r="AJ636" s="75">
        <f>84420+89290+97665</f>
        <v>271375</v>
      </c>
      <c r="AK636" s="75"/>
      <c r="AL636" s="75"/>
      <c r="AM636" s="75"/>
      <c r="AN636" s="64" t="s">
        <v>39</v>
      </c>
      <c r="AO636" s="533" t="s">
        <v>649</v>
      </c>
      <c r="AP636" s="533" t="s">
        <v>649</v>
      </c>
      <c r="AQ636" s="533" t="s">
        <v>649</v>
      </c>
      <c r="AR636" s="554">
        <v>44562</v>
      </c>
      <c r="AS636" s="554">
        <v>44926</v>
      </c>
      <c r="AT636" s="64" t="s">
        <v>1814</v>
      </c>
      <c r="AU636" s="646" t="s">
        <v>1923</v>
      </c>
      <c r="AV636" s="1274"/>
    </row>
    <row r="637" spans="1:50" outlineLevel="2" x14ac:dyDescent="0.25">
      <c r="A637" s="63" t="str">
        <f t="shared" si="120"/>
        <v>1.4.1.1.15.61</v>
      </c>
      <c r="B637" s="64">
        <v>1</v>
      </c>
      <c r="C637" s="64">
        <v>4</v>
      </c>
      <c r="D637" s="64">
        <v>1</v>
      </c>
      <c r="E637" s="64">
        <v>1</v>
      </c>
      <c r="F637" s="64">
        <v>15</v>
      </c>
      <c r="G637" s="64">
        <v>61</v>
      </c>
      <c r="H637" s="65"/>
      <c r="I637" s="65"/>
      <c r="J637" s="66"/>
      <c r="K637" s="65" t="s">
        <v>1715</v>
      </c>
      <c r="L637" s="64" t="s">
        <v>246</v>
      </c>
      <c r="M637" s="64" t="s">
        <v>680</v>
      </c>
      <c r="N637" s="64" t="s">
        <v>671</v>
      </c>
      <c r="O637" s="64" t="s">
        <v>359</v>
      </c>
      <c r="P637" s="69">
        <v>44586</v>
      </c>
      <c r="Q637" s="69">
        <v>44920</v>
      </c>
      <c r="R637" s="64">
        <v>12</v>
      </c>
      <c r="S637" s="65" t="s">
        <v>267</v>
      </c>
      <c r="T637" s="64">
        <v>3</v>
      </c>
      <c r="U637" s="155">
        <f>$AH$637/4</f>
        <v>131978.57142857142</v>
      </c>
      <c r="V637" s="703">
        <f t="shared" si="122"/>
        <v>271375</v>
      </c>
      <c r="W637" s="75">
        <v>3</v>
      </c>
      <c r="X637" s="155">
        <f>$AH$637/4</f>
        <v>131978.57142857142</v>
      </c>
      <c r="Y637" s="155"/>
      <c r="Z637" s="75">
        <v>3</v>
      </c>
      <c r="AA637" s="155">
        <f>$AH$637/4</f>
        <v>131978.57142857142</v>
      </c>
      <c r="AB637" s="155"/>
      <c r="AC637" s="75">
        <v>3</v>
      </c>
      <c r="AD637" s="155">
        <f>$AH$637/4</f>
        <v>131978.57142857142</v>
      </c>
      <c r="AE637" s="599"/>
      <c r="AF637" s="259"/>
      <c r="AG637" s="510">
        <v>1400171.43</v>
      </c>
      <c r="AH637" s="370">
        <f t="shared" si="123"/>
        <v>527914.28571428568</v>
      </c>
      <c r="AI637" s="75"/>
      <c r="AJ637" s="75">
        <f>84420+89290+97665</f>
        <v>271375</v>
      </c>
      <c r="AK637" s="75"/>
      <c r="AL637" s="75"/>
      <c r="AM637" s="75"/>
      <c r="AN637" s="64" t="s">
        <v>39</v>
      </c>
      <c r="AO637" s="533" t="s">
        <v>649</v>
      </c>
      <c r="AP637" s="533" t="s">
        <v>649</v>
      </c>
      <c r="AQ637" s="533" t="s">
        <v>649</v>
      </c>
      <c r="AR637" s="554">
        <v>44562</v>
      </c>
      <c r="AS637" s="554">
        <v>44926</v>
      </c>
      <c r="AT637" s="64" t="s">
        <v>1814</v>
      </c>
      <c r="AU637" s="646" t="s">
        <v>1923</v>
      </c>
      <c r="AV637" s="1274"/>
      <c r="AX637" s="199">
        <f>+AH640+AH639+AH638+AH637+AH636+AH635</f>
        <v>3167485.7142857136</v>
      </c>
    </row>
    <row r="638" spans="1:50" outlineLevel="2" x14ac:dyDescent="0.25">
      <c r="A638" s="63" t="str">
        <f t="shared" si="120"/>
        <v>1.4.1.1.15.62</v>
      </c>
      <c r="B638" s="64">
        <v>1</v>
      </c>
      <c r="C638" s="64">
        <v>4</v>
      </c>
      <c r="D638" s="64">
        <v>1</v>
      </c>
      <c r="E638" s="64">
        <v>1</v>
      </c>
      <c r="F638" s="64">
        <v>15</v>
      </c>
      <c r="G638" s="64">
        <v>62</v>
      </c>
      <c r="H638" s="65"/>
      <c r="I638" s="65"/>
      <c r="J638" s="66"/>
      <c r="K638" s="65" t="s">
        <v>1715</v>
      </c>
      <c r="L638" s="64" t="s">
        <v>246</v>
      </c>
      <c r="M638" s="64" t="s">
        <v>680</v>
      </c>
      <c r="N638" s="64" t="s">
        <v>671</v>
      </c>
      <c r="O638" s="64" t="s">
        <v>359</v>
      </c>
      <c r="P638" s="69">
        <v>44586</v>
      </c>
      <c r="Q638" s="69">
        <v>44920</v>
      </c>
      <c r="R638" s="64">
        <v>12</v>
      </c>
      <c r="S638" s="65" t="s">
        <v>267</v>
      </c>
      <c r="T638" s="64">
        <v>3</v>
      </c>
      <c r="U638" s="155">
        <f>$AH$638/4</f>
        <v>131978.57142857142</v>
      </c>
      <c r="V638" s="703">
        <f t="shared" si="122"/>
        <v>271375</v>
      </c>
      <c r="W638" s="75">
        <v>3</v>
      </c>
      <c r="X638" s="155">
        <f>$AH$638/4</f>
        <v>131978.57142857142</v>
      </c>
      <c r="Y638" s="155"/>
      <c r="Z638" s="75">
        <v>3</v>
      </c>
      <c r="AA638" s="155">
        <f>$AH$638/4</f>
        <v>131978.57142857142</v>
      </c>
      <c r="AB638" s="155"/>
      <c r="AC638" s="75">
        <v>3</v>
      </c>
      <c r="AD638" s="155">
        <f>$AH$638/4</f>
        <v>131978.57142857142</v>
      </c>
      <c r="AE638" s="599"/>
      <c r="AF638" s="259"/>
      <c r="AG638" s="510">
        <v>1400171.43</v>
      </c>
      <c r="AH638" s="370">
        <f t="shared" si="123"/>
        <v>527914.28571428568</v>
      </c>
      <c r="AI638" s="75"/>
      <c r="AJ638" s="75">
        <f>84420+89290+97665</f>
        <v>271375</v>
      </c>
      <c r="AK638" s="75"/>
      <c r="AL638" s="75"/>
      <c r="AM638" s="75"/>
      <c r="AN638" s="64" t="s">
        <v>39</v>
      </c>
      <c r="AO638" s="533" t="s">
        <v>649</v>
      </c>
      <c r="AP638" s="533" t="s">
        <v>649</v>
      </c>
      <c r="AQ638" s="533" t="s">
        <v>649</v>
      </c>
      <c r="AR638" s="554">
        <v>44562</v>
      </c>
      <c r="AS638" s="554">
        <v>44926</v>
      </c>
      <c r="AT638" s="64" t="s">
        <v>1814</v>
      </c>
      <c r="AU638" s="646" t="s">
        <v>1923</v>
      </c>
      <c r="AV638" s="1274"/>
      <c r="AX638" s="200"/>
    </row>
    <row r="639" spans="1:50" outlineLevel="2" x14ac:dyDescent="0.25">
      <c r="A639" s="63" t="str">
        <f t="shared" si="120"/>
        <v>1.4.1.1.15.63</v>
      </c>
      <c r="B639" s="64">
        <v>1</v>
      </c>
      <c r="C639" s="64">
        <v>4</v>
      </c>
      <c r="D639" s="64">
        <v>1</v>
      </c>
      <c r="E639" s="64">
        <v>1</v>
      </c>
      <c r="F639" s="64">
        <v>15</v>
      </c>
      <c r="G639" s="64">
        <v>63</v>
      </c>
      <c r="H639" s="65"/>
      <c r="I639" s="65"/>
      <c r="J639" s="66"/>
      <c r="K639" s="65" t="s">
        <v>1715</v>
      </c>
      <c r="L639" s="64" t="s">
        <v>246</v>
      </c>
      <c r="M639" s="64" t="s">
        <v>680</v>
      </c>
      <c r="N639" s="64" t="s">
        <v>671</v>
      </c>
      <c r="O639" s="64" t="s">
        <v>359</v>
      </c>
      <c r="P639" s="69">
        <v>44586</v>
      </c>
      <c r="Q639" s="69">
        <v>44920</v>
      </c>
      <c r="R639" s="64">
        <v>12</v>
      </c>
      <c r="S639" s="65" t="s">
        <v>267</v>
      </c>
      <c r="T639" s="64">
        <v>3</v>
      </c>
      <c r="U639" s="155">
        <f>$AH$639/4</f>
        <v>131978.57142857142</v>
      </c>
      <c r="V639" s="703">
        <f t="shared" si="122"/>
        <v>271375</v>
      </c>
      <c r="W639" s="75">
        <v>3</v>
      </c>
      <c r="X639" s="155">
        <f>$AH$639/4</f>
        <v>131978.57142857142</v>
      </c>
      <c r="Y639" s="155"/>
      <c r="Z639" s="75">
        <v>3</v>
      </c>
      <c r="AA639" s="155">
        <f>$AH$639/4</f>
        <v>131978.57142857142</v>
      </c>
      <c r="AB639" s="155"/>
      <c r="AC639" s="75">
        <v>3</v>
      </c>
      <c r="AD639" s="155">
        <f>$AH$639/4</f>
        <v>131978.57142857142</v>
      </c>
      <c r="AE639" s="599"/>
      <c r="AF639" s="259"/>
      <c r="AG639" s="510">
        <v>1400171.43</v>
      </c>
      <c r="AH639" s="370">
        <f t="shared" si="123"/>
        <v>527914.28571428568</v>
      </c>
      <c r="AI639" s="75"/>
      <c r="AJ639" s="75">
        <f>84420+89290+97665</f>
        <v>271375</v>
      </c>
      <c r="AK639" s="75"/>
      <c r="AL639" s="75"/>
      <c r="AM639" s="75"/>
      <c r="AN639" s="64" t="s">
        <v>39</v>
      </c>
      <c r="AO639" s="533" t="s">
        <v>649</v>
      </c>
      <c r="AP639" s="533" t="s">
        <v>649</v>
      </c>
      <c r="AQ639" s="533" t="s">
        <v>649</v>
      </c>
      <c r="AR639" s="554">
        <v>44562</v>
      </c>
      <c r="AS639" s="554">
        <v>44926</v>
      </c>
      <c r="AT639" s="64" t="s">
        <v>1814</v>
      </c>
      <c r="AU639" s="646" t="s">
        <v>1923</v>
      </c>
      <c r="AV639" s="1274"/>
      <c r="AX639" s="200"/>
    </row>
    <row r="640" spans="1:50" outlineLevel="2" x14ac:dyDescent="0.25">
      <c r="A640" s="63" t="str">
        <f t="shared" si="120"/>
        <v>1.4.1.1.15.64</v>
      </c>
      <c r="B640" s="64">
        <v>1</v>
      </c>
      <c r="C640" s="64">
        <v>4</v>
      </c>
      <c r="D640" s="64">
        <v>1</v>
      </c>
      <c r="E640" s="64">
        <v>1</v>
      </c>
      <c r="F640" s="64">
        <v>15</v>
      </c>
      <c r="G640" s="64">
        <v>64</v>
      </c>
      <c r="H640" s="65"/>
      <c r="I640" s="65"/>
      <c r="J640" s="66"/>
      <c r="K640" s="65" t="s">
        <v>1715</v>
      </c>
      <c r="L640" s="64" t="s">
        <v>246</v>
      </c>
      <c r="M640" s="64" t="s">
        <v>680</v>
      </c>
      <c r="N640" s="64" t="s">
        <v>671</v>
      </c>
      <c r="O640" s="64" t="s">
        <v>359</v>
      </c>
      <c r="P640" s="69">
        <v>44586</v>
      </c>
      <c r="Q640" s="69">
        <v>44920</v>
      </c>
      <c r="R640" s="64">
        <v>12</v>
      </c>
      <c r="S640" s="65" t="s">
        <v>267</v>
      </c>
      <c r="T640" s="64">
        <v>3</v>
      </c>
      <c r="U640" s="155">
        <f>$AH$640/4</f>
        <v>131978.57142857142</v>
      </c>
      <c r="V640" s="703">
        <f t="shared" si="122"/>
        <v>271375</v>
      </c>
      <c r="W640" s="75">
        <v>3</v>
      </c>
      <c r="X640" s="155">
        <f>$AH$640/4</f>
        <v>131978.57142857142</v>
      </c>
      <c r="Y640" s="155"/>
      <c r="Z640" s="75">
        <v>3</v>
      </c>
      <c r="AA640" s="155">
        <f>$AH$640/4</f>
        <v>131978.57142857142</v>
      </c>
      <c r="AB640" s="155"/>
      <c r="AC640" s="75">
        <v>3</v>
      </c>
      <c r="AD640" s="155">
        <f>$AH$640/4</f>
        <v>131978.57142857142</v>
      </c>
      <c r="AE640" s="599"/>
      <c r="AF640" s="259"/>
      <c r="AG640" s="510">
        <v>1400171.43</v>
      </c>
      <c r="AH640" s="370">
        <f t="shared" si="123"/>
        <v>527914.28571428568</v>
      </c>
      <c r="AI640" s="75"/>
      <c r="AJ640" s="75">
        <f>84420+89290+97665</f>
        <v>271375</v>
      </c>
      <c r="AK640" s="75"/>
      <c r="AL640" s="75"/>
      <c r="AM640" s="75"/>
      <c r="AN640" s="64" t="s">
        <v>39</v>
      </c>
      <c r="AO640" s="533" t="s">
        <v>649</v>
      </c>
      <c r="AP640" s="533" t="s">
        <v>649</v>
      </c>
      <c r="AQ640" s="533" t="s">
        <v>649</v>
      </c>
      <c r="AR640" s="554">
        <v>44562</v>
      </c>
      <c r="AS640" s="554">
        <v>44926</v>
      </c>
      <c r="AT640" s="64" t="s">
        <v>1814</v>
      </c>
      <c r="AU640" s="646" t="s">
        <v>1923</v>
      </c>
      <c r="AV640" s="1274"/>
    </row>
    <row r="641" spans="1:48" outlineLevel="2" x14ac:dyDescent="0.25">
      <c r="A641" s="63" t="str">
        <f t="shared" si="120"/>
        <v>1.4.1.1.16.58-64</v>
      </c>
      <c r="B641" s="64">
        <v>1</v>
      </c>
      <c r="C641" s="64">
        <v>4</v>
      </c>
      <c r="D641" s="64">
        <v>1</v>
      </c>
      <c r="E641" s="64">
        <v>1</v>
      </c>
      <c r="F641" s="64">
        <v>16</v>
      </c>
      <c r="G641" s="64" t="s">
        <v>64</v>
      </c>
      <c r="H641" s="65"/>
      <c r="I641" s="65"/>
      <c r="J641" s="66"/>
      <c r="K641" s="65" t="s">
        <v>681</v>
      </c>
      <c r="L641" s="64" t="s">
        <v>682</v>
      </c>
      <c r="M641" s="64" t="s">
        <v>297</v>
      </c>
      <c r="N641" s="64" t="s">
        <v>180</v>
      </c>
      <c r="O641" s="64" t="s">
        <v>683</v>
      </c>
      <c r="P641" s="69"/>
      <c r="Q641" s="69"/>
      <c r="R641" s="64"/>
      <c r="S641" s="65"/>
      <c r="T641" s="64"/>
      <c r="U641" s="155">
        <f>$AH$641/4</f>
        <v>0</v>
      </c>
      <c r="V641" s="679">
        <f t="shared" si="122"/>
        <v>0</v>
      </c>
      <c r="W641" s="75"/>
      <c r="X641" s="75"/>
      <c r="Y641" s="75"/>
      <c r="Z641" s="75"/>
      <c r="AA641" s="75"/>
      <c r="AB641" s="75"/>
      <c r="AC641" s="75"/>
      <c r="AD641" s="75"/>
      <c r="AE641" s="592"/>
      <c r="AF641" s="259" t="s">
        <v>684</v>
      </c>
      <c r="AG641" s="510">
        <v>0</v>
      </c>
      <c r="AH641" s="370">
        <v>0</v>
      </c>
      <c r="AI641" s="75"/>
      <c r="AJ641" s="75"/>
      <c r="AK641" s="75"/>
      <c r="AL641" s="75"/>
      <c r="AM641" s="75"/>
      <c r="AN641" s="64" t="s">
        <v>39</v>
      </c>
      <c r="AO641" s="64"/>
      <c r="AP641" s="64"/>
      <c r="AQ641" s="189"/>
      <c r="AR641" s="64"/>
      <c r="AS641" s="476"/>
      <c r="AT641" s="64"/>
      <c r="AU641" s="646"/>
      <c r="AV641" s="185" t="s">
        <v>127</v>
      </c>
    </row>
    <row r="642" spans="1:48" ht="60" outlineLevel="2" x14ac:dyDescent="0.25">
      <c r="A642" s="201" t="str">
        <f t="shared" si="120"/>
        <v>1.4.1.1.17.58-64</v>
      </c>
      <c r="B642" s="202">
        <v>1</v>
      </c>
      <c r="C642" s="202">
        <v>4</v>
      </c>
      <c r="D642" s="202">
        <v>1</v>
      </c>
      <c r="E642" s="202">
        <v>1</v>
      </c>
      <c r="F642" s="202">
        <v>17</v>
      </c>
      <c r="G642" s="202" t="s">
        <v>64</v>
      </c>
      <c r="H642" s="203"/>
      <c r="I642" s="203"/>
      <c r="J642" s="204"/>
      <c r="K642" s="203" t="s">
        <v>685</v>
      </c>
      <c r="L642" s="64" t="s">
        <v>246</v>
      </c>
      <c r="M642" s="202" t="s">
        <v>144</v>
      </c>
      <c r="N642" s="64" t="s">
        <v>265</v>
      </c>
      <c r="O642" s="64" t="s">
        <v>686</v>
      </c>
      <c r="P642" s="69">
        <v>44586</v>
      </c>
      <c r="Q642" s="69">
        <v>44920</v>
      </c>
      <c r="R642" s="64">
        <v>12</v>
      </c>
      <c r="S642" s="65" t="s">
        <v>267</v>
      </c>
      <c r="T642" s="64">
        <v>3</v>
      </c>
      <c r="U642" s="233"/>
      <c r="V642" s="703">
        <f t="shared" si="122"/>
        <v>920700</v>
      </c>
      <c r="W642" s="75">
        <v>3</v>
      </c>
      <c r="X642" s="233"/>
      <c r="Y642" s="205"/>
      <c r="Z642" s="75">
        <v>3</v>
      </c>
      <c r="AA642" s="565">
        <v>975020.4</v>
      </c>
      <c r="AB642" s="205"/>
      <c r="AC642" s="75">
        <v>3</v>
      </c>
      <c r="AD642" s="233">
        <f>+AH642-AA642</f>
        <v>866379.6</v>
      </c>
      <c r="AE642" s="602"/>
      <c r="AF642" s="259"/>
      <c r="AG642" s="515">
        <v>0</v>
      </c>
      <c r="AH642" s="564">
        <v>1841400</v>
      </c>
      <c r="AI642" s="127"/>
      <c r="AJ642" s="132">
        <f>306900+306900+306900</f>
        <v>920700</v>
      </c>
      <c r="AK642" s="233"/>
      <c r="AL642" s="233"/>
      <c r="AM642" s="233"/>
      <c r="AN642" s="64" t="s">
        <v>181</v>
      </c>
      <c r="AO642" s="64" t="s">
        <v>649</v>
      </c>
      <c r="AP642" s="64" t="s">
        <v>649</v>
      </c>
      <c r="AQ642" s="533" t="s">
        <v>649</v>
      </c>
      <c r="AR642" s="554">
        <v>44562</v>
      </c>
      <c r="AS642" s="554">
        <v>44926</v>
      </c>
      <c r="AT642" s="64" t="s">
        <v>1814</v>
      </c>
      <c r="AU642" s="646" t="s">
        <v>1923</v>
      </c>
      <c r="AV642" s="446" t="s">
        <v>1836</v>
      </c>
    </row>
    <row r="643" spans="1:48" s="153" customFormat="1" ht="26.25" customHeight="1" outlineLevel="1" x14ac:dyDescent="0.25">
      <c r="A643" s="148" t="str">
        <f t="shared" si="120"/>
        <v>1.4.1.2.0.0</v>
      </c>
      <c r="B643" s="82">
        <v>1</v>
      </c>
      <c r="C643" s="82">
        <v>4</v>
      </c>
      <c r="D643" s="82">
        <v>1</v>
      </c>
      <c r="E643" s="82">
        <v>2</v>
      </c>
      <c r="F643" s="82">
        <v>0</v>
      </c>
      <c r="G643" s="82">
        <v>0</v>
      </c>
      <c r="H643" s="149"/>
      <c r="I643" s="149"/>
      <c r="J643" s="1260" t="s">
        <v>687</v>
      </c>
      <c r="K643" s="1259"/>
      <c r="L643" s="82" t="s">
        <v>72</v>
      </c>
      <c r="M643" s="82" t="s">
        <v>688</v>
      </c>
      <c r="N643" s="82" t="s">
        <v>689</v>
      </c>
      <c r="O643" s="82" t="s">
        <v>359</v>
      </c>
      <c r="P643" s="82"/>
      <c r="Q643" s="82"/>
      <c r="R643" s="82"/>
      <c r="S643" s="149"/>
      <c r="T643" s="82"/>
      <c r="U643" s="379">
        <f t="shared" ref="U643:AG643" si="124">+SUM(U644:U671)</f>
        <v>0</v>
      </c>
      <c r="V643" s="379">
        <f t="shared" si="124"/>
        <v>0</v>
      </c>
      <c r="W643" s="379">
        <f t="shared" si="124"/>
        <v>2</v>
      </c>
      <c r="X643" s="379">
        <f t="shared" si="124"/>
        <v>0</v>
      </c>
      <c r="Y643" s="379">
        <f t="shared" si="124"/>
        <v>0</v>
      </c>
      <c r="Z643" s="379">
        <f t="shared" si="124"/>
        <v>0</v>
      </c>
      <c r="AA643" s="379">
        <f t="shared" si="124"/>
        <v>0</v>
      </c>
      <c r="AB643" s="379">
        <f t="shared" si="124"/>
        <v>0</v>
      </c>
      <c r="AC643" s="379">
        <f t="shared" si="124"/>
        <v>0</v>
      </c>
      <c r="AD643" s="379">
        <f t="shared" si="124"/>
        <v>0</v>
      </c>
      <c r="AE643" s="379">
        <f t="shared" si="124"/>
        <v>0</v>
      </c>
      <c r="AF643" s="379">
        <f t="shared" si="124"/>
        <v>0</v>
      </c>
      <c r="AG643" s="379">
        <f t="shared" si="124"/>
        <v>0</v>
      </c>
      <c r="AH643" s="379">
        <f>+SUM(AH644:AH671)</f>
        <v>0</v>
      </c>
      <c r="AI643" s="512">
        <f>+SUM(AI644:AI671)</f>
        <v>0</v>
      </c>
      <c r="AJ643" s="512">
        <f>+SUM(AJ644:AJ671)</f>
        <v>0</v>
      </c>
      <c r="AK643" s="152"/>
      <c r="AL643" s="152"/>
      <c r="AM643" s="152"/>
      <c r="AN643" s="82" t="s">
        <v>39</v>
      </c>
      <c r="AO643" s="82"/>
      <c r="AP643" s="82"/>
      <c r="AQ643" s="365"/>
      <c r="AR643" s="82"/>
      <c r="AS643" s="483"/>
      <c r="AT643" s="82"/>
      <c r="AU643" s="666"/>
      <c r="AV643" s="444"/>
    </row>
    <row r="644" spans="1:48" outlineLevel="2" x14ac:dyDescent="0.25">
      <c r="A644" s="63" t="str">
        <f t="shared" si="120"/>
        <v>1.4.1.2.1.58</v>
      </c>
      <c r="B644" s="64">
        <v>1</v>
      </c>
      <c r="C644" s="64">
        <v>4</v>
      </c>
      <c r="D644" s="64">
        <v>1</v>
      </c>
      <c r="E644" s="64">
        <v>2</v>
      </c>
      <c r="F644" s="64">
        <v>1</v>
      </c>
      <c r="G644" s="64">
        <v>58</v>
      </c>
      <c r="H644" s="65"/>
      <c r="I644" s="65"/>
      <c r="J644" s="65"/>
      <c r="K644" s="125" t="s">
        <v>690</v>
      </c>
      <c r="L644" s="64" t="s">
        <v>72</v>
      </c>
      <c r="M644" s="64" t="s">
        <v>73</v>
      </c>
      <c r="N644" s="64" t="s">
        <v>74</v>
      </c>
      <c r="O644" s="64" t="s">
        <v>359</v>
      </c>
      <c r="P644" s="69"/>
      <c r="Q644" s="69"/>
      <c r="R644" s="1331">
        <v>40</v>
      </c>
      <c r="S644" s="65" t="s">
        <v>73</v>
      </c>
      <c r="T644" s="64">
        <v>0</v>
      </c>
      <c r="U644" s="75"/>
      <c r="V644" s="75"/>
      <c r="W644" s="75"/>
      <c r="X644" s="75"/>
      <c r="Y644" s="75"/>
      <c r="Z644" s="75">
        <v>0</v>
      </c>
      <c r="AA644" s="75"/>
      <c r="AB644" s="75"/>
      <c r="AC644" s="75"/>
      <c r="AD644" s="75"/>
      <c r="AE644" s="592"/>
      <c r="AF644" s="343" t="s">
        <v>691</v>
      </c>
      <c r="AG644" s="510">
        <v>0</v>
      </c>
      <c r="AH644" s="370">
        <v>0</v>
      </c>
      <c r="AI644" s="75"/>
      <c r="AJ644" s="75"/>
      <c r="AK644" s="75"/>
      <c r="AL644" s="75"/>
      <c r="AM644" s="75"/>
      <c r="AN644" s="64" t="s">
        <v>39</v>
      </c>
      <c r="AO644" s="64"/>
      <c r="AP644" s="64"/>
      <c r="AQ644" s="189"/>
      <c r="AR644" s="64"/>
      <c r="AS644" s="476"/>
      <c r="AT644" s="64"/>
      <c r="AU644" s="646"/>
      <c r="AV644" s="185"/>
    </row>
    <row r="645" spans="1:48" outlineLevel="2" x14ac:dyDescent="0.25">
      <c r="A645" s="63" t="str">
        <f t="shared" si="120"/>
        <v>1.4.1.2.1.59</v>
      </c>
      <c r="B645" s="64">
        <v>1</v>
      </c>
      <c r="C645" s="64">
        <v>4</v>
      </c>
      <c r="D645" s="64">
        <v>1</v>
      </c>
      <c r="E645" s="64">
        <v>2</v>
      </c>
      <c r="F645" s="64">
        <v>1</v>
      </c>
      <c r="G645" s="64">
        <v>59</v>
      </c>
      <c r="H645" s="65"/>
      <c r="I645" s="65"/>
      <c r="J645" s="65"/>
      <c r="K645" s="125" t="s">
        <v>692</v>
      </c>
      <c r="L645" s="64" t="s">
        <v>72</v>
      </c>
      <c r="M645" s="64" t="s">
        <v>73</v>
      </c>
      <c r="N645" s="64" t="s">
        <v>74</v>
      </c>
      <c r="O645" s="64" t="s">
        <v>359</v>
      </c>
      <c r="P645" s="69"/>
      <c r="Q645" s="69"/>
      <c r="R645" s="1332"/>
      <c r="S645" s="65"/>
      <c r="T645" s="64"/>
      <c r="U645" s="75"/>
      <c r="V645" s="75"/>
      <c r="W645" s="75"/>
      <c r="X645" s="75"/>
      <c r="Y645" s="75"/>
      <c r="Z645" s="75"/>
      <c r="AA645" s="75"/>
      <c r="AB645" s="75"/>
      <c r="AC645" s="75"/>
      <c r="AD645" s="75"/>
      <c r="AE645" s="592"/>
      <c r="AF645" s="343"/>
      <c r="AG645" s="510">
        <v>0</v>
      </c>
      <c r="AH645" s="370">
        <v>0</v>
      </c>
      <c r="AI645" s="75"/>
      <c r="AJ645" s="75"/>
      <c r="AK645" s="75"/>
      <c r="AL645" s="75"/>
      <c r="AM645" s="75"/>
      <c r="AN645" s="64" t="s">
        <v>39</v>
      </c>
      <c r="AO645" s="64"/>
      <c r="AP645" s="64"/>
      <c r="AQ645" s="189"/>
      <c r="AR645" s="64"/>
      <c r="AS645" s="476"/>
      <c r="AT645" s="64"/>
      <c r="AU645" s="646"/>
      <c r="AV645" s="185"/>
    </row>
    <row r="646" spans="1:48" outlineLevel="2" x14ac:dyDescent="0.25">
      <c r="A646" s="63" t="str">
        <f t="shared" si="120"/>
        <v>1.4.1.2.1.60</v>
      </c>
      <c r="B646" s="64">
        <v>1</v>
      </c>
      <c r="C646" s="64">
        <v>4</v>
      </c>
      <c r="D646" s="64">
        <v>1</v>
      </c>
      <c r="E646" s="64">
        <v>2</v>
      </c>
      <c r="F646" s="64">
        <v>1</v>
      </c>
      <c r="G646" s="64">
        <v>60</v>
      </c>
      <c r="H646" s="65"/>
      <c r="I646" s="65"/>
      <c r="J646" s="65"/>
      <c r="K646" s="125" t="s">
        <v>693</v>
      </c>
      <c r="L646" s="64" t="s">
        <v>72</v>
      </c>
      <c r="M646" s="64" t="s">
        <v>73</v>
      </c>
      <c r="N646" s="64" t="s">
        <v>74</v>
      </c>
      <c r="O646" s="64" t="s">
        <v>359</v>
      </c>
      <c r="P646" s="69"/>
      <c r="Q646" s="69"/>
      <c r="R646" s="1332"/>
      <c r="S646" s="65"/>
      <c r="T646" s="64"/>
      <c r="U646" s="75"/>
      <c r="V646" s="75"/>
      <c r="W646" s="75"/>
      <c r="X646" s="75"/>
      <c r="Y646" s="75"/>
      <c r="Z646" s="75"/>
      <c r="AA646" s="75"/>
      <c r="AB646" s="75"/>
      <c r="AC646" s="75"/>
      <c r="AD646" s="75"/>
      <c r="AE646" s="592"/>
      <c r="AF646" s="343"/>
      <c r="AG646" s="510">
        <v>0</v>
      </c>
      <c r="AH646" s="370">
        <v>0</v>
      </c>
      <c r="AI646" s="75"/>
      <c r="AJ646" s="75"/>
      <c r="AK646" s="75"/>
      <c r="AL646" s="75"/>
      <c r="AM646" s="75"/>
      <c r="AN646" s="64" t="s">
        <v>39</v>
      </c>
      <c r="AO646" s="64"/>
      <c r="AP646" s="64"/>
      <c r="AQ646" s="189"/>
      <c r="AR646" s="64"/>
      <c r="AS646" s="476"/>
      <c r="AT646" s="64"/>
      <c r="AU646" s="646"/>
      <c r="AV646" s="185"/>
    </row>
    <row r="647" spans="1:48" outlineLevel="2" x14ac:dyDescent="0.25">
      <c r="A647" s="63" t="str">
        <f t="shared" si="120"/>
        <v>1.4.1.2.1.61</v>
      </c>
      <c r="B647" s="64">
        <v>1</v>
      </c>
      <c r="C647" s="64">
        <v>4</v>
      </c>
      <c r="D647" s="64">
        <v>1</v>
      </c>
      <c r="E647" s="64">
        <v>2</v>
      </c>
      <c r="F647" s="64">
        <v>1</v>
      </c>
      <c r="G647" s="64">
        <v>61</v>
      </c>
      <c r="H647" s="65"/>
      <c r="I647" s="65"/>
      <c r="J647" s="65"/>
      <c r="K647" s="125" t="s">
        <v>694</v>
      </c>
      <c r="L647" s="64" t="s">
        <v>72</v>
      </c>
      <c r="M647" s="64" t="s">
        <v>73</v>
      </c>
      <c r="N647" s="64" t="s">
        <v>74</v>
      </c>
      <c r="O647" s="64" t="s">
        <v>359</v>
      </c>
      <c r="P647" s="69"/>
      <c r="Q647" s="69"/>
      <c r="R647" s="1332"/>
      <c r="S647" s="65"/>
      <c r="T647" s="64"/>
      <c r="U647" s="75"/>
      <c r="V647" s="75"/>
      <c r="W647" s="75"/>
      <c r="X647" s="75"/>
      <c r="Y647" s="75"/>
      <c r="Z647" s="75"/>
      <c r="AA647" s="75"/>
      <c r="AB647" s="75"/>
      <c r="AC647" s="75"/>
      <c r="AD647" s="75"/>
      <c r="AE647" s="592"/>
      <c r="AF647" s="343"/>
      <c r="AG647" s="510">
        <v>0</v>
      </c>
      <c r="AH647" s="370">
        <v>0</v>
      </c>
      <c r="AI647" s="75"/>
      <c r="AJ647" s="75"/>
      <c r="AK647" s="75"/>
      <c r="AL647" s="75"/>
      <c r="AM647" s="75"/>
      <c r="AN647" s="64" t="s">
        <v>39</v>
      </c>
      <c r="AO647" s="64"/>
      <c r="AP647" s="64"/>
      <c r="AQ647" s="189"/>
      <c r="AR647" s="64"/>
      <c r="AS647" s="476"/>
      <c r="AT647" s="64"/>
      <c r="AU647" s="646"/>
      <c r="AV647" s="185"/>
    </row>
    <row r="648" spans="1:48" outlineLevel="2" x14ac:dyDescent="0.25">
      <c r="A648" s="63" t="str">
        <f t="shared" si="120"/>
        <v>1.4.1.2.1.62</v>
      </c>
      <c r="B648" s="64">
        <v>1</v>
      </c>
      <c r="C648" s="64">
        <v>4</v>
      </c>
      <c r="D648" s="64">
        <v>1</v>
      </c>
      <c r="E648" s="64">
        <v>2</v>
      </c>
      <c r="F648" s="64">
        <v>1</v>
      </c>
      <c r="G648" s="64">
        <v>62</v>
      </c>
      <c r="H648" s="65"/>
      <c r="I648" s="65"/>
      <c r="J648" s="65"/>
      <c r="K648" s="125" t="s">
        <v>1754</v>
      </c>
      <c r="L648" s="64" t="s">
        <v>72</v>
      </c>
      <c r="M648" s="64" t="s">
        <v>73</v>
      </c>
      <c r="N648" s="64" t="s">
        <v>74</v>
      </c>
      <c r="O648" s="64" t="s">
        <v>359</v>
      </c>
      <c r="P648" s="69"/>
      <c r="Q648" s="69"/>
      <c r="R648" s="1332"/>
      <c r="S648" s="65"/>
      <c r="T648" s="64"/>
      <c r="U648" s="75"/>
      <c r="V648" s="75"/>
      <c r="W648" s="75"/>
      <c r="X648" s="75"/>
      <c r="Y648" s="75"/>
      <c r="Z648" s="75"/>
      <c r="AA648" s="75"/>
      <c r="AB648" s="75"/>
      <c r="AC648" s="75"/>
      <c r="AD648" s="75"/>
      <c r="AE648" s="592"/>
      <c r="AF648" s="343"/>
      <c r="AG648" s="510">
        <v>0</v>
      </c>
      <c r="AH648" s="370">
        <v>0</v>
      </c>
      <c r="AI648" s="75"/>
      <c r="AJ648" s="75"/>
      <c r="AK648" s="75"/>
      <c r="AL648" s="75"/>
      <c r="AM648" s="75"/>
      <c r="AN648" s="64" t="s">
        <v>39</v>
      </c>
      <c r="AO648" s="64"/>
      <c r="AP648" s="64"/>
      <c r="AQ648" s="189"/>
      <c r="AR648" s="64"/>
      <c r="AS648" s="476"/>
      <c r="AT648" s="64"/>
      <c r="AU648" s="646"/>
      <c r="AV648" s="185"/>
    </row>
    <row r="649" spans="1:48" outlineLevel="2" x14ac:dyDescent="0.25">
      <c r="A649" s="63" t="str">
        <f t="shared" si="120"/>
        <v>1.4.1.2.1.63</v>
      </c>
      <c r="B649" s="64">
        <v>1</v>
      </c>
      <c r="C649" s="64">
        <v>4</v>
      </c>
      <c r="D649" s="64">
        <v>1</v>
      </c>
      <c r="E649" s="64">
        <v>2</v>
      </c>
      <c r="F649" s="64">
        <v>1</v>
      </c>
      <c r="G649" s="64">
        <v>63</v>
      </c>
      <c r="H649" s="65"/>
      <c r="I649" s="65"/>
      <c r="J649" s="65"/>
      <c r="K649" s="125" t="s">
        <v>695</v>
      </c>
      <c r="L649" s="64" t="s">
        <v>72</v>
      </c>
      <c r="M649" s="64" t="s">
        <v>73</v>
      </c>
      <c r="N649" s="64" t="s">
        <v>74</v>
      </c>
      <c r="O649" s="64" t="s">
        <v>359</v>
      </c>
      <c r="P649" s="69"/>
      <c r="Q649" s="69"/>
      <c r="R649" s="1332"/>
      <c r="S649" s="65"/>
      <c r="T649" s="64"/>
      <c r="U649" s="75"/>
      <c r="V649" s="75"/>
      <c r="W649" s="75"/>
      <c r="X649" s="75"/>
      <c r="Y649" s="75"/>
      <c r="Z649" s="75"/>
      <c r="AA649" s="75"/>
      <c r="AB649" s="75"/>
      <c r="AC649" s="75"/>
      <c r="AD649" s="75"/>
      <c r="AE649" s="592"/>
      <c r="AF649" s="343"/>
      <c r="AG649" s="510">
        <v>0</v>
      </c>
      <c r="AH649" s="370">
        <v>0</v>
      </c>
      <c r="AI649" s="75"/>
      <c r="AJ649" s="75"/>
      <c r="AK649" s="75"/>
      <c r="AL649" s="75"/>
      <c r="AM649" s="75"/>
      <c r="AN649" s="64" t="s">
        <v>39</v>
      </c>
      <c r="AO649" s="64"/>
      <c r="AP649" s="64"/>
      <c r="AQ649" s="189"/>
      <c r="AR649" s="64"/>
      <c r="AS649" s="476"/>
      <c r="AT649" s="64"/>
      <c r="AU649" s="646"/>
      <c r="AV649" s="185"/>
    </row>
    <row r="650" spans="1:48" outlineLevel="2" x14ac:dyDescent="0.25">
      <c r="A650" s="63" t="str">
        <f t="shared" si="120"/>
        <v>1.4.1.2.1.64</v>
      </c>
      <c r="B650" s="64">
        <v>1</v>
      </c>
      <c r="C650" s="64">
        <v>4</v>
      </c>
      <c r="D650" s="64">
        <v>1</v>
      </c>
      <c r="E650" s="64">
        <v>2</v>
      </c>
      <c r="F650" s="64">
        <v>1</v>
      </c>
      <c r="G650" s="64">
        <v>64</v>
      </c>
      <c r="H650" s="65"/>
      <c r="I650" s="65"/>
      <c r="J650" s="65"/>
      <c r="K650" s="125" t="s">
        <v>696</v>
      </c>
      <c r="L650" s="64" t="s">
        <v>72</v>
      </c>
      <c r="M650" s="64" t="s">
        <v>73</v>
      </c>
      <c r="N650" s="64" t="s">
        <v>74</v>
      </c>
      <c r="O650" s="64" t="s">
        <v>359</v>
      </c>
      <c r="P650" s="69"/>
      <c r="Q650" s="69"/>
      <c r="R650" s="1333"/>
      <c r="S650" s="65"/>
      <c r="T650" s="64"/>
      <c r="U650" s="75"/>
      <c r="V650" s="75"/>
      <c r="W650" s="75"/>
      <c r="X650" s="75"/>
      <c r="Y650" s="75"/>
      <c r="Z650" s="75"/>
      <c r="AA650" s="75"/>
      <c r="AB650" s="75"/>
      <c r="AC650" s="75"/>
      <c r="AD650" s="75"/>
      <c r="AE650" s="592"/>
      <c r="AF650" s="343"/>
      <c r="AG650" s="510">
        <v>0</v>
      </c>
      <c r="AH650" s="370">
        <v>0</v>
      </c>
      <c r="AI650" s="75"/>
      <c r="AJ650" s="75"/>
      <c r="AK650" s="75"/>
      <c r="AL650" s="75"/>
      <c r="AM650" s="75"/>
      <c r="AN650" s="64" t="s">
        <v>39</v>
      </c>
      <c r="AO650" s="64"/>
      <c r="AP650" s="64"/>
      <c r="AQ650" s="189"/>
      <c r="AR650" s="64"/>
      <c r="AS650" s="476"/>
      <c r="AT650" s="64"/>
      <c r="AU650" s="646"/>
      <c r="AV650" s="185"/>
    </row>
    <row r="651" spans="1:48" outlineLevel="2" x14ac:dyDescent="0.25">
      <c r="A651" s="63" t="str">
        <f t="shared" si="120"/>
        <v>1.4.1.2.2.58</v>
      </c>
      <c r="B651" s="64">
        <v>1</v>
      </c>
      <c r="C651" s="64">
        <v>4</v>
      </c>
      <c r="D651" s="64">
        <v>1</v>
      </c>
      <c r="E651" s="64">
        <v>2</v>
      </c>
      <c r="F651" s="64">
        <v>2</v>
      </c>
      <c r="G651" s="64">
        <v>58</v>
      </c>
      <c r="H651" s="65"/>
      <c r="I651" s="65"/>
      <c r="J651" s="66"/>
      <c r="K651" s="125" t="s">
        <v>697</v>
      </c>
      <c r="L651" s="64" t="s">
        <v>72</v>
      </c>
      <c r="M651" s="64" t="s">
        <v>73</v>
      </c>
      <c r="N651" s="64" t="s">
        <v>74</v>
      </c>
      <c r="O651" s="64" t="s">
        <v>359</v>
      </c>
      <c r="P651" s="69"/>
      <c r="Q651" s="69"/>
      <c r="R651" s="64"/>
      <c r="S651" s="65"/>
      <c r="T651" s="64"/>
      <c r="U651" s="75"/>
      <c r="V651" s="75"/>
      <c r="W651" s="75"/>
      <c r="X651" s="75"/>
      <c r="Y651" s="75"/>
      <c r="Z651" s="75"/>
      <c r="AA651" s="75"/>
      <c r="AB651" s="75"/>
      <c r="AC651" s="75"/>
      <c r="AD651" s="75"/>
      <c r="AE651" s="592"/>
      <c r="AF651" s="259"/>
      <c r="AG651" s="510">
        <v>0</v>
      </c>
      <c r="AH651" s="370">
        <v>0</v>
      </c>
      <c r="AI651" s="75"/>
      <c r="AJ651" s="75"/>
      <c r="AK651" s="75"/>
      <c r="AL651" s="75"/>
      <c r="AM651" s="75"/>
      <c r="AN651" s="64" t="s">
        <v>39</v>
      </c>
      <c r="AO651" s="64"/>
      <c r="AP651" s="64"/>
      <c r="AQ651" s="189"/>
      <c r="AR651" s="64"/>
      <c r="AS651" s="476"/>
      <c r="AT651" s="64"/>
      <c r="AU651" s="646"/>
      <c r="AV651" s="185"/>
    </row>
    <row r="652" spans="1:48" outlineLevel="2" x14ac:dyDescent="0.25">
      <c r="A652" s="63" t="str">
        <f t="shared" si="120"/>
        <v>1.4.1.2.2.59</v>
      </c>
      <c r="B652" s="64">
        <v>1</v>
      </c>
      <c r="C652" s="64">
        <v>4</v>
      </c>
      <c r="D652" s="64">
        <v>1</v>
      </c>
      <c r="E652" s="64">
        <v>2</v>
      </c>
      <c r="F652" s="64">
        <v>2</v>
      </c>
      <c r="G652" s="64">
        <v>59</v>
      </c>
      <c r="H652" s="65"/>
      <c r="I652" s="65"/>
      <c r="J652" s="66"/>
      <c r="K652" s="125" t="s">
        <v>697</v>
      </c>
      <c r="L652" s="64" t="s">
        <v>72</v>
      </c>
      <c r="M652" s="64" t="s">
        <v>73</v>
      </c>
      <c r="N652" s="64" t="s">
        <v>74</v>
      </c>
      <c r="O652" s="64" t="s">
        <v>359</v>
      </c>
      <c r="P652" s="69"/>
      <c r="Q652" s="69"/>
      <c r="R652" s="64"/>
      <c r="S652" s="65"/>
      <c r="T652" s="64"/>
      <c r="U652" s="75"/>
      <c r="V652" s="75"/>
      <c r="W652" s="75"/>
      <c r="X652" s="75"/>
      <c r="Y652" s="75"/>
      <c r="Z652" s="75"/>
      <c r="AA652" s="75"/>
      <c r="AB652" s="75"/>
      <c r="AC652" s="75"/>
      <c r="AD652" s="75"/>
      <c r="AE652" s="592"/>
      <c r="AF652" s="259"/>
      <c r="AG652" s="510">
        <v>0</v>
      </c>
      <c r="AH652" s="370">
        <v>0</v>
      </c>
      <c r="AI652" s="75"/>
      <c r="AJ652" s="75"/>
      <c r="AK652" s="75"/>
      <c r="AL652" s="75"/>
      <c r="AM652" s="75"/>
      <c r="AN652" s="64" t="s">
        <v>39</v>
      </c>
      <c r="AO652" s="64"/>
      <c r="AP652" s="64"/>
      <c r="AQ652" s="189"/>
      <c r="AR652" s="64"/>
      <c r="AS652" s="476"/>
      <c r="AT652" s="64"/>
      <c r="AU652" s="646"/>
      <c r="AV652" s="185"/>
    </row>
    <row r="653" spans="1:48" outlineLevel="2" x14ac:dyDescent="0.25">
      <c r="A653" s="63" t="str">
        <f t="shared" si="120"/>
        <v>1.4.1.2.2.60</v>
      </c>
      <c r="B653" s="64">
        <v>1</v>
      </c>
      <c r="C653" s="64">
        <v>4</v>
      </c>
      <c r="D653" s="64">
        <v>1</v>
      </c>
      <c r="E653" s="64">
        <v>2</v>
      </c>
      <c r="F653" s="64">
        <v>2</v>
      </c>
      <c r="G653" s="64">
        <v>60</v>
      </c>
      <c r="H653" s="65"/>
      <c r="I653" s="65"/>
      <c r="J653" s="66"/>
      <c r="K653" s="125" t="s">
        <v>697</v>
      </c>
      <c r="L653" s="64" t="s">
        <v>72</v>
      </c>
      <c r="M653" s="64" t="s">
        <v>73</v>
      </c>
      <c r="N653" s="64" t="s">
        <v>74</v>
      </c>
      <c r="O653" s="64" t="s">
        <v>359</v>
      </c>
      <c r="P653" s="69"/>
      <c r="Q653" s="69"/>
      <c r="R653" s="64"/>
      <c r="S653" s="65"/>
      <c r="T653" s="64"/>
      <c r="U653" s="75"/>
      <c r="V653" s="75"/>
      <c r="W653" s="75"/>
      <c r="X653" s="75"/>
      <c r="Y653" s="75"/>
      <c r="Z653" s="75"/>
      <c r="AA653" s="75"/>
      <c r="AB653" s="75"/>
      <c r="AC653" s="75"/>
      <c r="AD653" s="75"/>
      <c r="AE653" s="592"/>
      <c r="AF653" s="259"/>
      <c r="AG653" s="510">
        <v>0</v>
      </c>
      <c r="AH653" s="370">
        <v>0</v>
      </c>
      <c r="AI653" s="75"/>
      <c r="AJ653" s="75"/>
      <c r="AK653" s="75"/>
      <c r="AL653" s="75"/>
      <c r="AM653" s="75"/>
      <c r="AN653" s="64" t="s">
        <v>39</v>
      </c>
      <c r="AO653" s="64"/>
      <c r="AP653" s="64"/>
      <c r="AQ653" s="189"/>
      <c r="AR653" s="64"/>
      <c r="AS653" s="476"/>
      <c r="AT653" s="64"/>
      <c r="AU653" s="646"/>
      <c r="AV653" s="185"/>
    </row>
    <row r="654" spans="1:48" outlineLevel="2" x14ac:dyDescent="0.25">
      <c r="A654" s="63" t="str">
        <f t="shared" si="120"/>
        <v>1.4.1.2.2.61</v>
      </c>
      <c r="B654" s="64">
        <v>1</v>
      </c>
      <c r="C654" s="64">
        <v>4</v>
      </c>
      <c r="D654" s="64">
        <v>1</v>
      </c>
      <c r="E654" s="64">
        <v>2</v>
      </c>
      <c r="F654" s="64">
        <v>2</v>
      </c>
      <c r="G654" s="64">
        <v>61</v>
      </c>
      <c r="H654" s="65"/>
      <c r="I654" s="65"/>
      <c r="J654" s="66"/>
      <c r="K654" s="125" t="s">
        <v>697</v>
      </c>
      <c r="L654" s="64" t="s">
        <v>72</v>
      </c>
      <c r="M654" s="64" t="s">
        <v>73</v>
      </c>
      <c r="N654" s="64" t="s">
        <v>74</v>
      </c>
      <c r="O654" s="64" t="s">
        <v>359</v>
      </c>
      <c r="P654" s="69"/>
      <c r="Q654" s="69"/>
      <c r="R654" s="64"/>
      <c r="S654" s="65"/>
      <c r="T654" s="64"/>
      <c r="U654" s="75"/>
      <c r="V654" s="75"/>
      <c r="W654" s="75"/>
      <c r="X654" s="75"/>
      <c r="Y654" s="75"/>
      <c r="Z654" s="75"/>
      <c r="AA654" s="75"/>
      <c r="AB654" s="75"/>
      <c r="AC654" s="75"/>
      <c r="AD654" s="75"/>
      <c r="AE654" s="592"/>
      <c r="AF654" s="259"/>
      <c r="AG654" s="510">
        <v>0</v>
      </c>
      <c r="AH654" s="370">
        <v>0</v>
      </c>
      <c r="AI654" s="75"/>
      <c r="AJ654" s="75"/>
      <c r="AK654" s="75"/>
      <c r="AL654" s="75"/>
      <c r="AM654" s="75"/>
      <c r="AN654" s="64" t="s">
        <v>39</v>
      </c>
      <c r="AO654" s="64"/>
      <c r="AP654" s="64"/>
      <c r="AQ654" s="189"/>
      <c r="AR654" s="64"/>
      <c r="AS654" s="476"/>
      <c r="AT654" s="64"/>
      <c r="AU654" s="646"/>
      <c r="AV654" s="185"/>
    </row>
    <row r="655" spans="1:48" outlineLevel="2" x14ac:dyDescent="0.25">
      <c r="A655" s="63" t="str">
        <f t="shared" si="120"/>
        <v>1.4.1.2.2.62</v>
      </c>
      <c r="B655" s="64">
        <v>1</v>
      </c>
      <c r="C655" s="64">
        <v>4</v>
      </c>
      <c r="D655" s="64">
        <v>1</v>
      </c>
      <c r="E655" s="64">
        <v>2</v>
      </c>
      <c r="F655" s="64">
        <v>2</v>
      </c>
      <c r="G655" s="64">
        <v>62</v>
      </c>
      <c r="H655" s="65"/>
      <c r="I655" s="65"/>
      <c r="J655" s="66"/>
      <c r="K655" s="125" t="s">
        <v>697</v>
      </c>
      <c r="L655" s="64" t="s">
        <v>72</v>
      </c>
      <c r="M655" s="64" t="s">
        <v>73</v>
      </c>
      <c r="N655" s="64" t="s">
        <v>74</v>
      </c>
      <c r="O655" s="64" t="s">
        <v>359</v>
      </c>
      <c r="P655" s="69"/>
      <c r="Q655" s="69"/>
      <c r="R655" s="64"/>
      <c r="S655" s="65"/>
      <c r="T655" s="64"/>
      <c r="U655" s="75"/>
      <c r="V655" s="75"/>
      <c r="W655" s="75"/>
      <c r="X655" s="75"/>
      <c r="Y655" s="75"/>
      <c r="Z655" s="75"/>
      <c r="AA655" s="75"/>
      <c r="AB655" s="75"/>
      <c r="AC655" s="75"/>
      <c r="AD655" s="75"/>
      <c r="AE655" s="592"/>
      <c r="AF655" s="259"/>
      <c r="AG655" s="510">
        <v>0</v>
      </c>
      <c r="AH655" s="370">
        <v>0</v>
      </c>
      <c r="AI655" s="75"/>
      <c r="AJ655" s="75"/>
      <c r="AK655" s="75"/>
      <c r="AL655" s="75"/>
      <c r="AM655" s="75"/>
      <c r="AN655" s="64" t="s">
        <v>39</v>
      </c>
      <c r="AO655" s="64"/>
      <c r="AP655" s="64"/>
      <c r="AQ655" s="189"/>
      <c r="AR655" s="64"/>
      <c r="AS655" s="476"/>
      <c r="AT655" s="64"/>
      <c r="AU655" s="646"/>
      <c r="AV655" s="185"/>
    </row>
    <row r="656" spans="1:48" outlineLevel="2" x14ac:dyDescent="0.25">
      <c r="A656" s="63" t="str">
        <f t="shared" si="120"/>
        <v>1.4.1.2.2.63</v>
      </c>
      <c r="B656" s="64">
        <v>1</v>
      </c>
      <c r="C656" s="64">
        <v>4</v>
      </c>
      <c r="D656" s="64">
        <v>1</v>
      </c>
      <c r="E656" s="64">
        <v>2</v>
      </c>
      <c r="F656" s="64">
        <v>2</v>
      </c>
      <c r="G656" s="64">
        <v>63</v>
      </c>
      <c r="H656" s="65"/>
      <c r="I656" s="65"/>
      <c r="J656" s="66"/>
      <c r="K656" s="125" t="s">
        <v>697</v>
      </c>
      <c r="L656" s="64" t="s">
        <v>72</v>
      </c>
      <c r="M656" s="64" t="s">
        <v>73</v>
      </c>
      <c r="N656" s="64" t="s">
        <v>74</v>
      </c>
      <c r="O656" s="64" t="s">
        <v>359</v>
      </c>
      <c r="P656" s="69"/>
      <c r="Q656" s="69"/>
      <c r="R656" s="64"/>
      <c r="S656" s="65"/>
      <c r="T656" s="64"/>
      <c r="U656" s="75"/>
      <c r="V656" s="75"/>
      <c r="W656" s="75"/>
      <c r="X656" s="75"/>
      <c r="Y656" s="75"/>
      <c r="Z656" s="75"/>
      <c r="AA656" s="75"/>
      <c r="AB656" s="75"/>
      <c r="AC656" s="75"/>
      <c r="AD656" s="75"/>
      <c r="AE656" s="592"/>
      <c r="AF656" s="259"/>
      <c r="AG656" s="510">
        <v>0</v>
      </c>
      <c r="AH656" s="370">
        <v>0</v>
      </c>
      <c r="AI656" s="75"/>
      <c r="AJ656" s="75"/>
      <c r="AK656" s="75"/>
      <c r="AL656" s="75"/>
      <c r="AM656" s="75"/>
      <c r="AN656" s="64" t="s">
        <v>39</v>
      </c>
      <c r="AO656" s="64"/>
      <c r="AP656" s="64"/>
      <c r="AQ656" s="189"/>
      <c r="AR656" s="64"/>
      <c r="AS656" s="476"/>
      <c r="AT656" s="64"/>
      <c r="AU656" s="646"/>
      <c r="AV656" s="185"/>
    </row>
    <row r="657" spans="1:48" outlineLevel="2" x14ac:dyDescent="0.25">
      <c r="A657" s="63" t="str">
        <f t="shared" si="120"/>
        <v>1.4.1.2.2.64</v>
      </c>
      <c r="B657" s="64">
        <v>1</v>
      </c>
      <c r="C657" s="64">
        <v>4</v>
      </c>
      <c r="D657" s="64">
        <v>1</v>
      </c>
      <c r="E657" s="64">
        <v>2</v>
      </c>
      <c r="F657" s="64">
        <v>2</v>
      </c>
      <c r="G657" s="64">
        <v>64</v>
      </c>
      <c r="H657" s="65"/>
      <c r="I657" s="65"/>
      <c r="J657" s="66"/>
      <c r="K657" s="125" t="s">
        <v>697</v>
      </c>
      <c r="L657" s="64" t="s">
        <v>72</v>
      </c>
      <c r="M657" s="64" t="s">
        <v>73</v>
      </c>
      <c r="N657" s="64" t="s">
        <v>74</v>
      </c>
      <c r="O657" s="64" t="s">
        <v>359</v>
      </c>
      <c r="P657" s="69"/>
      <c r="Q657" s="69"/>
      <c r="R657" s="64"/>
      <c r="S657" s="65"/>
      <c r="T657" s="64"/>
      <c r="U657" s="75"/>
      <c r="V657" s="75"/>
      <c r="W657" s="75"/>
      <c r="X657" s="75"/>
      <c r="Y657" s="75"/>
      <c r="Z657" s="75"/>
      <c r="AA657" s="75"/>
      <c r="AB657" s="75"/>
      <c r="AC657" s="75"/>
      <c r="AD657" s="75"/>
      <c r="AE657" s="592"/>
      <c r="AF657" s="259"/>
      <c r="AG657" s="510">
        <v>0</v>
      </c>
      <c r="AH657" s="370">
        <v>0</v>
      </c>
      <c r="AI657" s="75"/>
      <c r="AJ657" s="75"/>
      <c r="AK657" s="75"/>
      <c r="AL657" s="75"/>
      <c r="AM657" s="75"/>
      <c r="AN657" s="64" t="s">
        <v>39</v>
      </c>
      <c r="AO657" s="64"/>
      <c r="AP657" s="64"/>
      <c r="AQ657" s="189"/>
      <c r="AR657" s="64"/>
      <c r="AS657" s="476"/>
      <c r="AT657" s="64"/>
      <c r="AU657" s="646"/>
      <c r="AV657" s="185"/>
    </row>
    <row r="658" spans="1:48" outlineLevel="2" x14ac:dyDescent="0.25">
      <c r="A658" s="63" t="str">
        <f t="shared" si="120"/>
        <v>1.4.1.2.3.58</v>
      </c>
      <c r="B658" s="64">
        <v>1</v>
      </c>
      <c r="C658" s="64">
        <v>4</v>
      </c>
      <c r="D658" s="64">
        <v>1</v>
      </c>
      <c r="E658" s="64">
        <v>2</v>
      </c>
      <c r="F658" s="64">
        <v>3</v>
      </c>
      <c r="G658" s="64">
        <v>58</v>
      </c>
      <c r="H658" s="65"/>
      <c r="I658" s="65"/>
      <c r="J658" s="65"/>
      <c r="K658" s="125" t="s">
        <v>698</v>
      </c>
      <c r="L658" s="64" t="s">
        <v>236</v>
      </c>
      <c r="M658" s="64" t="s">
        <v>422</v>
      </c>
      <c r="N658" s="64" t="s">
        <v>699</v>
      </c>
      <c r="O658" s="64" t="s">
        <v>700</v>
      </c>
      <c r="P658" s="69"/>
      <c r="Q658" s="69"/>
      <c r="R658" s="64">
        <v>1</v>
      </c>
      <c r="S658" s="65"/>
      <c r="T658" s="64"/>
      <c r="U658" s="75"/>
      <c r="V658" s="75"/>
      <c r="W658" s="75">
        <v>1</v>
      </c>
      <c r="X658" s="75"/>
      <c r="Y658" s="75"/>
      <c r="Z658" s="75"/>
      <c r="AA658" s="75"/>
      <c r="AB658" s="75"/>
      <c r="AC658" s="75"/>
      <c r="AD658" s="75"/>
      <c r="AE658" s="592"/>
      <c r="AF658" s="259"/>
      <c r="AG658" s="510">
        <v>0</v>
      </c>
      <c r="AH658" s="370">
        <v>0</v>
      </c>
      <c r="AI658" s="75"/>
      <c r="AJ658" s="75"/>
      <c r="AK658" s="75"/>
      <c r="AL658" s="75"/>
      <c r="AM658" s="75"/>
      <c r="AN658" s="64" t="s">
        <v>39</v>
      </c>
      <c r="AO658" s="64"/>
      <c r="AP658" s="64"/>
      <c r="AQ658" s="189"/>
      <c r="AR658" s="64"/>
      <c r="AS658" s="476"/>
      <c r="AT658" s="64"/>
      <c r="AU658" s="646"/>
      <c r="AV658" s="185"/>
    </row>
    <row r="659" spans="1:48" outlineLevel="2" x14ac:dyDescent="0.25">
      <c r="A659" s="63" t="str">
        <f t="shared" si="120"/>
        <v>1.4.1.2.3.59</v>
      </c>
      <c r="B659" s="64">
        <v>1</v>
      </c>
      <c r="C659" s="64">
        <v>4</v>
      </c>
      <c r="D659" s="64">
        <v>1</v>
      </c>
      <c r="E659" s="64">
        <v>2</v>
      </c>
      <c r="F659" s="64">
        <v>3</v>
      </c>
      <c r="G659" s="64">
        <v>59</v>
      </c>
      <c r="H659" s="65"/>
      <c r="I659" s="65"/>
      <c r="J659" s="65"/>
      <c r="K659" s="125" t="s">
        <v>698</v>
      </c>
      <c r="L659" s="64" t="s">
        <v>236</v>
      </c>
      <c r="M659" s="64" t="s">
        <v>422</v>
      </c>
      <c r="N659" s="64" t="s">
        <v>699</v>
      </c>
      <c r="O659" s="64" t="s">
        <v>700</v>
      </c>
      <c r="P659" s="69"/>
      <c r="Q659" s="69"/>
      <c r="R659" s="64"/>
      <c r="S659" s="65"/>
      <c r="T659" s="64"/>
      <c r="U659" s="75"/>
      <c r="V659" s="75"/>
      <c r="W659" s="75"/>
      <c r="X659" s="75"/>
      <c r="Y659" s="75"/>
      <c r="Z659" s="75"/>
      <c r="AA659" s="75"/>
      <c r="AB659" s="75"/>
      <c r="AC659" s="75"/>
      <c r="AD659" s="75"/>
      <c r="AE659" s="592"/>
      <c r="AF659" s="259"/>
      <c r="AG659" s="510">
        <v>0</v>
      </c>
      <c r="AH659" s="370">
        <v>0</v>
      </c>
      <c r="AI659" s="75"/>
      <c r="AJ659" s="75"/>
      <c r="AK659" s="75"/>
      <c r="AL659" s="75"/>
      <c r="AM659" s="75"/>
      <c r="AN659" s="64" t="s">
        <v>39</v>
      </c>
      <c r="AO659" s="64"/>
      <c r="AP659" s="64"/>
      <c r="AQ659" s="189"/>
      <c r="AR659" s="64"/>
      <c r="AS659" s="476"/>
      <c r="AT659" s="64"/>
      <c r="AU659" s="646"/>
      <c r="AV659" s="185"/>
    </row>
    <row r="660" spans="1:48" outlineLevel="2" x14ac:dyDescent="0.25">
      <c r="A660" s="63" t="str">
        <f t="shared" si="120"/>
        <v>1.4.1.2.3.60</v>
      </c>
      <c r="B660" s="64">
        <v>1</v>
      </c>
      <c r="C660" s="64">
        <v>4</v>
      </c>
      <c r="D660" s="64">
        <v>1</v>
      </c>
      <c r="E660" s="64">
        <v>2</v>
      </c>
      <c r="F660" s="64">
        <v>3</v>
      </c>
      <c r="G660" s="64">
        <v>60</v>
      </c>
      <c r="H660" s="65"/>
      <c r="I660" s="65"/>
      <c r="J660" s="65"/>
      <c r="K660" s="125" t="s">
        <v>698</v>
      </c>
      <c r="L660" s="64" t="s">
        <v>236</v>
      </c>
      <c r="M660" s="64" t="s">
        <v>422</v>
      </c>
      <c r="N660" s="64" t="s">
        <v>699</v>
      </c>
      <c r="O660" s="64" t="s">
        <v>700</v>
      </c>
      <c r="P660" s="69"/>
      <c r="Q660" s="69"/>
      <c r="R660" s="64"/>
      <c r="S660" s="65"/>
      <c r="T660" s="64"/>
      <c r="U660" s="75"/>
      <c r="V660" s="75"/>
      <c r="W660" s="75"/>
      <c r="X660" s="75"/>
      <c r="Y660" s="75"/>
      <c r="Z660" s="75"/>
      <c r="AA660" s="75"/>
      <c r="AB660" s="75"/>
      <c r="AC660" s="75"/>
      <c r="AD660" s="75"/>
      <c r="AE660" s="592"/>
      <c r="AF660" s="259"/>
      <c r="AG660" s="510">
        <v>0</v>
      </c>
      <c r="AH660" s="370">
        <v>0</v>
      </c>
      <c r="AI660" s="75"/>
      <c r="AJ660" s="75"/>
      <c r="AK660" s="75"/>
      <c r="AL660" s="75"/>
      <c r="AM660" s="75"/>
      <c r="AN660" s="64" t="s">
        <v>39</v>
      </c>
      <c r="AO660" s="64"/>
      <c r="AP660" s="64"/>
      <c r="AQ660" s="189"/>
      <c r="AR660" s="64"/>
      <c r="AS660" s="476"/>
      <c r="AT660" s="64"/>
      <c r="AU660" s="646"/>
      <c r="AV660" s="185"/>
    </row>
    <row r="661" spans="1:48" outlineLevel="2" x14ac:dyDescent="0.25">
      <c r="A661" s="63" t="str">
        <f t="shared" si="120"/>
        <v>1.4.1.2.3.61</v>
      </c>
      <c r="B661" s="64">
        <v>1</v>
      </c>
      <c r="C661" s="64">
        <v>4</v>
      </c>
      <c r="D661" s="64">
        <v>1</v>
      </c>
      <c r="E661" s="64">
        <v>2</v>
      </c>
      <c r="F661" s="64">
        <v>3</v>
      </c>
      <c r="G661" s="64">
        <v>61</v>
      </c>
      <c r="H661" s="65"/>
      <c r="I661" s="65"/>
      <c r="J661" s="65"/>
      <c r="K661" s="125" t="s">
        <v>698</v>
      </c>
      <c r="L661" s="64" t="s">
        <v>236</v>
      </c>
      <c r="M661" s="64" t="s">
        <v>422</v>
      </c>
      <c r="N661" s="64" t="s">
        <v>699</v>
      </c>
      <c r="O661" s="64" t="s">
        <v>700</v>
      </c>
      <c r="P661" s="69"/>
      <c r="Q661" s="69"/>
      <c r="R661" s="64"/>
      <c r="S661" s="65"/>
      <c r="T661" s="64"/>
      <c r="U661" s="75"/>
      <c r="V661" s="75"/>
      <c r="W661" s="75"/>
      <c r="X661" s="75"/>
      <c r="Y661" s="75"/>
      <c r="Z661" s="75"/>
      <c r="AA661" s="75"/>
      <c r="AB661" s="75"/>
      <c r="AC661" s="75"/>
      <c r="AD661" s="75"/>
      <c r="AE661" s="592"/>
      <c r="AF661" s="259"/>
      <c r="AG661" s="510">
        <v>0</v>
      </c>
      <c r="AH661" s="370">
        <v>0</v>
      </c>
      <c r="AI661" s="75"/>
      <c r="AJ661" s="75"/>
      <c r="AK661" s="75"/>
      <c r="AL661" s="75"/>
      <c r="AM661" s="75"/>
      <c r="AN661" s="64" t="s">
        <v>39</v>
      </c>
      <c r="AO661" s="64"/>
      <c r="AP661" s="64"/>
      <c r="AQ661" s="189"/>
      <c r="AR661" s="64"/>
      <c r="AS661" s="476"/>
      <c r="AT661" s="64"/>
      <c r="AU661" s="646"/>
      <c r="AV661" s="185"/>
    </row>
    <row r="662" spans="1:48" outlineLevel="2" x14ac:dyDescent="0.25">
      <c r="A662" s="63" t="str">
        <f t="shared" si="120"/>
        <v>1.4.1.2.3.62</v>
      </c>
      <c r="B662" s="64">
        <v>1</v>
      </c>
      <c r="C662" s="64">
        <v>4</v>
      </c>
      <c r="D662" s="64">
        <v>1</v>
      </c>
      <c r="E662" s="64">
        <v>2</v>
      </c>
      <c r="F662" s="64">
        <v>3</v>
      </c>
      <c r="G662" s="64">
        <v>62</v>
      </c>
      <c r="H662" s="65"/>
      <c r="I662" s="65"/>
      <c r="J662" s="65"/>
      <c r="K662" s="125" t="s">
        <v>698</v>
      </c>
      <c r="L662" s="64" t="s">
        <v>236</v>
      </c>
      <c r="M662" s="64" t="s">
        <v>422</v>
      </c>
      <c r="N662" s="64" t="s">
        <v>699</v>
      </c>
      <c r="O662" s="64" t="s">
        <v>700</v>
      </c>
      <c r="P662" s="69"/>
      <c r="Q662" s="69"/>
      <c r="R662" s="64"/>
      <c r="S662" s="65"/>
      <c r="T662" s="64"/>
      <c r="U662" s="75"/>
      <c r="V662" s="75"/>
      <c r="W662" s="75"/>
      <c r="X662" s="75"/>
      <c r="Y662" s="75"/>
      <c r="Z662" s="75"/>
      <c r="AA662" s="75"/>
      <c r="AB662" s="75"/>
      <c r="AC662" s="75"/>
      <c r="AD662" s="75"/>
      <c r="AE662" s="592"/>
      <c r="AF662" s="259"/>
      <c r="AG662" s="510">
        <v>0</v>
      </c>
      <c r="AH662" s="370">
        <v>0</v>
      </c>
      <c r="AI662" s="75"/>
      <c r="AJ662" s="75"/>
      <c r="AK662" s="75"/>
      <c r="AL662" s="75"/>
      <c r="AM662" s="75"/>
      <c r="AN662" s="64" t="s">
        <v>39</v>
      </c>
      <c r="AO662" s="64"/>
      <c r="AP662" s="64"/>
      <c r="AQ662" s="189"/>
      <c r="AR662" s="64"/>
      <c r="AS662" s="476"/>
      <c r="AT662" s="64"/>
      <c r="AU662" s="646"/>
      <c r="AV662" s="185"/>
    </row>
    <row r="663" spans="1:48" outlineLevel="2" x14ac:dyDescent="0.25">
      <c r="A663" s="63" t="str">
        <f t="shared" si="120"/>
        <v>1.4.1.2.3.63</v>
      </c>
      <c r="B663" s="64">
        <v>1</v>
      </c>
      <c r="C663" s="64">
        <v>4</v>
      </c>
      <c r="D663" s="64">
        <v>1</v>
      </c>
      <c r="E663" s="64">
        <v>2</v>
      </c>
      <c r="F663" s="64">
        <v>3</v>
      </c>
      <c r="G663" s="64">
        <v>63</v>
      </c>
      <c r="H663" s="65"/>
      <c r="I663" s="65"/>
      <c r="J663" s="65"/>
      <c r="K663" s="125" t="s">
        <v>698</v>
      </c>
      <c r="L663" s="64" t="s">
        <v>236</v>
      </c>
      <c r="M663" s="64" t="s">
        <v>422</v>
      </c>
      <c r="N663" s="64" t="s">
        <v>699</v>
      </c>
      <c r="O663" s="64" t="s">
        <v>700</v>
      </c>
      <c r="P663" s="69"/>
      <c r="Q663" s="69"/>
      <c r="R663" s="64"/>
      <c r="S663" s="65"/>
      <c r="T663" s="64"/>
      <c r="U663" s="75"/>
      <c r="V663" s="75"/>
      <c r="W663" s="75"/>
      <c r="X663" s="75"/>
      <c r="Y663" s="75"/>
      <c r="Z663" s="75"/>
      <c r="AA663" s="75"/>
      <c r="AB663" s="75"/>
      <c r="AC663" s="75"/>
      <c r="AD663" s="75"/>
      <c r="AE663" s="592"/>
      <c r="AF663" s="259"/>
      <c r="AG663" s="510">
        <v>0</v>
      </c>
      <c r="AH663" s="370">
        <v>0</v>
      </c>
      <c r="AI663" s="75"/>
      <c r="AJ663" s="75"/>
      <c r="AK663" s="75"/>
      <c r="AL663" s="75"/>
      <c r="AM663" s="75"/>
      <c r="AN663" s="64" t="s">
        <v>39</v>
      </c>
      <c r="AO663" s="64"/>
      <c r="AP663" s="64"/>
      <c r="AQ663" s="189"/>
      <c r="AR663" s="64"/>
      <c r="AS663" s="476"/>
      <c r="AT663" s="64"/>
      <c r="AU663" s="646"/>
      <c r="AV663" s="185"/>
    </row>
    <row r="664" spans="1:48" outlineLevel="2" x14ac:dyDescent="0.25">
      <c r="A664" s="63" t="str">
        <f t="shared" si="120"/>
        <v>1.4.1.2.3.64</v>
      </c>
      <c r="B664" s="64">
        <v>1</v>
      </c>
      <c r="C664" s="64">
        <v>4</v>
      </c>
      <c r="D664" s="64">
        <v>1</v>
      </c>
      <c r="E664" s="64">
        <v>2</v>
      </c>
      <c r="F664" s="64">
        <v>3</v>
      </c>
      <c r="G664" s="64">
        <v>64</v>
      </c>
      <c r="H664" s="65"/>
      <c r="I664" s="65"/>
      <c r="J664" s="65"/>
      <c r="K664" s="125" t="s">
        <v>698</v>
      </c>
      <c r="L664" s="64" t="s">
        <v>236</v>
      </c>
      <c r="M664" s="64" t="s">
        <v>422</v>
      </c>
      <c r="N664" s="64" t="s">
        <v>699</v>
      </c>
      <c r="O664" s="64" t="s">
        <v>700</v>
      </c>
      <c r="P664" s="69"/>
      <c r="Q664" s="69"/>
      <c r="R664" s="64"/>
      <c r="S664" s="65"/>
      <c r="T664" s="64"/>
      <c r="U664" s="75"/>
      <c r="V664" s="75"/>
      <c r="W664" s="75"/>
      <c r="X664" s="75"/>
      <c r="Y664" s="75"/>
      <c r="Z664" s="75"/>
      <c r="AA664" s="75"/>
      <c r="AB664" s="75"/>
      <c r="AC664" s="75"/>
      <c r="AD664" s="75"/>
      <c r="AE664" s="592"/>
      <c r="AF664" s="259"/>
      <c r="AG664" s="510">
        <v>0</v>
      </c>
      <c r="AH664" s="370">
        <v>0</v>
      </c>
      <c r="AI664" s="75"/>
      <c r="AJ664" s="75"/>
      <c r="AK664" s="75"/>
      <c r="AL664" s="75"/>
      <c r="AM664" s="75"/>
      <c r="AN664" s="64" t="s">
        <v>39</v>
      </c>
      <c r="AO664" s="64"/>
      <c r="AP664" s="64"/>
      <c r="AQ664" s="189"/>
      <c r="AR664" s="64"/>
      <c r="AS664" s="476"/>
      <c r="AT664" s="64"/>
      <c r="AU664" s="646"/>
      <c r="AV664" s="185"/>
    </row>
    <row r="665" spans="1:48" outlineLevel="2" x14ac:dyDescent="0.25">
      <c r="A665" s="63" t="str">
        <f t="shared" si="120"/>
        <v>1.4.1.2.4.58</v>
      </c>
      <c r="B665" s="64">
        <v>1</v>
      </c>
      <c r="C665" s="64">
        <v>4</v>
      </c>
      <c r="D665" s="64">
        <v>1</v>
      </c>
      <c r="E665" s="64">
        <v>2</v>
      </c>
      <c r="F665" s="64">
        <v>4</v>
      </c>
      <c r="G665" s="64">
        <v>58</v>
      </c>
      <c r="H665" s="65"/>
      <c r="I665" s="65"/>
      <c r="J665" s="66"/>
      <c r="K665" s="125" t="s">
        <v>701</v>
      </c>
      <c r="L665" s="64" t="s">
        <v>72</v>
      </c>
      <c r="M665" s="64" t="s">
        <v>73</v>
      </c>
      <c r="N665" s="64" t="s">
        <v>74</v>
      </c>
      <c r="O665" s="64" t="s">
        <v>359</v>
      </c>
      <c r="P665" s="69"/>
      <c r="Q665" s="69"/>
      <c r="R665" s="64">
        <v>3</v>
      </c>
      <c r="S665" s="65"/>
      <c r="T665" s="64"/>
      <c r="U665" s="75"/>
      <c r="V665" s="75"/>
      <c r="W665" s="75">
        <v>1</v>
      </c>
      <c r="X665" s="75"/>
      <c r="Y665" s="75"/>
      <c r="Z665" s="75"/>
      <c r="AA665" s="75"/>
      <c r="AB665" s="75"/>
      <c r="AC665" s="75"/>
      <c r="AD665" s="75"/>
      <c r="AE665" s="592"/>
      <c r="AF665" s="259"/>
      <c r="AG665" s="510">
        <v>0</v>
      </c>
      <c r="AH665" s="370">
        <v>0</v>
      </c>
      <c r="AI665" s="75"/>
      <c r="AJ665" s="75"/>
      <c r="AK665" s="75"/>
      <c r="AL665" s="75"/>
      <c r="AM665" s="75"/>
      <c r="AN665" s="64" t="s">
        <v>39</v>
      </c>
      <c r="AO665" s="64"/>
      <c r="AP665" s="64"/>
      <c r="AQ665" s="189"/>
      <c r="AR665" s="64"/>
      <c r="AS665" s="476"/>
      <c r="AT665" s="64"/>
      <c r="AU665" s="646"/>
      <c r="AV665" s="185"/>
    </row>
    <row r="666" spans="1:48" outlineLevel="2" x14ac:dyDescent="0.25">
      <c r="A666" s="63" t="str">
        <f t="shared" si="120"/>
        <v>1.4.1.2.4.59</v>
      </c>
      <c r="B666" s="64">
        <v>1</v>
      </c>
      <c r="C666" s="64">
        <v>4</v>
      </c>
      <c r="D666" s="64">
        <v>1</v>
      </c>
      <c r="E666" s="64">
        <v>2</v>
      </c>
      <c r="F666" s="64">
        <v>4</v>
      </c>
      <c r="G666" s="64">
        <v>59</v>
      </c>
      <c r="H666" s="65"/>
      <c r="I666" s="65"/>
      <c r="J666" s="66"/>
      <c r="K666" s="125" t="s">
        <v>701</v>
      </c>
      <c r="L666" s="64" t="s">
        <v>72</v>
      </c>
      <c r="M666" s="64" t="s">
        <v>73</v>
      </c>
      <c r="N666" s="64" t="s">
        <v>74</v>
      </c>
      <c r="O666" s="64" t="s">
        <v>359</v>
      </c>
      <c r="P666" s="69"/>
      <c r="Q666" s="64"/>
      <c r="R666" s="64"/>
      <c r="S666" s="65"/>
      <c r="T666" s="64"/>
      <c r="U666" s="75"/>
      <c r="V666" s="75"/>
      <c r="W666" s="75"/>
      <c r="X666" s="75"/>
      <c r="Y666" s="75"/>
      <c r="Z666" s="75"/>
      <c r="AA666" s="75"/>
      <c r="AB666" s="75"/>
      <c r="AC666" s="75"/>
      <c r="AD666" s="75"/>
      <c r="AE666" s="592"/>
      <c r="AF666" s="259"/>
      <c r="AG666" s="510">
        <v>0</v>
      </c>
      <c r="AH666" s="370">
        <v>0</v>
      </c>
      <c r="AI666" s="75"/>
      <c r="AJ666" s="75"/>
      <c r="AK666" s="75"/>
      <c r="AL666" s="75"/>
      <c r="AM666" s="75"/>
      <c r="AN666" s="64" t="s">
        <v>39</v>
      </c>
      <c r="AO666" s="64"/>
      <c r="AP666" s="64"/>
      <c r="AQ666" s="189"/>
      <c r="AR666" s="64"/>
      <c r="AS666" s="476"/>
      <c r="AT666" s="64"/>
      <c r="AU666" s="646"/>
      <c r="AV666" s="185"/>
    </row>
    <row r="667" spans="1:48" outlineLevel="2" x14ac:dyDescent="0.25">
      <c r="A667" s="63" t="str">
        <f t="shared" si="120"/>
        <v>1.4.1.2.4.60</v>
      </c>
      <c r="B667" s="64">
        <v>1</v>
      </c>
      <c r="C667" s="64">
        <v>4</v>
      </c>
      <c r="D667" s="64">
        <v>1</v>
      </c>
      <c r="E667" s="64">
        <v>2</v>
      </c>
      <c r="F667" s="64">
        <v>4</v>
      </c>
      <c r="G667" s="64">
        <v>60</v>
      </c>
      <c r="H667" s="65"/>
      <c r="I667" s="65"/>
      <c r="J667" s="66"/>
      <c r="K667" s="125" t="s">
        <v>701</v>
      </c>
      <c r="L667" s="64" t="s">
        <v>72</v>
      </c>
      <c r="M667" s="64" t="s">
        <v>73</v>
      </c>
      <c r="N667" s="64" t="s">
        <v>74</v>
      </c>
      <c r="O667" s="64" t="s">
        <v>359</v>
      </c>
      <c r="P667" s="69"/>
      <c r="Q667" s="64"/>
      <c r="R667" s="64"/>
      <c r="S667" s="65"/>
      <c r="T667" s="64"/>
      <c r="U667" s="75"/>
      <c r="V667" s="75"/>
      <c r="W667" s="75"/>
      <c r="X667" s="75"/>
      <c r="Y667" s="75"/>
      <c r="Z667" s="75"/>
      <c r="AA667" s="75"/>
      <c r="AB667" s="75"/>
      <c r="AC667" s="75"/>
      <c r="AD667" s="75"/>
      <c r="AE667" s="592"/>
      <c r="AF667" s="259"/>
      <c r="AG667" s="510">
        <v>0</v>
      </c>
      <c r="AH667" s="370">
        <v>0</v>
      </c>
      <c r="AI667" s="75"/>
      <c r="AJ667" s="75"/>
      <c r="AK667" s="75"/>
      <c r="AL667" s="75"/>
      <c r="AM667" s="75"/>
      <c r="AN667" s="64" t="s">
        <v>39</v>
      </c>
      <c r="AO667" s="64"/>
      <c r="AP667" s="64"/>
      <c r="AQ667" s="189"/>
      <c r="AR667" s="64"/>
      <c r="AS667" s="476"/>
      <c r="AT667" s="64"/>
      <c r="AU667" s="646"/>
      <c r="AV667" s="185"/>
    </row>
    <row r="668" spans="1:48" outlineLevel="2" x14ac:dyDescent="0.25">
      <c r="A668" s="63" t="str">
        <f t="shared" si="120"/>
        <v>1.4.1.2.4.61</v>
      </c>
      <c r="B668" s="64">
        <v>1</v>
      </c>
      <c r="C668" s="64">
        <v>4</v>
      </c>
      <c r="D668" s="64">
        <v>1</v>
      </c>
      <c r="E668" s="64">
        <v>2</v>
      </c>
      <c r="F668" s="64">
        <v>4</v>
      </c>
      <c r="G668" s="64">
        <v>61</v>
      </c>
      <c r="H668" s="65"/>
      <c r="I668" s="65"/>
      <c r="J668" s="66"/>
      <c r="K668" s="125" t="s">
        <v>701</v>
      </c>
      <c r="L668" s="64" t="s">
        <v>72</v>
      </c>
      <c r="M668" s="64" t="s">
        <v>73</v>
      </c>
      <c r="N668" s="64" t="s">
        <v>74</v>
      </c>
      <c r="O668" s="64" t="s">
        <v>359</v>
      </c>
      <c r="P668" s="69"/>
      <c r="Q668" s="64"/>
      <c r="R668" s="64"/>
      <c r="S668" s="65"/>
      <c r="T668" s="64"/>
      <c r="U668" s="75"/>
      <c r="V668" s="75"/>
      <c r="W668" s="75"/>
      <c r="X668" s="75"/>
      <c r="Y668" s="75"/>
      <c r="Z668" s="75"/>
      <c r="AA668" s="75"/>
      <c r="AB668" s="75"/>
      <c r="AC668" s="75"/>
      <c r="AD668" s="75"/>
      <c r="AE668" s="592"/>
      <c r="AF668" s="259"/>
      <c r="AG668" s="510">
        <v>0</v>
      </c>
      <c r="AH668" s="370">
        <v>0</v>
      </c>
      <c r="AI668" s="75"/>
      <c r="AJ668" s="75"/>
      <c r="AK668" s="75"/>
      <c r="AL668" s="75"/>
      <c r="AM668" s="75"/>
      <c r="AN668" s="64" t="s">
        <v>39</v>
      </c>
      <c r="AO668" s="64"/>
      <c r="AP668" s="64"/>
      <c r="AQ668" s="189"/>
      <c r="AR668" s="64"/>
      <c r="AS668" s="476"/>
      <c r="AT668" s="64"/>
      <c r="AU668" s="646"/>
      <c r="AV668" s="185"/>
    </row>
    <row r="669" spans="1:48" outlineLevel="2" x14ac:dyDescent="0.25">
      <c r="A669" s="63" t="str">
        <f t="shared" si="120"/>
        <v>1.4.1.2.4.62</v>
      </c>
      <c r="B669" s="64">
        <v>1</v>
      </c>
      <c r="C669" s="64">
        <v>4</v>
      </c>
      <c r="D669" s="64">
        <v>1</v>
      </c>
      <c r="E669" s="64">
        <v>2</v>
      </c>
      <c r="F669" s="64">
        <v>4</v>
      </c>
      <c r="G669" s="64">
        <v>62</v>
      </c>
      <c r="H669" s="65"/>
      <c r="I669" s="65"/>
      <c r="J669" s="66"/>
      <c r="K669" s="125" t="s">
        <v>701</v>
      </c>
      <c r="L669" s="64" t="s">
        <v>72</v>
      </c>
      <c r="M669" s="64" t="s">
        <v>73</v>
      </c>
      <c r="N669" s="64" t="s">
        <v>74</v>
      </c>
      <c r="O669" s="64" t="s">
        <v>359</v>
      </c>
      <c r="P669" s="69"/>
      <c r="Q669" s="64"/>
      <c r="R669" s="64"/>
      <c r="S669" s="65"/>
      <c r="T669" s="64"/>
      <c r="U669" s="75"/>
      <c r="V669" s="75"/>
      <c r="W669" s="75"/>
      <c r="X669" s="75"/>
      <c r="Y669" s="75"/>
      <c r="Z669" s="75"/>
      <c r="AA669" s="75"/>
      <c r="AB669" s="75"/>
      <c r="AC669" s="75"/>
      <c r="AD669" s="75"/>
      <c r="AE669" s="592"/>
      <c r="AF669" s="259"/>
      <c r="AG669" s="510">
        <v>0</v>
      </c>
      <c r="AH669" s="370">
        <v>0</v>
      </c>
      <c r="AI669" s="75"/>
      <c r="AJ669" s="75"/>
      <c r="AK669" s="75"/>
      <c r="AL669" s="75"/>
      <c r="AM669" s="75"/>
      <c r="AN669" s="64" t="s">
        <v>39</v>
      </c>
      <c r="AO669" s="64"/>
      <c r="AP669" s="64"/>
      <c r="AQ669" s="189"/>
      <c r="AR669" s="64"/>
      <c r="AS669" s="476"/>
      <c r="AT669" s="64"/>
      <c r="AU669" s="646"/>
      <c r="AV669" s="185"/>
    </row>
    <row r="670" spans="1:48" outlineLevel="2" x14ac:dyDescent="0.25">
      <c r="A670" s="63" t="str">
        <f t="shared" si="120"/>
        <v>1.4.1.2.4.63</v>
      </c>
      <c r="B670" s="64">
        <v>1</v>
      </c>
      <c r="C670" s="64">
        <v>4</v>
      </c>
      <c r="D670" s="64">
        <v>1</v>
      </c>
      <c r="E670" s="64">
        <v>2</v>
      </c>
      <c r="F670" s="64">
        <v>4</v>
      </c>
      <c r="G670" s="64">
        <v>63</v>
      </c>
      <c r="H670" s="65"/>
      <c r="I670" s="65"/>
      <c r="J670" s="66"/>
      <c r="K670" s="125" t="s">
        <v>701</v>
      </c>
      <c r="L670" s="64" t="s">
        <v>72</v>
      </c>
      <c r="M670" s="64" t="s">
        <v>73</v>
      </c>
      <c r="N670" s="64" t="s">
        <v>74</v>
      </c>
      <c r="O670" s="64" t="s">
        <v>359</v>
      </c>
      <c r="P670" s="69"/>
      <c r="Q670" s="64"/>
      <c r="R670" s="64"/>
      <c r="S670" s="65"/>
      <c r="T670" s="64"/>
      <c r="U670" s="75"/>
      <c r="V670" s="75"/>
      <c r="W670" s="75"/>
      <c r="X670" s="75"/>
      <c r="Y670" s="75"/>
      <c r="Z670" s="75"/>
      <c r="AA670" s="75"/>
      <c r="AB670" s="75"/>
      <c r="AC670" s="75"/>
      <c r="AD670" s="75"/>
      <c r="AE670" s="592"/>
      <c r="AF670" s="259"/>
      <c r="AG670" s="510">
        <v>0</v>
      </c>
      <c r="AH670" s="370">
        <v>0</v>
      </c>
      <c r="AI670" s="75"/>
      <c r="AJ670" s="75"/>
      <c r="AK670" s="75"/>
      <c r="AL670" s="75"/>
      <c r="AM670" s="75"/>
      <c r="AN670" s="64" t="s">
        <v>39</v>
      </c>
      <c r="AO670" s="64"/>
      <c r="AP670" s="64"/>
      <c r="AQ670" s="189"/>
      <c r="AR670" s="64"/>
      <c r="AS670" s="476"/>
      <c r="AT670" s="64"/>
      <c r="AU670" s="646"/>
      <c r="AV670" s="185"/>
    </row>
    <row r="671" spans="1:48" outlineLevel="2" x14ac:dyDescent="0.25">
      <c r="A671" s="63" t="str">
        <f t="shared" si="120"/>
        <v>1.4.1.2.4.64</v>
      </c>
      <c r="B671" s="64">
        <v>1</v>
      </c>
      <c r="C671" s="64">
        <v>4</v>
      </c>
      <c r="D671" s="64">
        <v>1</v>
      </c>
      <c r="E671" s="64">
        <v>2</v>
      </c>
      <c r="F671" s="64">
        <v>4</v>
      </c>
      <c r="G671" s="64">
        <v>64</v>
      </c>
      <c r="H671" s="65"/>
      <c r="I671" s="65"/>
      <c r="J671" s="66"/>
      <c r="K671" s="125" t="s">
        <v>701</v>
      </c>
      <c r="L671" s="64" t="s">
        <v>72</v>
      </c>
      <c r="M671" s="64" t="s">
        <v>73</v>
      </c>
      <c r="N671" s="64" t="s">
        <v>74</v>
      </c>
      <c r="O671" s="64" t="s">
        <v>359</v>
      </c>
      <c r="P671" s="69"/>
      <c r="Q671" s="64"/>
      <c r="R671" s="64"/>
      <c r="S671" s="65"/>
      <c r="T671" s="64"/>
      <c r="U671" s="75"/>
      <c r="V671" s="75"/>
      <c r="W671" s="75"/>
      <c r="X671" s="75"/>
      <c r="Y671" s="75"/>
      <c r="Z671" s="75"/>
      <c r="AA671" s="75"/>
      <c r="AB671" s="75"/>
      <c r="AC671" s="75"/>
      <c r="AD671" s="75"/>
      <c r="AE671" s="592"/>
      <c r="AF671" s="259"/>
      <c r="AG671" s="510">
        <v>0</v>
      </c>
      <c r="AH671" s="370">
        <v>0</v>
      </c>
      <c r="AI671" s="75"/>
      <c r="AJ671" s="75"/>
      <c r="AK671" s="75"/>
      <c r="AL671" s="75"/>
      <c r="AM671" s="75"/>
      <c r="AN671" s="64" t="s">
        <v>39</v>
      </c>
      <c r="AO671" s="64"/>
      <c r="AP671" s="64"/>
      <c r="AQ671" s="189"/>
      <c r="AR671" s="64"/>
      <c r="AS671" s="476"/>
      <c r="AT671" s="64"/>
      <c r="AU671" s="646"/>
      <c r="AV671" s="185"/>
    </row>
    <row r="672" spans="1:48" s="153" customFormat="1" ht="15" customHeight="1" outlineLevel="1" x14ac:dyDescent="0.25">
      <c r="A672" s="148" t="str">
        <f t="shared" si="120"/>
        <v>1.4.1.3.0.0</v>
      </c>
      <c r="B672" s="82">
        <v>1</v>
      </c>
      <c r="C672" s="82">
        <v>4</v>
      </c>
      <c r="D672" s="82">
        <v>1</v>
      </c>
      <c r="E672" s="82">
        <v>3</v>
      </c>
      <c r="F672" s="82">
        <v>0</v>
      </c>
      <c r="G672" s="82">
        <v>0</v>
      </c>
      <c r="H672" s="149"/>
      <c r="I672" s="149"/>
      <c r="J672" s="1260" t="s">
        <v>1801</v>
      </c>
      <c r="K672" s="1259"/>
      <c r="L672" s="82" t="s">
        <v>224</v>
      </c>
      <c r="M672" s="82" t="s">
        <v>299</v>
      </c>
      <c r="N672" s="82" t="s">
        <v>671</v>
      </c>
      <c r="O672" s="82" t="s">
        <v>359</v>
      </c>
      <c r="P672" s="82"/>
      <c r="Q672" s="82"/>
      <c r="R672" s="82"/>
      <c r="S672" s="149"/>
      <c r="T672" s="82"/>
      <c r="U672" s="152">
        <f>SUM(U673:U674)</f>
        <v>1275000</v>
      </c>
      <c r="V672" s="681">
        <f>SUM(V673:V674)</f>
        <v>0</v>
      </c>
      <c r="W672" s="152">
        <f t="shared" ref="W672:AD672" si="125">SUM(W673:W674)</f>
        <v>0</v>
      </c>
      <c r="X672" s="152">
        <f t="shared" si="125"/>
        <v>1275000</v>
      </c>
      <c r="Y672" s="152"/>
      <c r="Z672" s="152">
        <f t="shared" si="125"/>
        <v>0</v>
      </c>
      <c r="AA672" s="152">
        <f t="shared" si="125"/>
        <v>0</v>
      </c>
      <c r="AB672" s="152"/>
      <c r="AC672" s="152">
        <f t="shared" si="125"/>
        <v>0</v>
      </c>
      <c r="AD672" s="152">
        <f t="shared" si="125"/>
        <v>0</v>
      </c>
      <c r="AE672" s="597"/>
      <c r="AF672" s="358"/>
      <c r="AG672" s="512">
        <f>+SUM(AG673:AG674)</f>
        <v>2550000</v>
      </c>
      <c r="AH672" s="379">
        <f>+SUM(AH673:AH674)</f>
        <v>2550000</v>
      </c>
      <c r="AI672" s="152"/>
      <c r="AJ672" s="152"/>
      <c r="AK672" s="152"/>
      <c r="AL672" s="152"/>
      <c r="AM672" s="152"/>
      <c r="AN672" s="82" t="s">
        <v>39</v>
      </c>
      <c r="AO672" s="82"/>
      <c r="AP672" s="82"/>
      <c r="AQ672" s="365"/>
      <c r="AR672" s="82"/>
      <c r="AS672" s="483"/>
      <c r="AT672" s="82"/>
      <c r="AU672" s="666"/>
      <c r="AV672" s="444" t="s">
        <v>702</v>
      </c>
    </row>
    <row r="673" spans="1:48" outlineLevel="2" x14ac:dyDescent="0.25">
      <c r="A673" s="63" t="str">
        <f t="shared" si="120"/>
        <v>1.4.1.3.1.58</v>
      </c>
      <c r="B673" s="64">
        <v>1</v>
      </c>
      <c r="C673" s="64">
        <v>4</v>
      </c>
      <c r="D673" s="64">
        <v>1</v>
      </c>
      <c r="E673" s="64">
        <v>3</v>
      </c>
      <c r="F673" s="64">
        <v>1</v>
      </c>
      <c r="G673" s="64">
        <v>58</v>
      </c>
      <c r="H673" s="65"/>
      <c r="I673" s="65"/>
      <c r="J673" s="66"/>
      <c r="K673" s="65" t="s">
        <v>703</v>
      </c>
      <c r="L673" s="64" t="s">
        <v>246</v>
      </c>
      <c r="M673" s="64" t="s">
        <v>680</v>
      </c>
      <c r="N673" s="64" t="s">
        <v>671</v>
      </c>
      <c r="O673" s="64" t="s">
        <v>359</v>
      </c>
      <c r="P673" s="64"/>
      <c r="Q673" s="64"/>
      <c r="R673" s="64"/>
      <c r="S673" s="65"/>
      <c r="T673" s="64"/>
      <c r="U673" s="155">
        <f>425000*3</f>
        <v>1275000</v>
      </c>
      <c r="V673" s="679">
        <f>+AJ673</f>
        <v>0</v>
      </c>
      <c r="W673" s="75"/>
      <c r="X673" s="155">
        <f>425000*3</f>
        <v>1275000</v>
      </c>
      <c r="Y673" s="155"/>
      <c r="Z673" s="75"/>
      <c r="AA673" s="75"/>
      <c r="AB673" s="75"/>
      <c r="AC673" s="75"/>
      <c r="AD673" s="75"/>
      <c r="AE673" s="592"/>
      <c r="AF673" s="259"/>
      <c r="AG673" s="510">
        <f>425000*12/2</f>
        <v>2550000</v>
      </c>
      <c r="AH673" s="370">
        <f>425000*12/2</f>
        <v>2550000</v>
      </c>
      <c r="AI673" s="75"/>
      <c r="AJ673" s="75"/>
      <c r="AK673" s="75"/>
      <c r="AL673" s="75"/>
      <c r="AM673" s="75"/>
      <c r="AN673" s="64"/>
      <c r="AO673" s="64"/>
      <c r="AP673" s="64"/>
      <c r="AQ673" s="189"/>
      <c r="AR673" s="64"/>
      <c r="AS673" s="476"/>
      <c r="AT673" s="64"/>
      <c r="AU673" s="646"/>
      <c r="AV673" s="185" t="s">
        <v>589</v>
      </c>
    </row>
    <row r="674" spans="1:48" outlineLevel="2" x14ac:dyDescent="0.25">
      <c r="A674" s="63" t="str">
        <f t="shared" si="120"/>
        <v>1.4.1.3.2.58</v>
      </c>
      <c r="B674" s="64">
        <v>1</v>
      </c>
      <c r="C674" s="64">
        <v>4</v>
      </c>
      <c r="D674" s="64">
        <v>1</v>
      </c>
      <c r="E674" s="64">
        <v>3</v>
      </c>
      <c r="F674" s="64">
        <v>2</v>
      </c>
      <c r="G674" s="64">
        <v>58</v>
      </c>
      <c r="H674" s="65"/>
      <c r="I674" s="65"/>
      <c r="J674" s="66"/>
      <c r="K674" s="125" t="s">
        <v>704</v>
      </c>
      <c r="L674" s="64" t="s">
        <v>246</v>
      </c>
      <c r="M674" s="64" t="s">
        <v>680</v>
      </c>
      <c r="N674" s="64" t="s">
        <v>671</v>
      </c>
      <c r="O674" s="64" t="s">
        <v>359</v>
      </c>
      <c r="P674" s="64"/>
      <c r="Q674" s="64"/>
      <c r="R674" s="64"/>
      <c r="S674" s="65"/>
      <c r="T674" s="64"/>
      <c r="U674" s="75"/>
      <c r="V674" s="679">
        <f>+AJ674</f>
        <v>0</v>
      </c>
      <c r="W674" s="75"/>
      <c r="X674" s="75"/>
      <c r="Y674" s="75"/>
      <c r="Z674" s="75"/>
      <c r="AA674" s="75"/>
      <c r="AB674" s="75"/>
      <c r="AC674" s="75"/>
      <c r="AD674" s="75"/>
      <c r="AE674" s="592"/>
      <c r="AF674" s="259"/>
      <c r="AG674" s="510">
        <v>0</v>
      </c>
      <c r="AH674" s="370">
        <v>0</v>
      </c>
      <c r="AI674" s="75"/>
      <c r="AJ674" s="75"/>
      <c r="AK674" s="75"/>
      <c r="AL674" s="75"/>
      <c r="AM674" s="75"/>
      <c r="AN674" s="64"/>
      <c r="AO674" s="64"/>
      <c r="AP674" s="64"/>
      <c r="AQ674" s="189"/>
      <c r="AR674" s="64"/>
      <c r="AS674" s="476"/>
      <c r="AT674" s="64"/>
      <c r="AU674" s="646"/>
      <c r="AV674" s="441"/>
    </row>
    <row r="675" spans="1:48" s="153" customFormat="1" ht="15" customHeight="1" outlineLevel="1" x14ac:dyDescent="0.25">
      <c r="A675" s="148" t="str">
        <f t="shared" si="120"/>
        <v>1.4.1.4.0.0</v>
      </c>
      <c r="B675" s="82">
        <v>1</v>
      </c>
      <c r="C675" s="82">
        <v>4</v>
      </c>
      <c r="D675" s="82">
        <v>1</v>
      </c>
      <c r="E675" s="82">
        <v>4</v>
      </c>
      <c r="F675" s="82">
        <v>0</v>
      </c>
      <c r="G675" s="82">
        <v>0</v>
      </c>
      <c r="H675" s="149"/>
      <c r="I675" s="149"/>
      <c r="J675" s="1260" t="s">
        <v>1802</v>
      </c>
      <c r="K675" s="1259"/>
      <c r="L675" s="82" t="s">
        <v>224</v>
      </c>
      <c r="M675" s="82" t="s">
        <v>299</v>
      </c>
      <c r="N675" s="82" t="s">
        <v>671</v>
      </c>
      <c r="O675" s="82" t="s">
        <v>359</v>
      </c>
      <c r="P675" s="82"/>
      <c r="Q675" s="82"/>
      <c r="R675" s="82"/>
      <c r="S675" s="149"/>
      <c r="T675" s="82"/>
      <c r="U675" s="152">
        <f>SUM(U676:U677)</f>
        <v>1020000</v>
      </c>
      <c r="V675" s="681">
        <f>SUM(V676:V677)</f>
        <v>0</v>
      </c>
      <c r="W675" s="152">
        <f t="shared" ref="W675:AD675" si="126">SUM(W676:W677)</f>
        <v>0</v>
      </c>
      <c r="X675" s="152">
        <f t="shared" si="126"/>
        <v>1020000</v>
      </c>
      <c r="Y675" s="152"/>
      <c r="Z675" s="152">
        <f t="shared" si="126"/>
        <v>0</v>
      </c>
      <c r="AA675" s="152">
        <f t="shared" si="126"/>
        <v>0</v>
      </c>
      <c r="AB675" s="152"/>
      <c r="AC675" s="152">
        <f t="shared" si="126"/>
        <v>0</v>
      </c>
      <c r="AD675" s="152">
        <f t="shared" si="126"/>
        <v>0</v>
      </c>
      <c r="AE675" s="597"/>
      <c r="AF675" s="358"/>
      <c r="AG675" s="512">
        <f>+SUM(AG676:AG677)</f>
        <v>0</v>
      </c>
      <c r="AH675" s="379">
        <f>+SUM(AH676:AH677)</f>
        <v>0</v>
      </c>
      <c r="AI675" s="152"/>
      <c r="AJ675" s="152"/>
      <c r="AK675" s="152"/>
      <c r="AL675" s="152"/>
      <c r="AM675" s="152"/>
      <c r="AN675" s="82" t="s">
        <v>39</v>
      </c>
      <c r="AO675" s="82"/>
      <c r="AP675" s="82"/>
      <c r="AQ675" s="365"/>
      <c r="AR675" s="82"/>
      <c r="AS675" s="483"/>
      <c r="AT675" s="82"/>
      <c r="AU675" s="666"/>
      <c r="AV675" s="444" t="s">
        <v>702</v>
      </c>
    </row>
    <row r="676" spans="1:48" outlineLevel="4" x14ac:dyDescent="0.25">
      <c r="A676" s="63" t="str">
        <f>CONCATENATE(B676,".",C676,".",D676,".",E676,".",F676,".",G676)</f>
        <v>1.4.1.4.1.59</v>
      </c>
      <c r="B676" s="64">
        <v>1</v>
      </c>
      <c r="C676" s="64">
        <v>4</v>
      </c>
      <c r="D676" s="64">
        <v>1</v>
      </c>
      <c r="E676" s="64">
        <v>4</v>
      </c>
      <c r="F676" s="64">
        <v>1</v>
      </c>
      <c r="G676" s="64">
        <v>59</v>
      </c>
      <c r="H676" s="65"/>
      <c r="I676" s="65"/>
      <c r="J676" s="66"/>
      <c r="K676" s="65" t="s">
        <v>703</v>
      </c>
      <c r="L676" s="64" t="s">
        <v>246</v>
      </c>
      <c r="M676" s="64" t="s">
        <v>680</v>
      </c>
      <c r="N676" s="64" t="s">
        <v>671</v>
      </c>
      <c r="O676" s="64" t="s">
        <v>359</v>
      </c>
      <c r="P676" s="64"/>
      <c r="Q676" s="64"/>
      <c r="R676" s="64"/>
      <c r="S676" s="65"/>
      <c r="T676" s="64"/>
      <c r="U676" s="155">
        <f>340000*3</f>
        <v>1020000</v>
      </c>
      <c r="V676" s="679">
        <f t="shared" ref="V676:V719" si="127">+AJ676</f>
        <v>0</v>
      </c>
      <c r="W676" s="75"/>
      <c r="X676" s="155">
        <f>340000*3</f>
        <v>1020000</v>
      </c>
      <c r="Y676" s="155"/>
      <c r="Z676" s="75"/>
      <c r="AA676" s="75"/>
      <c r="AB676" s="75"/>
      <c r="AC676" s="75"/>
      <c r="AD676" s="75"/>
      <c r="AE676" s="592"/>
      <c r="AF676" s="259"/>
      <c r="AG676" s="510">
        <v>0</v>
      </c>
      <c r="AH676" s="370">
        <v>0</v>
      </c>
      <c r="AI676" s="75"/>
      <c r="AJ676" s="75"/>
      <c r="AK676" s="75"/>
      <c r="AL676" s="75"/>
      <c r="AM676" s="75"/>
      <c r="AN676" s="64"/>
      <c r="AO676" s="64"/>
      <c r="AP676" s="64"/>
      <c r="AQ676" s="189"/>
      <c r="AR676" s="64"/>
      <c r="AS676" s="476"/>
      <c r="AT676" s="64"/>
      <c r="AU676" s="646"/>
      <c r="AV676" s="185" t="s">
        <v>589</v>
      </c>
    </row>
    <row r="677" spans="1:48" outlineLevel="4" x14ac:dyDescent="0.25">
      <c r="A677" s="63" t="str">
        <f t="shared" si="120"/>
        <v>1.4.1.4.2.59</v>
      </c>
      <c r="B677" s="64">
        <v>1</v>
      </c>
      <c r="C677" s="64">
        <v>4</v>
      </c>
      <c r="D677" s="64">
        <v>1</v>
      </c>
      <c r="E677" s="64">
        <v>4</v>
      </c>
      <c r="F677" s="64">
        <v>2</v>
      </c>
      <c r="G677" s="64">
        <v>59</v>
      </c>
      <c r="H677" s="65"/>
      <c r="I677" s="65"/>
      <c r="J677" s="66"/>
      <c r="K677" s="65" t="s">
        <v>704</v>
      </c>
      <c r="L677" s="64" t="s">
        <v>246</v>
      </c>
      <c r="M677" s="64" t="s">
        <v>680</v>
      </c>
      <c r="N677" s="64" t="s">
        <v>671</v>
      </c>
      <c r="O677" s="64" t="s">
        <v>359</v>
      </c>
      <c r="P677" s="64"/>
      <c r="Q677" s="64"/>
      <c r="R677" s="64"/>
      <c r="S677" s="65"/>
      <c r="T677" s="64"/>
      <c r="U677" s="75"/>
      <c r="V677" s="679">
        <f t="shared" si="127"/>
        <v>0</v>
      </c>
      <c r="W677" s="75"/>
      <c r="X677" s="75"/>
      <c r="Y677" s="75"/>
      <c r="Z677" s="75"/>
      <c r="AA677" s="75"/>
      <c r="AB677" s="75"/>
      <c r="AC677" s="75"/>
      <c r="AD677" s="75"/>
      <c r="AE677" s="592"/>
      <c r="AF677" s="259"/>
      <c r="AG677" s="510">
        <v>0</v>
      </c>
      <c r="AH677" s="370">
        <v>0</v>
      </c>
      <c r="AI677" s="75"/>
      <c r="AJ677" s="75"/>
      <c r="AK677" s="75"/>
      <c r="AL677" s="75"/>
      <c r="AM677" s="75"/>
      <c r="AN677" s="64"/>
      <c r="AO677" s="64"/>
      <c r="AP677" s="64"/>
      <c r="AQ677" s="189"/>
      <c r="AR677" s="64"/>
      <c r="AS677" s="476"/>
      <c r="AT677" s="64"/>
      <c r="AU677" s="646"/>
      <c r="AV677" s="441"/>
    </row>
    <row r="678" spans="1:48" s="153" customFormat="1" ht="15" customHeight="1" outlineLevel="1" x14ac:dyDescent="0.25">
      <c r="A678" s="148" t="str">
        <f t="shared" si="120"/>
        <v>1.4.1.5.0.0</v>
      </c>
      <c r="B678" s="82">
        <v>1</v>
      </c>
      <c r="C678" s="82">
        <v>4</v>
      </c>
      <c r="D678" s="82">
        <v>1</v>
      </c>
      <c r="E678" s="82">
        <v>5</v>
      </c>
      <c r="F678" s="82">
        <v>0</v>
      </c>
      <c r="G678" s="82">
        <v>0</v>
      </c>
      <c r="H678" s="149"/>
      <c r="I678" s="149"/>
      <c r="J678" s="1260" t="s">
        <v>705</v>
      </c>
      <c r="K678" s="1259"/>
      <c r="L678" s="82" t="s">
        <v>224</v>
      </c>
      <c r="M678" s="82" t="s">
        <v>299</v>
      </c>
      <c r="N678" s="82" t="s">
        <v>671</v>
      </c>
      <c r="O678" s="82" t="s">
        <v>359</v>
      </c>
      <c r="P678" s="82"/>
      <c r="Q678" s="82"/>
      <c r="R678" s="82"/>
      <c r="S678" s="149"/>
      <c r="T678" s="82"/>
      <c r="U678" s="152">
        <f>SUM(U679:U680)</f>
        <v>1275000</v>
      </c>
      <c r="V678" s="681">
        <f>SUM(V679:V680)</f>
        <v>0</v>
      </c>
      <c r="W678" s="152">
        <f t="shared" ref="W678:AD678" si="128">SUM(W679:W680)</f>
        <v>0</v>
      </c>
      <c r="X678" s="152">
        <f t="shared" si="128"/>
        <v>1275000</v>
      </c>
      <c r="Y678" s="152"/>
      <c r="Z678" s="152">
        <f t="shared" si="128"/>
        <v>0</v>
      </c>
      <c r="AA678" s="152">
        <f t="shared" si="128"/>
        <v>0</v>
      </c>
      <c r="AB678" s="152"/>
      <c r="AC678" s="152">
        <f t="shared" si="128"/>
        <v>0</v>
      </c>
      <c r="AD678" s="152">
        <f t="shared" si="128"/>
        <v>0</v>
      </c>
      <c r="AE678" s="597"/>
      <c r="AF678" s="358"/>
      <c r="AG678" s="512">
        <f>+SUM(AG679:AG680)</f>
        <v>2370000</v>
      </c>
      <c r="AH678" s="379">
        <f>+SUM(AH679:AH680)</f>
        <v>2370000</v>
      </c>
      <c r="AI678" s="152"/>
      <c r="AJ678" s="152"/>
      <c r="AK678" s="152"/>
      <c r="AL678" s="152"/>
      <c r="AM678" s="152"/>
      <c r="AN678" s="82" t="s">
        <v>39</v>
      </c>
      <c r="AO678" s="82"/>
      <c r="AP678" s="82"/>
      <c r="AQ678" s="365"/>
      <c r="AR678" s="82"/>
      <c r="AS678" s="483"/>
      <c r="AT678" s="82"/>
      <c r="AU678" s="666"/>
      <c r="AV678" s="444" t="s">
        <v>702</v>
      </c>
    </row>
    <row r="679" spans="1:48" outlineLevel="2" x14ac:dyDescent="0.25">
      <c r="A679" s="63" t="str">
        <f t="shared" si="120"/>
        <v>1.4.1.5.1.63</v>
      </c>
      <c r="B679" s="64">
        <v>1</v>
      </c>
      <c r="C679" s="64">
        <v>4</v>
      </c>
      <c r="D679" s="64">
        <v>1</v>
      </c>
      <c r="E679" s="64">
        <v>5</v>
      </c>
      <c r="F679" s="64">
        <v>1</v>
      </c>
      <c r="G679" s="64">
        <v>63</v>
      </c>
      <c r="H679" s="65"/>
      <c r="I679" s="65"/>
      <c r="J679" s="66"/>
      <c r="K679" s="65" t="s">
        <v>703</v>
      </c>
      <c r="L679" s="64" t="s">
        <v>246</v>
      </c>
      <c r="M679" s="64" t="s">
        <v>680</v>
      </c>
      <c r="N679" s="64" t="s">
        <v>671</v>
      </c>
      <c r="O679" s="64" t="s">
        <v>359</v>
      </c>
      <c r="P679" s="64"/>
      <c r="Q679" s="69"/>
      <c r="R679" s="64"/>
      <c r="S679" s="65"/>
      <c r="T679" s="64"/>
      <c r="U679" s="155">
        <f>425000*3</f>
        <v>1275000</v>
      </c>
      <c r="V679" s="679">
        <f t="shared" si="127"/>
        <v>0</v>
      </c>
      <c r="W679" s="75"/>
      <c r="X679" s="155">
        <f>425000*3</f>
        <v>1275000</v>
      </c>
      <c r="Y679" s="155"/>
      <c r="Z679" s="75"/>
      <c r="AA679" s="75"/>
      <c r="AB679" s="75"/>
      <c r="AC679" s="75"/>
      <c r="AD679" s="75"/>
      <c r="AE679" s="592"/>
      <c r="AF679" s="259"/>
      <c r="AG679" s="510">
        <f>395000*12/2</f>
        <v>2370000</v>
      </c>
      <c r="AH679" s="370">
        <f>395000*12/2</f>
        <v>2370000</v>
      </c>
      <c r="AI679" s="75"/>
      <c r="AJ679" s="75"/>
      <c r="AK679" s="75"/>
      <c r="AL679" s="75"/>
      <c r="AM679" s="75"/>
      <c r="AN679" s="64"/>
      <c r="AO679" s="64"/>
      <c r="AP679" s="64"/>
      <c r="AQ679" s="189"/>
      <c r="AR679" s="64"/>
      <c r="AS679" s="476"/>
      <c r="AT679" s="64"/>
      <c r="AU679" s="646"/>
      <c r="AV679" s="185" t="s">
        <v>589</v>
      </c>
    </row>
    <row r="680" spans="1:48" outlineLevel="2" x14ac:dyDescent="0.25">
      <c r="A680" s="63" t="str">
        <f t="shared" si="120"/>
        <v>1.4.1.5.2.63</v>
      </c>
      <c r="B680" s="64">
        <v>1</v>
      </c>
      <c r="C680" s="64">
        <v>4</v>
      </c>
      <c r="D680" s="64">
        <v>1</v>
      </c>
      <c r="E680" s="64">
        <v>5</v>
      </c>
      <c r="F680" s="64">
        <v>2</v>
      </c>
      <c r="G680" s="64">
        <v>63</v>
      </c>
      <c r="H680" s="65"/>
      <c r="I680" s="65"/>
      <c r="J680" s="66"/>
      <c r="K680" s="65" t="s">
        <v>704</v>
      </c>
      <c r="L680" s="64" t="s">
        <v>246</v>
      </c>
      <c r="M680" s="64" t="s">
        <v>680</v>
      </c>
      <c r="N680" s="64" t="s">
        <v>671</v>
      </c>
      <c r="O680" s="64" t="s">
        <v>359</v>
      </c>
      <c r="P680" s="64"/>
      <c r="Q680" s="69"/>
      <c r="R680" s="64"/>
      <c r="S680" s="65"/>
      <c r="T680" s="64"/>
      <c r="U680" s="75"/>
      <c r="V680" s="679">
        <f t="shared" si="127"/>
        <v>0</v>
      </c>
      <c r="W680" s="75"/>
      <c r="X680" s="75"/>
      <c r="Y680" s="75"/>
      <c r="Z680" s="75"/>
      <c r="AA680" s="75"/>
      <c r="AB680" s="75"/>
      <c r="AC680" s="75"/>
      <c r="AD680" s="75"/>
      <c r="AE680" s="592"/>
      <c r="AF680" s="259"/>
      <c r="AG680" s="510">
        <v>0</v>
      </c>
      <c r="AH680" s="370">
        <v>0</v>
      </c>
      <c r="AI680" s="75"/>
      <c r="AJ680" s="75"/>
      <c r="AK680" s="75"/>
      <c r="AL680" s="75"/>
      <c r="AM680" s="75"/>
      <c r="AN680" s="64"/>
      <c r="AO680" s="64"/>
      <c r="AP680" s="64"/>
      <c r="AQ680" s="189"/>
      <c r="AR680" s="64"/>
      <c r="AS680" s="476"/>
      <c r="AT680" s="64"/>
      <c r="AU680" s="646"/>
      <c r="AV680" s="441"/>
    </row>
    <row r="681" spans="1:48" s="153" customFormat="1" ht="15" customHeight="1" outlineLevel="1" x14ac:dyDescent="0.25">
      <c r="A681" s="148" t="str">
        <f t="shared" si="120"/>
        <v>1.4.1.6.0.0</v>
      </c>
      <c r="B681" s="82">
        <v>1</v>
      </c>
      <c r="C681" s="82">
        <v>4</v>
      </c>
      <c r="D681" s="82">
        <v>1</v>
      </c>
      <c r="E681" s="82">
        <v>6</v>
      </c>
      <c r="F681" s="82">
        <v>0</v>
      </c>
      <c r="G681" s="82">
        <v>0</v>
      </c>
      <c r="H681" s="149"/>
      <c r="I681" s="149"/>
      <c r="J681" s="1260" t="s">
        <v>706</v>
      </c>
      <c r="K681" s="1259"/>
      <c r="L681" s="82" t="s">
        <v>224</v>
      </c>
      <c r="M681" s="82" t="s">
        <v>299</v>
      </c>
      <c r="N681" s="82" t="s">
        <v>671</v>
      </c>
      <c r="O681" s="82" t="s">
        <v>359</v>
      </c>
      <c r="P681" s="82"/>
      <c r="Q681" s="82"/>
      <c r="R681" s="82"/>
      <c r="S681" s="149"/>
      <c r="T681" s="82"/>
      <c r="U681" s="152">
        <f>SUM(U682:U683)</f>
        <v>885000</v>
      </c>
      <c r="V681" s="681">
        <f>SUM(V682:V683)</f>
        <v>0</v>
      </c>
      <c r="W681" s="152">
        <f t="shared" ref="W681:AD681" si="129">SUM(W682:W683)</f>
        <v>0</v>
      </c>
      <c r="X681" s="152">
        <f t="shared" si="129"/>
        <v>885000</v>
      </c>
      <c r="Y681" s="152"/>
      <c r="Z681" s="152">
        <f t="shared" si="129"/>
        <v>0</v>
      </c>
      <c r="AA681" s="152">
        <f t="shared" si="129"/>
        <v>0</v>
      </c>
      <c r="AB681" s="152"/>
      <c r="AC681" s="152">
        <f t="shared" si="129"/>
        <v>0</v>
      </c>
      <c r="AD681" s="152">
        <f t="shared" si="129"/>
        <v>0</v>
      </c>
      <c r="AE681" s="597"/>
      <c r="AF681" s="358"/>
      <c r="AG681" s="512">
        <f>+SUM(AG682:AG683)</f>
        <v>1680000</v>
      </c>
      <c r="AH681" s="379">
        <f>+SUM(AH682:AH683)</f>
        <v>1680000</v>
      </c>
      <c r="AI681" s="152"/>
      <c r="AJ681" s="152"/>
      <c r="AK681" s="152"/>
      <c r="AL681" s="152"/>
      <c r="AM681" s="152"/>
      <c r="AN681" s="82" t="s">
        <v>39</v>
      </c>
      <c r="AO681" s="82"/>
      <c r="AP681" s="82"/>
      <c r="AQ681" s="365"/>
      <c r="AR681" s="82"/>
      <c r="AS681" s="483"/>
      <c r="AT681" s="82"/>
      <c r="AU681" s="666"/>
      <c r="AV681" s="444" t="s">
        <v>702</v>
      </c>
    </row>
    <row r="682" spans="1:48" outlineLevel="4" x14ac:dyDescent="0.25">
      <c r="A682" s="63" t="str">
        <f t="shared" si="120"/>
        <v>1.4.1.6.1.64</v>
      </c>
      <c r="B682" s="64">
        <v>1</v>
      </c>
      <c r="C682" s="64">
        <v>4</v>
      </c>
      <c r="D682" s="64">
        <v>1</v>
      </c>
      <c r="E682" s="64">
        <v>6</v>
      </c>
      <c r="F682" s="64">
        <v>1</v>
      </c>
      <c r="G682" s="64">
        <v>64</v>
      </c>
      <c r="H682" s="65"/>
      <c r="I682" s="65"/>
      <c r="J682" s="66"/>
      <c r="K682" s="65" t="s">
        <v>703</v>
      </c>
      <c r="L682" s="64" t="s">
        <v>246</v>
      </c>
      <c r="M682" s="64" t="s">
        <v>680</v>
      </c>
      <c r="N682" s="64" t="s">
        <v>671</v>
      </c>
      <c r="O682" s="64" t="s">
        <v>359</v>
      </c>
      <c r="P682" s="64"/>
      <c r="Q682" s="64"/>
      <c r="R682" s="64"/>
      <c r="S682" s="65"/>
      <c r="T682" s="64"/>
      <c r="U682" s="155">
        <f>295000*3</f>
        <v>885000</v>
      </c>
      <c r="V682" s="679">
        <f t="shared" si="127"/>
        <v>0</v>
      </c>
      <c r="W682" s="75"/>
      <c r="X682" s="155">
        <f>295000*3</f>
        <v>885000</v>
      </c>
      <c r="Y682" s="155"/>
      <c r="Z682" s="75"/>
      <c r="AA682" s="75"/>
      <c r="AB682" s="75"/>
      <c r="AC682" s="75"/>
      <c r="AD682" s="75"/>
      <c r="AE682" s="592"/>
      <c r="AF682" s="259"/>
      <c r="AG682" s="510">
        <f>280000*12/2</f>
        <v>1680000</v>
      </c>
      <c r="AH682" s="370">
        <f>280000*12/2</f>
        <v>1680000</v>
      </c>
      <c r="AI682" s="75"/>
      <c r="AJ682" s="75"/>
      <c r="AK682" s="75"/>
      <c r="AL682" s="75"/>
      <c r="AM682" s="75"/>
      <c r="AN682" s="64"/>
      <c r="AO682" s="64"/>
      <c r="AP682" s="64"/>
      <c r="AQ682" s="189"/>
      <c r="AR682" s="64"/>
      <c r="AS682" s="476"/>
      <c r="AT682" s="64"/>
      <c r="AU682" s="646"/>
      <c r="AV682" s="185" t="s">
        <v>589</v>
      </c>
    </row>
    <row r="683" spans="1:48" outlineLevel="4" x14ac:dyDescent="0.25">
      <c r="A683" s="63" t="str">
        <f t="shared" si="120"/>
        <v>1.4.1.6.2.64</v>
      </c>
      <c r="B683" s="64">
        <v>1</v>
      </c>
      <c r="C683" s="64">
        <v>4</v>
      </c>
      <c r="D683" s="64">
        <v>1</v>
      </c>
      <c r="E683" s="64">
        <v>6</v>
      </c>
      <c r="F683" s="64">
        <v>2</v>
      </c>
      <c r="G683" s="64">
        <v>64</v>
      </c>
      <c r="H683" s="65"/>
      <c r="I683" s="65"/>
      <c r="J683" s="66"/>
      <c r="K683" s="65" t="s">
        <v>704</v>
      </c>
      <c r="L683" s="64" t="s">
        <v>246</v>
      </c>
      <c r="M683" s="64" t="s">
        <v>680</v>
      </c>
      <c r="N683" s="64" t="s">
        <v>671</v>
      </c>
      <c r="O683" s="64" t="s">
        <v>359</v>
      </c>
      <c r="P683" s="64"/>
      <c r="Q683" s="64"/>
      <c r="R683" s="64"/>
      <c r="S683" s="65"/>
      <c r="T683" s="64"/>
      <c r="U683" s="75"/>
      <c r="V683" s="679">
        <f t="shared" si="127"/>
        <v>0</v>
      </c>
      <c r="W683" s="75"/>
      <c r="X683" s="75"/>
      <c r="Y683" s="75"/>
      <c r="Z683" s="75"/>
      <c r="AA683" s="75"/>
      <c r="AB683" s="75"/>
      <c r="AC683" s="75"/>
      <c r="AD683" s="75"/>
      <c r="AE683" s="592"/>
      <c r="AF683" s="259"/>
      <c r="AG683" s="510">
        <v>0</v>
      </c>
      <c r="AH683" s="370">
        <v>0</v>
      </c>
      <c r="AI683" s="75"/>
      <c r="AJ683" s="75"/>
      <c r="AK683" s="75"/>
      <c r="AL683" s="75"/>
      <c r="AM683" s="75"/>
      <c r="AN683" s="64"/>
      <c r="AO683" s="64"/>
      <c r="AP683" s="64"/>
      <c r="AQ683" s="189"/>
      <c r="AR683" s="64"/>
      <c r="AS683" s="476"/>
      <c r="AT683" s="64"/>
      <c r="AU683" s="646"/>
      <c r="AV683" s="441"/>
    </row>
    <row r="684" spans="1:48" s="153" customFormat="1" ht="15" customHeight="1" outlineLevel="1" x14ac:dyDescent="0.25">
      <c r="A684" s="148" t="str">
        <f t="shared" si="120"/>
        <v>1.4.1.7.0.0</v>
      </c>
      <c r="B684" s="82">
        <v>1</v>
      </c>
      <c r="C684" s="82">
        <v>4</v>
      </c>
      <c r="D684" s="82">
        <v>1</v>
      </c>
      <c r="E684" s="82">
        <v>7</v>
      </c>
      <c r="F684" s="82">
        <v>0</v>
      </c>
      <c r="G684" s="82">
        <v>0</v>
      </c>
      <c r="H684" s="149"/>
      <c r="I684" s="149"/>
      <c r="J684" s="1260" t="s">
        <v>707</v>
      </c>
      <c r="K684" s="1259"/>
      <c r="L684" s="82" t="s">
        <v>224</v>
      </c>
      <c r="M684" s="82" t="s">
        <v>299</v>
      </c>
      <c r="N684" s="82" t="s">
        <v>671</v>
      </c>
      <c r="O684" s="82" t="s">
        <v>359</v>
      </c>
      <c r="P684" s="82"/>
      <c r="Q684" s="82"/>
      <c r="R684" s="82"/>
      <c r="S684" s="149"/>
      <c r="T684" s="82"/>
      <c r="U684" s="152">
        <f>SUM(U685:U686)</f>
        <v>1125000</v>
      </c>
      <c r="V684" s="681">
        <f>SUM(V685:V686)</f>
        <v>0</v>
      </c>
      <c r="W684" s="152">
        <f t="shared" ref="W684:AD684" si="130">SUM(W685:W686)</f>
        <v>0</v>
      </c>
      <c r="X684" s="152">
        <f t="shared" si="130"/>
        <v>335000</v>
      </c>
      <c r="Y684" s="152"/>
      <c r="Z684" s="152">
        <f t="shared" si="130"/>
        <v>0</v>
      </c>
      <c r="AA684" s="152">
        <f t="shared" si="130"/>
        <v>0</v>
      </c>
      <c r="AB684" s="152"/>
      <c r="AC684" s="152">
        <f t="shared" si="130"/>
        <v>0</v>
      </c>
      <c r="AD684" s="152">
        <f t="shared" si="130"/>
        <v>0</v>
      </c>
      <c r="AE684" s="597"/>
      <c r="AF684" s="358"/>
      <c r="AG684" s="512">
        <f>+SUM(AG685:AG686)</f>
        <v>1460000</v>
      </c>
      <c r="AH684" s="379">
        <f>+SUM(AH685:AH686)</f>
        <v>1460000</v>
      </c>
      <c r="AI684" s="152"/>
      <c r="AJ684" s="152"/>
      <c r="AK684" s="152"/>
      <c r="AL684" s="152"/>
      <c r="AM684" s="152"/>
      <c r="AN684" s="82" t="s">
        <v>39</v>
      </c>
      <c r="AO684" s="82"/>
      <c r="AP684" s="82"/>
      <c r="AQ684" s="365"/>
      <c r="AR684" s="82"/>
      <c r="AS684" s="483"/>
      <c r="AT684" s="82"/>
      <c r="AU684" s="666"/>
      <c r="AV684" s="444" t="s">
        <v>702</v>
      </c>
    </row>
    <row r="685" spans="1:48" outlineLevel="2" x14ac:dyDescent="0.25">
      <c r="A685" s="63" t="str">
        <f t="shared" si="120"/>
        <v>1.4.1.7.1.61</v>
      </c>
      <c r="B685" s="64">
        <v>1</v>
      </c>
      <c r="C685" s="64">
        <v>4</v>
      </c>
      <c r="D685" s="64">
        <v>1</v>
      </c>
      <c r="E685" s="64">
        <v>7</v>
      </c>
      <c r="F685" s="64">
        <v>1</v>
      </c>
      <c r="G685" s="64">
        <v>61</v>
      </c>
      <c r="H685" s="65"/>
      <c r="I685" s="65"/>
      <c r="J685" s="66"/>
      <c r="K685" s="65" t="s">
        <v>703</v>
      </c>
      <c r="L685" s="64" t="s">
        <v>246</v>
      </c>
      <c r="M685" s="64" t="s">
        <v>680</v>
      </c>
      <c r="N685" s="64" t="s">
        <v>671</v>
      </c>
      <c r="O685" s="64" t="s">
        <v>359</v>
      </c>
      <c r="P685" s="64"/>
      <c r="Q685" s="64"/>
      <c r="R685" s="64"/>
      <c r="S685" s="65"/>
      <c r="T685" s="64"/>
      <c r="U685" s="155">
        <f>375000*3</f>
        <v>1125000</v>
      </c>
      <c r="V685" s="679">
        <f t="shared" si="127"/>
        <v>0</v>
      </c>
      <c r="W685" s="75"/>
      <c r="X685" s="75">
        <f>+AH685-U685</f>
        <v>335000</v>
      </c>
      <c r="Y685" s="75"/>
      <c r="Z685" s="75"/>
      <c r="AA685" s="75"/>
      <c r="AB685" s="75"/>
      <c r="AC685" s="75"/>
      <c r="AD685" s="75"/>
      <c r="AE685" s="592"/>
      <c r="AF685" s="259"/>
      <c r="AG685" s="510">
        <f>365000*12/3</f>
        <v>1460000</v>
      </c>
      <c r="AH685" s="370">
        <f>365000*12/3</f>
        <v>1460000</v>
      </c>
      <c r="AI685" s="75"/>
      <c r="AJ685" s="75"/>
      <c r="AK685" s="75"/>
      <c r="AL685" s="75"/>
      <c r="AM685" s="75"/>
      <c r="AN685" s="64"/>
      <c r="AO685" s="64"/>
      <c r="AP685" s="64"/>
      <c r="AQ685" s="189"/>
      <c r="AR685" s="64"/>
      <c r="AS685" s="476"/>
      <c r="AT685" s="64"/>
      <c r="AU685" s="646"/>
      <c r="AV685" s="185" t="s">
        <v>589</v>
      </c>
    </row>
    <row r="686" spans="1:48" outlineLevel="2" x14ac:dyDescent="0.25">
      <c r="A686" s="63" t="str">
        <f t="shared" si="120"/>
        <v>1.4.1.7.2.61</v>
      </c>
      <c r="B686" s="64">
        <v>1</v>
      </c>
      <c r="C686" s="64">
        <v>4</v>
      </c>
      <c r="D686" s="64">
        <v>1</v>
      </c>
      <c r="E686" s="64">
        <v>7</v>
      </c>
      <c r="F686" s="64">
        <v>2</v>
      </c>
      <c r="G686" s="64">
        <v>61</v>
      </c>
      <c r="H686" s="65"/>
      <c r="I686" s="65"/>
      <c r="J686" s="66"/>
      <c r="K686" s="65" t="s">
        <v>704</v>
      </c>
      <c r="L686" s="64" t="s">
        <v>246</v>
      </c>
      <c r="M686" s="64" t="s">
        <v>680</v>
      </c>
      <c r="N686" s="64" t="s">
        <v>671</v>
      </c>
      <c r="O686" s="64" t="s">
        <v>359</v>
      </c>
      <c r="P686" s="64"/>
      <c r="Q686" s="64"/>
      <c r="R686" s="64"/>
      <c r="S686" s="65"/>
      <c r="T686" s="64"/>
      <c r="U686" s="75"/>
      <c r="V686" s="679">
        <f t="shared" si="127"/>
        <v>0</v>
      </c>
      <c r="W686" s="75"/>
      <c r="X686" s="75"/>
      <c r="Y686" s="75"/>
      <c r="Z686" s="75"/>
      <c r="AA686" s="75"/>
      <c r="AB686" s="75"/>
      <c r="AC686" s="75"/>
      <c r="AD686" s="75"/>
      <c r="AE686" s="592"/>
      <c r="AF686" s="259"/>
      <c r="AG686" s="510">
        <v>0</v>
      </c>
      <c r="AH686" s="370">
        <v>0</v>
      </c>
      <c r="AI686" s="75"/>
      <c r="AJ686" s="75"/>
      <c r="AK686" s="75"/>
      <c r="AL686" s="75"/>
      <c r="AM686" s="75"/>
      <c r="AN686" s="64"/>
      <c r="AO686" s="64"/>
      <c r="AP686" s="64"/>
      <c r="AQ686" s="189"/>
      <c r="AR686" s="64"/>
      <c r="AS686" s="476"/>
      <c r="AT686" s="64"/>
      <c r="AU686" s="646"/>
      <c r="AV686" s="441"/>
    </row>
    <row r="687" spans="1:48" s="153" customFormat="1" ht="15" customHeight="1" outlineLevel="1" x14ac:dyDescent="0.25">
      <c r="A687" s="148" t="str">
        <f t="shared" si="120"/>
        <v>1.4.1.8.0.0</v>
      </c>
      <c r="B687" s="82">
        <v>1</v>
      </c>
      <c r="C687" s="82">
        <v>4</v>
      </c>
      <c r="D687" s="82">
        <v>1</v>
      </c>
      <c r="E687" s="82">
        <v>8</v>
      </c>
      <c r="F687" s="82">
        <v>0</v>
      </c>
      <c r="G687" s="82">
        <v>0</v>
      </c>
      <c r="H687" s="149"/>
      <c r="I687" s="149"/>
      <c r="J687" s="1260" t="s">
        <v>1803</v>
      </c>
      <c r="K687" s="1259"/>
      <c r="L687" s="82" t="s">
        <v>224</v>
      </c>
      <c r="M687" s="82" t="s">
        <v>299</v>
      </c>
      <c r="N687" s="82" t="s">
        <v>671</v>
      </c>
      <c r="O687" s="82" t="s">
        <v>359</v>
      </c>
      <c r="P687" s="82"/>
      <c r="Q687" s="82"/>
      <c r="R687" s="82"/>
      <c r="S687" s="149"/>
      <c r="T687" s="82"/>
      <c r="U687" s="152">
        <f>SUM(U688:U689)</f>
        <v>1170000</v>
      </c>
      <c r="V687" s="681">
        <f>SUM(V688:V689)</f>
        <v>0</v>
      </c>
      <c r="W687" s="152">
        <f t="shared" ref="W687:AC687" si="131">SUM(W688:W689)</f>
        <v>0</v>
      </c>
      <c r="X687" s="152">
        <f t="shared" si="131"/>
        <v>1170000</v>
      </c>
      <c r="Y687" s="152"/>
      <c r="Z687" s="152">
        <f t="shared" si="131"/>
        <v>0</v>
      </c>
      <c r="AA687" s="152">
        <f t="shared" si="131"/>
        <v>0</v>
      </c>
      <c r="AB687" s="152"/>
      <c r="AC687" s="152">
        <f t="shared" si="131"/>
        <v>0</v>
      </c>
      <c r="AD687" s="152"/>
      <c r="AE687" s="597"/>
      <c r="AF687" s="358"/>
      <c r="AG687" s="512">
        <f>+SUM(AG688:AG689)</f>
        <v>1734000</v>
      </c>
      <c r="AH687" s="379">
        <f>+SUM(AH688:AH689)</f>
        <v>1734000</v>
      </c>
      <c r="AI687" s="152"/>
      <c r="AJ687" s="152"/>
      <c r="AK687" s="152"/>
      <c r="AL687" s="152"/>
      <c r="AM687" s="152"/>
      <c r="AN687" s="82" t="s">
        <v>39</v>
      </c>
      <c r="AO687" s="82"/>
      <c r="AP687" s="82"/>
      <c r="AQ687" s="365"/>
      <c r="AR687" s="82"/>
      <c r="AS687" s="483"/>
      <c r="AT687" s="82"/>
      <c r="AU687" s="666"/>
      <c r="AV687" s="444" t="s">
        <v>702</v>
      </c>
    </row>
    <row r="688" spans="1:48" ht="15" customHeight="1" outlineLevel="3" x14ac:dyDescent="0.25">
      <c r="A688" s="63" t="str">
        <f t="shared" si="120"/>
        <v>1.4.1.8.1.62</v>
      </c>
      <c r="B688" s="64">
        <v>1</v>
      </c>
      <c r="C688" s="64">
        <v>4</v>
      </c>
      <c r="D688" s="64">
        <v>1</v>
      </c>
      <c r="E688" s="64">
        <v>8</v>
      </c>
      <c r="F688" s="64">
        <v>1</v>
      </c>
      <c r="G688" s="64">
        <v>62</v>
      </c>
      <c r="H688" s="65"/>
      <c r="I688" s="65"/>
      <c r="J688" s="66"/>
      <c r="K688" s="65" t="s">
        <v>703</v>
      </c>
      <c r="L688" s="64" t="s">
        <v>246</v>
      </c>
      <c r="M688" s="64" t="s">
        <v>680</v>
      </c>
      <c r="N688" s="64" t="s">
        <v>671</v>
      </c>
      <c r="O688" s="64" t="s">
        <v>359</v>
      </c>
      <c r="P688" s="64"/>
      <c r="Q688" s="69"/>
      <c r="R688" s="64"/>
      <c r="S688" s="65"/>
      <c r="T688" s="64"/>
      <c r="U688" s="155">
        <f>390000*3</f>
        <v>1170000</v>
      </c>
      <c r="V688" s="679">
        <f t="shared" si="127"/>
        <v>0</v>
      </c>
      <c r="W688" s="75"/>
      <c r="X688" s="155">
        <f>390000*3</f>
        <v>1170000</v>
      </c>
      <c r="Y688" s="155"/>
      <c r="Z688" s="75"/>
      <c r="AA688" s="75"/>
      <c r="AB688" s="75"/>
      <c r="AC688" s="75"/>
      <c r="AD688" s="75"/>
      <c r="AE688" s="592"/>
      <c r="AF688" s="259"/>
      <c r="AG688" s="510">
        <f>289000*12/2</f>
        <v>1734000</v>
      </c>
      <c r="AH688" s="370">
        <f>289000*12/2</f>
        <v>1734000</v>
      </c>
      <c r="AI688" s="75"/>
      <c r="AJ688" s="75"/>
      <c r="AK688" s="75"/>
      <c r="AL688" s="75"/>
      <c r="AM688" s="75"/>
      <c r="AN688" s="64"/>
      <c r="AO688" s="64"/>
      <c r="AP688" s="64"/>
      <c r="AQ688" s="189"/>
      <c r="AR688" s="64"/>
      <c r="AS688" s="476"/>
      <c r="AT688" s="64"/>
      <c r="AU688" s="646"/>
      <c r="AV688" s="185" t="s">
        <v>589</v>
      </c>
    </row>
    <row r="689" spans="1:48" ht="15" customHeight="1" outlineLevel="3" x14ac:dyDescent="0.25">
      <c r="A689" s="63" t="str">
        <f t="shared" si="120"/>
        <v>1.4.1.8.2.62</v>
      </c>
      <c r="B689" s="64">
        <v>1</v>
      </c>
      <c r="C689" s="64">
        <v>4</v>
      </c>
      <c r="D689" s="64">
        <v>1</v>
      </c>
      <c r="E689" s="64">
        <v>8</v>
      </c>
      <c r="F689" s="64">
        <v>2</v>
      </c>
      <c r="G689" s="64">
        <v>62</v>
      </c>
      <c r="H689" s="65"/>
      <c r="I689" s="65"/>
      <c r="J689" s="66"/>
      <c r="K689" s="65" t="s">
        <v>704</v>
      </c>
      <c r="L689" s="64" t="s">
        <v>246</v>
      </c>
      <c r="M689" s="64" t="s">
        <v>680</v>
      </c>
      <c r="N689" s="64" t="s">
        <v>671</v>
      </c>
      <c r="O689" s="64" t="s">
        <v>359</v>
      </c>
      <c r="P689" s="64"/>
      <c r="Q689" s="69"/>
      <c r="R689" s="64"/>
      <c r="S689" s="65"/>
      <c r="T689" s="64"/>
      <c r="U689" s="75"/>
      <c r="V689" s="679">
        <f t="shared" si="127"/>
        <v>0</v>
      </c>
      <c r="W689" s="75"/>
      <c r="X689" s="75"/>
      <c r="Y689" s="75"/>
      <c r="Z689" s="75"/>
      <c r="AA689" s="75"/>
      <c r="AB689" s="75"/>
      <c r="AC689" s="75"/>
      <c r="AD689" s="75"/>
      <c r="AE689" s="592"/>
      <c r="AF689" s="259"/>
      <c r="AG689" s="510">
        <v>0</v>
      </c>
      <c r="AH689" s="370">
        <v>0</v>
      </c>
      <c r="AI689" s="75"/>
      <c r="AJ689" s="75"/>
      <c r="AK689" s="75"/>
      <c r="AL689" s="75"/>
      <c r="AM689" s="75"/>
      <c r="AN689" s="64"/>
      <c r="AO689" s="64"/>
      <c r="AP689" s="64"/>
      <c r="AQ689" s="189"/>
      <c r="AR689" s="64"/>
      <c r="AS689" s="476"/>
      <c r="AT689" s="64"/>
      <c r="AU689" s="646"/>
      <c r="AV689" s="441"/>
    </row>
    <row r="690" spans="1:48" s="153" customFormat="1" ht="15" customHeight="1" outlineLevel="1" x14ac:dyDescent="0.25">
      <c r="A690" s="148" t="str">
        <f t="shared" si="120"/>
        <v>1.4.1.9.0.0</v>
      </c>
      <c r="B690" s="82">
        <v>1</v>
      </c>
      <c r="C690" s="82">
        <v>4</v>
      </c>
      <c r="D690" s="82">
        <v>1</v>
      </c>
      <c r="E690" s="82">
        <v>9</v>
      </c>
      <c r="F690" s="82">
        <v>0</v>
      </c>
      <c r="G690" s="82">
        <v>0</v>
      </c>
      <c r="H690" s="149"/>
      <c r="I690" s="149"/>
      <c r="J690" s="1260" t="s">
        <v>1804</v>
      </c>
      <c r="K690" s="1259"/>
      <c r="L690" s="82" t="s">
        <v>224</v>
      </c>
      <c r="M690" s="82" t="s">
        <v>299</v>
      </c>
      <c r="N690" s="82" t="s">
        <v>671</v>
      </c>
      <c r="O690" s="82" t="s">
        <v>359</v>
      </c>
      <c r="P690" s="82"/>
      <c r="Q690" s="82"/>
      <c r="R690" s="82"/>
      <c r="S690" s="149"/>
      <c r="T690" s="82"/>
      <c r="U690" s="152">
        <f>SUM(U691:U692)</f>
        <v>570000</v>
      </c>
      <c r="V690" s="681">
        <f>SUM(V691:V692)</f>
        <v>0</v>
      </c>
      <c r="W690" s="152">
        <f t="shared" ref="W690:AD690" si="132">SUM(W691:W692)</f>
        <v>0</v>
      </c>
      <c r="X690" s="152">
        <f t="shared" si="132"/>
        <v>570000</v>
      </c>
      <c r="Y690" s="152"/>
      <c r="Z690" s="152">
        <f t="shared" si="132"/>
        <v>0</v>
      </c>
      <c r="AA690" s="152">
        <f t="shared" si="132"/>
        <v>0</v>
      </c>
      <c r="AB690" s="152"/>
      <c r="AC690" s="152">
        <f t="shared" si="132"/>
        <v>0</v>
      </c>
      <c r="AD690" s="152">
        <f t="shared" si="132"/>
        <v>0</v>
      </c>
      <c r="AE690" s="597"/>
      <c r="AF690" s="358"/>
      <c r="AG690" s="512">
        <f>+SUM(AG691:AG692)</f>
        <v>1140000</v>
      </c>
      <c r="AH690" s="379">
        <f>+SUM(AH691:AH692)</f>
        <v>1140000</v>
      </c>
      <c r="AI690" s="152"/>
      <c r="AJ690" s="152"/>
      <c r="AK690" s="152"/>
      <c r="AL690" s="152"/>
      <c r="AM690" s="152"/>
      <c r="AN690" s="82" t="s">
        <v>39</v>
      </c>
      <c r="AO690" s="82"/>
      <c r="AP690" s="82"/>
      <c r="AQ690" s="365"/>
      <c r="AR690" s="82"/>
      <c r="AS690" s="483"/>
      <c r="AT690" s="82"/>
      <c r="AU690" s="666"/>
      <c r="AV690" s="444" t="s">
        <v>702</v>
      </c>
    </row>
    <row r="691" spans="1:48" ht="15" customHeight="1" outlineLevel="3" x14ac:dyDescent="0.25">
      <c r="A691" s="63" t="str">
        <f t="shared" si="120"/>
        <v>1.4.1.9.1.60</v>
      </c>
      <c r="B691" s="64">
        <v>1</v>
      </c>
      <c r="C691" s="64">
        <v>4</v>
      </c>
      <c r="D691" s="64">
        <v>1</v>
      </c>
      <c r="E691" s="64">
        <v>9</v>
      </c>
      <c r="F691" s="64">
        <v>1</v>
      </c>
      <c r="G691" s="64">
        <v>60</v>
      </c>
      <c r="H691" s="65"/>
      <c r="I691" s="65"/>
      <c r="J691" s="66"/>
      <c r="K691" s="65" t="s">
        <v>703</v>
      </c>
      <c r="L691" s="64" t="s">
        <v>246</v>
      </c>
      <c r="M691" s="64" t="s">
        <v>680</v>
      </c>
      <c r="N691" s="64" t="s">
        <v>671</v>
      </c>
      <c r="O691" s="64" t="s">
        <v>359</v>
      </c>
      <c r="P691" s="64"/>
      <c r="Q691" s="69"/>
      <c r="R691" s="64"/>
      <c r="S691" s="65"/>
      <c r="T691" s="64"/>
      <c r="U691" s="155">
        <f>190000*3</f>
        <v>570000</v>
      </c>
      <c r="V691" s="679">
        <f t="shared" si="127"/>
        <v>0</v>
      </c>
      <c r="W691" s="75"/>
      <c r="X691" s="155">
        <f>190000*3</f>
        <v>570000</v>
      </c>
      <c r="Y691" s="155"/>
      <c r="Z691" s="75"/>
      <c r="AA691" s="75"/>
      <c r="AB691" s="75"/>
      <c r="AC691" s="75"/>
      <c r="AD691" s="75"/>
      <c r="AE691" s="592"/>
      <c r="AF691" s="259"/>
      <c r="AG691" s="510">
        <f>190000*12/2</f>
        <v>1140000</v>
      </c>
      <c r="AH691" s="370">
        <f>190000*12/2</f>
        <v>1140000</v>
      </c>
      <c r="AI691" s="75"/>
      <c r="AJ691" s="75"/>
      <c r="AK691" s="75"/>
      <c r="AL691" s="75"/>
      <c r="AM691" s="75"/>
      <c r="AN691" s="64"/>
      <c r="AO691" s="64"/>
      <c r="AP691" s="64"/>
      <c r="AQ691" s="189"/>
      <c r="AR691" s="64"/>
      <c r="AS691" s="476"/>
      <c r="AT691" s="64"/>
      <c r="AU691" s="646"/>
      <c r="AV691" s="185" t="s">
        <v>589</v>
      </c>
    </row>
    <row r="692" spans="1:48" ht="15" customHeight="1" outlineLevel="3" x14ac:dyDescent="0.25">
      <c r="A692" s="63" t="str">
        <f t="shared" si="120"/>
        <v>1.4.1.9.2.60</v>
      </c>
      <c r="B692" s="64">
        <v>1</v>
      </c>
      <c r="C692" s="64">
        <v>4</v>
      </c>
      <c r="D692" s="64">
        <v>1</v>
      </c>
      <c r="E692" s="64">
        <v>9</v>
      </c>
      <c r="F692" s="64">
        <v>2</v>
      </c>
      <c r="G692" s="64">
        <v>60</v>
      </c>
      <c r="H692" s="65"/>
      <c r="I692" s="65"/>
      <c r="J692" s="66"/>
      <c r="K692" s="65" t="s">
        <v>704</v>
      </c>
      <c r="L692" s="64" t="s">
        <v>246</v>
      </c>
      <c r="M692" s="64" t="s">
        <v>680</v>
      </c>
      <c r="N692" s="64" t="s">
        <v>671</v>
      </c>
      <c r="O692" s="64" t="s">
        <v>359</v>
      </c>
      <c r="P692" s="64"/>
      <c r="Q692" s="69"/>
      <c r="R692" s="64"/>
      <c r="S692" s="65"/>
      <c r="T692" s="64"/>
      <c r="U692" s="75"/>
      <c r="V692" s="679">
        <f t="shared" si="127"/>
        <v>0</v>
      </c>
      <c r="W692" s="75"/>
      <c r="X692" s="75"/>
      <c r="Y692" s="75"/>
      <c r="Z692" s="75"/>
      <c r="AA692" s="75"/>
      <c r="AB692" s="75"/>
      <c r="AC692" s="75"/>
      <c r="AD692" s="75"/>
      <c r="AE692" s="592"/>
      <c r="AF692" s="259"/>
      <c r="AG692" s="510">
        <v>0</v>
      </c>
      <c r="AH692" s="370">
        <v>0</v>
      </c>
      <c r="AI692" s="75"/>
      <c r="AJ692" s="75"/>
      <c r="AK692" s="75"/>
      <c r="AL692" s="75"/>
      <c r="AM692" s="75"/>
      <c r="AN692" s="171"/>
      <c r="AO692" s="171"/>
      <c r="AP692" s="171"/>
      <c r="AQ692" s="418"/>
      <c r="AS692" s="484"/>
      <c r="AV692" s="441"/>
    </row>
    <row r="693" spans="1:48" s="153" customFormat="1" ht="15" customHeight="1" outlineLevel="1" x14ac:dyDescent="0.25">
      <c r="A693" s="148" t="str">
        <f t="shared" si="120"/>
        <v>1.4.1.10.0.0</v>
      </c>
      <c r="B693" s="82">
        <v>1</v>
      </c>
      <c r="C693" s="82">
        <v>4</v>
      </c>
      <c r="D693" s="82">
        <v>1</v>
      </c>
      <c r="E693" s="82">
        <v>10</v>
      </c>
      <c r="F693" s="82">
        <v>0</v>
      </c>
      <c r="G693" s="82">
        <v>0</v>
      </c>
      <c r="H693" s="149"/>
      <c r="I693" s="149"/>
      <c r="J693" s="1260" t="s">
        <v>708</v>
      </c>
      <c r="K693" s="1259"/>
      <c r="L693" s="82" t="s">
        <v>224</v>
      </c>
      <c r="M693" s="82" t="s">
        <v>299</v>
      </c>
      <c r="N693" s="82" t="s">
        <v>671</v>
      </c>
      <c r="O693" s="82" t="s">
        <v>359</v>
      </c>
      <c r="P693" s="82"/>
      <c r="Q693" s="82"/>
      <c r="R693" s="82"/>
      <c r="S693" s="149"/>
      <c r="T693" s="82"/>
      <c r="U693" s="379">
        <f t="shared" ref="U693:AG693" si="133">+SUM(U694:U695)</f>
        <v>0</v>
      </c>
      <c r="V693" s="682">
        <f t="shared" si="133"/>
        <v>0</v>
      </c>
      <c r="W693" s="379">
        <f t="shared" si="133"/>
        <v>0</v>
      </c>
      <c r="X693" s="379">
        <f t="shared" si="133"/>
        <v>0</v>
      </c>
      <c r="Y693" s="379">
        <f t="shared" si="133"/>
        <v>0</v>
      </c>
      <c r="Z693" s="379">
        <f t="shared" si="133"/>
        <v>0</v>
      </c>
      <c r="AA693" s="379">
        <f t="shared" si="133"/>
        <v>0</v>
      </c>
      <c r="AB693" s="379">
        <f t="shared" si="133"/>
        <v>0</v>
      </c>
      <c r="AC693" s="379">
        <f t="shared" si="133"/>
        <v>0</v>
      </c>
      <c r="AD693" s="379">
        <f t="shared" si="133"/>
        <v>0</v>
      </c>
      <c r="AE693" s="379">
        <f t="shared" si="133"/>
        <v>0</v>
      </c>
      <c r="AF693" s="379">
        <f t="shared" si="133"/>
        <v>0</v>
      </c>
      <c r="AG693" s="379">
        <f t="shared" si="133"/>
        <v>0</v>
      </c>
      <c r="AH693" s="379">
        <f>+SUM(AH694:AH695)</f>
        <v>0</v>
      </c>
      <c r="AI693" s="152"/>
      <c r="AJ693" s="152"/>
      <c r="AK693" s="152"/>
      <c r="AL693" s="152"/>
      <c r="AM693" s="152"/>
      <c r="AN693" s="82" t="s">
        <v>181</v>
      </c>
      <c r="AO693" s="82"/>
      <c r="AP693" s="82"/>
      <c r="AQ693" s="365"/>
      <c r="AR693" s="82"/>
      <c r="AS693" s="483"/>
      <c r="AT693" s="82"/>
      <c r="AU693" s="666"/>
      <c r="AV693" s="444"/>
    </row>
    <row r="694" spans="1:48" ht="15" customHeight="1" outlineLevel="2" x14ac:dyDescent="0.25">
      <c r="A694" s="63" t="str">
        <f t="shared" si="120"/>
        <v>1.4.1.10.1.51</v>
      </c>
      <c r="B694" s="64">
        <v>1</v>
      </c>
      <c r="C694" s="64">
        <v>4</v>
      </c>
      <c r="D694" s="64">
        <v>1</v>
      </c>
      <c r="E694" s="64">
        <v>10</v>
      </c>
      <c r="F694" s="64">
        <v>1</v>
      </c>
      <c r="G694" s="64">
        <v>51</v>
      </c>
      <c r="H694" s="65"/>
      <c r="I694" s="65"/>
      <c r="J694" s="66"/>
      <c r="K694" s="65" t="s">
        <v>703</v>
      </c>
      <c r="L694" s="64" t="s">
        <v>246</v>
      </c>
      <c r="M694" s="64" t="s">
        <v>680</v>
      </c>
      <c r="N694" s="64" t="s">
        <v>671</v>
      </c>
      <c r="O694" s="64" t="s">
        <v>359</v>
      </c>
      <c r="P694" s="64"/>
      <c r="Q694" s="69"/>
      <c r="R694" s="64">
        <v>4</v>
      </c>
      <c r="S694" s="65"/>
      <c r="T694" s="64"/>
      <c r="U694" s="75"/>
      <c r="V694" s="679">
        <f t="shared" si="127"/>
        <v>0</v>
      </c>
      <c r="W694" s="75"/>
      <c r="X694" s="75"/>
      <c r="Y694" s="75"/>
      <c r="Z694" s="75"/>
      <c r="AA694" s="75"/>
      <c r="AB694" s="75"/>
      <c r="AC694" s="75"/>
      <c r="AD694" s="75"/>
      <c r="AE694" s="592"/>
      <c r="AF694" s="259"/>
      <c r="AG694" s="510">
        <v>0</v>
      </c>
      <c r="AH694" s="370">
        <v>0</v>
      </c>
      <c r="AI694" s="75"/>
      <c r="AJ694" s="75"/>
      <c r="AK694" s="75"/>
      <c r="AL694" s="75"/>
      <c r="AM694" s="75"/>
      <c r="AN694" s="64"/>
      <c r="AO694" s="64"/>
      <c r="AP694" s="64"/>
      <c r="AQ694" s="189"/>
      <c r="AR694" s="64"/>
      <c r="AS694" s="476"/>
      <c r="AT694" s="64"/>
      <c r="AU694" s="646"/>
      <c r="AV694" s="185"/>
    </row>
    <row r="695" spans="1:48" ht="15" customHeight="1" outlineLevel="2" x14ac:dyDescent="0.25">
      <c r="A695" s="63" t="str">
        <f t="shared" si="120"/>
        <v>1.4.1.10.2.51</v>
      </c>
      <c r="B695" s="64">
        <v>1</v>
      </c>
      <c r="C695" s="64">
        <v>4</v>
      </c>
      <c r="D695" s="64">
        <v>1</v>
      </c>
      <c r="E695" s="64">
        <v>10</v>
      </c>
      <c r="F695" s="64">
        <v>2</v>
      </c>
      <c r="G695" s="64">
        <v>51</v>
      </c>
      <c r="H695" s="65"/>
      <c r="I695" s="65"/>
      <c r="J695" s="66"/>
      <c r="K695" s="65" t="s">
        <v>704</v>
      </c>
      <c r="L695" s="64" t="s">
        <v>246</v>
      </c>
      <c r="M695" s="64" t="s">
        <v>680</v>
      </c>
      <c r="N695" s="64" t="s">
        <v>671</v>
      </c>
      <c r="O695" s="64" t="s">
        <v>359</v>
      </c>
      <c r="P695" s="64"/>
      <c r="Q695" s="69"/>
      <c r="R695" s="64">
        <v>4</v>
      </c>
      <c r="S695" s="65"/>
      <c r="T695" s="64"/>
      <c r="U695" s="75"/>
      <c r="V695" s="679">
        <f t="shared" si="127"/>
        <v>0</v>
      </c>
      <c r="W695" s="75"/>
      <c r="X695" s="75"/>
      <c r="Y695" s="75"/>
      <c r="Z695" s="75"/>
      <c r="AA695" s="75"/>
      <c r="AB695" s="75"/>
      <c r="AC695" s="75"/>
      <c r="AD695" s="75"/>
      <c r="AE695" s="592"/>
      <c r="AF695" s="259"/>
      <c r="AG695" s="510">
        <v>0</v>
      </c>
      <c r="AH695" s="370">
        <v>0</v>
      </c>
      <c r="AI695" s="75"/>
      <c r="AJ695" s="75"/>
      <c r="AK695" s="75"/>
      <c r="AL695" s="75"/>
      <c r="AM695" s="75"/>
      <c r="AN695" s="64"/>
      <c r="AO695" s="64"/>
      <c r="AP695" s="64"/>
      <c r="AQ695" s="189"/>
      <c r="AR695" s="64"/>
      <c r="AS695" s="476"/>
      <c r="AT695" s="64"/>
      <c r="AU695" s="646"/>
      <c r="AV695" s="185"/>
    </row>
    <row r="696" spans="1:48" s="153" customFormat="1" ht="15" customHeight="1" outlineLevel="1" x14ac:dyDescent="0.25">
      <c r="A696" s="148" t="str">
        <f t="shared" si="120"/>
        <v>1.4.1.11.0.0</v>
      </c>
      <c r="B696" s="82">
        <v>1</v>
      </c>
      <c r="C696" s="82">
        <v>4</v>
      </c>
      <c r="D696" s="82">
        <v>1</v>
      </c>
      <c r="E696" s="82">
        <v>11</v>
      </c>
      <c r="F696" s="82">
        <v>0</v>
      </c>
      <c r="G696" s="82">
        <v>0</v>
      </c>
      <c r="H696" s="149"/>
      <c r="I696" s="149"/>
      <c r="J696" s="1260" t="s">
        <v>709</v>
      </c>
      <c r="K696" s="1259"/>
      <c r="L696" s="82" t="s">
        <v>224</v>
      </c>
      <c r="M696" s="82" t="s">
        <v>299</v>
      </c>
      <c r="N696" s="82" t="s">
        <v>671</v>
      </c>
      <c r="O696" s="82" t="s">
        <v>359</v>
      </c>
      <c r="P696" s="82"/>
      <c r="Q696" s="82"/>
      <c r="R696" s="82"/>
      <c r="S696" s="149"/>
      <c r="T696" s="82"/>
      <c r="U696" s="379">
        <f t="shared" ref="U696:AG696" si="134">+SUM(U697:U698)</f>
        <v>0</v>
      </c>
      <c r="V696" s="682">
        <f t="shared" si="134"/>
        <v>0</v>
      </c>
      <c r="W696" s="379">
        <f t="shared" si="134"/>
        <v>0</v>
      </c>
      <c r="X696" s="379">
        <f t="shared" si="134"/>
        <v>0</v>
      </c>
      <c r="Y696" s="379">
        <f t="shared" si="134"/>
        <v>0</v>
      </c>
      <c r="Z696" s="379">
        <f t="shared" si="134"/>
        <v>0</v>
      </c>
      <c r="AA696" s="379">
        <f t="shared" si="134"/>
        <v>0</v>
      </c>
      <c r="AB696" s="379">
        <f t="shared" si="134"/>
        <v>0</v>
      </c>
      <c r="AC696" s="379">
        <f t="shared" si="134"/>
        <v>0</v>
      </c>
      <c r="AD696" s="379">
        <f t="shared" si="134"/>
        <v>0</v>
      </c>
      <c r="AE696" s="379">
        <f t="shared" si="134"/>
        <v>0</v>
      </c>
      <c r="AF696" s="379">
        <f t="shared" si="134"/>
        <v>0</v>
      </c>
      <c r="AG696" s="379">
        <f t="shared" si="134"/>
        <v>0</v>
      </c>
      <c r="AH696" s="379">
        <f>+SUM(AH697:AH698)</f>
        <v>0</v>
      </c>
      <c r="AI696" s="152"/>
      <c r="AJ696" s="152"/>
      <c r="AK696" s="152"/>
      <c r="AL696" s="152"/>
      <c r="AM696" s="152"/>
      <c r="AN696" s="82" t="s">
        <v>181</v>
      </c>
      <c r="AO696" s="82"/>
      <c r="AP696" s="82"/>
      <c r="AQ696" s="365"/>
      <c r="AR696" s="82"/>
      <c r="AS696" s="483"/>
      <c r="AT696" s="82"/>
      <c r="AU696" s="666"/>
      <c r="AV696" s="444"/>
    </row>
    <row r="697" spans="1:48" ht="15" customHeight="1" outlineLevel="2" x14ac:dyDescent="0.25">
      <c r="A697" s="63" t="str">
        <f t="shared" si="120"/>
        <v>1.4.1.11.1.01</v>
      </c>
      <c r="B697" s="64">
        <v>1</v>
      </c>
      <c r="C697" s="64">
        <v>4</v>
      </c>
      <c r="D697" s="64">
        <v>1</v>
      </c>
      <c r="E697" s="64">
        <v>11</v>
      </c>
      <c r="F697" s="64">
        <v>1</v>
      </c>
      <c r="G697" s="206" t="s">
        <v>710</v>
      </c>
      <c r="H697" s="65"/>
      <c r="I697" s="65"/>
      <c r="J697" s="66"/>
      <c r="K697" s="65" t="s">
        <v>703</v>
      </c>
      <c r="L697" s="64" t="s">
        <v>246</v>
      </c>
      <c r="M697" s="64" t="s">
        <v>680</v>
      </c>
      <c r="N697" s="64" t="s">
        <v>671</v>
      </c>
      <c r="O697" s="64" t="s">
        <v>359</v>
      </c>
      <c r="P697" s="64"/>
      <c r="Q697" s="64"/>
      <c r="R697" s="64">
        <v>3</v>
      </c>
      <c r="S697" s="65"/>
      <c r="T697" s="64"/>
      <c r="U697" s="75"/>
      <c r="V697" s="679">
        <f t="shared" si="127"/>
        <v>0</v>
      </c>
      <c r="W697" s="75"/>
      <c r="X697" s="75"/>
      <c r="Y697" s="75"/>
      <c r="Z697" s="75"/>
      <c r="AA697" s="75"/>
      <c r="AB697" s="75"/>
      <c r="AC697" s="75"/>
      <c r="AD697" s="75"/>
      <c r="AE697" s="592"/>
      <c r="AF697" s="259"/>
      <c r="AG697" s="510">
        <v>0</v>
      </c>
      <c r="AH697" s="370">
        <v>0</v>
      </c>
      <c r="AI697" s="75"/>
      <c r="AJ697" s="75"/>
      <c r="AK697" s="75"/>
      <c r="AL697" s="75"/>
      <c r="AM697" s="75"/>
      <c r="AN697" s="64"/>
      <c r="AO697" s="64"/>
      <c r="AP697" s="64"/>
      <c r="AQ697" s="189"/>
      <c r="AR697" s="64"/>
      <c r="AS697" s="476"/>
      <c r="AT697" s="64"/>
      <c r="AU697" s="646"/>
      <c r="AV697" s="185"/>
    </row>
    <row r="698" spans="1:48" ht="15" customHeight="1" outlineLevel="2" x14ac:dyDescent="0.25">
      <c r="A698" s="63" t="str">
        <f t="shared" si="120"/>
        <v>1.4.1.11.2.01</v>
      </c>
      <c r="B698" s="64">
        <v>1</v>
      </c>
      <c r="C698" s="64">
        <v>4</v>
      </c>
      <c r="D698" s="64">
        <v>1</v>
      </c>
      <c r="E698" s="64">
        <v>11</v>
      </c>
      <c r="F698" s="64">
        <v>2</v>
      </c>
      <c r="G698" s="206" t="s">
        <v>710</v>
      </c>
      <c r="H698" s="65"/>
      <c r="I698" s="65"/>
      <c r="J698" s="66"/>
      <c r="K698" s="65" t="s">
        <v>704</v>
      </c>
      <c r="L698" s="64" t="s">
        <v>246</v>
      </c>
      <c r="M698" s="64" t="s">
        <v>680</v>
      </c>
      <c r="N698" s="64" t="s">
        <v>671</v>
      </c>
      <c r="O698" s="64" t="s">
        <v>359</v>
      </c>
      <c r="P698" s="64"/>
      <c r="Q698" s="64"/>
      <c r="R698" s="64">
        <v>3</v>
      </c>
      <c r="S698" s="65"/>
      <c r="T698" s="64"/>
      <c r="U698" s="75"/>
      <c r="V698" s="679">
        <f t="shared" si="127"/>
        <v>0</v>
      </c>
      <c r="W698" s="75"/>
      <c r="X698" s="75"/>
      <c r="Y698" s="75"/>
      <c r="Z698" s="75"/>
      <c r="AA698" s="75"/>
      <c r="AB698" s="75"/>
      <c r="AC698" s="75"/>
      <c r="AD698" s="75"/>
      <c r="AE698" s="592"/>
      <c r="AF698" s="259"/>
      <c r="AG698" s="510">
        <v>0</v>
      </c>
      <c r="AH698" s="370">
        <v>0</v>
      </c>
      <c r="AI698" s="75"/>
      <c r="AJ698" s="75"/>
      <c r="AK698" s="75"/>
      <c r="AL698" s="75"/>
      <c r="AM698" s="75"/>
      <c r="AN698" s="64"/>
      <c r="AO698" s="64"/>
      <c r="AP698" s="64"/>
      <c r="AQ698" s="189"/>
      <c r="AR698" s="64"/>
      <c r="AS698" s="476"/>
      <c r="AT698" s="64"/>
      <c r="AU698" s="646"/>
      <c r="AV698" s="185"/>
    </row>
    <row r="699" spans="1:48" s="153" customFormat="1" ht="15" customHeight="1" outlineLevel="1" x14ac:dyDescent="0.25">
      <c r="A699" s="148" t="str">
        <f t="shared" si="120"/>
        <v>1.4.1.12.0.0</v>
      </c>
      <c r="B699" s="82">
        <v>1</v>
      </c>
      <c r="C699" s="82">
        <v>4</v>
      </c>
      <c r="D699" s="82">
        <v>1</v>
      </c>
      <c r="E699" s="82">
        <v>12</v>
      </c>
      <c r="F699" s="82">
        <v>0</v>
      </c>
      <c r="G699" s="82">
        <v>0</v>
      </c>
      <c r="H699" s="149"/>
      <c r="I699" s="149"/>
      <c r="J699" s="1260" t="s">
        <v>711</v>
      </c>
      <c r="K699" s="1259"/>
      <c r="L699" s="82" t="s">
        <v>224</v>
      </c>
      <c r="M699" s="82" t="s">
        <v>299</v>
      </c>
      <c r="N699" s="82" t="s">
        <v>671</v>
      </c>
      <c r="O699" s="82" t="s">
        <v>359</v>
      </c>
      <c r="P699" s="82"/>
      <c r="Q699" s="82"/>
      <c r="R699" s="82"/>
      <c r="S699" s="149"/>
      <c r="T699" s="82"/>
      <c r="U699" s="379">
        <f t="shared" ref="U699:AG699" si="135">+SUM(U700:U701)</f>
        <v>0</v>
      </c>
      <c r="V699" s="682">
        <f t="shared" si="135"/>
        <v>0</v>
      </c>
      <c r="W699" s="379">
        <f t="shared" si="135"/>
        <v>0</v>
      </c>
      <c r="X699" s="379">
        <f t="shared" si="135"/>
        <v>0</v>
      </c>
      <c r="Y699" s="379">
        <f t="shared" si="135"/>
        <v>0</v>
      </c>
      <c r="Z699" s="379">
        <f t="shared" si="135"/>
        <v>0</v>
      </c>
      <c r="AA699" s="379">
        <f t="shared" si="135"/>
        <v>0</v>
      </c>
      <c r="AB699" s="379">
        <f t="shared" si="135"/>
        <v>0</v>
      </c>
      <c r="AC699" s="379">
        <f t="shared" si="135"/>
        <v>0</v>
      </c>
      <c r="AD699" s="379">
        <f t="shared" si="135"/>
        <v>0</v>
      </c>
      <c r="AE699" s="379">
        <f t="shared" si="135"/>
        <v>0</v>
      </c>
      <c r="AF699" s="379">
        <f t="shared" si="135"/>
        <v>0</v>
      </c>
      <c r="AG699" s="379">
        <f t="shared" si="135"/>
        <v>0</v>
      </c>
      <c r="AH699" s="379">
        <f>+SUM(AH700:AH701)</f>
        <v>0</v>
      </c>
      <c r="AI699" s="152"/>
      <c r="AJ699" s="152"/>
      <c r="AK699" s="152"/>
      <c r="AL699" s="152"/>
      <c r="AM699" s="152"/>
      <c r="AN699" s="82" t="s">
        <v>181</v>
      </c>
      <c r="AO699" s="82"/>
      <c r="AP699" s="82"/>
      <c r="AQ699" s="365"/>
      <c r="AR699" s="82"/>
      <c r="AS699" s="483"/>
      <c r="AT699" s="82"/>
      <c r="AU699" s="666"/>
      <c r="AV699" s="444"/>
    </row>
    <row r="700" spans="1:48" ht="15" customHeight="1" outlineLevel="2" x14ac:dyDescent="0.25">
      <c r="A700" s="63" t="str">
        <f t="shared" si="120"/>
        <v>1.4.1.12.1.06</v>
      </c>
      <c r="B700" s="64">
        <v>1</v>
      </c>
      <c r="C700" s="64">
        <v>4</v>
      </c>
      <c r="D700" s="64">
        <v>1</v>
      </c>
      <c r="E700" s="64">
        <v>12</v>
      </c>
      <c r="F700" s="64">
        <v>1</v>
      </c>
      <c r="G700" s="206" t="s">
        <v>712</v>
      </c>
      <c r="H700" s="65"/>
      <c r="I700" s="65"/>
      <c r="J700" s="66"/>
      <c r="K700" s="65" t="s">
        <v>703</v>
      </c>
      <c r="L700" s="64" t="s">
        <v>246</v>
      </c>
      <c r="M700" s="64" t="s">
        <v>680</v>
      </c>
      <c r="N700" s="64" t="s">
        <v>671</v>
      </c>
      <c r="O700" s="64" t="s">
        <v>359</v>
      </c>
      <c r="P700" s="64"/>
      <c r="Q700" s="64"/>
      <c r="R700" s="64">
        <v>6</v>
      </c>
      <c r="S700" s="65"/>
      <c r="T700" s="64"/>
      <c r="U700" s="75"/>
      <c r="V700" s="679">
        <f t="shared" si="127"/>
        <v>0</v>
      </c>
      <c r="W700" s="75"/>
      <c r="X700" s="75"/>
      <c r="Y700" s="75"/>
      <c r="Z700" s="75"/>
      <c r="AA700" s="75"/>
      <c r="AB700" s="75"/>
      <c r="AC700" s="75"/>
      <c r="AD700" s="75"/>
      <c r="AE700" s="592"/>
      <c r="AF700" s="259"/>
      <c r="AG700" s="516">
        <v>0</v>
      </c>
      <c r="AH700" s="381">
        <v>0</v>
      </c>
      <c r="AI700" s="207"/>
      <c r="AJ700" s="207"/>
      <c r="AK700" s="207"/>
      <c r="AL700" s="207"/>
      <c r="AM700" s="207"/>
      <c r="AN700" s="64"/>
      <c r="AO700" s="64"/>
      <c r="AP700" s="64"/>
      <c r="AQ700" s="189"/>
      <c r="AR700" s="64"/>
      <c r="AS700" s="476"/>
      <c r="AT700" s="64"/>
      <c r="AU700" s="646"/>
      <c r="AV700" s="185"/>
    </row>
    <row r="701" spans="1:48" ht="15" customHeight="1" outlineLevel="2" x14ac:dyDescent="0.25">
      <c r="A701" s="63" t="str">
        <f t="shared" si="120"/>
        <v>1.4.1.12.2.06</v>
      </c>
      <c r="B701" s="64">
        <v>1</v>
      </c>
      <c r="C701" s="64">
        <v>4</v>
      </c>
      <c r="D701" s="64">
        <v>1</v>
      </c>
      <c r="E701" s="64">
        <v>12</v>
      </c>
      <c r="F701" s="64">
        <v>2</v>
      </c>
      <c r="G701" s="206" t="s">
        <v>712</v>
      </c>
      <c r="H701" s="65"/>
      <c r="I701" s="65"/>
      <c r="J701" s="66"/>
      <c r="K701" s="65" t="s">
        <v>704</v>
      </c>
      <c r="L701" s="64" t="s">
        <v>246</v>
      </c>
      <c r="M701" s="64" t="s">
        <v>680</v>
      </c>
      <c r="N701" s="64" t="s">
        <v>671</v>
      </c>
      <c r="O701" s="64" t="s">
        <v>359</v>
      </c>
      <c r="P701" s="64"/>
      <c r="Q701" s="64"/>
      <c r="R701" s="64">
        <v>10</v>
      </c>
      <c r="S701" s="65"/>
      <c r="T701" s="64"/>
      <c r="U701" s="75"/>
      <c r="V701" s="679">
        <f t="shared" si="127"/>
        <v>0</v>
      </c>
      <c r="W701" s="75"/>
      <c r="X701" s="75"/>
      <c r="Y701" s="75"/>
      <c r="Z701" s="75"/>
      <c r="AA701" s="75"/>
      <c r="AB701" s="75"/>
      <c r="AC701" s="75"/>
      <c r="AD701" s="75"/>
      <c r="AE701" s="592"/>
      <c r="AF701" s="259"/>
      <c r="AG701" s="517">
        <v>0</v>
      </c>
      <c r="AH701" s="382">
        <v>0</v>
      </c>
      <c r="AI701" s="208"/>
      <c r="AJ701" s="208"/>
      <c r="AK701" s="208"/>
      <c r="AL701" s="208"/>
      <c r="AM701" s="208"/>
      <c r="AN701" s="64"/>
      <c r="AO701" s="64"/>
      <c r="AP701" s="64"/>
      <c r="AQ701" s="189"/>
      <c r="AR701" s="64"/>
      <c r="AS701" s="476"/>
      <c r="AT701" s="64"/>
      <c r="AU701" s="646"/>
      <c r="AV701" s="185"/>
    </row>
    <row r="702" spans="1:48" s="153" customFormat="1" ht="15" customHeight="1" outlineLevel="1" x14ac:dyDescent="0.25">
      <c r="A702" s="148" t="str">
        <f t="shared" si="120"/>
        <v>1.4.1.13.0.0</v>
      </c>
      <c r="B702" s="82">
        <v>1</v>
      </c>
      <c r="C702" s="82">
        <v>4</v>
      </c>
      <c r="D702" s="82">
        <v>1</v>
      </c>
      <c r="E702" s="82">
        <v>13</v>
      </c>
      <c r="F702" s="82">
        <v>0</v>
      </c>
      <c r="G702" s="82">
        <v>0</v>
      </c>
      <c r="H702" s="149"/>
      <c r="I702" s="149"/>
      <c r="J702" s="1260" t="s">
        <v>713</v>
      </c>
      <c r="K702" s="1259"/>
      <c r="L702" s="82" t="s">
        <v>224</v>
      </c>
      <c r="M702" s="82" t="s">
        <v>299</v>
      </c>
      <c r="N702" s="82" t="s">
        <v>671</v>
      </c>
      <c r="O702" s="82" t="s">
        <v>359</v>
      </c>
      <c r="P702" s="82"/>
      <c r="Q702" s="82"/>
      <c r="R702" s="82"/>
      <c r="S702" s="149"/>
      <c r="T702" s="82"/>
      <c r="U702" s="379">
        <f t="shared" ref="U702:AG702" si="136">+SUM(U703:U704)</f>
        <v>0</v>
      </c>
      <c r="V702" s="682">
        <f t="shared" si="136"/>
        <v>0</v>
      </c>
      <c r="W702" s="379">
        <f t="shared" si="136"/>
        <v>0</v>
      </c>
      <c r="X702" s="379">
        <f t="shared" si="136"/>
        <v>0</v>
      </c>
      <c r="Y702" s="379">
        <f t="shared" si="136"/>
        <v>0</v>
      </c>
      <c r="Z702" s="379">
        <f t="shared" si="136"/>
        <v>0</v>
      </c>
      <c r="AA702" s="379">
        <f t="shared" si="136"/>
        <v>0</v>
      </c>
      <c r="AB702" s="379">
        <f t="shared" si="136"/>
        <v>0</v>
      </c>
      <c r="AC702" s="379">
        <f t="shared" si="136"/>
        <v>0</v>
      </c>
      <c r="AD702" s="379">
        <f t="shared" si="136"/>
        <v>0</v>
      </c>
      <c r="AE702" s="379">
        <f t="shared" si="136"/>
        <v>0</v>
      </c>
      <c r="AF702" s="379">
        <f t="shared" si="136"/>
        <v>0</v>
      </c>
      <c r="AG702" s="379">
        <f t="shared" si="136"/>
        <v>0</v>
      </c>
      <c r="AH702" s="379">
        <f>+SUM(AH703:AH704)</f>
        <v>0</v>
      </c>
      <c r="AI702" s="152"/>
      <c r="AJ702" s="152"/>
      <c r="AK702" s="152"/>
      <c r="AL702" s="152"/>
      <c r="AM702" s="152"/>
      <c r="AN702" s="82" t="s">
        <v>181</v>
      </c>
      <c r="AO702" s="82"/>
      <c r="AP702" s="82"/>
      <c r="AQ702" s="365"/>
      <c r="AR702" s="82"/>
      <c r="AS702" s="483"/>
      <c r="AT702" s="82"/>
      <c r="AU702" s="666"/>
      <c r="AV702" s="444"/>
    </row>
    <row r="703" spans="1:48" ht="15" customHeight="1" outlineLevel="2" x14ac:dyDescent="0.25">
      <c r="A703" s="63" t="str">
        <f t="shared" si="120"/>
        <v>1.4.1.13.1.03</v>
      </c>
      <c r="B703" s="64">
        <v>1</v>
      </c>
      <c r="C703" s="64">
        <v>4</v>
      </c>
      <c r="D703" s="64">
        <v>1</v>
      </c>
      <c r="E703" s="64">
        <v>13</v>
      </c>
      <c r="F703" s="64">
        <v>1</v>
      </c>
      <c r="G703" s="206" t="s">
        <v>714</v>
      </c>
      <c r="H703" s="65"/>
      <c r="I703" s="65"/>
      <c r="J703" s="66"/>
      <c r="K703" s="65" t="s">
        <v>703</v>
      </c>
      <c r="L703" s="64" t="s">
        <v>246</v>
      </c>
      <c r="M703" s="64" t="s">
        <v>680</v>
      </c>
      <c r="N703" s="64" t="s">
        <v>671</v>
      </c>
      <c r="O703" s="64" t="s">
        <v>359</v>
      </c>
      <c r="P703" s="64"/>
      <c r="Q703" s="69"/>
      <c r="R703" s="64"/>
      <c r="S703" s="65"/>
      <c r="T703" s="64"/>
      <c r="U703" s="75"/>
      <c r="V703" s="679">
        <f t="shared" si="127"/>
        <v>0</v>
      </c>
      <c r="W703" s="75"/>
      <c r="X703" s="75"/>
      <c r="Y703" s="75"/>
      <c r="Z703" s="75"/>
      <c r="AA703" s="75"/>
      <c r="AB703" s="75"/>
      <c r="AC703" s="75"/>
      <c r="AD703" s="75"/>
      <c r="AE703" s="592"/>
      <c r="AF703" s="259"/>
      <c r="AG703" s="516">
        <v>0</v>
      </c>
      <c r="AH703" s="381">
        <v>0</v>
      </c>
      <c r="AI703" s="207"/>
      <c r="AJ703" s="207"/>
      <c r="AK703" s="207"/>
      <c r="AL703" s="207"/>
      <c r="AM703" s="207"/>
      <c r="AN703" s="64"/>
      <c r="AO703" s="64"/>
      <c r="AP703" s="64"/>
      <c r="AQ703" s="189"/>
      <c r="AR703" s="64"/>
      <c r="AS703" s="476"/>
      <c r="AT703" s="64"/>
      <c r="AU703" s="646"/>
      <c r="AV703" s="185"/>
    </row>
    <row r="704" spans="1:48" ht="15" customHeight="1" outlineLevel="2" x14ac:dyDescent="0.25">
      <c r="A704" s="63" t="str">
        <f t="shared" si="120"/>
        <v>1.4.1.13.2.03</v>
      </c>
      <c r="B704" s="64">
        <v>1</v>
      </c>
      <c r="C704" s="64">
        <v>4</v>
      </c>
      <c r="D704" s="64">
        <v>1</v>
      </c>
      <c r="E704" s="64">
        <v>13</v>
      </c>
      <c r="F704" s="64">
        <v>2</v>
      </c>
      <c r="G704" s="206" t="s">
        <v>714</v>
      </c>
      <c r="H704" s="65"/>
      <c r="I704" s="65"/>
      <c r="J704" s="66"/>
      <c r="K704" s="65" t="s">
        <v>715</v>
      </c>
      <c r="L704" s="64" t="s">
        <v>246</v>
      </c>
      <c r="M704" s="64" t="s">
        <v>680</v>
      </c>
      <c r="N704" s="64" t="s">
        <v>671</v>
      </c>
      <c r="O704" s="64" t="s">
        <v>359</v>
      </c>
      <c r="P704" s="64"/>
      <c r="Q704" s="69"/>
      <c r="R704" s="64"/>
      <c r="S704" s="65"/>
      <c r="T704" s="64"/>
      <c r="U704" s="75"/>
      <c r="V704" s="679">
        <f t="shared" si="127"/>
        <v>0</v>
      </c>
      <c r="W704" s="75"/>
      <c r="X704" s="75"/>
      <c r="Y704" s="75"/>
      <c r="Z704" s="75"/>
      <c r="AA704" s="75"/>
      <c r="AB704" s="75"/>
      <c r="AC704" s="75"/>
      <c r="AD704" s="75"/>
      <c r="AE704" s="592"/>
      <c r="AF704" s="259"/>
      <c r="AG704" s="517">
        <v>0</v>
      </c>
      <c r="AH704" s="382">
        <v>0</v>
      </c>
      <c r="AI704" s="208"/>
      <c r="AJ704" s="208"/>
      <c r="AK704" s="208"/>
      <c r="AL704" s="208"/>
      <c r="AM704" s="208"/>
      <c r="AN704" s="64"/>
      <c r="AO704" s="64"/>
      <c r="AP704" s="64"/>
      <c r="AQ704" s="189"/>
      <c r="AR704" s="64"/>
      <c r="AS704" s="476"/>
      <c r="AT704" s="64"/>
      <c r="AU704" s="646"/>
      <c r="AV704" s="185"/>
    </row>
    <row r="705" spans="1:48" s="153" customFormat="1" ht="15" customHeight="1" outlineLevel="1" x14ac:dyDescent="0.25">
      <c r="A705" s="148" t="str">
        <f t="shared" si="120"/>
        <v>1.4.1.14.0.0</v>
      </c>
      <c r="B705" s="82">
        <v>1</v>
      </c>
      <c r="C705" s="82">
        <v>4</v>
      </c>
      <c r="D705" s="82">
        <v>1</v>
      </c>
      <c r="E705" s="82">
        <v>14</v>
      </c>
      <c r="F705" s="82">
        <v>0</v>
      </c>
      <c r="G705" s="82">
        <v>0</v>
      </c>
      <c r="H705" s="149"/>
      <c r="I705" s="149"/>
      <c r="J705" s="1260" t="s">
        <v>716</v>
      </c>
      <c r="K705" s="1259"/>
      <c r="L705" s="82" t="s">
        <v>224</v>
      </c>
      <c r="M705" s="82" t="s">
        <v>299</v>
      </c>
      <c r="N705" s="82" t="s">
        <v>671</v>
      </c>
      <c r="O705" s="82" t="s">
        <v>359</v>
      </c>
      <c r="P705" s="82"/>
      <c r="Q705" s="82"/>
      <c r="R705" s="82"/>
      <c r="S705" s="149"/>
      <c r="T705" s="82"/>
      <c r="U705" s="379">
        <f t="shared" ref="U705:AG705" si="137">+SUM(U706:U707)</f>
        <v>0</v>
      </c>
      <c r="V705" s="682">
        <f t="shared" si="137"/>
        <v>0</v>
      </c>
      <c r="W705" s="379">
        <f t="shared" si="137"/>
        <v>0</v>
      </c>
      <c r="X705" s="379">
        <f t="shared" si="137"/>
        <v>0</v>
      </c>
      <c r="Y705" s="379">
        <f t="shared" si="137"/>
        <v>0</v>
      </c>
      <c r="Z705" s="379">
        <f t="shared" si="137"/>
        <v>0</v>
      </c>
      <c r="AA705" s="379">
        <f t="shared" si="137"/>
        <v>0</v>
      </c>
      <c r="AB705" s="379">
        <f t="shared" si="137"/>
        <v>0</v>
      </c>
      <c r="AC705" s="379">
        <f t="shared" si="137"/>
        <v>0</v>
      </c>
      <c r="AD705" s="379">
        <f t="shared" si="137"/>
        <v>0</v>
      </c>
      <c r="AE705" s="379">
        <f t="shared" si="137"/>
        <v>0</v>
      </c>
      <c r="AF705" s="379">
        <f t="shared" si="137"/>
        <v>0</v>
      </c>
      <c r="AG705" s="379">
        <f t="shared" si="137"/>
        <v>0</v>
      </c>
      <c r="AH705" s="379">
        <f>+SUM(AH706:AH707)</f>
        <v>0</v>
      </c>
      <c r="AI705" s="152"/>
      <c r="AJ705" s="152"/>
      <c r="AK705" s="152"/>
      <c r="AL705" s="152"/>
      <c r="AM705" s="152"/>
      <c r="AN705" s="82" t="s">
        <v>534</v>
      </c>
      <c r="AO705" s="82"/>
      <c r="AP705" s="82"/>
      <c r="AQ705" s="365"/>
      <c r="AR705" s="82"/>
      <c r="AS705" s="483"/>
      <c r="AT705" s="82"/>
      <c r="AU705" s="666"/>
      <c r="AV705" s="444"/>
    </row>
    <row r="706" spans="1:48" ht="15" customHeight="1" outlineLevel="2" x14ac:dyDescent="0.25">
      <c r="A706" s="63" t="str">
        <f t="shared" si="120"/>
        <v>1.4.1.14.1.08</v>
      </c>
      <c r="B706" s="64">
        <v>1</v>
      </c>
      <c r="C706" s="64">
        <v>4</v>
      </c>
      <c r="D706" s="64">
        <v>1</v>
      </c>
      <c r="E706" s="64">
        <v>14</v>
      </c>
      <c r="F706" s="64">
        <v>1</v>
      </c>
      <c r="G706" s="206" t="s">
        <v>717</v>
      </c>
      <c r="H706" s="65"/>
      <c r="I706" s="65"/>
      <c r="J706" s="66"/>
      <c r="K706" s="65" t="s">
        <v>703</v>
      </c>
      <c r="L706" s="64" t="s">
        <v>246</v>
      </c>
      <c r="M706" s="64" t="s">
        <v>680</v>
      </c>
      <c r="N706" s="64" t="s">
        <v>671</v>
      </c>
      <c r="O706" s="64" t="s">
        <v>359</v>
      </c>
      <c r="P706" s="64"/>
      <c r="Q706" s="69"/>
      <c r="R706" s="64"/>
      <c r="S706" s="65"/>
      <c r="T706" s="64"/>
      <c r="U706" s="75"/>
      <c r="V706" s="679">
        <f t="shared" si="127"/>
        <v>0</v>
      </c>
      <c r="W706" s="75"/>
      <c r="X706" s="75"/>
      <c r="Y706" s="75"/>
      <c r="Z706" s="75"/>
      <c r="AA706" s="75"/>
      <c r="AB706" s="75"/>
      <c r="AC706" s="75"/>
      <c r="AD706" s="75"/>
      <c r="AE706" s="592"/>
      <c r="AF706" s="259"/>
      <c r="AG706" s="516">
        <v>0</v>
      </c>
      <c r="AH706" s="381">
        <v>0</v>
      </c>
      <c r="AI706" s="207"/>
      <c r="AJ706" s="207"/>
      <c r="AK706" s="207"/>
      <c r="AL706" s="207"/>
      <c r="AM706" s="207"/>
      <c r="AN706" s="64"/>
      <c r="AO706" s="64"/>
      <c r="AP706" s="64"/>
      <c r="AQ706" s="189"/>
      <c r="AR706" s="64"/>
      <c r="AS706" s="476"/>
      <c r="AT706" s="64"/>
      <c r="AU706" s="646"/>
      <c r="AV706" s="185"/>
    </row>
    <row r="707" spans="1:48" ht="15" customHeight="1" outlineLevel="2" x14ac:dyDescent="0.25">
      <c r="A707" s="63" t="str">
        <f t="shared" si="120"/>
        <v>1.4.1.14.2.08</v>
      </c>
      <c r="B707" s="64">
        <v>1</v>
      </c>
      <c r="C707" s="64">
        <v>4</v>
      </c>
      <c r="D707" s="64">
        <v>1</v>
      </c>
      <c r="E707" s="64">
        <v>14</v>
      </c>
      <c r="F707" s="64">
        <v>2</v>
      </c>
      <c r="G707" s="206" t="s">
        <v>717</v>
      </c>
      <c r="H707" s="65"/>
      <c r="I707" s="65"/>
      <c r="J707" s="66"/>
      <c r="K707" s="65" t="s">
        <v>704</v>
      </c>
      <c r="L707" s="64" t="s">
        <v>246</v>
      </c>
      <c r="M707" s="64" t="s">
        <v>680</v>
      </c>
      <c r="N707" s="64" t="s">
        <v>671</v>
      </c>
      <c r="O707" s="64" t="s">
        <v>359</v>
      </c>
      <c r="P707" s="64"/>
      <c r="Q707" s="170"/>
      <c r="R707" s="170"/>
      <c r="S707" s="65"/>
      <c r="T707" s="64"/>
      <c r="U707" s="75"/>
      <c r="V707" s="679">
        <f t="shared" si="127"/>
        <v>0</v>
      </c>
      <c r="W707" s="75"/>
      <c r="X707" s="75"/>
      <c r="Y707" s="75"/>
      <c r="Z707" s="75"/>
      <c r="AA707" s="75"/>
      <c r="AB707" s="75"/>
      <c r="AC707" s="75"/>
      <c r="AD707" s="75"/>
      <c r="AE707" s="592"/>
      <c r="AF707" s="259"/>
      <c r="AG707" s="517">
        <v>0</v>
      </c>
      <c r="AH707" s="382">
        <v>0</v>
      </c>
      <c r="AI707" s="208"/>
      <c r="AJ707" s="208"/>
      <c r="AK707" s="208"/>
      <c r="AL707" s="208"/>
      <c r="AM707" s="208"/>
      <c r="AN707" s="64"/>
      <c r="AO707" s="64"/>
      <c r="AP707" s="64"/>
      <c r="AQ707" s="189"/>
      <c r="AR707" s="64"/>
      <c r="AS707" s="476"/>
      <c r="AT707" s="64"/>
      <c r="AU707" s="646"/>
      <c r="AV707" s="185"/>
    </row>
    <row r="708" spans="1:48" s="153" customFormat="1" ht="15" customHeight="1" outlineLevel="1" x14ac:dyDescent="0.25">
      <c r="A708" s="148" t="str">
        <f t="shared" si="120"/>
        <v>1.4.1.15.0.0</v>
      </c>
      <c r="B708" s="82">
        <v>1</v>
      </c>
      <c r="C708" s="82">
        <v>4</v>
      </c>
      <c r="D708" s="82">
        <v>1</v>
      </c>
      <c r="E708" s="82">
        <v>15</v>
      </c>
      <c r="F708" s="82">
        <v>0</v>
      </c>
      <c r="G708" s="82">
        <v>0</v>
      </c>
      <c r="H708" s="149"/>
      <c r="I708" s="149"/>
      <c r="J708" s="1260" t="s">
        <v>718</v>
      </c>
      <c r="K708" s="1259"/>
      <c r="L708" s="82" t="s">
        <v>224</v>
      </c>
      <c r="M708" s="82" t="s">
        <v>299</v>
      </c>
      <c r="N708" s="82" t="s">
        <v>671</v>
      </c>
      <c r="O708" s="82" t="s">
        <v>359</v>
      </c>
      <c r="P708" s="82"/>
      <c r="Q708" s="82"/>
      <c r="R708" s="82"/>
      <c r="S708" s="149"/>
      <c r="T708" s="82"/>
      <c r="U708" s="379">
        <f>+SUM(U709:U710)</f>
        <v>0</v>
      </c>
      <c r="V708" s="682">
        <f t="shared" ref="V708:AG708" si="138">+SUM(V709:V710)</f>
        <v>0</v>
      </c>
      <c r="W708" s="379">
        <f t="shared" si="138"/>
        <v>0</v>
      </c>
      <c r="X708" s="379">
        <f t="shared" si="138"/>
        <v>0</v>
      </c>
      <c r="Y708" s="379">
        <f t="shared" si="138"/>
        <v>0</v>
      </c>
      <c r="Z708" s="379">
        <f t="shared" si="138"/>
        <v>0</v>
      </c>
      <c r="AA708" s="379">
        <f t="shared" si="138"/>
        <v>0</v>
      </c>
      <c r="AB708" s="379">
        <f t="shared" si="138"/>
        <v>0</v>
      </c>
      <c r="AC708" s="379">
        <f t="shared" si="138"/>
        <v>0</v>
      </c>
      <c r="AD708" s="379">
        <f t="shared" si="138"/>
        <v>0</v>
      </c>
      <c r="AE708" s="379">
        <f t="shared" si="138"/>
        <v>0</v>
      </c>
      <c r="AF708" s="379">
        <f t="shared" si="138"/>
        <v>0</v>
      </c>
      <c r="AG708" s="379">
        <f t="shared" si="138"/>
        <v>0</v>
      </c>
      <c r="AH708" s="379">
        <f>+SUM(AH709:AH710)</f>
        <v>0</v>
      </c>
      <c r="AI708" s="152"/>
      <c r="AJ708" s="152"/>
      <c r="AK708" s="152"/>
      <c r="AL708" s="152"/>
      <c r="AM708" s="152"/>
      <c r="AN708" s="82" t="s">
        <v>181</v>
      </c>
      <c r="AO708" s="82"/>
      <c r="AP708" s="82"/>
      <c r="AQ708" s="365"/>
      <c r="AR708" s="82"/>
      <c r="AS708" s="483"/>
      <c r="AT708" s="82"/>
      <c r="AU708" s="666"/>
      <c r="AV708" s="444"/>
    </row>
    <row r="709" spans="1:48" ht="15" customHeight="1" outlineLevel="3" x14ac:dyDescent="0.25">
      <c r="A709" s="63" t="str">
        <f t="shared" si="120"/>
        <v>1.4.1.15.1.09</v>
      </c>
      <c r="B709" s="64">
        <v>1</v>
      </c>
      <c r="C709" s="64">
        <v>4</v>
      </c>
      <c r="D709" s="64">
        <v>1</v>
      </c>
      <c r="E709" s="64">
        <v>15</v>
      </c>
      <c r="F709" s="64">
        <v>1</v>
      </c>
      <c r="G709" s="206" t="s">
        <v>719</v>
      </c>
      <c r="H709" s="65"/>
      <c r="I709" s="65"/>
      <c r="J709" s="66"/>
      <c r="K709" s="65" t="s">
        <v>703</v>
      </c>
      <c r="L709" s="64" t="s">
        <v>246</v>
      </c>
      <c r="M709" s="64" t="s">
        <v>680</v>
      </c>
      <c r="N709" s="64" t="s">
        <v>671</v>
      </c>
      <c r="O709" s="64" t="s">
        <v>359</v>
      </c>
      <c r="P709" s="64"/>
      <c r="Q709" s="69"/>
      <c r="R709" s="64"/>
      <c r="S709" s="65"/>
      <c r="T709" s="64"/>
      <c r="U709" s="75"/>
      <c r="V709" s="679">
        <f t="shared" si="127"/>
        <v>0</v>
      </c>
      <c r="W709" s="75"/>
      <c r="X709" s="75"/>
      <c r="Y709" s="75"/>
      <c r="Z709" s="75"/>
      <c r="AA709" s="75"/>
      <c r="AB709" s="75"/>
      <c r="AC709" s="75"/>
      <c r="AD709" s="75"/>
      <c r="AE709" s="592"/>
      <c r="AF709" s="259"/>
      <c r="AG709" s="516">
        <v>0</v>
      </c>
      <c r="AH709" s="381">
        <v>0</v>
      </c>
      <c r="AI709" s="207"/>
      <c r="AJ709" s="207"/>
      <c r="AK709" s="207"/>
      <c r="AL709" s="207"/>
      <c r="AM709" s="207"/>
      <c r="AN709" s="64"/>
      <c r="AO709" s="64"/>
      <c r="AP709" s="64"/>
      <c r="AQ709" s="189"/>
      <c r="AR709" s="64"/>
      <c r="AS709" s="476"/>
      <c r="AT709" s="64"/>
      <c r="AU709" s="646"/>
      <c r="AV709" s="185"/>
    </row>
    <row r="710" spans="1:48" ht="15" customHeight="1" outlineLevel="3" x14ac:dyDescent="0.25">
      <c r="A710" s="63" t="str">
        <f t="shared" si="120"/>
        <v>1.4.1.15.2.09</v>
      </c>
      <c r="B710" s="64">
        <v>1</v>
      </c>
      <c r="C710" s="64">
        <v>4</v>
      </c>
      <c r="D710" s="64">
        <v>1</v>
      </c>
      <c r="E710" s="64">
        <v>15</v>
      </c>
      <c r="F710" s="64">
        <v>2</v>
      </c>
      <c r="G710" s="206" t="s">
        <v>719</v>
      </c>
      <c r="H710" s="65"/>
      <c r="I710" s="65"/>
      <c r="J710" s="66"/>
      <c r="K710" s="65" t="s">
        <v>704</v>
      </c>
      <c r="L710" s="64" t="s">
        <v>246</v>
      </c>
      <c r="M710" s="64" t="s">
        <v>680</v>
      </c>
      <c r="N710" s="64" t="s">
        <v>671</v>
      </c>
      <c r="O710" s="64" t="s">
        <v>359</v>
      </c>
      <c r="P710" s="64"/>
      <c r="Q710" s="69"/>
      <c r="R710" s="64"/>
      <c r="S710" s="65"/>
      <c r="T710" s="64"/>
      <c r="U710" s="75"/>
      <c r="V710" s="679">
        <f t="shared" si="127"/>
        <v>0</v>
      </c>
      <c r="W710" s="75"/>
      <c r="X710" s="75"/>
      <c r="Y710" s="75"/>
      <c r="Z710" s="75"/>
      <c r="AA710" s="75"/>
      <c r="AB710" s="75"/>
      <c r="AC710" s="75"/>
      <c r="AD710" s="75"/>
      <c r="AE710" s="592"/>
      <c r="AF710" s="259"/>
      <c r="AG710" s="517">
        <v>0</v>
      </c>
      <c r="AH710" s="382">
        <v>0</v>
      </c>
      <c r="AI710" s="208"/>
      <c r="AJ710" s="208"/>
      <c r="AK710" s="208"/>
      <c r="AL710" s="208"/>
      <c r="AM710" s="208"/>
      <c r="AN710" s="64"/>
      <c r="AO710" s="64"/>
      <c r="AP710" s="64"/>
      <c r="AQ710" s="189"/>
      <c r="AR710" s="64"/>
      <c r="AS710" s="476"/>
      <c r="AT710" s="64"/>
      <c r="AU710" s="646"/>
      <c r="AV710" s="185"/>
    </row>
    <row r="711" spans="1:48" s="153" customFormat="1" ht="15" customHeight="1" outlineLevel="1" x14ac:dyDescent="0.25">
      <c r="A711" s="148" t="str">
        <f t="shared" si="120"/>
        <v>1.4.1.16.0.0</v>
      </c>
      <c r="B711" s="82">
        <v>1</v>
      </c>
      <c r="C711" s="82">
        <v>4</v>
      </c>
      <c r="D711" s="82">
        <v>1</v>
      </c>
      <c r="E711" s="82">
        <v>16</v>
      </c>
      <c r="F711" s="82">
        <v>0</v>
      </c>
      <c r="G711" s="82">
        <v>0</v>
      </c>
      <c r="H711" s="149"/>
      <c r="I711" s="149"/>
      <c r="J711" s="1260" t="s">
        <v>720</v>
      </c>
      <c r="K711" s="1259"/>
      <c r="L711" s="82" t="s">
        <v>224</v>
      </c>
      <c r="M711" s="82" t="s">
        <v>299</v>
      </c>
      <c r="N711" s="82" t="s">
        <v>671</v>
      </c>
      <c r="O711" s="82" t="s">
        <v>359</v>
      </c>
      <c r="P711" s="82"/>
      <c r="Q711" s="82"/>
      <c r="R711" s="82"/>
      <c r="S711" s="149"/>
      <c r="T711" s="82"/>
      <c r="U711" s="379">
        <f t="shared" ref="U711:AG711" si="139">+SUM(U712:U713)</f>
        <v>0</v>
      </c>
      <c r="V711" s="682">
        <f t="shared" si="139"/>
        <v>0</v>
      </c>
      <c r="W711" s="379">
        <f t="shared" si="139"/>
        <v>0</v>
      </c>
      <c r="X711" s="379">
        <f t="shared" si="139"/>
        <v>0</v>
      </c>
      <c r="Y711" s="379">
        <f t="shared" si="139"/>
        <v>0</v>
      </c>
      <c r="Z711" s="379">
        <f t="shared" si="139"/>
        <v>0</v>
      </c>
      <c r="AA711" s="379">
        <f t="shared" si="139"/>
        <v>0</v>
      </c>
      <c r="AB711" s="379">
        <f t="shared" si="139"/>
        <v>0</v>
      </c>
      <c r="AC711" s="379">
        <f t="shared" si="139"/>
        <v>0</v>
      </c>
      <c r="AD711" s="379">
        <f t="shared" si="139"/>
        <v>0</v>
      </c>
      <c r="AE711" s="379">
        <f t="shared" si="139"/>
        <v>0</v>
      </c>
      <c r="AF711" s="379">
        <f t="shared" si="139"/>
        <v>0</v>
      </c>
      <c r="AG711" s="379">
        <f t="shared" si="139"/>
        <v>0</v>
      </c>
      <c r="AH711" s="379">
        <f>+SUM(AH712:AH713)</f>
        <v>0</v>
      </c>
      <c r="AI711" s="152"/>
      <c r="AJ711" s="152"/>
      <c r="AK711" s="152"/>
      <c r="AL711" s="152"/>
      <c r="AM711" s="152"/>
      <c r="AN711" s="82" t="s">
        <v>181</v>
      </c>
      <c r="AO711" s="82"/>
      <c r="AP711" s="82"/>
      <c r="AQ711" s="365"/>
      <c r="AR711" s="82"/>
      <c r="AS711" s="483"/>
      <c r="AT711" s="82"/>
      <c r="AU711" s="666"/>
      <c r="AV711" s="444"/>
    </row>
    <row r="712" spans="1:48" ht="15" customHeight="1" outlineLevel="2" x14ac:dyDescent="0.25">
      <c r="A712" s="63" t="str">
        <f t="shared" si="120"/>
        <v>1.4.1.16.1.05</v>
      </c>
      <c r="B712" s="64">
        <v>1</v>
      </c>
      <c r="C712" s="64">
        <v>4</v>
      </c>
      <c r="D712" s="64">
        <v>1</v>
      </c>
      <c r="E712" s="64">
        <v>16</v>
      </c>
      <c r="F712" s="64">
        <v>1</v>
      </c>
      <c r="G712" s="206" t="s">
        <v>721</v>
      </c>
      <c r="H712" s="65"/>
      <c r="I712" s="65"/>
      <c r="J712" s="66"/>
      <c r="K712" s="65" t="s">
        <v>703</v>
      </c>
      <c r="L712" s="64" t="s">
        <v>246</v>
      </c>
      <c r="M712" s="64" t="s">
        <v>680</v>
      </c>
      <c r="N712" s="64" t="s">
        <v>671</v>
      </c>
      <c r="O712" s="64" t="s">
        <v>359</v>
      </c>
      <c r="P712" s="64"/>
      <c r="Q712" s="69"/>
      <c r="R712" s="64"/>
      <c r="S712" s="65"/>
      <c r="T712" s="64"/>
      <c r="U712" s="75"/>
      <c r="V712" s="679">
        <f t="shared" si="127"/>
        <v>0</v>
      </c>
      <c r="W712" s="75"/>
      <c r="X712" s="75"/>
      <c r="Y712" s="75"/>
      <c r="Z712" s="75"/>
      <c r="AA712" s="75"/>
      <c r="AB712" s="75"/>
      <c r="AC712" s="75"/>
      <c r="AD712" s="75"/>
      <c r="AE712" s="592"/>
      <c r="AF712" s="259"/>
      <c r="AG712" s="510">
        <v>0</v>
      </c>
      <c r="AH712" s="370">
        <v>0</v>
      </c>
      <c r="AI712" s="75"/>
      <c r="AJ712" s="75"/>
      <c r="AK712" s="75"/>
      <c r="AL712" s="75"/>
      <c r="AM712" s="75"/>
      <c r="AN712" s="64"/>
      <c r="AO712" s="64"/>
      <c r="AP712" s="64"/>
      <c r="AQ712" s="189"/>
      <c r="AR712" s="64"/>
      <c r="AS712" s="476"/>
      <c r="AT712" s="64"/>
      <c r="AU712" s="646"/>
      <c r="AV712" s="185"/>
    </row>
    <row r="713" spans="1:48" ht="15" customHeight="1" outlineLevel="2" x14ac:dyDescent="0.25">
      <c r="A713" s="63" t="str">
        <f t="shared" si="120"/>
        <v>1.4.1.16.2.05</v>
      </c>
      <c r="B713" s="64">
        <v>1</v>
      </c>
      <c r="C713" s="64">
        <v>4</v>
      </c>
      <c r="D713" s="64">
        <v>1</v>
      </c>
      <c r="E713" s="64">
        <v>16</v>
      </c>
      <c r="F713" s="64">
        <v>2</v>
      </c>
      <c r="G713" s="206" t="s">
        <v>721</v>
      </c>
      <c r="H713" s="65"/>
      <c r="I713" s="65"/>
      <c r="J713" s="66"/>
      <c r="K713" s="65" t="s">
        <v>704</v>
      </c>
      <c r="L713" s="64" t="s">
        <v>246</v>
      </c>
      <c r="M713" s="64" t="s">
        <v>680</v>
      </c>
      <c r="N713" s="64" t="s">
        <v>671</v>
      </c>
      <c r="O713" s="64" t="s">
        <v>359</v>
      </c>
      <c r="P713" s="64"/>
      <c r="Q713" s="69"/>
      <c r="R713" s="64"/>
      <c r="S713" s="65"/>
      <c r="T713" s="64"/>
      <c r="U713" s="75"/>
      <c r="V713" s="679">
        <f t="shared" si="127"/>
        <v>0</v>
      </c>
      <c r="W713" s="75"/>
      <c r="X713" s="75"/>
      <c r="Y713" s="75"/>
      <c r="Z713" s="75"/>
      <c r="AA713" s="75"/>
      <c r="AB713" s="75"/>
      <c r="AC713" s="75"/>
      <c r="AD713" s="75"/>
      <c r="AE713" s="592"/>
      <c r="AF713" s="259"/>
      <c r="AG713" s="510">
        <v>0</v>
      </c>
      <c r="AH713" s="370">
        <v>0</v>
      </c>
      <c r="AI713" s="75"/>
      <c r="AJ713" s="75"/>
      <c r="AK713" s="75"/>
      <c r="AL713" s="75"/>
      <c r="AM713" s="75"/>
      <c r="AN713" s="64"/>
      <c r="AO713" s="64"/>
      <c r="AP713" s="64"/>
      <c r="AQ713" s="189"/>
      <c r="AR713" s="64"/>
      <c r="AS713" s="476"/>
      <c r="AT713" s="64"/>
      <c r="AU713" s="646"/>
      <c r="AV713" s="185"/>
    </row>
    <row r="714" spans="1:48" s="153" customFormat="1" ht="15" customHeight="1" outlineLevel="1" x14ac:dyDescent="0.25">
      <c r="A714" s="148" t="str">
        <f t="shared" si="120"/>
        <v>1.4.1.17.0.0</v>
      </c>
      <c r="B714" s="82">
        <v>1</v>
      </c>
      <c r="C714" s="82">
        <v>4</v>
      </c>
      <c r="D714" s="82">
        <v>1</v>
      </c>
      <c r="E714" s="82">
        <v>17</v>
      </c>
      <c r="F714" s="82">
        <v>0</v>
      </c>
      <c r="G714" s="82">
        <v>0</v>
      </c>
      <c r="H714" s="149"/>
      <c r="I714" s="149"/>
      <c r="J714" s="1260" t="s">
        <v>722</v>
      </c>
      <c r="K714" s="1259"/>
      <c r="L714" s="82" t="s">
        <v>224</v>
      </c>
      <c r="M714" s="82" t="s">
        <v>299</v>
      </c>
      <c r="N714" s="82" t="s">
        <v>671</v>
      </c>
      <c r="O714" s="82" t="s">
        <v>359</v>
      </c>
      <c r="P714" s="82"/>
      <c r="Q714" s="82"/>
      <c r="R714" s="82"/>
      <c r="S714" s="149"/>
      <c r="T714" s="82"/>
      <c r="U714" s="379">
        <f t="shared" ref="U714:AG714" si="140">+SUM(U715:U716)</f>
        <v>0</v>
      </c>
      <c r="V714" s="682">
        <f t="shared" si="140"/>
        <v>0</v>
      </c>
      <c r="W714" s="379">
        <f t="shared" si="140"/>
        <v>0</v>
      </c>
      <c r="X714" s="379">
        <f t="shared" si="140"/>
        <v>0</v>
      </c>
      <c r="Y714" s="379">
        <f t="shared" si="140"/>
        <v>0</v>
      </c>
      <c r="Z714" s="379">
        <f t="shared" si="140"/>
        <v>0</v>
      </c>
      <c r="AA714" s="379">
        <f t="shared" si="140"/>
        <v>0</v>
      </c>
      <c r="AB714" s="379">
        <f t="shared" si="140"/>
        <v>0</v>
      </c>
      <c r="AC714" s="379">
        <f t="shared" si="140"/>
        <v>0</v>
      </c>
      <c r="AD714" s="379">
        <f t="shared" si="140"/>
        <v>0</v>
      </c>
      <c r="AE714" s="379">
        <f t="shared" si="140"/>
        <v>0</v>
      </c>
      <c r="AF714" s="379">
        <f t="shared" si="140"/>
        <v>0</v>
      </c>
      <c r="AG714" s="379">
        <f t="shared" si="140"/>
        <v>0</v>
      </c>
      <c r="AH714" s="379">
        <f>+SUM(AH715:AH716)</f>
        <v>0</v>
      </c>
      <c r="AI714" s="152"/>
      <c r="AJ714" s="152"/>
      <c r="AK714" s="152"/>
      <c r="AL714" s="152"/>
      <c r="AM714" s="152"/>
      <c r="AN714" s="82" t="s">
        <v>181</v>
      </c>
      <c r="AO714" s="82"/>
      <c r="AP714" s="82"/>
      <c r="AQ714" s="365"/>
      <c r="AR714" s="82"/>
      <c r="AS714" s="483"/>
      <c r="AT714" s="82"/>
      <c r="AU714" s="666"/>
      <c r="AV714" s="444"/>
    </row>
    <row r="715" spans="1:48" ht="15" customHeight="1" outlineLevel="3" x14ac:dyDescent="0.25">
      <c r="A715" s="63" t="str">
        <f t="shared" si="120"/>
        <v>1.4.1.17.1.07</v>
      </c>
      <c r="B715" s="64">
        <v>1</v>
      </c>
      <c r="C715" s="64">
        <v>4</v>
      </c>
      <c r="D715" s="64">
        <v>1</v>
      </c>
      <c r="E715" s="64">
        <v>17</v>
      </c>
      <c r="F715" s="64">
        <v>1</v>
      </c>
      <c r="G715" s="206" t="s">
        <v>723</v>
      </c>
      <c r="H715" s="65"/>
      <c r="I715" s="65"/>
      <c r="J715" s="65"/>
      <c r="K715" s="65" t="s">
        <v>703</v>
      </c>
      <c r="L715" s="64" t="s">
        <v>246</v>
      </c>
      <c r="M715" s="64" t="s">
        <v>680</v>
      </c>
      <c r="N715" s="64" t="s">
        <v>671</v>
      </c>
      <c r="O715" s="64" t="s">
        <v>359</v>
      </c>
      <c r="P715" s="64"/>
      <c r="Q715" s="64"/>
      <c r="R715" s="64"/>
      <c r="S715" s="65"/>
      <c r="T715" s="64"/>
      <c r="U715" s="75"/>
      <c r="V715" s="679">
        <f t="shared" si="127"/>
        <v>0</v>
      </c>
      <c r="W715" s="75"/>
      <c r="X715" s="75"/>
      <c r="Y715" s="75"/>
      <c r="Z715" s="75"/>
      <c r="AA715" s="75"/>
      <c r="AB715" s="75"/>
      <c r="AC715" s="75"/>
      <c r="AD715" s="75"/>
      <c r="AE715" s="592"/>
      <c r="AF715" s="259"/>
      <c r="AG715" s="516">
        <v>0</v>
      </c>
      <c r="AH715" s="381">
        <v>0</v>
      </c>
      <c r="AI715" s="207"/>
      <c r="AJ715" s="207"/>
      <c r="AK715" s="207"/>
      <c r="AL715" s="207"/>
      <c r="AM715" s="207"/>
      <c r="AN715" s="64"/>
      <c r="AO715" s="64"/>
      <c r="AP715" s="64"/>
      <c r="AQ715" s="189"/>
      <c r="AR715" s="64"/>
      <c r="AS715" s="476"/>
      <c r="AT715" s="64"/>
      <c r="AU715" s="646"/>
      <c r="AV715" s="185"/>
    </row>
    <row r="716" spans="1:48" ht="15" customHeight="1" outlineLevel="3" x14ac:dyDescent="0.25">
      <c r="A716" s="63" t="str">
        <f t="shared" si="120"/>
        <v>1.4.1.17.2.07</v>
      </c>
      <c r="B716" s="64">
        <v>1</v>
      </c>
      <c r="C716" s="64">
        <v>4</v>
      </c>
      <c r="D716" s="64">
        <v>1</v>
      </c>
      <c r="E716" s="64">
        <v>17</v>
      </c>
      <c r="F716" s="64">
        <v>2</v>
      </c>
      <c r="G716" s="206" t="s">
        <v>723</v>
      </c>
      <c r="H716" s="65"/>
      <c r="I716" s="65"/>
      <c r="J716" s="66"/>
      <c r="K716" s="65" t="s">
        <v>704</v>
      </c>
      <c r="L716" s="64" t="s">
        <v>246</v>
      </c>
      <c r="M716" s="64" t="s">
        <v>680</v>
      </c>
      <c r="N716" s="64" t="s">
        <v>671</v>
      </c>
      <c r="O716" s="64" t="s">
        <v>359</v>
      </c>
      <c r="P716" s="64"/>
      <c r="Q716" s="64"/>
      <c r="R716" s="64"/>
      <c r="S716" s="65"/>
      <c r="T716" s="64"/>
      <c r="U716" s="75"/>
      <c r="V716" s="679">
        <f t="shared" si="127"/>
        <v>0</v>
      </c>
      <c r="W716" s="75"/>
      <c r="X716" s="75"/>
      <c r="Y716" s="75"/>
      <c r="Z716" s="75"/>
      <c r="AA716" s="75"/>
      <c r="AB716" s="75"/>
      <c r="AC716" s="75"/>
      <c r="AD716" s="75"/>
      <c r="AE716" s="592"/>
      <c r="AF716" s="259"/>
      <c r="AG716" s="517">
        <v>0</v>
      </c>
      <c r="AH716" s="382">
        <v>0</v>
      </c>
      <c r="AI716" s="208"/>
      <c r="AJ716" s="208"/>
      <c r="AK716" s="208"/>
      <c r="AL716" s="208"/>
      <c r="AM716" s="208"/>
      <c r="AN716" s="64"/>
      <c r="AO716" s="64"/>
      <c r="AP716" s="64"/>
      <c r="AQ716" s="189"/>
      <c r="AR716" s="64"/>
      <c r="AS716" s="476"/>
      <c r="AT716" s="64"/>
      <c r="AU716" s="646"/>
      <c r="AV716" s="185"/>
    </row>
    <row r="717" spans="1:48" s="153" customFormat="1" ht="15" customHeight="1" outlineLevel="1" x14ac:dyDescent="0.25">
      <c r="A717" s="148" t="str">
        <f t="shared" si="120"/>
        <v>1.4.1.18.0.0</v>
      </c>
      <c r="B717" s="82">
        <v>1</v>
      </c>
      <c r="C717" s="82">
        <v>4</v>
      </c>
      <c r="D717" s="82">
        <v>1</v>
      </c>
      <c r="E717" s="82">
        <v>18</v>
      </c>
      <c r="F717" s="82">
        <v>0</v>
      </c>
      <c r="G717" s="82">
        <v>0</v>
      </c>
      <c r="H717" s="149"/>
      <c r="I717" s="149"/>
      <c r="J717" s="1260" t="s">
        <v>724</v>
      </c>
      <c r="K717" s="1259"/>
      <c r="L717" s="82" t="s">
        <v>224</v>
      </c>
      <c r="M717" s="82" t="s">
        <v>299</v>
      </c>
      <c r="N717" s="82" t="s">
        <v>671</v>
      </c>
      <c r="O717" s="82" t="s">
        <v>359</v>
      </c>
      <c r="P717" s="82"/>
      <c r="Q717" s="82"/>
      <c r="R717" s="82"/>
      <c r="S717" s="149"/>
      <c r="T717" s="82"/>
      <c r="U717" s="379">
        <f t="shared" ref="U717:AG717" si="141">+SUM(U718:U719)</f>
        <v>0</v>
      </c>
      <c r="V717" s="682">
        <f t="shared" si="141"/>
        <v>0</v>
      </c>
      <c r="W717" s="379">
        <f t="shared" si="141"/>
        <v>0</v>
      </c>
      <c r="X717" s="379">
        <f t="shared" si="141"/>
        <v>0</v>
      </c>
      <c r="Y717" s="379">
        <f t="shared" si="141"/>
        <v>0</v>
      </c>
      <c r="Z717" s="379">
        <f t="shared" si="141"/>
        <v>0</v>
      </c>
      <c r="AA717" s="379">
        <f t="shared" si="141"/>
        <v>0</v>
      </c>
      <c r="AB717" s="379">
        <f t="shared" si="141"/>
        <v>0</v>
      </c>
      <c r="AC717" s="379">
        <f t="shared" si="141"/>
        <v>0</v>
      </c>
      <c r="AD717" s="379">
        <f t="shared" si="141"/>
        <v>0</v>
      </c>
      <c r="AE717" s="379">
        <f t="shared" si="141"/>
        <v>0</v>
      </c>
      <c r="AF717" s="379">
        <f t="shared" si="141"/>
        <v>0</v>
      </c>
      <c r="AG717" s="379">
        <f t="shared" si="141"/>
        <v>0</v>
      </c>
      <c r="AH717" s="379">
        <f>+SUM(AH718:AH719)</f>
        <v>0</v>
      </c>
      <c r="AI717" s="152"/>
      <c r="AJ717" s="152"/>
      <c r="AK717" s="152"/>
      <c r="AL717" s="152"/>
      <c r="AM717" s="152"/>
      <c r="AN717" s="82" t="s">
        <v>181</v>
      </c>
      <c r="AO717" s="82"/>
      <c r="AP717" s="82"/>
      <c r="AQ717" s="365"/>
      <c r="AR717" s="82"/>
      <c r="AS717" s="483"/>
      <c r="AT717" s="82"/>
      <c r="AU717" s="666"/>
      <c r="AV717" s="444"/>
    </row>
    <row r="718" spans="1:48" ht="15" customHeight="1" outlineLevel="2" x14ac:dyDescent="0.25">
      <c r="A718" s="63" t="str">
        <f t="shared" si="120"/>
        <v>1.4.1.18.1.04</v>
      </c>
      <c r="B718" s="64">
        <v>1</v>
      </c>
      <c r="C718" s="64">
        <v>4</v>
      </c>
      <c r="D718" s="64">
        <v>1</v>
      </c>
      <c r="E718" s="64">
        <v>18</v>
      </c>
      <c r="F718" s="64">
        <v>1</v>
      </c>
      <c r="G718" s="206" t="s">
        <v>725</v>
      </c>
      <c r="H718" s="65"/>
      <c r="I718" s="65"/>
      <c r="J718" s="66"/>
      <c r="K718" s="65" t="s">
        <v>703</v>
      </c>
      <c r="L718" s="64" t="s">
        <v>246</v>
      </c>
      <c r="M718" s="64" t="s">
        <v>680</v>
      </c>
      <c r="N718" s="64" t="s">
        <v>671</v>
      </c>
      <c r="O718" s="64" t="s">
        <v>359</v>
      </c>
      <c r="P718" s="64"/>
      <c r="Q718" s="64"/>
      <c r="R718" s="64"/>
      <c r="S718" s="65"/>
      <c r="T718" s="64"/>
      <c r="U718" s="75"/>
      <c r="V718" s="679">
        <f t="shared" si="127"/>
        <v>0</v>
      </c>
      <c r="W718" s="75"/>
      <c r="X718" s="75"/>
      <c r="Y718" s="75"/>
      <c r="Z718" s="75"/>
      <c r="AA718" s="75"/>
      <c r="AB718" s="75"/>
      <c r="AC718" s="75"/>
      <c r="AD718" s="75"/>
      <c r="AE718" s="592"/>
      <c r="AF718" s="259"/>
      <c r="AG718" s="510">
        <v>0</v>
      </c>
      <c r="AH718" s="370">
        <v>0</v>
      </c>
      <c r="AI718" s="75"/>
      <c r="AJ718" s="75"/>
      <c r="AK718" s="75"/>
      <c r="AL718" s="75"/>
      <c r="AM718" s="75"/>
      <c r="AN718" s="64"/>
      <c r="AO718" s="64"/>
      <c r="AP718" s="64"/>
      <c r="AQ718" s="189"/>
      <c r="AR718" s="64"/>
      <c r="AS718" s="476"/>
      <c r="AT718" s="64"/>
      <c r="AU718" s="646"/>
      <c r="AV718" s="185"/>
    </row>
    <row r="719" spans="1:48" ht="15" customHeight="1" outlineLevel="2" x14ac:dyDescent="0.25">
      <c r="A719" s="63" t="str">
        <f t="shared" si="120"/>
        <v>1.4.1.18.2.04</v>
      </c>
      <c r="B719" s="64">
        <v>1</v>
      </c>
      <c r="C719" s="64">
        <v>4</v>
      </c>
      <c r="D719" s="64">
        <v>1</v>
      </c>
      <c r="E719" s="64">
        <v>18</v>
      </c>
      <c r="F719" s="64">
        <v>2</v>
      </c>
      <c r="G719" s="206" t="s">
        <v>725</v>
      </c>
      <c r="H719" s="65"/>
      <c r="I719" s="65"/>
      <c r="J719" s="65"/>
      <c r="K719" s="65" t="s">
        <v>704</v>
      </c>
      <c r="L719" s="64" t="s">
        <v>246</v>
      </c>
      <c r="M719" s="64" t="s">
        <v>680</v>
      </c>
      <c r="N719" s="64" t="s">
        <v>671</v>
      </c>
      <c r="O719" s="64" t="s">
        <v>359</v>
      </c>
      <c r="P719" s="64"/>
      <c r="Q719" s="64"/>
      <c r="R719" s="64"/>
      <c r="S719" s="65"/>
      <c r="T719" s="64"/>
      <c r="U719" s="75"/>
      <c r="V719" s="679">
        <f t="shared" si="127"/>
        <v>0</v>
      </c>
      <c r="W719" s="75"/>
      <c r="X719" s="75"/>
      <c r="Y719" s="75"/>
      <c r="Z719" s="75"/>
      <c r="AA719" s="75"/>
      <c r="AB719" s="75"/>
      <c r="AC719" s="75"/>
      <c r="AD719" s="75"/>
      <c r="AE719" s="592"/>
      <c r="AF719" s="259"/>
      <c r="AG719" s="510">
        <v>0</v>
      </c>
      <c r="AH719" s="370">
        <v>0</v>
      </c>
      <c r="AI719" s="75"/>
      <c r="AJ719" s="75"/>
      <c r="AK719" s="75"/>
      <c r="AL719" s="75"/>
      <c r="AM719" s="75"/>
      <c r="AN719" s="64"/>
      <c r="AO719" s="64"/>
      <c r="AP719" s="64"/>
      <c r="AQ719" s="189"/>
      <c r="AR719" s="64"/>
      <c r="AS719" s="476"/>
      <c r="AT719" s="64"/>
      <c r="AU719" s="646"/>
      <c r="AV719" s="185"/>
    </row>
    <row r="720" spans="1:48" s="153" customFormat="1" ht="31.5" customHeight="1" outlineLevel="1" x14ac:dyDescent="0.25">
      <c r="A720" s="108" t="str">
        <f t="shared" si="120"/>
        <v>1.5.1.0.0.0</v>
      </c>
      <c r="B720" s="109">
        <v>1</v>
      </c>
      <c r="C720" s="109">
        <v>5</v>
      </c>
      <c r="D720" s="109">
        <v>1</v>
      </c>
      <c r="E720" s="109">
        <v>0</v>
      </c>
      <c r="F720" s="109">
        <v>0</v>
      </c>
      <c r="G720" s="109">
        <v>0</v>
      </c>
      <c r="H720" s="110"/>
      <c r="I720" s="1265" t="s">
        <v>726</v>
      </c>
      <c r="J720" s="1266"/>
      <c r="K720" s="1267"/>
      <c r="L720" s="109" t="s">
        <v>359</v>
      </c>
      <c r="M720" s="109" t="s">
        <v>727</v>
      </c>
      <c r="N720" s="109" t="s">
        <v>198</v>
      </c>
      <c r="O720" s="109" t="s">
        <v>728</v>
      </c>
      <c r="P720" s="109"/>
      <c r="Q720" s="109"/>
      <c r="R720" s="109"/>
      <c r="S720" s="110"/>
      <c r="T720" s="109"/>
      <c r="U720" s="112">
        <f>+U721+U732+U734+U736+U758+U766</f>
        <v>13016828.645</v>
      </c>
      <c r="V720" s="680">
        <f>+V721+V732+V734+V736+V758+V766</f>
        <v>3560000</v>
      </c>
      <c r="W720" s="112"/>
      <c r="X720" s="112">
        <f t="shared" ref="X720:AD720" si="142">+X721+X732+X734+X736+X758+X766</f>
        <v>2894149.995000001</v>
      </c>
      <c r="Y720" s="112"/>
      <c r="Z720" s="112"/>
      <c r="AA720" s="112">
        <f t="shared" si="142"/>
        <v>1108750</v>
      </c>
      <c r="AB720" s="112"/>
      <c r="AC720" s="112"/>
      <c r="AD720" s="112">
        <f t="shared" si="142"/>
        <v>0</v>
      </c>
      <c r="AE720" s="574"/>
      <c r="AF720" s="333"/>
      <c r="AG720" s="514">
        <f>+AG721+AG732+AG736+AG758+AG766+AG734</f>
        <v>20437499.985000003</v>
      </c>
      <c r="AH720" s="374">
        <f>+AH721+AH732+AH736+AH758+AH766+AH734</f>
        <v>17019728.640000001</v>
      </c>
      <c r="AI720" s="514">
        <f>+AI721+AI732+AI736+AI758+AI766+AI734</f>
        <v>0</v>
      </c>
      <c r="AJ720" s="514">
        <f>+AJ721+AJ732+AJ736+AJ758+AJ766+AJ734</f>
        <v>3560000</v>
      </c>
      <c r="AK720" s="112"/>
      <c r="AL720" s="112"/>
      <c r="AM720" s="112"/>
      <c r="AN720" s="109" t="s">
        <v>39</v>
      </c>
      <c r="AO720" s="109"/>
      <c r="AP720" s="109"/>
      <c r="AQ720" s="411"/>
      <c r="AR720" s="109"/>
      <c r="AS720" s="473"/>
      <c r="AT720" s="109"/>
      <c r="AU720" s="659"/>
      <c r="AV720" s="429" t="s">
        <v>729</v>
      </c>
    </row>
    <row r="721" spans="1:48" s="153" customFormat="1" ht="22.5" customHeight="1" outlineLevel="1" x14ac:dyDescent="0.25">
      <c r="A721" s="148" t="str">
        <f t="shared" si="120"/>
        <v>1.5.1.1.0.0</v>
      </c>
      <c r="B721" s="82">
        <v>1</v>
      </c>
      <c r="C721" s="82">
        <v>5</v>
      </c>
      <c r="D721" s="82">
        <v>1</v>
      </c>
      <c r="E721" s="82">
        <v>1</v>
      </c>
      <c r="F721" s="82">
        <v>0</v>
      </c>
      <c r="G721" s="82">
        <v>0</v>
      </c>
      <c r="H721" s="149"/>
      <c r="I721" s="149"/>
      <c r="J721" s="1260" t="s">
        <v>730</v>
      </c>
      <c r="K721" s="1259"/>
      <c r="L721" s="82" t="s">
        <v>731</v>
      </c>
      <c r="M721" s="82" t="s">
        <v>727</v>
      </c>
      <c r="N721" s="82" t="s">
        <v>198</v>
      </c>
      <c r="O721" s="82" t="s">
        <v>728</v>
      </c>
      <c r="P721" s="82"/>
      <c r="Q721" s="82"/>
      <c r="R721" s="82"/>
      <c r="S721" s="149"/>
      <c r="T721" s="82"/>
      <c r="U721" s="209">
        <f>SUM(U722:U731)</f>
        <v>11096428.65</v>
      </c>
      <c r="V721" s="683">
        <f>SUM(V722:V731)</f>
        <v>3560000</v>
      </c>
      <c r="W721" s="209">
        <f t="shared" ref="W721:AD721" si="143">SUM(W722:W731)</f>
        <v>106</v>
      </c>
      <c r="X721" s="209">
        <f t="shared" si="143"/>
        <v>0</v>
      </c>
      <c r="Y721" s="209"/>
      <c r="Z721" s="209">
        <f t="shared" si="143"/>
        <v>152</v>
      </c>
      <c r="AA721" s="209">
        <f t="shared" si="143"/>
        <v>0</v>
      </c>
      <c r="AB721" s="209"/>
      <c r="AC721" s="209">
        <f t="shared" si="143"/>
        <v>50</v>
      </c>
      <c r="AD721" s="209">
        <f t="shared" si="143"/>
        <v>0</v>
      </c>
      <c r="AE721" s="603"/>
      <c r="AF721" s="358"/>
      <c r="AG721" s="512">
        <f>+SUM(AG722:AG731)</f>
        <v>15000000</v>
      </c>
      <c r="AH721" s="379">
        <f>+SUM(AH722:AH731)</f>
        <v>11096428.65</v>
      </c>
      <c r="AI721" s="512">
        <f>+SUM(AI722:AI731)</f>
        <v>0</v>
      </c>
      <c r="AJ721" s="512">
        <f>+SUM(AJ722:AJ731)</f>
        <v>3560000</v>
      </c>
      <c r="AK721" s="152"/>
      <c r="AL721" s="152"/>
      <c r="AM721" s="152"/>
      <c r="AN721" s="82" t="s">
        <v>39</v>
      </c>
      <c r="AO721" s="82"/>
      <c r="AP721" s="82"/>
      <c r="AQ721" s="365"/>
      <c r="AR721" s="82"/>
      <c r="AS721" s="483"/>
      <c r="AT721" s="82"/>
      <c r="AU721" s="666"/>
      <c r="AV721" s="447" t="s">
        <v>732</v>
      </c>
    </row>
    <row r="722" spans="1:48" outlineLevel="2" x14ac:dyDescent="0.25">
      <c r="A722" s="63" t="str">
        <f t="shared" si="120"/>
        <v>1.5.1.1.1.58-64</v>
      </c>
      <c r="B722" s="64">
        <v>1</v>
      </c>
      <c r="C722" s="64">
        <v>5</v>
      </c>
      <c r="D722" s="64">
        <v>1</v>
      </c>
      <c r="E722" s="64">
        <v>1</v>
      </c>
      <c r="F722" s="64">
        <v>1</v>
      </c>
      <c r="G722" s="64" t="s">
        <v>64</v>
      </c>
      <c r="H722" s="65"/>
      <c r="I722" s="65"/>
      <c r="J722" s="65"/>
      <c r="K722" s="65" t="s">
        <v>733</v>
      </c>
      <c r="L722" s="64" t="s">
        <v>731</v>
      </c>
      <c r="M722" s="64" t="s">
        <v>727</v>
      </c>
      <c r="N722" s="64" t="s">
        <v>198</v>
      </c>
      <c r="O722" s="64" t="s">
        <v>728</v>
      </c>
      <c r="P722" s="170"/>
      <c r="Q722" s="170"/>
      <c r="R722" s="170"/>
      <c r="S722" s="170"/>
      <c r="T722" s="170"/>
      <c r="U722" s="97"/>
      <c r="V722" s="684">
        <f>+AJ722</f>
        <v>0</v>
      </c>
      <c r="W722" s="97"/>
      <c r="X722" s="97"/>
      <c r="Y722" s="97"/>
      <c r="Z722" s="97"/>
      <c r="AA722" s="97"/>
      <c r="AB722" s="97"/>
      <c r="AC722" s="75"/>
      <c r="AD722" s="75"/>
      <c r="AE722" s="592"/>
      <c r="AF722" s="353"/>
      <c r="AG722" s="510">
        <v>0</v>
      </c>
      <c r="AH722" s="370">
        <v>0</v>
      </c>
      <c r="AI722" s="75"/>
      <c r="AJ722" s="75"/>
      <c r="AK722" s="75"/>
      <c r="AL722" s="75"/>
      <c r="AM722" s="75"/>
      <c r="AN722" s="171" t="s">
        <v>39</v>
      </c>
      <c r="AO722" s="171"/>
      <c r="AP722" s="171"/>
      <c r="AQ722" s="418"/>
      <c r="AS722" s="484"/>
      <c r="AV722" s="441"/>
    </row>
    <row r="723" spans="1:48" ht="45" outlineLevel="2" x14ac:dyDescent="0.25">
      <c r="A723" s="99" t="str">
        <f t="shared" si="120"/>
        <v>1.5.1.1.2.58-64</v>
      </c>
      <c r="B723" s="64">
        <v>1</v>
      </c>
      <c r="C723" s="64">
        <v>5</v>
      </c>
      <c r="D723" s="64">
        <v>1</v>
      </c>
      <c r="E723" s="64">
        <v>1</v>
      </c>
      <c r="F723" s="64">
        <v>2</v>
      </c>
      <c r="G723" s="64" t="s">
        <v>64</v>
      </c>
      <c r="H723" s="65"/>
      <c r="I723" s="65"/>
      <c r="J723" s="65"/>
      <c r="K723" s="65" t="s">
        <v>734</v>
      </c>
      <c r="L723" s="64" t="s">
        <v>731</v>
      </c>
      <c r="M723" s="68" t="s">
        <v>735</v>
      </c>
      <c r="N723" s="68" t="s">
        <v>736</v>
      </c>
      <c r="O723" s="64" t="s">
        <v>737</v>
      </c>
      <c r="P723" s="64"/>
      <c r="Q723" s="64"/>
      <c r="R723" s="64"/>
      <c r="S723" s="65"/>
      <c r="T723" s="64"/>
      <c r="U723" s="75">
        <v>11096428.65</v>
      </c>
      <c r="V723" s="684">
        <f t="shared" ref="V723:V765" si="144">+AJ723</f>
        <v>3560000</v>
      </c>
      <c r="W723" s="75"/>
      <c r="X723" s="75"/>
      <c r="Y723" s="75"/>
      <c r="Z723" s="75"/>
      <c r="AA723" s="75"/>
      <c r="AB723" s="75"/>
      <c r="AC723" s="75"/>
      <c r="AD723" s="75"/>
      <c r="AE723" s="592"/>
      <c r="AF723" s="259"/>
      <c r="AG723" s="518">
        <v>15000000</v>
      </c>
      <c r="AH723" s="377">
        <f>+U723</f>
        <v>11096428.65</v>
      </c>
      <c r="AI723" s="132"/>
      <c r="AJ723" s="132">
        <v>3560000</v>
      </c>
      <c r="AK723" s="132"/>
      <c r="AL723" s="132"/>
      <c r="AM723" s="132"/>
      <c r="AN723" s="64" t="s">
        <v>39</v>
      </c>
      <c r="AO723" s="64"/>
      <c r="AP723" s="64"/>
      <c r="AQ723" s="189"/>
      <c r="AR723" s="64"/>
      <c r="AS723" s="476"/>
      <c r="AT723" s="64"/>
      <c r="AU723" s="646"/>
      <c r="AV723" s="335" t="s">
        <v>2009</v>
      </c>
    </row>
    <row r="724" spans="1:48" s="212" customFormat="1" ht="30" outlineLevel="2" x14ac:dyDescent="0.25">
      <c r="A724" s="210" t="str">
        <f t="shared" si="120"/>
        <v>1.5.1.1.3.58-64</v>
      </c>
      <c r="B724" s="136">
        <v>1</v>
      </c>
      <c r="C724" s="136">
        <v>5</v>
      </c>
      <c r="D724" s="136">
        <v>1</v>
      </c>
      <c r="E724" s="136">
        <v>1</v>
      </c>
      <c r="F724" s="136">
        <v>3</v>
      </c>
      <c r="G724" s="136" t="s">
        <v>64</v>
      </c>
      <c r="H724" s="125"/>
      <c r="I724" s="125"/>
      <c r="J724" s="125"/>
      <c r="K724" s="86" t="s">
        <v>738</v>
      </c>
      <c r="L724" s="136" t="s">
        <v>208</v>
      </c>
      <c r="M724" s="211" t="s">
        <v>739</v>
      </c>
      <c r="N724" s="211" t="s">
        <v>740</v>
      </c>
      <c r="O724" s="136" t="s">
        <v>741</v>
      </c>
      <c r="P724" s="136"/>
      <c r="Q724" s="136"/>
      <c r="R724" s="136">
        <v>21</v>
      </c>
      <c r="S724" s="125" t="s">
        <v>742</v>
      </c>
      <c r="T724" s="136">
        <v>0</v>
      </c>
      <c r="U724" s="132"/>
      <c r="V724" s="684">
        <f t="shared" si="144"/>
        <v>0</v>
      </c>
      <c r="W724" s="132">
        <v>21</v>
      </c>
      <c r="X724" s="132"/>
      <c r="Y724" s="132"/>
      <c r="Z724" s="132">
        <v>0</v>
      </c>
      <c r="AA724" s="132"/>
      <c r="AB724" s="132"/>
      <c r="AC724" s="132">
        <v>0</v>
      </c>
      <c r="AD724" s="132"/>
      <c r="AE724" s="598"/>
      <c r="AF724" s="350" t="s">
        <v>743</v>
      </c>
      <c r="AG724" s="518">
        <v>0</v>
      </c>
      <c r="AH724" s="377">
        <v>0</v>
      </c>
      <c r="AI724" s="132"/>
      <c r="AJ724" s="132"/>
      <c r="AK724" s="132"/>
      <c r="AL724" s="132"/>
      <c r="AM724" s="132"/>
      <c r="AN724" s="136" t="s">
        <v>39</v>
      </c>
      <c r="AO724" s="136"/>
      <c r="AP724" s="136"/>
      <c r="AQ724" s="414"/>
      <c r="AR724" s="136"/>
      <c r="AS724" s="477"/>
      <c r="AT724" s="136"/>
      <c r="AU724" s="646"/>
      <c r="AV724" s="448"/>
    </row>
    <row r="725" spans="1:48" s="212" customFormat="1" outlineLevel="2" x14ac:dyDescent="0.25">
      <c r="A725" s="210" t="str">
        <f t="shared" si="120"/>
        <v>1.5.1.1.4.58-64</v>
      </c>
      <c r="B725" s="136">
        <v>1</v>
      </c>
      <c r="C725" s="136">
        <v>5</v>
      </c>
      <c r="D725" s="136">
        <v>1</v>
      </c>
      <c r="E725" s="136">
        <v>1</v>
      </c>
      <c r="F725" s="136">
        <v>4</v>
      </c>
      <c r="G725" s="136" t="s">
        <v>64</v>
      </c>
      <c r="H725" s="125"/>
      <c r="I725" s="125"/>
      <c r="J725" s="125"/>
      <c r="K725" s="125" t="s">
        <v>744</v>
      </c>
      <c r="L725" s="136" t="s">
        <v>745</v>
      </c>
      <c r="M725" s="211" t="s">
        <v>746</v>
      </c>
      <c r="N725" s="136" t="s">
        <v>747</v>
      </c>
      <c r="O725" s="136" t="s">
        <v>748</v>
      </c>
      <c r="P725" s="136"/>
      <c r="Q725" s="136"/>
      <c r="R725" s="136">
        <v>168</v>
      </c>
      <c r="S725" s="125" t="s">
        <v>749</v>
      </c>
      <c r="T725" s="136">
        <v>42</v>
      </c>
      <c r="U725" s="132"/>
      <c r="V725" s="684">
        <f t="shared" si="144"/>
        <v>0</v>
      </c>
      <c r="W725" s="132">
        <v>42</v>
      </c>
      <c r="X725" s="132"/>
      <c r="Y725" s="132"/>
      <c r="Z725" s="132">
        <v>42</v>
      </c>
      <c r="AA725" s="132"/>
      <c r="AB725" s="132"/>
      <c r="AC725" s="132">
        <v>42</v>
      </c>
      <c r="AD725" s="132"/>
      <c r="AE725" s="598"/>
      <c r="AF725" s="349"/>
      <c r="AG725" s="518">
        <v>0</v>
      </c>
      <c r="AH725" s="377">
        <v>0</v>
      </c>
      <c r="AI725" s="132"/>
      <c r="AJ725" s="132"/>
      <c r="AK725" s="132"/>
      <c r="AL725" s="132"/>
      <c r="AM725" s="132"/>
      <c r="AN725" s="136" t="s">
        <v>39</v>
      </c>
      <c r="AO725" s="136"/>
      <c r="AP725" s="136"/>
      <c r="AQ725" s="414"/>
      <c r="AR725" s="136"/>
      <c r="AS725" s="477"/>
      <c r="AT725" s="136"/>
      <c r="AU725" s="646"/>
      <c r="AV725" s="448"/>
    </row>
    <row r="726" spans="1:48" s="212" customFormat="1" ht="30" outlineLevel="2" x14ac:dyDescent="0.25">
      <c r="A726" s="210" t="str">
        <f t="shared" si="120"/>
        <v>1.5.1.1.5.58-64</v>
      </c>
      <c r="B726" s="136">
        <v>1</v>
      </c>
      <c r="C726" s="136">
        <v>5</v>
      </c>
      <c r="D726" s="136">
        <v>1</v>
      </c>
      <c r="E726" s="136">
        <v>1</v>
      </c>
      <c r="F726" s="136">
        <v>5</v>
      </c>
      <c r="G726" s="136" t="s">
        <v>64</v>
      </c>
      <c r="H726" s="125"/>
      <c r="I726" s="125"/>
      <c r="J726" s="213"/>
      <c r="K726" s="86" t="s">
        <v>750</v>
      </c>
      <c r="L726" s="136" t="s">
        <v>751</v>
      </c>
      <c r="M726" s="211" t="s">
        <v>752</v>
      </c>
      <c r="N726" s="136" t="s">
        <v>198</v>
      </c>
      <c r="O726" s="136" t="s">
        <v>192</v>
      </c>
      <c r="P726" s="214"/>
      <c r="Q726" s="214"/>
      <c r="R726" s="136">
        <f t="shared" ref="R726:R731" si="145">T726+W726+Z726+AC726</f>
        <v>12</v>
      </c>
      <c r="S726" s="125" t="s">
        <v>753</v>
      </c>
      <c r="T726" s="136">
        <v>3</v>
      </c>
      <c r="U726" s="132"/>
      <c r="V726" s="684">
        <f t="shared" si="144"/>
        <v>0</v>
      </c>
      <c r="W726" s="132">
        <v>3</v>
      </c>
      <c r="X726" s="132"/>
      <c r="Y726" s="132"/>
      <c r="Z726" s="132">
        <v>3</v>
      </c>
      <c r="AA726" s="132"/>
      <c r="AB726" s="132"/>
      <c r="AC726" s="132">
        <v>3</v>
      </c>
      <c r="AD726" s="132"/>
      <c r="AE726" s="598"/>
      <c r="AF726" s="349"/>
      <c r="AG726" s="518">
        <v>0</v>
      </c>
      <c r="AH726" s="377">
        <v>0</v>
      </c>
      <c r="AI726" s="132"/>
      <c r="AJ726" s="132"/>
      <c r="AK726" s="132"/>
      <c r="AL726" s="132"/>
      <c r="AM726" s="132"/>
      <c r="AN726" s="136" t="s">
        <v>39</v>
      </c>
      <c r="AO726" s="136"/>
      <c r="AP726" s="136"/>
      <c r="AQ726" s="414"/>
      <c r="AR726" s="136"/>
      <c r="AS726" s="477"/>
      <c r="AT726" s="136"/>
      <c r="AU726" s="646"/>
      <c r="AV726" s="448"/>
    </row>
    <row r="727" spans="1:48" s="212" customFormat="1" ht="30" outlineLevel="2" x14ac:dyDescent="0.25">
      <c r="A727" s="210" t="str">
        <f t="shared" si="120"/>
        <v>1.5.1.1.6.58-64</v>
      </c>
      <c r="B727" s="136">
        <v>1</v>
      </c>
      <c r="C727" s="136">
        <v>5</v>
      </c>
      <c r="D727" s="136">
        <v>1</v>
      </c>
      <c r="E727" s="136">
        <v>1</v>
      </c>
      <c r="F727" s="136">
        <v>6</v>
      </c>
      <c r="G727" s="136" t="s">
        <v>64</v>
      </c>
      <c r="H727" s="125"/>
      <c r="I727" s="125"/>
      <c r="J727" s="125"/>
      <c r="K727" s="86" t="s">
        <v>754</v>
      </c>
      <c r="L727" s="136" t="s">
        <v>751</v>
      </c>
      <c r="M727" s="136" t="s">
        <v>755</v>
      </c>
      <c r="N727" s="136" t="s">
        <v>198</v>
      </c>
      <c r="O727" s="136" t="s">
        <v>192</v>
      </c>
      <c r="P727" s="214"/>
      <c r="Q727" s="214"/>
      <c r="R727" s="136">
        <f t="shared" si="145"/>
        <v>12</v>
      </c>
      <c r="S727" s="125" t="s">
        <v>756</v>
      </c>
      <c r="T727" s="136">
        <v>3</v>
      </c>
      <c r="U727" s="132"/>
      <c r="V727" s="684">
        <f t="shared" si="144"/>
        <v>0</v>
      </c>
      <c r="W727" s="132">
        <v>3</v>
      </c>
      <c r="X727" s="132"/>
      <c r="Y727" s="132"/>
      <c r="Z727" s="132">
        <v>3</v>
      </c>
      <c r="AA727" s="132"/>
      <c r="AB727" s="132"/>
      <c r="AC727" s="132">
        <v>3</v>
      </c>
      <c r="AD727" s="132"/>
      <c r="AE727" s="598"/>
      <c r="AF727" s="349"/>
      <c r="AG727" s="518">
        <v>0</v>
      </c>
      <c r="AH727" s="377">
        <v>0</v>
      </c>
      <c r="AI727" s="132"/>
      <c r="AJ727" s="132"/>
      <c r="AK727" s="132"/>
      <c r="AL727" s="132"/>
      <c r="AM727" s="132"/>
      <c r="AN727" s="136" t="s">
        <v>39</v>
      </c>
      <c r="AO727" s="136"/>
      <c r="AP727" s="136"/>
      <c r="AQ727" s="414"/>
      <c r="AR727" s="136"/>
      <c r="AS727" s="477"/>
      <c r="AT727" s="136"/>
      <c r="AU727" s="646"/>
      <c r="AV727" s="448"/>
    </row>
    <row r="728" spans="1:48" s="212" customFormat="1" outlineLevel="2" x14ac:dyDescent="0.25">
      <c r="A728" s="210" t="str">
        <f t="shared" si="120"/>
        <v>1.5.1.1.7.58-64</v>
      </c>
      <c r="B728" s="136">
        <v>1</v>
      </c>
      <c r="C728" s="136">
        <v>5</v>
      </c>
      <c r="D728" s="136">
        <v>1</v>
      </c>
      <c r="E728" s="136">
        <v>1</v>
      </c>
      <c r="F728" s="136">
        <v>7</v>
      </c>
      <c r="G728" s="136" t="s">
        <v>64</v>
      </c>
      <c r="H728" s="125"/>
      <c r="I728" s="125"/>
      <c r="J728" s="213"/>
      <c r="K728" s="125" t="s">
        <v>757</v>
      </c>
      <c r="L728" s="136" t="s">
        <v>208</v>
      </c>
      <c r="M728" s="136" t="s">
        <v>758</v>
      </c>
      <c r="N728" s="211" t="s">
        <v>759</v>
      </c>
      <c r="O728" s="136" t="s">
        <v>209</v>
      </c>
      <c r="P728" s="136"/>
      <c r="Q728" s="214"/>
      <c r="R728" s="136">
        <f t="shared" si="145"/>
        <v>203</v>
      </c>
      <c r="S728" s="125" t="s">
        <v>760</v>
      </c>
      <c r="T728" s="136">
        <f>12*7</f>
        <v>84</v>
      </c>
      <c r="U728" s="132"/>
      <c r="V728" s="684">
        <f t="shared" si="144"/>
        <v>0</v>
      </c>
      <c r="W728" s="132">
        <f>(5*7)</f>
        <v>35</v>
      </c>
      <c r="X728" s="132"/>
      <c r="Y728" s="132"/>
      <c r="Z728" s="132">
        <f>12*7</f>
        <v>84</v>
      </c>
      <c r="AA728" s="132"/>
      <c r="AB728" s="132"/>
      <c r="AC728" s="132">
        <v>0</v>
      </c>
      <c r="AD728" s="132"/>
      <c r="AE728" s="598"/>
      <c r="AF728" s="349" t="s">
        <v>761</v>
      </c>
      <c r="AG728" s="518">
        <v>0</v>
      </c>
      <c r="AH728" s="377">
        <v>0</v>
      </c>
      <c r="AI728" s="132"/>
      <c r="AJ728" s="132"/>
      <c r="AK728" s="132"/>
      <c r="AL728" s="132"/>
      <c r="AM728" s="132"/>
      <c r="AN728" s="136" t="s">
        <v>39</v>
      </c>
      <c r="AO728" s="136"/>
      <c r="AP728" s="136"/>
      <c r="AQ728" s="414"/>
      <c r="AR728" s="136"/>
      <c r="AS728" s="477"/>
      <c r="AT728" s="136"/>
      <c r="AU728" s="646"/>
      <c r="AV728" s="448"/>
    </row>
    <row r="729" spans="1:48" s="212" customFormat="1" ht="30" outlineLevel="2" x14ac:dyDescent="0.25">
      <c r="A729" s="210" t="str">
        <f t="shared" si="120"/>
        <v>1.5.1.1.8.58-64</v>
      </c>
      <c r="B729" s="136">
        <v>1</v>
      </c>
      <c r="C729" s="136">
        <v>5</v>
      </c>
      <c r="D729" s="136">
        <v>1</v>
      </c>
      <c r="E729" s="136">
        <v>1</v>
      </c>
      <c r="F729" s="136">
        <v>8</v>
      </c>
      <c r="G729" s="136" t="s">
        <v>64</v>
      </c>
      <c r="H729" s="125"/>
      <c r="I729" s="125"/>
      <c r="J729" s="213"/>
      <c r="K729" s="86" t="s">
        <v>762</v>
      </c>
      <c r="L729" s="136" t="s">
        <v>208</v>
      </c>
      <c r="M729" s="136" t="s">
        <v>763</v>
      </c>
      <c r="N729" s="136" t="s">
        <v>764</v>
      </c>
      <c r="O729" s="136" t="s">
        <v>208</v>
      </c>
      <c r="P729" s="136"/>
      <c r="Q729" s="214"/>
      <c r="R729" s="136">
        <f t="shared" si="145"/>
        <v>16</v>
      </c>
      <c r="S729" s="125" t="s">
        <v>760</v>
      </c>
      <c r="T729" s="136">
        <v>6</v>
      </c>
      <c r="U729" s="132"/>
      <c r="V729" s="684">
        <f t="shared" si="144"/>
        <v>0</v>
      </c>
      <c r="W729" s="132">
        <v>2</v>
      </c>
      <c r="X729" s="132"/>
      <c r="Y729" s="132"/>
      <c r="Z729" s="132">
        <v>6</v>
      </c>
      <c r="AA729" s="132"/>
      <c r="AB729" s="132"/>
      <c r="AC729" s="132">
        <v>2</v>
      </c>
      <c r="AD729" s="132"/>
      <c r="AE729" s="598"/>
      <c r="AF729" s="349" t="s">
        <v>765</v>
      </c>
      <c r="AG729" s="518">
        <v>0</v>
      </c>
      <c r="AH729" s="377">
        <v>0</v>
      </c>
      <c r="AI729" s="132"/>
      <c r="AJ729" s="132"/>
      <c r="AK729" s="132"/>
      <c r="AL729" s="132"/>
      <c r="AM729" s="132"/>
      <c r="AN729" s="136" t="s">
        <v>39</v>
      </c>
      <c r="AO729" s="136"/>
      <c r="AP729" s="136"/>
      <c r="AQ729" s="414"/>
      <c r="AR729" s="136"/>
      <c r="AS729" s="477"/>
      <c r="AT729" s="136"/>
      <c r="AU729" s="646"/>
      <c r="AV729" s="448"/>
    </row>
    <row r="730" spans="1:48" s="212" customFormat="1" outlineLevel="2" x14ac:dyDescent="0.25">
      <c r="A730" s="210" t="str">
        <f t="shared" si="120"/>
        <v>1.5.1.1.9.58-64</v>
      </c>
      <c r="B730" s="136">
        <v>1</v>
      </c>
      <c r="C730" s="136">
        <v>5</v>
      </c>
      <c r="D730" s="136">
        <v>1</v>
      </c>
      <c r="E730" s="136">
        <v>1</v>
      </c>
      <c r="F730" s="136">
        <v>9</v>
      </c>
      <c r="G730" s="136" t="s">
        <v>64</v>
      </c>
      <c r="H730" s="125"/>
      <c r="I730" s="125"/>
      <c r="J730" s="213"/>
      <c r="K730" s="125" t="s">
        <v>766</v>
      </c>
      <c r="L730" s="136" t="s">
        <v>208</v>
      </c>
      <c r="M730" s="136" t="s">
        <v>767</v>
      </c>
      <c r="N730" s="136" t="s">
        <v>764</v>
      </c>
      <c r="O730" s="136" t="s">
        <v>768</v>
      </c>
      <c r="P730" s="136"/>
      <c r="Q730" s="214"/>
      <c r="R730" s="136">
        <f t="shared" si="145"/>
        <v>14</v>
      </c>
      <c r="S730" s="125" t="s">
        <v>760</v>
      </c>
      <c r="T730" s="136">
        <v>7</v>
      </c>
      <c r="U730" s="132"/>
      <c r="V730" s="684">
        <f t="shared" si="144"/>
        <v>0</v>
      </c>
      <c r="W730" s="132">
        <v>0</v>
      </c>
      <c r="X730" s="132"/>
      <c r="Y730" s="132"/>
      <c r="Z730" s="132">
        <v>7</v>
      </c>
      <c r="AA730" s="132"/>
      <c r="AB730" s="132"/>
      <c r="AC730" s="132">
        <v>0</v>
      </c>
      <c r="AD730" s="132"/>
      <c r="AE730" s="598"/>
      <c r="AF730" s="349" t="s">
        <v>761</v>
      </c>
      <c r="AG730" s="518">
        <v>0</v>
      </c>
      <c r="AH730" s="377">
        <v>0</v>
      </c>
      <c r="AI730" s="132"/>
      <c r="AJ730" s="132"/>
      <c r="AK730" s="132"/>
      <c r="AL730" s="132"/>
      <c r="AM730" s="132"/>
      <c r="AN730" s="136" t="s">
        <v>39</v>
      </c>
      <c r="AO730" s="136"/>
      <c r="AP730" s="136"/>
      <c r="AQ730" s="414"/>
      <c r="AR730" s="136"/>
      <c r="AS730" s="477"/>
      <c r="AT730" s="136"/>
      <c r="AU730" s="646"/>
      <c r="AV730" s="448"/>
    </row>
    <row r="731" spans="1:48" s="212" customFormat="1" outlineLevel="2" x14ac:dyDescent="0.25">
      <c r="A731" s="210" t="str">
        <f t="shared" si="120"/>
        <v>1.5.1.1.10.58-64</v>
      </c>
      <c r="B731" s="136">
        <v>1</v>
      </c>
      <c r="C731" s="136">
        <v>5</v>
      </c>
      <c r="D731" s="136">
        <v>1</v>
      </c>
      <c r="E731" s="136">
        <v>1</v>
      </c>
      <c r="F731" s="136">
        <v>10</v>
      </c>
      <c r="G731" s="136" t="s">
        <v>64</v>
      </c>
      <c r="H731" s="125"/>
      <c r="I731" s="125"/>
      <c r="J731" s="213"/>
      <c r="K731" s="125" t="s">
        <v>769</v>
      </c>
      <c r="L731" s="136" t="s">
        <v>208</v>
      </c>
      <c r="M731" s="211" t="s">
        <v>770</v>
      </c>
      <c r="N731" s="136" t="s">
        <v>771</v>
      </c>
      <c r="O731" s="136" t="s">
        <v>359</v>
      </c>
      <c r="P731" s="136"/>
      <c r="Q731" s="214"/>
      <c r="R731" s="136">
        <f t="shared" si="145"/>
        <v>14</v>
      </c>
      <c r="S731" s="125" t="s">
        <v>760</v>
      </c>
      <c r="T731" s="136">
        <v>7</v>
      </c>
      <c r="U731" s="132"/>
      <c r="V731" s="684">
        <f t="shared" si="144"/>
        <v>0</v>
      </c>
      <c r="W731" s="132">
        <v>0</v>
      </c>
      <c r="X731" s="132"/>
      <c r="Y731" s="132"/>
      <c r="Z731" s="132">
        <v>7</v>
      </c>
      <c r="AA731" s="132"/>
      <c r="AB731" s="132"/>
      <c r="AC731" s="132">
        <v>0</v>
      </c>
      <c r="AD731" s="132"/>
      <c r="AE731" s="598"/>
      <c r="AF731" s="349" t="s">
        <v>761</v>
      </c>
      <c r="AG731" s="518">
        <v>0</v>
      </c>
      <c r="AH731" s="377">
        <v>0</v>
      </c>
      <c r="AI731" s="132"/>
      <c r="AJ731" s="132"/>
      <c r="AK731" s="132"/>
      <c r="AL731" s="132"/>
      <c r="AM731" s="132"/>
      <c r="AN731" s="136" t="s">
        <v>39</v>
      </c>
      <c r="AO731" s="136"/>
      <c r="AP731" s="136"/>
      <c r="AQ731" s="414"/>
      <c r="AR731" s="136"/>
      <c r="AS731" s="477"/>
      <c r="AT731" s="136"/>
      <c r="AU731" s="646"/>
      <c r="AV731" s="448"/>
    </row>
    <row r="732" spans="1:48" s="153" customFormat="1" ht="22.5" customHeight="1" outlineLevel="1" x14ac:dyDescent="0.25">
      <c r="A732" s="148" t="str">
        <f t="shared" si="120"/>
        <v>1.5.1.2.0.0</v>
      </c>
      <c r="B732" s="82">
        <v>1</v>
      </c>
      <c r="C732" s="82">
        <v>5</v>
      </c>
      <c r="D732" s="82">
        <v>1</v>
      </c>
      <c r="E732" s="82">
        <v>2</v>
      </c>
      <c r="F732" s="82">
        <v>0</v>
      </c>
      <c r="G732" s="82">
        <v>0</v>
      </c>
      <c r="H732" s="149"/>
      <c r="I732" s="149"/>
      <c r="J732" s="1260" t="s">
        <v>772</v>
      </c>
      <c r="K732" s="1259"/>
      <c r="L732" s="82" t="s">
        <v>236</v>
      </c>
      <c r="M732" s="82">
        <v>0</v>
      </c>
      <c r="N732" s="82">
        <v>0</v>
      </c>
      <c r="O732" s="82">
        <v>0</v>
      </c>
      <c r="P732" s="82"/>
      <c r="Q732" s="82"/>
      <c r="R732" s="82"/>
      <c r="S732" s="149"/>
      <c r="T732" s="82"/>
      <c r="U732" s="152"/>
      <c r="V732" s="681"/>
      <c r="W732" s="152"/>
      <c r="X732" s="152"/>
      <c r="Y732" s="152"/>
      <c r="Z732" s="152"/>
      <c r="AA732" s="152"/>
      <c r="AB732" s="152"/>
      <c r="AC732" s="152"/>
      <c r="AD732" s="152"/>
      <c r="AE732" s="597"/>
      <c r="AF732" s="358"/>
      <c r="AG732" s="519">
        <f>+SUM(AG733)</f>
        <v>0</v>
      </c>
      <c r="AH732" s="383">
        <f>+SUM(AH733)</f>
        <v>0</v>
      </c>
      <c r="AI732" s="519">
        <f>+SUM(AI733)</f>
        <v>0</v>
      </c>
      <c r="AJ732" s="519">
        <f>+SUM(AJ733)</f>
        <v>0</v>
      </c>
      <c r="AK732" s="215"/>
      <c r="AL732" s="215"/>
      <c r="AM732" s="215"/>
      <c r="AN732" s="82" t="s">
        <v>39</v>
      </c>
      <c r="AO732" s="82"/>
      <c r="AP732" s="82"/>
      <c r="AQ732" s="365"/>
      <c r="AR732" s="82"/>
      <c r="AS732" s="483"/>
      <c r="AT732" s="82"/>
      <c r="AU732" s="666"/>
      <c r="AV732" s="444"/>
    </row>
    <row r="733" spans="1:48" ht="26.25" customHeight="1" outlineLevel="2" x14ac:dyDescent="0.25">
      <c r="A733" s="63" t="str">
        <f t="shared" si="120"/>
        <v>1.5.1.2.1.58-64</v>
      </c>
      <c r="B733" s="64">
        <v>1</v>
      </c>
      <c r="C733" s="64">
        <v>5</v>
      </c>
      <c r="D733" s="64">
        <v>1</v>
      </c>
      <c r="E733" s="64">
        <v>2</v>
      </c>
      <c r="F733" s="64">
        <v>1</v>
      </c>
      <c r="G733" s="64" t="s">
        <v>64</v>
      </c>
      <c r="H733" s="65"/>
      <c r="I733" s="65"/>
      <c r="J733" s="66"/>
      <c r="K733" s="67" t="s">
        <v>773</v>
      </c>
      <c r="L733" s="64" t="s">
        <v>236</v>
      </c>
      <c r="M733" s="64" t="s">
        <v>73</v>
      </c>
      <c r="N733" s="64" t="s">
        <v>74</v>
      </c>
      <c r="O733" s="64" t="s">
        <v>359</v>
      </c>
      <c r="P733" s="64"/>
      <c r="Q733" s="64"/>
      <c r="R733" s="64"/>
      <c r="S733" s="65"/>
      <c r="T733" s="64"/>
      <c r="U733" s="75"/>
      <c r="V733" s="684">
        <f t="shared" si="144"/>
        <v>0</v>
      </c>
      <c r="W733" s="75"/>
      <c r="X733" s="75"/>
      <c r="Y733" s="75"/>
      <c r="Z733" s="75"/>
      <c r="AA733" s="75"/>
      <c r="AB733" s="75"/>
      <c r="AC733" s="75"/>
      <c r="AD733" s="75"/>
      <c r="AE733" s="592"/>
      <c r="AF733" s="259"/>
      <c r="AG733" s="510">
        <v>0</v>
      </c>
      <c r="AH733" s="370">
        <v>0</v>
      </c>
      <c r="AI733" s="75"/>
      <c r="AJ733" s="75"/>
      <c r="AK733" s="75"/>
      <c r="AL733" s="75"/>
      <c r="AM733" s="75"/>
      <c r="AN733" s="64" t="s">
        <v>39</v>
      </c>
      <c r="AO733" s="64"/>
      <c r="AP733" s="64"/>
      <c r="AQ733" s="189"/>
      <c r="AR733" s="64"/>
      <c r="AS733" s="476"/>
      <c r="AT733" s="64"/>
      <c r="AU733" s="646"/>
      <c r="AV733" s="185"/>
    </row>
    <row r="734" spans="1:48" s="153" customFormat="1" ht="15" customHeight="1" outlineLevel="1" x14ac:dyDescent="0.25">
      <c r="A734" s="148" t="str">
        <f t="shared" si="120"/>
        <v>1.5.1.3.0.0</v>
      </c>
      <c r="B734" s="82">
        <v>1</v>
      </c>
      <c r="C734" s="82">
        <v>5</v>
      </c>
      <c r="D734" s="82">
        <v>1</v>
      </c>
      <c r="E734" s="82">
        <v>3</v>
      </c>
      <c r="F734" s="82">
        <v>0</v>
      </c>
      <c r="G734" s="82">
        <v>0</v>
      </c>
      <c r="H734" s="149"/>
      <c r="I734" s="149"/>
      <c r="J734" s="1260" t="s">
        <v>774</v>
      </c>
      <c r="K734" s="1259"/>
      <c r="L734" s="82" t="s">
        <v>236</v>
      </c>
      <c r="M734" s="82" t="s">
        <v>73</v>
      </c>
      <c r="N734" s="82" t="s">
        <v>74</v>
      </c>
      <c r="O734" s="82" t="s">
        <v>359</v>
      </c>
      <c r="P734" s="82"/>
      <c r="Q734" s="82"/>
      <c r="R734" s="82"/>
      <c r="S734" s="149"/>
      <c r="T734" s="82"/>
      <c r="U734" s="152"/>
      <c r="V734" s="681"/>
      <c r="W734" s="152"/>
      <c r="X734" s="152"/>
      <c r="Y734" s="152"/>
      <c r="Z734" s="152"/>
      <c r="AA734" s="152"/>
      <c r="AB734" s="152"/>
      <c r="AC734" s="152"/>
      <c r="AD734" s="152"/>
      <c r="AE734" s="597"/>
      <c r="AF734" s="358"/>
      <c r="AG734" s="519">
        <f>+SUM(AG735)</f>
        <v>0</v>
      </c>
      <c r="AH734" s="383">
        <f>+SUM(AH735)</f>
        <v>0</v>
      </c>
      <c r="AI734" s="519">
        <f>+SUM(AI735)</f>
        <v>0</v>
      </c>
      <c r="AJ734" s="519">
        <f>+SUM(AJ735)</f>
        <v>0</v>
      </c>
      <c r="AK734" s="215"/>
      <c r="AL734" s="215"/>
      <c r="AM734" s="215"/>
      <c r="AN734" s="82" t="s">
        <v>39</v>
      </c>
      <c r="AO734" s="82"/>
      <c r="AP734" s="82"/>
      <c r="AQ734" s="365"/>
      <c r="AR734" s="82"/>
      <c r="AS734" s="483"/>
      <c r="AT734" s="82"/>
      <c r="AU734" s="666"/>
      <c r="AV734" s="444"/>
    </row>
    <row r="735" spans="1:48" ht="15.75" customHeight="1" outlineLevel="2" x14ac:dyDescent="0.25">
      <c r="A735" s="63" t="str">
        <f t="shared" si="120"/>
        <v>1.5.1.3.1.58-64</v>
      </c>
      <c r="B735" s="64">
        <v>1</v>
      </c>
      <c r="C735" s="64">
        <v>5</v>
      </c>
      <c r="D735" s="64">
        <v>1</v>
      </c>
      <c r="E735" s="64">
        <v>3</v>
      </c>
      <c r="F735" s="64">
        <v>1</v>
      </c>
      <c r="G735" s="64" t="s">
        <v>64</v>
      </c>
      <c r="H735" s="65"/>
      <c r="I735" s="65"/>
      <c r="J735" s="65"/>
      <c r="K735" s="65" t="s">
        <v>775</v>
      </c>
      <c r="L735" s="64" t="s">
        <v>236</v>
      </c>
      <c r="M735" s="64" t="s">
        <v>73</v>
      </c>
      <c r="N735" s="64" t="s">
        <v>74</v>
      </c>
      <c r="O735" s="64" t="s">
        <v>359</v>
      </c>
      <c r="P735" s="64"/>
      <c r="Q735" s="64"/>
      <c r="R735" s="64"/>
      <c r="S735" s="65"/>
      <c r="T735" s="64"/>
      <c r="U735" s="75"/>
      <c r="V735" s="684">
        <f t="shared" si="144"/>
        <v>0</v>
      </c>
      <c r="W735" s="75"/>
      <c r="X735" s="75"/>
      <c r="Y735" s="75"/>
      <c r="Z735" s="75"/>
      <c r="AA735" s="75"/>
      <c r="AB735" s="75"/>
      <c r="AC735" s="75"/>
      <c r="AD735" s="75"/>
      <c r="AE735" s="592"/>
      <c r="AF735" s="259"/>
      <c r="AG735" s="510">
        <v>0</v>
      </c>
      <c r="AH735" s="370">
        <v>0</v>
      </c>
      <c r="AI735" s="75"/>
      <c r="AJ735" s="75"/>
      <c r="AK735" s="75"/>
      <c r="AL735" s="75"/>
      <c r="AM735" s="75"/>
      <c r="AN735" s="64" t="s">
        <v>39</v>
      </c>
      <c r="AO735" s="64"/>
      <c r="AP735" s="64"/>
      <c r="AQ735" s="189"/>
      <c r="AR735" s="64"/>
      <c r="AS735" s="476"/>
      <c r="AT735" s="64"/>
      <c r="AU735" s="646"/>
      <c r="AV735" s="185"/>
    </row>
    <row r="736" spans="1:48" s="153" customFormat="1" ht="45" customHeight="1" outlineLevel="1" x14ac:dyDescent="0.25">
      <c r="A736" s="148" t="str">
        <f t="shared" si="120"/>
        <v>1.5.1.4.0.0</v>
      </c>
      <c r="B736" s="82">
        <v>1</v>
      </c>
      <c r="C736" s="82">
        <v>5</v>
      </c>
      <c r="D736" s="82">
        <v>1</v>
      </c>
      <c r="E736" s="82">
        <v>4</v>
      </c>
      <c r="F736" s="82">
        <v>0</v>
      </c>
      <c r="G736" s="82">
        <v>0</v>
      </c>
      <c r="H736" s="149"/>
      <c r="I736" s="149"/>
      <c r="J736" s="1260" t="s">
        <v>776</v>
      </c>
      <c r="K736" s="1259"/>
      <c r="L736" s="82" t="s">
        <v>236</v>
      </c>
      <c r="M736" s="82" t="s">
        <v>422</v>
      </c>
      <c r="N736" s="82">
        <v>0</v>
      </c>
      <c r="O736" s="82">
        <v>0</v>
      </c>
      <c r="P736" s="82"/>
      <c r="Q736" s="82"/>
      <c r="R736" s="82"/>
      <c r="S736" s="149"/>
      <c r="T736" s="82"/>
      <c r="U736" s="152">
        <f>SUM(U737:U757)</f>
        <v>1920399.9949999994</v>
      </c>
      <c r="V736" s="681">
        <f t="shared" ref="V736:AG736" si="146">SUM(V737:V757)</f>
        <v>0</v>
      </c>
      <c r="W736" s="152">
        <f t="shared" si="146"/>
        <v>0</v>
      </c>
      <c r="X736" s="152">
        <f t="shared" si="146"/>
        <v>2894149.995000001</v>
      </c>
      <c r="Y736" s="152">
        <f t="shared" si="146"/>
        <v>0</v>
      </c>
      <c r="Z736" s="152">
        <f t="shared" si="146"/>
        <v>6.5</v>
      </c>
      <c r="AA736" s="152">
        <f t="shared" si="146"/>
        <v>1108750</v>
      </c>
      <c r="AB736" s="152">
        <f t="shared" si="146"/>
        <v>0</v>
      </c>
      <c r="AC736" s="152">
        <f t="shared" si="146"/>
        <v>6.5</v>
      </c>
      <c r="AD736" s="152">
        <f t="shared" si="146"/>
        <v>0</v>
      </c>
      <c r="AE736" s="152">
        <f t="shared" si="146"/>
        <v>0</v>
      </c>
      <c r="AF736" s="152">
        <f t="shared" si="146"/>
        <v>0</v>
      </c>
      <c r="AG736" s="152">
        <f t="shared" si="146"/>
        <v>5437499.9850000031</v>
      </c>
      <c r="AH736" s="384">
        <f>SUM(AH737:AH757)</f>
        <v>5923299.9900000021</v>
      </c>
      <c r="AI736" s="520">
        <f>SUM(AI737:AI757)</f>
        <v>0</v>
      </c>
      <c r="AJ736" s="520">
        <f>SUM(AJ737:AJ757)</f>
        <v>0</v>
      </c>
      <c r="AK736" s="216"/>
      <c r="AL736" s="216"/>
      <c r="AM736" s="216"/>
      <c r="AN736" s="82" t="s">
        <v>39</v>
      </c>
      <c r="AO736" s="82"/>
      <c r="AP736" s="82"/>
      <c r="AQ736" s="365"/>
      <c r="AR736" s="82"/>
      <c r="AS736" s="483"/>
      <c r="AT736" s="82"/>
      <c r="AU736" s="666"/>
      <c r="AV736" s="449" t="s">
        <v>777</v>
      </c>
    </row>
    <row r="737" spans="1:48" ht="30" outlineLevel="2" x14ac:dyDescent="0.25">
      <c r="A737" s="63" t="str">
        <f t="shared" si="120"/>
        <v>1.5.1.4.1.58</v>
      </c>
      <c r="B737" s="64">
        <v>1</v>
      </c>
      <c r="C737" s="64">
        <v>5</v>
      </c>
      <c r="D737" s="64">
        <v>1</v>
      </c>
      <c r="E737" s="64">
        <v>4</v>
      </c>
      <c r="F737" s="64">
        <v>1</v>
      </c>
      <c r="G737" s="64">
        <v>58</v>
      </c>
      <c r="H737" s="65"/>
      <c r="I737" s="65"/>
      <c r="J737" s="66"/>
      <c r="K737" s="67" t="s">
        <v>778</v>
      </c>
      <c r="L737" s="64" t="s">
        <v>236</v>
      </c>
      <c r="M737" s="64" t="s">
        <v>422</v>
      </c>
      <c r="N737" s="64">
        <v>0</v>
      </c>
      <c r="O737" s="64">
        <v>0</v>
      </c>
      <c r="P737" s="69">
        <v>44201</v>
      </c>
      <c r="Q737" s="69">
        <v>44560</v>
      </c>
      <c r="R737" s="64">
        <v>26</v>
      </c>
      <c r="S737" s="65" t="s">
        <v>779</v>
      </c>
      <c r="T737" s="64">
        <v>6.5</v>
      </c>
      <c r="U737" s="155"/>
      <c r="V737" s="684">
        <f t="shared" si="144"/>
        <v>0</v>
      </c>
      <c r="W737" s="75"/>
      <c r="X737" s="155"/>
      <c r="Y737" s="155"/>
      <c r="Z737" s="75">
        <v>6.5</v>
      </c>
      <c r="AA737" s="75"/>
      <c r="AB737" s="75"/>
      <c r="AC737" s="75">
        <v>6.5</v>
      </c>
      <c r="AD737" s="75"/>
      <c r="AE737" s="592"/>
      <c r="AF737" s="259" t="s">
        <v>1795</v>
      </c>
      <c r="AG737" s="504">
        <v>150000</v>
      </c>
      <c r="AH737" s="377">
        <v>0</v>
      </c>
      <c r="AI737" s="75"/>
      <c r="AJ737" s="75"/>
      <c r="AK737" s="75"/>
      <c r="AL737" s="75"/>
      <c r="AM737" s="75"/>
      <c r="AN737" s="64" t="s">
        <v>39</v>
      </c>
      <c r="AO737" s="64"/>
      <c r="AP737" s="64"/>
      <c r="AQ737" s="189"/>
      <c r="AR737" s="64"/>
      <c r="AS737" s="476"/>
      <c r="AT737" s="64"/>
      <c r="AU737" s="646"/>
      <c r="AV737" s="185" t="s">
        <v>780</v>
      </c>
    </row>
    <row r="738" spans="1:48" outlineLevel="2" x14ac:dyDescent="0.25">
      <c r="A738" s="63" t="str">
        <f t="shared" si="120"/>
        <v>1.5.1.4.1.59</v>
      </c>
      <c r="B738" s="64">
        <v>1</v>
      </c>
      <c r="C738" s="64">
        <v>5</v>
      </c>
      <c r="D738" s="64">
        <v>1</v>
      </c>
      <c r="E738" s="64">
        <v>4</v>
      </c>
      <c r="F738" s="64">
        <v>1</v>
      </c>
      <c r="G738" s="64">
        <v>59</v>
      </c>
      <c r="H738" s="65"/>
      <c r="I738" s="65"/>
      <c r="J738" s="66"/>
      <c r="K738" s="67" t="s">
        <v>781</v>
      </c>
      <c r="L738" s="64" t="s">
        <v>236</v>
      </c>
      <c r="M738" s="64" t="s">
        <v>422</v>
      </c>
      <c r="N738" s="64">
        <v>0</v>
      </c>
      <c r="O738" s="64">
        <v>0</v>
      </c>
      <c r="P738" s="69"/>
      <c r="Q738" s="69"/>
      <c r="R738" s="64"/>
      <c r="S738" s="65"/>
      <c r="T738" s="64"/>
      <c r="U738" s="155">
        <f>+AH738</f>
        <v>135000</v>
      </c>
      <c r="V738" s="684">
        <f t="shared" si="144"/>
        <v>0</v>
      </c>
      <c r="W738" s="75"/>
      <c r="X738" s="155"/>
      <c r="Y738" s="155"/>
      <c r="Z738" s="75"/>
      <c r="AA738" s="75"/>
      <c r="AB738" s="75"/>
      <c r="AC738" s="75"/>
      <c r="AD738" s="75"/>
      <c r="AE738" s="592"/>
      <c r="AF738" s="259"/>
      <c r="AG738" s="504">
        <v>120000</v>
      </c>
      <c r="AH738" s="377">
        <v>135000</v>
      </c>
      <c r="AI738" s="75"/>
      <c r="AJ738" s="75"/>
      <c r="AK738" s="75"/>
      <c r="AL738" s="75"/>
      <c r="AM738" s="75"/>
      <c r="AN738" s="64" t="s">
        <v>39</v>
      </c>
      <c r="AO738" s="64"/>
      <c r="AP738" s="64"/>
      <c r="AQ738" s="189"/>
      <c r="AR738" s="64"/>
      <c r="AS738" s="476"/>
      <c r="AT738" s="64"/>
      <c r="AU738" s="646"/>
      <c r="AV738" s="185" t="s">
        <v>780</v>
      </c>
    </row>
    <row r="739" spans="1:48" outlineLevel="2" x14ac:dyDescent="0.25">
      <c r="A739" s="63" t="str">
        <f t="shared" si="120"/>
        <v>1.5.1.4.1.60</v>
      </c>
      <c r="B739" s="64">
        <v>1</v>
      </c>
      <c r="C739" s="64">
        <v>5</v>
      </c>
      <c r="D739" s="64">
        <v>1</v>
      </c>
      <c r="E739" s="64">
        <v>4</v>
      </c>
      <c r="F739" s="64">
        <v>1</v>
      </c>
      <c r="G739" s="64">
        <v>60</v>
      </c>
      <c r="H739" s="65"/>
      <c r="I739" s="65"/>
      <c r="J739" s="66"/>
      <c r="K739" s="67" t="s">
        <v>782</v>
      </c>
      <c r="L739" s="64" t="s">
        <v>236</v>
      </c>
      <c r="M739" s="64" t="s">
        <v>422</v>
      </c>
      <c r="N739" s="64">
        <v>0</v>
      </c>
      <c r="O739" s="64">
        <v>0</v>
      </c>
      <c r="P739" s="69"/>
      <c r="Q739" s="69"/>
      <c r="R739" s="64"/>
      <c r="S739" s="65"/>
      <c r="T739" s="64"/>
      <c r="U739" s="75"/>
      <c r="V739" s="684">
        <f t="shared" si="144"/>
        <v>0</v>
      </c>
      <c r="W739" s="75"/>
      <c r="X739" s="75">
        <f>35000*5*3</f>
        <v>525000</v>
      </c>
      <c r="Y739" s="75"/>
      <c r="Z739" s="75"/>
      <c r="AA739" s="75">
        <f>35000*5*3</f>
        <v>525000</v>
      </c>
      <c r="AB739" s="75"/>
      <c r="AC739" s="75"/>
      <c r="AD739" s="75"/>
      <c r="AE739" s="592"/>
      <c r="AF739" s="259"/>
      <c r="AG739" s="504">
        <v>1050000</v>
      </c>
      <c r="AH739" s="377">
        <f>35000*5*12/2</f>
        <v>1050000</v>
      </c>
      <c r="AI739" s="75"/>
      <c r="AJ739" s="75"/>
      <c r="AK739" s="75"/>
      <c r="AL739" s="75"/>
      <c r="AM739" s="75"/>
      <c r="AN739" s="64" t="s">
        <v>39</v>
      </c>
      <c r="AO739" s="64"/>
      <c r="AP739" s="64"/>
      <c r="AQ739" s="189"/>
      <c r="AR739" s="64"/>
      <c r="AS739" s="476"/>
      <c r="AT739" s="64"/>
      <c r="AU739" s="646"/>
      <c r="AV739" s="185" t="s">
        <v>780</v>
      </c>
    </row>
    <row r="740" spans="1:48" outlineLevel="2" x14ac:dyDescent="0.25">
      <c r="A740" s="63" t="str">
        <f t="shared" si="120"/>
        <v>1.5.1.4.1.61</v>
      </c>
      <c r="B740" s="64">
        <v>1</v>
      </c>
      <c r="C740" s="64">
        <v>5</v>
      </c>
      <c r="D740" s="64">
        <v>1</v>
      </c>
      <c r="E740" s="64">
        <v>4</v>
      </c>
      <c r="F740" s="64">
        <v>1</v>
      </c>
      <c r="G740" s="64">
        <v>61</v>
      </c>
      <c r="H740" s="65"/>
      <c r="I740" s="65"/>
      <c r="J740" s="66"/>
      <c r="K740" s="67" t="s">
        <v>783</v>
      </c>
      <c r="L740" s="64" t="s">
        <v>236</v>
      </c>
      <c r="M740" s="64" t="s">
        <v>422</v>
      </c>
      <c r="N740" s="64">
        <v>0</v>
      </c>
      <c r="O740" s="64">
        <v>0</v>
      </c>
      <c r="P740" s="69"/>
      <c r="Q740" s="69"/>
      <c r="R740" s="64"/>
      <c r="S740" s="65"/>
      <c r="T740" s="64"/>
      <c r="U740" s="155">
        <f>75000*3</f>
        <v>225000</v>
      </c>
      <c r="V740" s="684">
        <f t="shared" si="144"/>
        <v>0</v>
      </c>
      <c r="W740" s="155"/>
      <c r="X740" s="155">
        <f>75000*3</f>
        <v>225000</v>
      </c>
      <c r="Y740" s="155"/>
      <c r="Z740" s="75"/>
      <c r="AA740" s="75"/>
      <c r="AB740" s="75"/>
      <c r="AC740" s="75"/>
      <c r="AD740" s="75"/>
      <c r="AE740" s="592"/>
      <c r="AF740" s="259"/>
      <c r="AG740" s="504">
        <v>450000</v>
      </c>
      <c r="AH740" s="377">
        <f>75000*12/2</f>
        <v>450000</v>
      </c>
      <c r="AI740" s="75"/>
      <c r="AJ740" s="75"/>
      <c r="AK740" s="75"/>
      <c r="AL740" s="75"/>
      <c r="AM740" s="75"/>
      <c r="AN740" s="64" t="s">
        <v>39</v>
      </c>
      <c r="AO740" s="64"/>
      <c r="AP740" s="64"/>
      <c r="AQ740" s="189"/>
      <c r="AR740" s="64"/>
      <c r="AS740" s="476"/>
      <c r="AT740" s="64"/>
      <c r="AU740" s="646"/>
      <c r="AV740" s="185" t="s">
        <v>780</v>
      </c>
    </row>
    <row r="741" spans="1:48" ht="30" outlineLevel="2" x14ac:dyDescent="0.25">
      <c r="A741" s="63" t="str">
        <f t="shared" si="120"/>
        <v>1.5.1.4.1.62</v>
      </c>
      <c r="B741" s="64">
        <v>1</v>
      </c>
      <c r="C741" s="64">
        <v>5</v>
      </c>
      <c r="D741" s="64">
        <v>1</v>
      </c>
      <c r="E741" s="64">
        <v>4</v>
      </c>
      <c r="F741" s="64">
        <v>1</v>
      </c>
      <c r="G741" s="64">
        <v>62</v>
      </c>
      <c r="H741" s="65"/>
      <c r="I741" s="65"/>
      <c r="J741" s="66"/>
      <c r="K741" s="67" t="s">
        <v>784</v>
      </c>
      <c r="L741" s="64" t="s">
        <v>236</v>
      </c>
      <c r="M741" s="64" t="s">
        <v>422</v>
      </c>
      <c r="N741" s="64">
        <v>0</v>
      </c>
      <c r="O741" s="64">
        <v>0</v>
      </c>
      <c r="P741" s="69"/>
      <c r="Q741" s="69"/>
      <c r="R741" s="64"/>
      <c r="S741" s="65"/>
      <c r="T741" s="64"/>
      <c r="U741" s="155"/>
      <c r="V741" s="684">
        <f t="shared" si="144"/>
        <v>0</v>
      </c>
      <c r="W741" s="155"/>
      <c r="X741" s="155">
        <f>235000/4</f>
        <v>58750</v>
      </c>
      <c r="Y741" s="155"/>
      <c r="Z741" s="75"/>
      <c r="AA741" s="155">
        <f>235000/4</f>
        <v>58750</v>
      </c>
      <c r="AB741" s="155"/>
      <c r="AC741" s="75"/>
      <c r="AD741" s="75"/>
      <c r="AE741" s="592"/>
      <c r="AF741" s="259"/>
      <c r="AG741" s="504">
        <v>117500</v>
      </c>
      <c r="AH741" s="377">
        <f>235000/2</f>
        <v>117500</v>
      </c>
      <c r="AI741" s="75"/>
      <c r="AJ741" s="75"/>
      <c r="AK741" s="75"/>
      <c r="AL741" s="75"/>
      <c r="AM741" s="75"/>
      <c r="AN741" s="64" t="s">
        <v>39</v>
      </c>
      <c r="AO741" s="64"/>
      <c r="AP741" s="64"/>
      <c r="AQ741" s="189"/>
      <c r="AR741" s="64"/>
      <c r="AS741" s="476"/>
      <c r="AT741" s="64"/>
      <c r="AU741" s="646"/>
      <c r="AV741" s="185" t="s">
        <v>780</v>
      </c>
    </row>
    <row r="742" spans="1:48" outlineLevel="2" x14ac:dyDescent="0.25">
      <c r="A742" s="63" t="str">
        <f t="shared" si="120"/>
        <v>1.5.1.4.1.63</v>
      </c>
      <c r="B742" s="64">
        <v>1</v>
      </c>
      <c r="C742" s="64">
        <v>5</v>
      </c>
      <c r="D742" s="64">
        <v>1</v>
      </c>
      <c r="E742" s="64">
        <v>4</v>
      </c>
      <c r="F742" s="64">
        <v>1</v>
      </c>
      <c r="G742" s="64">
        <v>63</v>
      </c>
      <c r="H742" s="65"/>
      <c r="I742" s="65"/>
      <c r="J742" s="66"/>
      <c r="K742" s="67" t="s">
        <v>785</v>
      </c>
      <c r="L742" s="64" t="s">
        <v>236</v>
      </c>
      <c r="M742" s="64" t="s">
        <v>422</v>
      </c>
      <c r="N742" s="64">
        <v>0</v>
      </c>
      <c r="O742" s="64">
        <v>0</v>
      </c>
      <c r="P742" s="69"/>
      <c r="Q742" s="69"/>
      <c r="R742" s="64"/>
      <c r="S742" s="65"/>
      <c r="T742" s="64"/>
      <c r="U742" s="155"/>
      <c r="V742" s="684">
        <f t="shared" si="144"/>
        <v>0</v>
      </c>
      <c r="W742" s="155"/>
      <c r="X742" s="155">
        <f>20000*3*3</f>
        <v>180000</v>
      </c>
      <c r="Y742" s="155"/>
      <c r="Z742" s="75"/>
      <c r="AA742" s="155">
        <f>20000*3*3</f>
        <v>180000</v>
      </c>
      <c r="AB742" s="155"/>
      <c r="AC742" s="75"/>
      <c r="AD742" s="75"/>
      <c r="AE742" s="592"/>
      <c r="AF742" s="259"/>
      <c r="AG742" s="504">
        <v>360000</v>
      </c>
      <c r="AH742" s="377">
        <f>20000*3*12/2</f>
        <v>360000</v>
      </c>
      <c r="AI742" s="75"/>
      <c r="AJ742" s="75"/>
      <c r="AK742" s="75"/>
      <c r="AL742" s="75"/>
      <c r="AM742" s="75"/>
      <c r="AN742" s="64" t="s">
        <v>39</v>
      </c>
      <c r="AO742" s="64"/>
      <c r="AP742" s="64"/>
      <c r="AQ742" s="189"/>
      <c r="AR742" s="64"/>
      <c r="AS742" s="476"/>
      <c r="AT742" s="64"/>
      <c r="AU742" s="646"/>
      <c r="AV742" s="185" t="s">
        <v>780</v>
      </c>
    </row>
    <row r="743" spans="1:48" ht="30" outlineLevel="2" x14ac:dyDescent="0.25">
      <c r="A743" s="63" t="str">
        <f t="shared" si="120"/>
        <v>1.5.1.4.1.64</v>
      </c>
      <c r="B743" s="64">
        <v>1</v>
      </c>
      <c r="C743" s="64">
        <v>5</v>
      </c>
      <c r="D743" s="64">
        <v>1</v>
      </c>
      <c r="E743" s="64">
        <v>4</v>
      </c>
      <c r="F743" s="64">
        <v>1</v>
      </c>
      <c r="G743" s="64">
        <v>64</v>
      </c>
      <c r="H743" s="65"/>
      <c r="I743" s="65"/>
      <c r="J743" s="66"/>
      <c r="K743" s="67" t="s">
        <v>786</v>
      </c>
      <c r="L743" s="64" t="s">
        <v>236</v>
      </c>
      <c r="M743" s="64" t="s">
        <v>422</v>
      </c>
      <c r="N743" s="64">
        <v>0</v>
      </c>
      <c r="O743" s="64">
        <v>0</v>
      </c>
      <c r="P743" s="69"/>
      <c r="Q743" s="69"/>
      <c r="R743" s="64"/>
      <c r="S743" s="65"/>
      <c r="T743" s="64"/>
      <c r="U743" s="155"/>
      <c r="V743" s="684">
        <f t="shared" si="144"/>
        <v>0</v>
      </c>
      <c r="W743" s="75"/>
      <c r="X743" s="155">
        <f>115000*3</f>
        <v>345000</v>
      </c>
      <c r="Y743" s="155"/>
      <c r="Z743" s="75"/>
      <c r="AA743" s="155">
        <f>115000*3</f>
        <v>345000</v>
      </c>
      <c r="AB743" s="155"/>
      <c r="AC743" s="75"/>
      <c r="AD743" s="75"/>
      <c r="AE743" s="592"/>
      <c r="AF743" s="259"/>
      <c r="AG743" s="504">
        <v>690000</v>
      </c>
      <c r="AH743" s="377">
        <f>115000*12/2</f>
        <v>690000</v>
      </c>
      <c r="AI743" s="75"/>
      <c r="AJ743" s="75"/>
      <c r="AK743" s="75"/>
      <c r="AL743" s="75"/>
      <c r="AM743" s="75"/>
      <c r="AN743" s="64" t="s">
        <v>39</v>
      </c>
      <c r="AO743" s="64"/>
      <c r="AP743" s="64"/>
      <c r="AQ743" s="189"/>
      <c r="AR743" s="64"/>
      <c r="AS743" s="476"/>
      <c r="AT743" s="64"/>
      <c r="AU743" s="646"/>
      <c r="AV743" s="185" t="s">
        <v>780</v>
      </c>
    </row>
    <row r="744" spans="1:48" ht="30" outlineLevel="2" x14ac:dyDescent="0.25">
      <c r="A744" s="63" t="str">
        <f t="shared" si="120"/>
        <v>1.5.1.4.2.58</v>
      </c>
      <c r="B744" s="64">
        <v>1</v>
      </c>
      <c r="C744" s="64">
        <v>5</v>
      </c>
      <c r="D744" s="64">
        <v>1</v>
      </c>
      <c r="E744" s="64">
        <v>4</v>
      </c>
      <c r="F744" s="64">
        <v>2</v>
      </c>
      <c r="G744" s="64">
        <v>58</v>
      </c>
      <c r="H744" s="65"/>
      <c r="I744" s="65"/>
      <c r="J744" s="66"/>
      <c r="K744" s="67" t="s">
        <v>787</v>
      </c>
      <c r="L744" s="64"/>
      <c r="M744" s="64"/>
      <c r="N744" s="64"/>
      <c r="O744" s="64"/>
      <c r="P744" s="69"/>
      <c r="Q744" s="69"/>
      <c r="R744" s="64"/>
      <c r="S744" s="65"/>
      <c r="T744" s="64"/>
      <c r="U744" s="155">
        <f t="shared" ref="U744:U757" si="147">$AH744/2</f>
        <v>187200</v>
      </c>
      <c r="V744" s="684">
        <f t="shared" si="144"/>
        <v>0</v>
      </c>
      <c r="W744" s="75"/>
      <c r="X744" s="155">
        <f t="shared" ref="X744:X757" si="148">$AH744/2</f>
        <v>187200</v>
      </c>
      <c r="Y744" s="155"/>
      <c r="Z744" s="75"/>
      <c r="AA744" s="75"/>
      <c r="AB744" s="75"/>
      <c r="AC744" s="75"/>
      <c r="AD744" s="75"/>
      <c r="AE744" s="592"/>
      <c r="AF744" s="259"/>
      <c r="AG744" s="504">
        <v>285714.28499999997</v>
      </c>
      <c r="AH744" s="370">
        <f>2620800/7</f>
        <v>374400</v>
      </c>
      <c r="AI744" s="75"/>
      <c r="AJ744" s="75"/>
      <c r="AK744" s="75"/>
      <c r="AL744" s="75"/>
      <c r="AM744" s="75"/>
      <c r="AN744" s="64" t="s">
        <v>39</v>
      </c>
      <c r="AO744" s="64"/>
      <c r="AP744" s="64"/>
      <c r="AQ744" s="64"/>
      <c r="AR744" s="554">
        <v>44562</v>
      </c>
      <c r="AS744" s="554">
        <v>44926</v>
      </c>
      <c r="AT744" s="64"/>
      <c r="AU744" s="646"/>
      <c r="AV744" s="1274" t="s">
        <v>788</v>
      </c>
    </row>
    <row r="745" spans="1:48" outlineLevel="2" x14ac:dyDescent="0.25">
      <c r="A745" s="63" t="str">
        <f t="shared" si="120"/>
        <v>1.5.1.4.2.59</v>
      </c>
      <c r="B745" s="64">
        <v>1</v>
      </c>
      <c r="C745" s="64">
        <v>5</v>
      </c>
      <c r="D745" s="64">
        <v>1</v>
      </c>
      <c r="E745" s="64">
        <v>4</v>
      </c>
      <c r="F745" s="64">
        <v>2</v>
      </c>
      <c r="G745" s="64">
        <v>59</v>
      </c>
      <c r="H745" s="65"/>
      <c r="I745" s="65"/>
      <c r="J745" s="66"/>
      <c r="K745" s="67" t="s">
        <v>789</v>
      </c>
      <c r="L745" s="64"/>
      <c r="M745" s="64"/>
      <c r="N745" s="64"/>
      <c r="O745" s="64"/>
      <c r="P745" s="69"/>
      <c r="Q745" s="69"/>
      <c r="R745" s="64"/>
      <c r="S745" s="65"/>
      <c r="T745" s="64"/>
      <c r="U745" s="155">
        <f t="shared" si="147"/>
        <v>187200</v>
      </c>
      <c r="V745" s="684">
        <f t="shared" si="144"/>
        <v>0</v>
      </c>
      <c r="W745" s="75"/>
      <c r="X745" s="155">
        <f t="shared" si="148"/>
        <v>187200</v>
      </c>
      <c r="Y745" s="155"/>
      <c r="Z745" s="75"/>
      <c r="AA745" s="75"/>
      <c r="AB745" s="75"/>
      <c r="AC745" s="75"/>
      <c r="AD745" s="75"/>
      <c r="AE745" s="592"/>
      <c r="AF745" s="259"/>
      <c r="AG745" s="504">
        <v>285714.28499999997</v>
      </c>
      <c r="AH745" s="370">
        <f t="shared" ref="AH745:AH750" si="149">2620800/7</f>
        <v>374400</v>
      </c>
      <c r="AI745" s="75"/>
      <c r="AJ745" s="75"/>
      <c r="AK745" s="75"/>
      <c r="AL745" s="75"/>
      <c r="AM745" s="75"/>
      <c r="AN745" s="64" t="s">
        <v>39</v>
      </c>
      <c r="AO745" s="64"/>
      <c r="AP745" s="64"/>
      <c r="AQ745" s="64"/>
      <c r="AR745" s="554">
        <v>44562</v>
      </c>
      <c r="AS745" s="554">
        <v>44926</v>
      </c>
      <c r="AT745" s="64"/>
      <c r="AU745" s="646"/>
      <c r="AV745" s="1275"/>
    </row>
    <row r="746" spans="1:48" outlineLevel="2" x14ac:dyDescent="0.25">
      <c r="A746" s="63" t="str">
        <f t="shared" si="120"/>
        <v>1.5.1.4.2.60</v>
      </c>
      <c r="B746" s="64">
        <v>1</v>
      </c>
      <c r="C746" s="64">
        <v>5</v>
      </c>
      <c r="D746" s="64">
        <v>1</v>
      </c>
      <c r="E746" s="64">
        <v>4</v>
      </c>
      <c r="F746" s="64">
        <v>2</v>
      </c>
      <c r="G746" s="64">
        <v>60</v>
      </c>
      <c r="H746" s="65"/>
      <c r="I746" s="65"/>
      <c r="J746" s="66"/>
      <c r="K746" s="67" t="s">
        <v>790</v>
      </c>
      <c r="L746" s="64"/>
      <c r="M746" s="64"/>
      <c r="N746" s="64"/>
      <c r="O746" s="64"/>
      <c r="P746" s="69"/>
      <c r="Q746" s="69"/>
      <c r="R746" s="64"/>
      <c r="S746" s="65"/>
      <c r="T746" s="64"/>
      <c r="U746" s="155">
        <f t="shared" si="147"/>
        <v>187200</v>
      </c>
      <c r="V746" s="684">
        <f t="shared" si="144"/>
        <v>0</v>
      </c>
      <c r="W746" s="75"/>
      <c r="X746" s="155">
        <f t="shared" si="148"/>
        <v>187200</v>
      </c>
      <c r="Y746" s="155"/>
      <c r="Z746" s="75"/>
      <c r="AA746" s="75"/>
      <c r="AB746" s="75"/>
      <c r="AC746" s="75"/>
      <c r="AD746" s="75"/>
      <c r="AE746" s="592"/>
      <c r="AF746" s="259"/>
      <c r="AG746" s="504">
        <v>285714.28499999997</v>
      </c>
      <c r="AH746" s="370">
        <f t="shared" si="149"/>
        <v>374400</v>
      </c>
      <c r="AI746" s="75"/>
      <c r="AJ746" s="75"/>
      <c r="AK746" s="75"/>
      <c r="AL746" s="75"/>
      <c r="AM746" s="75"/>
      <c r="AN746" s="64" t="s">
        <v>39</v>
      </c>
      <c r="AO746" s="64"/>
      <c r="AP746" s="64"/>
      <c r="AQ746" s="64"/>
      <c r="AR746" s="554">
        <v>44562</v>
      </c>
      <c r="AS746" s="554">
        <v>44926</v>
      </c>
      <c r="AT746" s="64"/>
      <c r="AU746" s="646"/>
      <c r="AV746" s="1275"/>
    </row>
    <row r="747" spans="1:48" outlineLevel="2" x14ac:dyDescent="0.25">
      <c r="A747" s="63" t="str">
        <f t="shared" si="120"/>
        <v>1.5.1.4.2.61</v>
      </c>
      <c r="B747" s="64">
        <v>1</v>
      </c>
      <c r="C747" s="64">
        <v>5</v>
      </c>
      <c r="D747" s="64">
        <v>1</v>
      </c>
      <c r="E747" s="64">
        <v>4</v>
      </c>
      <c r="F747" s="64">
        <v>2</v>
      </c>
      <c r="G747" s="64">
        <v>61</v>
      </c>
      <c r="H747" s="65"/>
      <c r="I747" s="65"/>
      <c r="J747" s="66"/>
      <c r="K747" s="67" t="s">
        <v>791</v>
      </c>
      <c r="L747" s="64"/>
      <c r="M747" s="64"/>
      <c r="N747" s="64"/>
      <c r="O747" s="64"/>
      <c r="P747" s="69"/>
      <c r="Q747" s="69"/>
      <c r="R747" s="64"/>
      <c r="S747" s="65"/>
      <c r="T747" s="64"/>
      <c r="U747" s="155">
        <f t="shared" si="147"/>
        <v>187200</v>
      </c>
      <c r="V747" s="684">
        <f t="shared" si="144"/>
        <v>0</v>
      </c>
      <c r="W747" s="75"/>
      <c r="X747" s="155">
        <f t="shared" si="148"/>
        <v>187200</v>
      </c>
      <c r="Y747" s="155"/>
      <c r="Z747" s="75"/>
      <c r="AA747" s="75"/>
      <c r="AB747" s="75"/>
      <c r="AC747" s="75"/>
      <c r="AD747" s="75"/>
      <c r="AE747" s="592"/>
      <c r="AF747" s="259"/>
      <c r="AG747" s="504">
        <v>285714.28499999997</v>
      </c>
      <c r="AH747" s="370">
        <f t="shared" si="149"/>
        <v>374400</v>
      </c>
      <c r="AI747" s="75"/>
      <c r="AJ747" s="75"/>
      <c r="AK747" s="75"/>
      <c r="AL747" s="75"/>
      <c r="AM747" s="75"/>
      <c r="AN747" s="64" t="s">
        <v>39</v>
      </c>
      <c r="AO747" s="64"/>
      <c r="AP747" s="64"/>
      <c r="AQ747" s="64"/>
      <c r="AR747" s="554">
        <v>44562</v>
      </c>
      <c r="AS747" s="554">
        <v>44926</v>
      </c>
      <c r="AT747" s="64"/>
      <c r="AU747" s="646"/>
      <c r="AV747" s="1275"/>
    </row>
    <row r="748" spans="1:48" ht="30" outlineLevel="2" x14ac:dyDescent="0.25">
      <c r="A748" s="63" t="str">
        <f t="shared" si="120"/>
        <v>1.5.1.4.2.62</v>
      </c>
      <c r="B748" s="64">
        <v>1</v>
      </c>
      <c r="C748" s="64">
        <v>5</v>
      </c>
      <c r="D748" s="64">
        <v>1</v>
      </c>
      <c r="E748" s="64">
        <v>4</v>
      </c>
      <c r="F748" s="64">
        <v>2</v>
      </c>
      <c r="G748" s="64">
        <v>62</v>
      </c>
      <c r="H748" s="65"/>
      <c r="I748" s="65"/>
      <c r="J748" s="66"/>
      <c r="K748" s="67" t="s">
        <v>792</v>
      </c>
      <c r="L748" s="64"/>
      <c r="M748" s="64"/>
      <c r="N748" s="64"/>
      <c r="O748" s="64"/>
      <c r="P748" s="69"/>
      <c r="Q748" s="69"/>
      <c r="R748" s="64"/>
      <c r="S748" s="65"/>
      <c r="T748" s="64"/>
      <c r="U748" s="155">
        <f t="shared" si="147"/>
        <v>187200</v>
      </c>
      <c r="V748" s="684">
        <f t="shared" si="144"/>
        <v>0</v>
      </c>
      <c r="W748" s="75"/>
      <c r="X748" s="155">
        <f t="shared" si="148"/>
        <v>187200</v>
      </c>
      <c r="Y748" s="155"/>
      <c r="Z748" s="75"/>
      <c r="AA748" s="75"/>
      <c r="AB748" s="75"/>
      <c r="AC748" s="75"/>
      <c r="AD748" s="75"/>
      <c r="AE748" s="592"/>
      <c r="AF748" s="259"/>
      <c r="AG748" s="504">
        <v>285714.28499999997</v>
      </c>
      <c r="AH748" s="370">
        <f t="shared" si="149"/>
        <v>374400</v>
      </c>
      <c r="AI748" s="75"/>
      <c r="AJ748" s="75"/>
      <c r="AK748" s="75"/>
      <c r="AL748" s="75"/>
      <c r="AM748" s="75"/>
      <c r="AN748" s="64" t="s">
        <v>39</v>
      </c>
      <c r="AO748" s="64"/>
      <c r="AP748" s="64"/>
      <c r="AQ748" s="64"/>
      <c r="AR748" s="554">
        <v>44562</v>
      </c>
      <c r="AS748" s="554">
        <v>44926</v>
      </c>
      <c r="AT748" s="64"/>
      <c r="AU748" s="646"/>
      <c r="AV748" s="1275"/>
    </row>
    <row r="749" spans="1:48" outlineLevel="2" x14ac:dyDescent="0.25">
      <c r="A749" s="63" t="str">
        <f t="shared" si="120"/>
        <v>1.5.1.4.2.63</v>
      </c>
      <c r="B749" s="64">
        <v>1</v>
      </c>
      <c r="C749" s="64">
        <v>5</v>
      </c>
      <c r="D749" s="64">
        <v>1</v>
      </c>
      <c r="E749" s="64">
        <v>4</v>
      </c>
      <c r="F749" s="64">
        <v>2</v>
      </c>
      <c r="G749" s="64">
        <v>63</v>
      </c>
      <c r="H749" s="65"/>
      <c r="I749" s="65"/>
      <c r="J749" s="66"/>
      <c r="K749" s="67" t="s">
        <v>793</v>
      </c>
      <c r="L749" s="64"/>
      <c r="M749" s="64"/>
      <c r="N749" s="64"/>
      <c r="O749" s="64"/>
      <c r="P749" s="69"/>
      <c r="Q749" s="69"/>
      <c r="R749" s="64"/>
      <c r="S749" s="65"/>
      <c r="T749" s="64"/>
      <c r="U749" s="155">
        <f t="shared" si="147"/>
        <v>187200</v>
      </c>
      <c r="V749" s="684">
        <f t="shared" si="144"/>
        <v>0</v>
      </c>
      <c r="W749" s="75"/>
      <c r="X749" s="155">
        <f t="shared" si="148"/>
        <v>187200</v>
      </c>
      <c r="Y749" s="155"/>
      <c r="Z749" s="75"/>
      <c r="AA749" s="75"/>
      <c r="AB749" s="75"/>
      <c r="AC749" s="75"/>
      <c r="AD749" s="75"/>
      <c r="AE749" s="592"/>
      <c r="AF749" s="259"/>
      <c r="AG749" s="504">
        <v>285714.28499999997</v>
      </c>
      <c r="AH749" s="370">
        <f t="shared" si="149"/>
        <v>374400</v>
      </c>
      <c r="AI749" s="75"/>
      <c r="AJ749" s="75"/>
      <c r="AK749" s="75"/>
      <c r="AL749" s="75"/>
      <c r="AM749" s="75"/>
      <c r="AN749" s="64" t="s">
        <v>39</v>
      </c>
      <c r="AO749" s="64"/>
      <c r="AP749" s="64"/>
      <c r="AQ749" s="64"/>
      <c r="AR749" s="554">
        <v>44562</v>
      </c>
      <c r="AS749" s="554">
        <v>44926</v>
      </c>
      <c r="AT749" s="64"/>
      <c r="AU749" s="646"/>
      <c r="AV749" s="1275"/>
    </row>
    <row r="750" spans="1:48" ht="30" outlineLevel="2" x14ac:dyDescent="0.25">
      <c r="A750" s="63" t="str">
        <f t="shared" si="120"/>
        <v>1.5.1.4.2.64</v>
      </c>
      <c r="B750" s="64">
        <v>1</v>
      </c>
      <c r="C750" s="64">
        <v>5</v>
      </c>
      <c r="D750" s="64">
        <v>1</v>
      </c>
      <c r="E750" s="64">
        <v>4</v>
      </c>
      <c r="F750" s="64">
        <v>2</v>
      </c>
      <c r="G750" s="64">
        <v>64</v>
      </c>
      <c r="H750" s="65"/>
      <c r="I750" s="65"/>
      <c r="J750" s="66"/>
      <c r="K750" s="67" t="s">
        <v>794</v>
      </c>
      <c r="L750" s="64"/>
      <c r="M750" s="64"/>
      <c r="N750" s="64"/>
      <c r="O750" s="64"/>
      <c r="P750" s="69"/>
      <c r="Q750" s="69"/>
      <c r="R750" s="64"/>
      <c r="S750" s="65"/>
      <c r="T750" s="64"/>
      <c r="U750" s="155">
        <f t="shared" si="147"/>
        <v>187200</v>
      </c>
      <c r="V750" s="684">
        <f t="shared" si="144"/>
        <v>0</v>
      </c>
      <c r="W750" s="75"/>
      <c r="X750" s="155">
        <f t="shared" si="148"/>
        <v>187200</v>
      </c>
      <c r="Y750" s="155"/>
      <c r="Z750" s="75"/>
      <c r="AA750" s="75"/>
      <c r="AB750" s="75"/>
      <c r="AC750" s="75"/>
      <c r="AD750" s="75"/>
      <c r="AE750" s="592"/>
      <c r="AF750" s="259"/>
      <c r="AG750" s="504">
        <v>285714.28499999997</v>
      </c>
      <c r="AH750" s="370">
        <f t="shared" si="149"/>
        <v>374400</v>
      </c>
      <c r="AI750" s="75"/>
      <c r="AJ750" s="75"/>
      <c r="AK750" s="75"/>
      <c r="AL750" s="75"/>
      <c r="AM750" s="75"/>
      <c r="AN750" s="64" t="s">
        <v>39</v>
      </c>
      <c r="AO750" s="64"/>
      <c r="AP750" s="64"/>
      <c r="AQ750" s="64"/>
      <c r="AR750" s="554">
        <v>44562</v>
      </c>
      <c r="AS750" s="554">
        <v>44926</v>
      </c>
      <c r="AT750" s="64"/>
      <c r="AU750" s="646"/>
      <c r="AV750" s="1276"/>
    </row>
    <row r="751" spans="1:48" ht="30" outlineLevel="2" x14ac:dyDescent="0.25">
      <c r="A751" s="63" t="str">
        <f t="shared" si="120"/>
        <v>1.5.1.4.3.58</v>
      </c>
      <c r="B751" s="64">
        <v>1</v>
      </c>
      <c r="C751" s="64">
        <v>5</v>
      </c>
      <c r="D751" s="64">
        <v>1</v>
      </c>
      <c r="E751" s="64">
        <v>4</v>
      </c>
      <c r="F751" s="64">
        <v>3</v>
      </c>
      <c r="G751" s="64">
        <v>58</v>
      </c>
      <c r="H751" s="65"/>
      <c r="I751" s="65"/>
      <c r="J751" s="66"/>
      <c r="K751" s="67" t="s">
        <v>795</v>
      </c>
      <c r="L751" s="64"/>
      <c r="M751" s="64"/>
      <c r="N751" s="64"/>
      <c r="O751" s="64"/>
      <c r="P751" s="69">
        <v>44197</v>
      </c>
      <c r="Q751" s="69">
        <v>44561</v>
      </c>
      <c r="R751" s="64"/>
      <c r="S751" s="65"/>
      <c r="T751" s="64"/>
      <c r="U751" s="155">
        <f t="shared" si="147"/>
        <v>35714.285000000003</v>
      </c>
      <c r="V751" s="684">
        <f t="shared" si="144"/>
        <v>0</v>
      </c>
      <c r="W751" s="75"/>
      <c r="X751" s="155">
        <f t="shared" si="148"/>
        <v>35714.285000000003</v>
      </c>
      <c r="Y751" s="155"/>
      <c r="Z751" s="75"/>
      <c r="AA751" s="75"/>
      <c r="AB751" s="75"/>
      <c r="AC751" s="75"/>
      <c r="AD751" s="75"/>
      <c r="AE751" s="592"/>
      <c r="AF751" s="259"/>
      <c r="AG751" s="504">
        <v>71428.570000000007</v>
      </c>
      <c r="AH751" s="370">
        <f>142857.14/2</f>
        <v>71428.570000000007</v>
      </c>
      <c r="AI751" s="75"/>
      <c r="AJ751" s="75"/>
      <c r="AK751" s="75"/>
      <c r="AL751" s="75"/>
      <c r="AM751" s="75"/>
      <c r="AN751" s="64" t="s">
        <v>39</v>
      </c>
      <c r="AO751" s="64"/>
      <c r="AP751" s="64"/>
      <c r="AQ751" s="189"/>
      <c r="AR751" s="64"/>
      <c r="AS751" s="476"/>
      <c r="AT751" s="64"/>
      <c r="AU751" s="646"/>
      <c r="AV751" s="450" t="s">
        <v>796</v>
      </c>
    </row>
    <row r="752" spans="1:48" ht="30" outlineLevel="2" x14ac:dyDescent="0.25">
      <c r="A752" s="63" t="str">
        <f t="shared" si="120"/>
        <v>1.5.1.4.3.59</v>
      </c>
      <c r="B752" s="64">
        <v>1</v>
      </c>
      <c r="C752" s="64">
        <v>5</v>
      </c>
      <c r="D752" s="64">
        <v>1</v>
      </c>
      <c r="E752" s="64">
        <v>4</v>
      </c>
      <c r="F752" s="64">
        <v>3</v>
      </c>
      <c r="G752" s="64">
        <v>59</v>
      </c>
      <c r="H752" s="65"/>
      <c r="I752" s="65"/>
      <c r="J752" s="66"/>
      <c r="K752" s="67" t="s">
        <v>797</v>
      </c>
      <c r="L752" s="64"/>
      <c r="M752" s="64"/>
      <c r="N752" s="64"/>
      <c r="O752" s="64"/>
      <c r="P752" s="69">
        <v>44197</v>
      </c>
      <c r="Q752" s="69">
        <v>44561</v>
      </c>
      <c r="R752" s="64"/>
      <c r="S752" s="65"/>
      <c r="T752" s="64"/>
      <c r="U752" s="155">
        <f t="shared" si="147"/>
        <v>35714.285000000003</v>
      </c>
      <c r="V752" s="684">
        <f t="shared" si="144"/>
        <v>0</v>
      </c>
      <c r="W752" s="75"/>
      <c r="X752" s="155">
        <f t="shared" si="148"/>
        <v>35714.285000000003</v>
      </c>
      <c r="Y752" s="155"/>
      <c r="Z752" s="75"/>
      <c r="AA752" s="75"/>
      <c r="AB752" s="75"/>
      <c r="AC752" s="75"/>
      <c r="AD752" s="75"/>
      <c r="AE752" s="592"/>
      <c r="AF752" s="259"/>
      <c r="AG752" s="504">
        <v>71428.570000000007</v>
      </c>
      <c r="AH752" s="370">
        <f t="shared" ref="AH752:AH757" si="150">142857.14/2</f>
        <v>71428.570000000007</v>
      </c>
      <c r="AI752" s="75"/>
      <c r="AJ752" s="75"/>
      <c r="AK752" s="75"/>
      <c r="AL752" s="75"/>
      <c r="AM752" s="75"/>
      <c r="AN752" s="64" t="s">
        <v>39</v>
      </c>
      <c r="AO752" s="64"/>
      <c r="AP752" s="64"/>
      <c r="AQ752" s="189"/>
      <c r="AR752" s="64"/>
      <c r="AS752" s="476"/>
      <c r="AT752" s="64"/>
      <c r="AU752" s="646"/>
      <c r="AV752" s="450" t="s">
        <v>796</v>
      </c>
    </row>
    <row r="753" spans="1:48" ht="30" outlineLevel="2" x14ac:dyDescent="0.25">
      <c r="A753" s="63" t="str">
        <f t="shared" si="120"/>
        <v>1.5.1.4.3.60</v>
      </c>
      <c r="B753" s="64">
        <v>1</v>
      </c>
      <c r="C753" s="64">
        <v>5</v>
      </c>
      <c r="D753" s="64">
        <v>1</v>
      </c>
      <c r="E753" s="64">
        <v>4</v>
      </c>
      <c r="F753" s="64">
        <v>3</v>
      </c>
      <c r="G753" s="64">
        <v>60</v>
      </c>
      <c r="H753" s="65"/>
      <c r="I753" s="65"/>
      <c r="J753" s="66"/>
      <c r="K753" s="67" t="s">
        <v>798</v>
      </c>
      <c r="L753" s="64"/>
      <c r="M753" s="64"/>
      <c r="N753" s="64"/>
      <c r="O753" s="64"/>
      <c r="P753" s="69">
        <v>44197</v>
      </c>
      <c r="Q753" s="69">
        <v>44561</v>
      </c>
      <c r="R753" s="64"/>
      <c r="S753" s="65"/>
      <c r="T753" s="64"/>
      <c r="U753" s="155">
        <f t="shared" si="147"/>
        <v>35714.285000000003</v>
      </c>
      <c r="V753" s="684">
        <f t="shared" si="144"/>
        <v>0</v>
      </c>
      <c r="W753" s="75"/>
      <c r="X753" s="155">
        <f t="shared" si="148"/>
        <v>35714.285000000003</v>
      </c>
      <c r="Y753" s="155"/>
      <c r="Z753" s="75"/>
      <c r="AA753" s="75"/>
      <c r="AB753" s="75"/>
      <c r="AC753" s="75"/>
      <c r="AD753" s="75"/>
      <c r="AE753" s="592"/>
      <c r="AF753" s="259"/>
      <c r="AG753" s="504">
        <v>71428.570000000007</v>
      </c>
      <c r="AH753" s="370">
        <f t="shared" si="150"/>
        <v>71428.570000000007</v>
      </c>
      <c r="AI753" s="75"/>
      <c r="AJ753" s="75"/>
      <c r="AK753" s="75"/>
      <c r="AL753" s="75"/>
      <c r="AM753" s="75"/>
      <c r="AN753" s="64" t="s">
        <v>39</v>
      </c>
      <c r="AO753" s="64"/>
      <c r="AP753" s="64"/>
      <c r="AQ753" s="189"/>
      <c r="AR753" s="64"/>
      <c r="AS753" s="476"/>
      <c r="AT753" s="64"/>
      <c r="AU753" s="646"/>
      <c r="AV753" s="450" t="s">
        <v>796</v>
      </c>
    </row>
    <row r="754" spans="1:48" ht="30" outlineLevel="2" x14ac:dyDescent="0.25">
      <c r="A754" s="63" t="str">
        <f t="shared" si="120"/>
        <v>1.5.1.4.3.61</v>
      </c>
      <c r="B754" s="64">
        <v>1</v>
      </c>
      <c r="C754" s="64">
        <v>5</v>
      </c>
      <c r="D754" s="64">
        <v>1</v>
      </c>
      <c r="E754" s="64">
        <v>4</v>
      </c>
      <c r="F754" s="64">
        <v>3</v>
      </c>
      <c r="G754" s="64">
        <v>61</v>
      </c>
      <c r="H754" s="65"/>
      <c r="I754" s="65"/>
      <c r="J754" s="66"/>
      <c r="K754" s="67" t="s">
        <v>799</v>
      </c>
      <c r="L754" s="64"/>
      <c r="M754" s="64"/>
      <c r="N754" s="64"/>
      <c r="O754" s="64"/>
      <c r="P754" s="69">
        <v>44197</v>
      </c>
      <c r="Q754" s="69">
        <v>44561</v>
      </c>
      <c r="R754" s="64"/>
      <c r="S754" s="65"/>
      <c r="T754" s="64"/>
      <c r="U754" s="155">
        <f t="shared" si="147"/>
        <v>35714.285000000003</v>
      </c>
      <c r="V754" s="684">
        <f t="shared" si="144"/>
        <v>0</v>
      </c>
      <c r="W754" s="75"/>
      <c r="X754" s="155">
        <f t="shared" si="148"/>
        <v>35714.285000000003</v>
      </c>
      <c r="Y754" s="155"/>
      <c r="Z754" s="75"/>
      <c r="AA754" s="75"/>
      <c r="AB754" s="75"/>
      <c r="AC754" s="75"/>
      <c r="AD754" s="75"/>
      <c r="AE754" s="592"/>
      <c r="AF754" s="259"/>
      <c r="AG754" s="504">
        <v>71428.570000000007</v>
      </c>
      <c r="AH754" s="370">
        <f t="shared" si="150"/>
        <v>71428.570000000007</v>
      </c>
      <c r="AI754" s="75"/>
      <c r="AJ754" s="75"/>
      <c r="AK754" s="75"/>
      <c r="AL754" s="75"/>
      <c r="AM754" s="75"/>
      <c r="AN754" s="64" t="s">
        <v>39</v>
      </c>
      <c r="AO754" s="64"/>
      <c r="AP754" s="64"/>
      <c r="AQ754" s="189"/>
      <c r="AR754" s="64"/>
      <c r="AS754" s="476"/>
      <c r="AT754" s="64"/>
      <c r="AU754" s="646"/>
      <c r="AV754" s="450" t="s">
        <v>796</v>
      </c>
    </row>
    <row r="755" spans="1:48" ht="30" outlineLevel="2" x14ac:dyDescent="0.25">
      <c r="A755" s="63" t="str">
        <f t="shared" si="120"/>
        <v>1.5.1.4.3.62</v>
      </c>
      <c r="B755" s="64">
        <v>1</v>
      </c>
      <c r="C755" s="64">
        <v>5</v>
      </c>
      <c r="D755" s="64">
        <v>1</v>
      </c>
      <c r="E755" s="64">
        <v>4</v>
      </c>
      <c r="F755" s="64">
        <v>3</v>
      </c>
      <c r="G755" s="64">
        <v>62</v>
      </c>
      <c r="H755" s="65"/>
      <c r="I755" s="65"/>
      <c r="J755" s="66"/>
      <c r="K755" s="67" t="s">
        <v>800</v>
      </c>
      <c r="L755" s="64"/>
      <c r="M755" s="64"/>
      <c r="N755" s="64"/>
      <c r="O755" s="64"/>
      <c r="P755" s="69">
        <v>44197</v>
      </c>
      <c r="Q755" s="69">
        <v>44561</v>
      </c>
      <c r="R755" s="64"/>
      <c r="S755" s="65"/>
      <c r="T755" s="64"/>
      <c r="U755" s="155">
        <f t="shared" si="147"/>
        <v>35714.285000000003</v>
      </c>
      <c r="V755" s="684">
        <f t="shared" si="144"/>
        <v>0</v>
      </c>
      <c r="W755" s="75"/>
      <c r="X755" s="155">
        <f t="shared" si="148"/>
        <v>35714.285000000003</v>
      </c>
      <c r="Y755" s="155"/>
      <c r="Z755" s="75"/>
      <c r="AA755" s="75"/>
      <c r="AB755" s="75"/>
      <c r="AC755" s="75"/>
      <c r="AD755" s="75"/>
      <c r="AE755" s="592"/>
      <c r="AF755" s="259"/>
      <c r="AG755" s="504">
        <v>71428.570000000007</v>
      </c>
      <c r="AH755" s="370">
        <f t="shared" si="150"/>
        <v>71428.570000000007</v>
      </c>
      <c r="AI755" s="75"/>
      <c r="AJ755" s="75"/>
      <c r="AK755" s="75"/>
      <c r="AL755" s="75"/>
      <c r="AM755" s="75"/>
      <c r="AN755" s="64" t="s">
        <v>39</v>
      </c>
      <c r="AO755" s="64"/>
      <c r="AP755" s="64"/>
      <c r="AQ755" s="189"/>
      <c r="AR755" s="64"/>
      <c r="AS755" s="476"/>
      <c r="AT755" s="64"/>
      <c r="AU755" s="646"/>
      <c r="AV755" s="450" t="s">
        <v>796</v>
      </c>
    </row>
    <row r="756" spans="1:48" ht="30" outlineLevel="2" x14ac:dyDescent="0.25">
      <c r="A756" s="63" t="str">
        <f t="shared" si="120"/>
        <v>1.5.1.4.3.63</v>
      </c>
      <c r="B756" s="64">
        <v>1</v>
      </c>
      <c r="C756" s="64">
        <v>5</v>
      </c>
      <c r="D756" s="64">
        <v>1</v>
      </c>
      <c r="E756" s="64">
        <v>4</v>
      </c>
      <c r="F756" s="64">
        <v>3</v>
      </c>
      <c r="G756" s="64">
        <v>63</v>
      </c>
      <c r="H756" s="65"/>
      <c r="I756" s="65"/>
      <c r="J756" s="66"/>
      <c r="K756" s="67" t="s">
        <v>1755</v>
      </c>
      <c r="L756" s="64"/>
      <c r="M756" s="64"/>
      <c r="N756" s="64"/>
      <c r="O756" s="64"/>
      <c r="P756" s="69">
        <v>44197</v>
      </c>
      <c r="Q756" s="69">
        <v>44561</v>
      </c>
      <c r="R756" s="64"/>
      <c r="S756" s="65"/>
      <c r="T756" s="64"/>
      <c r="U756" s="155">
        <f t="shared" si="147"/>
        <v>35714.285000000003</v>
      </c>
      <c r="V756" s="684">
        <f t="shared" si="144"/>
        <v>0</v>
      </c>
      <c r="W756" s="75"/>
      <c r="X756" s="155">
        <f t="shared" si="148"/>
        <v>35714.285000000003</v>
      </c>
      <c r="Y756" s="155"/>
      <c r="Z756" s="75"/>
      <c r="AA756" s="75"/>
      <c r="AB756" s="75"/>
      <c r="AC756" s="75"/>
      <c r="AD756" s="75"/>
      <c r="AE756" s="592"/>
      <c r="AF756" s="259"/>
      <c r="AG756" s="504">
        <v>71428.570000000007</v>
      </c>
      <c r="AH756" s="370">
        <f t="shared" si="150"/>
        <v>71428.570000000007</v>
      </c>
      <c r="AI756" s="75"/>
      <c r="AJ756" s="75"/>
      <c r="AK756" s="75"/>
      <c r="AL756" s="75"/>
      <c r="AM756" s="75"/>
      <c r="AN756" s="64" t="s">
        <v>39</v>
      </c>
      <c r="AO756" s="64"/>
      <c r="AP756" s="64"/>
      <c r="AQ756" s="189"/>
      <c r="AR756" s="64"/>
      <c r="AS756" s="476"/>
      <c r="AT756" s="64"/>
      <c r="AU756" s="646"/>
      <c r="AV756" s="450" t="s">
        <v>796</v>
      </c>
    </row>
    <row r="757" spans="1:48" ht="30" outlineLevel="2" x14ac:dyDescent="0.25">
      <c r="A757" s="63" t="str">
        <f t="shared" si="120"/>
        <v>1.5.1.4.3.64</v>
      </c>
      <c r="B757" s="64">
        <v>1</v>
      </c>
      <c r="C757" s="64">
        <v>5</v>
      </c>
      <c r="D757" s="64">
        <v>1</v>
      </c>
      <c r="E757" s="64">
        <v>4</v>
      </c>
      <c r="F757" s="64">
        <v>3</v>
      </c>
      <c r="G757" s="64">
        <v>64</v>
      </c>
      <c r="H757" s="65"/>
      <c r="I757" s="65"/>
      <c r="J757" s="66"/>
      <c r="K757" s="67" t="s">
        <v>801</v>
      </c>
      <c r="L757" s="64"/>
      <c r="M757" s="64"/>
      <c r="N757" s="64"/>
      <c r="O757" s="64"/>
      <c r="P757" s="69">
        <v>44197</v>
      </c>
      <c r="Q757" s="69">
        <v>44561</v>
      </c>
      <c r="R757" s="64"/>
      <c r="S757" s="65"/>
      <c r="T757" s="64"/>
      <c r="U757" s="155">
        <f t="shared" si="147"/>
        <v>35714.285000000003</v>
      </c>
      <c r="V757" s="684">
        <f t="shared" si="144"/>
        <v>0</v>
      </c>
      <c r="W757" s="75"/>
      <c r="X757" s="155">
        <f t="shared" si="148"/>
        <v>35714.285000000003</v>
      </c>
      <c r="Y757" s="155"/>
      <c r="Z757" s="75"/>
      <c r="AA757" s="75"/>
      <c r="AB757" s="75"/>
      <c r="AC757" s="75"/>
      <c r="AD757" s="75"/>
      <c r="AE757" s="592"/>
      <c r="AF757" s="259"/>
      <c r="AG757" s="504">
        <v>71428.570000000007</v>
      </c>
      <c r="AH757" s="370">
        <f t="shared" si="150"/>
        <v>71428.570000000007</v>
      </c>
      <c r="AI757" s="75"/>
      <c r="AJ757" s="75"/>
      <c r="AK757" s="75"/>
      <c r="AL757" s="75"/>
      <c r="AM757" s="75"/>
      <c r="AN757" s="64" t="s">
        <v>39</v>
      </c>
      <c r="AO757" s="64"/>
      <c r="AP757" s="64"/>
      <c r="AQ757" s="189"/>
      <c r="AR757" s="64"/>
      <c r="AS757" s="476"/>
      <c r="AT757" s="64"/>
      <c r="AU757" s="646"/>
      <c r="AV757" s="450" t="s">
        <v>796</v>
      </c>
    </row>
    <row r="758" spans="1:48" s="153" customFormat="1" ht="31.5" customHeight="1" outlineLevel="1" x14ac:dyDescent="0.25">
      <c r="A758" s="148" t="str">
        <f t="shared" si="120"/>
        <v>1.5.1.5.0.0</v>
      </c>
      <c r="B758" s="82">
        <v>1</v>
      </c>
      <c r="C758" s="82">
        <v>5</v>
      </c>
      <c r="D758" s="82">
        <v>1</v>
      </c>
      <c r="E758" s="82">
        <v>5</v>
      </c>
      <c r="F758" s="82">
        <v>0</v>
      </c>
      <c r="G758" s="82">
        <v>0</v>
      </c>
      <c r="H758" s="149"/>
      <c r="I758" s="149"/>
      <c r="J758" s="1289" t="s">
        <v>802</v>
      </c>
      <c r="K758" s="1290"/>
      <c r="L758" s="82" t="s">
        <v>236</v>
      </c>
      <c r="M758" s="82" t="s">
        <v>422</v>
      </c>
      <c r="N758" s="82">
        <v>0</v>
      </c>
      <c r="O758" s="82">
        <v>0</v>
      </c>
      <c r="P758" s="82"/>
      <c r="Q758" s="82"/>
      <c r="R758" s="82"/>
      <c r="S758" s="149"/>
      <c r="T758" s="82"/>
      <c r="U758" s="379">
        <f t="shared" ref="U758:AG758" si="151">+SUM(U759:U765)</f>
        <v>0</v>
      </c>
      <c r="V758" s="682">
        <f t="shared" si="151"/>
        <v>0</v>
      </c>
      <c r="W758" s="379">
        <f t="shared" si="151"/>
        <v>1</v>
      </c>
      <c r="X758" s="379">
        <f t="shared" si="151"/>
        <v>0</v>
      </c>
      <c r="Y758" s="379">
        <f t="shared" si="151"/>
        <v>0</v>
      </c>
      <c r="Z758" s="379">
        <f t="shared" si="151"/>
        <v>0</v>
      </c>
      <c r="AA758" s="379">
        <f t="shared" si="151"/>
        <v>0</v>
      </c>
      <c r="AB758" s="379">
        <f t="shared" si="151"/>
        <v>0</v>
      </c>
      <c r="AC758" s="379">
        <f t="shared" si="151"/>
        <v>0</v>
      </c>
      <c r="AD758" s="379">
        <f t="shared" si="151"/>
        <v>0</v>
      </c>
      <c r="AE758" s="379">
        <f t="shared" si="151"/>
        <v>0</v>
      </c>
      <c r="AF758" s="379">
        <f t="shared" si="151"/>
        <v>0</v>
      </c>
      <c r="AG758" s="379">
        <f t="shared" si="151"/>
        <v>0</v>
      </c>
      <c r="AH758" s="379">
        <f>+SUM(AH759:AH765)</f>
        <v>0</v>
      </c>
      <c r="AI758" s="512">
        <f>+SUM(AI759:AI765)</f>
        <v>0</v>
      </c>
      <c r="AJ758" s="512">
        <f>+SUM(AJ759:AJ765)</f>
        <v>0</v>
      </c>
      <c r="AK758" s="152"/>
      <c r="AL758" s="152"/>
      <c r="AM758" s="152"/>
      <c r="AN758" s="82" t="s">
        <v>39</v>
      </c>
      <c r="AO758" s="82"/>
      <c r="AP758" s="82"/>
      <c r="AQ758" s="365"/>
      <c r="AR758" s="82"/>
      <c r="AS758" s="483"/>
      <c r="AT758" s="82"/>
      <c r="AU758" s="666"/>
      <c r="AV758" s="444"/>
    </row>
    <row r="759" spans="1:48" ht="15" customHeight="1" outlineLevel="2" x14ac:dyDescent="0.25">
      <c r="A759" s="63" t="str">
        <f t="shared" si="120"/>
        <v>1.5.1.5.1.58</v>
      </c>
      <c r="B759" s="64">
        <v>1</v>
      </c>
      <c r="C759" s="64">
        <v>5</v>
      </c>
      <c r="D759" s="64">
        <v>1</v>
      </c>
      <c r="E759" s="64">
        <v>5</v>
      </c>
      <c r="F759" s="64">
        <v>1</v>
      </c>
      <c r="G759" s="64">
        <v>58</v>
      </c>
      <c r="H759" s="65"/>
      <c r="I759" s="65"/>
      <c r="J759" s="65"/>
      <c r="K759" s="65" t="s">
        <v>803</v>
      </c>
      <c r="L759" s="64" t="s">
        <v>236</v>
      </c>
      <c r="M759" s="64" t="s">
        <v>422</v>
      </c>
      <c r="N759" s="64" t="s">
        <v>699</v>
      </c>
      <c r="O759" s="64" t="s">
        <v>700</v>
      </c>
      <c r="P759" s="69">
        <v>44257</v>
      </c>
      <c r="Q759" s="69">
        <v>44346</v>
      </c>
      <c r="R759" s="64">
        <v>1</v>
      </c>
      <c r="S759" s="65"/>
      <c r="T759" s="64"/>
      <c r="U759" s="75"/>
      <c r="V759" s="684">
        <f t="shared" si="144"/>
        <v>0</v>
      </c>
      <c r="W759" s="75">
        <v>1</v>
      </c>
      <c r="X759" s="75"/>
      <c r="Y759" s="75"/>
      <c r="Z759" s="75"/>
      <c r="AA759" s="75"/>
      <c r="AB759" s="75"/>
      <c r="AC759" s="75"/>
      <c r="AD759" s="75"/>
      <c r="AE759" s="592"/>
      <c r="AF759" s="259" t="s">
        <v>804</v>
      </c>
      <c r="AG759" s="510">
        <v>0</v>
      </c>
      <c r="AH759" s="370">
        <v>0</v>
      </c>
      <c r="AI759" s="154"/>
      <c r="AJ759" s="154"/>
      <c r="AK759" s="154"/>
      <c r="AL759" s="154"/>
      <c r="AM759" s="154"/>
      <c r="AN759" s="64" t="s">
        <v>282</v>
      </c>
      <c r="AO759" s="64"/>
      <c r="AP759" s="64"/>
      <c r="AQ759" s="189"/>
      <c r="AR759" s="64"/>
      <c r="AS759" s="476"/>
      <c r="AT759" s="64"/>
      <c r="AU759" s="646"/>
      <c r="AV759" s="185"/>
    </row>
    <row r="760" spans="1:48" ht="15" customHeight="1" outlineLevel="2" x14ac:dyDescent="0.25">
      <c r="A760" s="63" t="str">
        <f t="shared" si="120"/>
        <v>1.5.1.5.1.59</v>
      </c>
      <c r="B760" s="64">
        <v>1</v>
      </c>
      <c r="C760" s="64">
        <v>5</v>
      </c>
      <c r="D760" s="64">
        <v>1</v>
      </c>
      <c r="E760" s="64">
        <v>5</v>
      </c>
      <c r="F760" s="64">
        <v>1</v>
      </c>
      <c r="G760" s="64">
        <v>59</v>
      </c>
      <c r="H760" s="65"/>
      <c r="I760" s="65"/>
      <c r="J760" s="65"/>
      <c r="K760" s="65" t="s">
        <v>805</v>
      </c>
      <c r="L760" s="64" t="s">
        <v>236</v>
      </c>
      <c r="M760" s="64" t="s">
        <v>422</v>
      </c>
      <c r="N760" s="64" t="s">
        <v>699</v>
      </c>
      <c r="O760" s="64" t="s">
        <v>700</v>
      </c>
      <c r="P760" s="69"/>
      <c r="Q760" s="69"/>
      <c r="R760" s="64"/>
      <c r="S760" s="65"/>
      <c r="T760" s="64"/>
      <c r="U760" s="75"/>
      <c r="V760" s="684">
        <f t="shared" si="144"/>
        <v>0</v>
      </c>
      <c r="W760" s="75"/>
      <c r="X760" s="75"/>
      <c r="Y760" s="75"/>
      <c r="Z760" s="75"/>
      <c r="AA760" s="75"/>
      <c r="AB760" s="75"/>
      <c r="AC760" s="75"/>
      <c r="AD760" s="75"/>
      <c r="AE760" s="592"/>
      <c r="AF760" s="259"/>
      <c r="AG760" s="510">
        <v>0</v>
      </c>
      <c r="AH760" s="370">
        <v>0</v>
      </c>
      <c r="AI760" s="154"/>
      <c r="AJ760" s="154"/>
      <c r="AK760" s="154"/>
      <c r="AL760" s="154"/>
      <c r="AM760" s="154"/>
      <c r="AN760" s="64" t="s">
        <v>282</v>
      </c>
      <c r="AO760" s="64"/>
      <c r="AP760" s="64"/>
      <c r="AQ760" s="189"/>
      <c r="AR760" s="64"/>
      <c r="AS760" s="476"/>
      <c r="AT760" s="64"/>
      <c r="AU760" s="646"/>
      <c r="AV760" s="185"/>
    </row>
    <row r="761" spans="1:48" ht="15" customHeight="1" outlineLevel="2" x14ac:dyDescent="0.25">
      <c r="A761" s="63" t="str">
        <f t="shared" si="120"/>
        <v>1.5.1.5.1.60</v>
      </c>
      <c r="B761" s="64">
        <v>1</v>
      </c>
      <c r="C761" s="64">
        <v>5</v>
      </c>
      <c r="D761" s="64">
        <v>1</v>
      </c>
      <c r="E761" s="64">
        <v>5</v>
      </c>
      <c r="F761" s="64">
        <v>1</v>
      </c>
      <c r="G761" s="64">
        <v>60</v>
      </c>
      <c r="H761" s="65"/>
      <c r="I761" s="65"/>
      <c r="J761" s="65"/>
      <c r="K761" s="65" t="s">
        <v>806</v>
      </c>
      <c r="L761" s="64" t="s">
        <v>236</v>
      </c>
      <c r="M761" s="64" t="s">
        <v>422</v>
      </c>
      <c r="N761" s="64" t="s">
        <v>699</v>
      </c>
      <c r="O761" s="64" t="s">
        <v>700</v>
      </c>
      <c r="P761" s="69"/>
      <c r="Q761" s="69"/>
      <c r="R761" s="64"/>
      <c r="S761" s="65"/>
      <c r="T761" s="64"/>
      <c r="U761" s="75"/>
      <c r="V761" s="684">
        <f t="shared" si="144"/>
        <v>0</v>
      </c>
      <c r="W761" s="75"/>
      <c r="X761" s="75"/>
      <c r="Y761" s="75"/>
      <c r="Z761" s="75"/>
      <c r="AA761" s="75"/>
      <c r="AB761" s="75"/>
      <c r="AC761" s="75"/>
      <c r="AD761" s="75"/>
      <c r="AE761" s="592"/>
      <c r="AF761" s="259"/>
      <c r="AG761" s="510">
        <v>0</v>
      </c>
      <c r="AH761" s="370">
        <v>0</v>
      </c>
      <c r="AI761" s="154"/>
      <c r="AJ761" s="154"/>
      <c r="AK761" s="154"/>
      <c r="AL761" s="154"/>
      <c r="AM761" s="154"/>
      <c r="AN761" s="64" t="s">
        <v>282</v>
      </c>
      <c r="AO761" s="64"/>
      <c r="AP761" s="64"/>
      <c r="AQ761" s="189"/>
      <c r="AR761" s="64"/>
      <c r="AS761" s="476"/>
      <c r="AT761" s="64"/>
      <c r="AU761" s="646"/>
      <c r="AV761" s="185"/>
    </row>
    <row r="762" spans="1:48" ht="15" customHeight="1" outlineLevel="2" x14ac:dyDescent="0.25">
      <c r="A762" s="63" t="str">
        <f t="shared" si="120"/>
        <v>1.5.1.5.1.61</v>
      </c>
      <c r="B762" s="64">
        <v>1</v>
      </c>
      <c r="C762" s="64">
        <v>5</v>
      </c>
      <c r="D762" s="64">
        <v>1</v>
      </c>
      <c r="E762" s="64">
        <v>5</v>
      </c>
      <c r="F762" s="64">
        <v>1</v>
      </c>
      <c r="G762" s="64">
        <v>61</v>
      </c>
      <c r="H762" s="65"/>
      <c r="I762" s="65"/>
      <c r="J762" s="65"/>
      <c r="K762" s="65" t="s">
        <v>807</v>
      </c>
      <c r="L762" s="64" t="s">
        <v>236</v>
      </c>
      <c r="M762" s="64" t="s">
        <v>422</v>
      </c>
      <c r="N762" s="64" t="s">
        <v>699</v>
      </c>
      <c r="O762" s="64" t="s">
        <v>700</v>
      </c>
      <c r="P762" s="69"/>
      <c r="Q762" s="69"/>
      <c r="R762" s="64"/>
      <c r="S762" s="65"/>
      <c r="T762" s="64"/>
      <c r="U762" s="75"/>
      <c r="V762" s="684">
        <f t="shared" si="144"/>
        <v>0</v>
      </c>
      <c r="W762" s="75"/>
      <c r="X762" s="75"/>
      <c r="Y762" s="75"/>
      <c r="Z762" s="75"/>
      <c r="AA762" s="75"/>
      <c r="AB762" s="75"/>
      <c r="AC762" s="75"/>
      <c r="AD762" s="75"/>
      <c r="AE762" s="592"/>
      <c r="AF762" s="259"/>
      <c r="AG762" s="510">
        <v>0</v>
      </c>
      <c r="AH762" s="370">
        <v>0</v>
      </c>
      <c r="AI762" s="154"/>
      <c r="AJ762" s="154"/>
      <c r="AK762" s="154"/>
      <c r="AL762" s="154"/>
      <c r="AM762" s="154"/>
      <c r="AN762" s="64" t="s">
        <v>282</v>
      </c>
      <c r="AO762" s="64"/>
      <c r="AP762" s="64"/>
      <c r="AQ762" s="189"/>
      <c r="AR762" s="64"/>
      <c r="AS762" s="476"/>
      <c r="AT762" s="64"/>
      <c r="AU762" s="646"/>
      <c r="AV762" s="185"/>
    </row>
    <row r="763" spans="1:48" ht="15" customHeight="1" outlineLevel="2" x14ac:dyDescent="0.25">
      <c r="A763" s="63" t="str">
        <f t="shared" si="120"/>
        <v>1.5.1.5.1.62</v>
      </c>
      <c r="B763" s="64">
        <v>1</v>
      </c>
      <c r="C763" s="64">
        <v>5</v>
      </c>
      <c r="D763" s="64">
        <v>1</v>
      </c>
      <c r="E763" s="64">
        <v>5</v>
      </c>
      <c r="F763" s="64">
        <v>1</v>
      </c>
      <c r="G763" s="64">
        <v>62</v>
      </c>
      <c r="H763" s="65"/>
      <c r="I763" s="65"/>
      <c r="J763" s="65"/>
      <c r="K763" s="65" t="s">
        <v>808</v>
      </c>
      <c r="L763" s="64" t="s">
        <v>236</v>
      </c>
      <c r="M763" s="64" t="s">
        <v>422</v>
      </c>
      <c r="N763" s="64" t="s">
        <v>699</v>
      </c>
      <c r="O763" s="64" t="s">
        <v>700</v>
      </c>
      <c r="P763" s="69"/>
      <c r="Q763" s="69"/>
      <c r="R763" s="64"/>
      <c r="S763" s="65"/>
      <c r="T763" s="64"/>
      <c r="U763" s="75"/>
      <c r="V763" s="684">
        <f t="shared" si="144"/>
        <v>0</v>
      </c>
      <c r="W763" s="75"/>
      <c r="X763" s="75"/>
      <c r="Y763" s="75"/>
      <c r="Z763" s="75"/>
      <c r="AA763" s="75"/>
      <c r="AB763" s="75"/>
      <c r="AC763" s="75"/>
      <c r="AD763" s="75"/>
      <c r="AE763" s="592"/>
      <c r="AF763" s="259"/>
      <c r="AG763" s="510">
        <v>0</v>
      </c>
      <c r="AH763" s="370">
        <v>0</v>
      </c>
      <c r="AI763" s="154"/>
      <c r="AJ763" s="154"/>
      <c r="AK763" s="154"/>
      <c r="AL763" s="154"/>
      <c r="AM763" s="154"/>
      <c r="AN763" s="64" t="s">
        <v>282</v>
      </c>
      <c r="AO763" s="64"/>
      <c r="AP763" s="64"/>
      <c r="AQ763" s="189"/>
      <c r="AR763" s="64"/>
      <c r="AS763" s="476"/>
      <c r="AT763" s="64"/>
      <c r="AU763" s="646"/>
      <c r="AV763" s="185"/>
    </row>
    <row r="764" spans="1:48" ht="15" customHeight="1" outlineLevel="2" x14ac:dyDescent="0.25">
      <c r="A764" s="63" t="str">
        <f t="shared" si="120"/>
        <v>1.5.1.5.1.63</v>
      </c>
      <c r="B764" s="64">
        <v>1</v>
      </c>
      <c r="C764" s="64">
        <v>5</v>
      </c>
      <c r="D764" s="64">
        <v>1</v>
      </c>
      <c r="E764" s="64">
        <v>5</v>
      </c>
      <c r="F764" s="64">
        <v>1</v>
      </c>
      <c r="G764" s="64">
        <v>63</v>
      </c>
      <c r="H764" s="65"/>
      <c r="I764" s="65"/>
      <c r="J764" s="65"/>
      <c r="K764" s="65" t="s">
        <v>1756</v>
      </c>
      <c r="L764" s="64" t="s">
        <v>236</v>
      </c>
      <c r="M764" s="64" t="s">
        <v>422</v>
      </c>
      <c r="N764" s="64" t="s">
        <v>699</v>
      </c>
      <c r="O764" s="64" t="s">
        <v>700</v>
      </c>
      <c r="P764" s="69"/>
      <c r="Q764" s="69"/>
      <c r="R764" s="64"/>
      <c r="S764" s="65"/>
      <c r="T764" s="64"/>
      <c r="U764" s="75"/>
      <c r="V764" s="684">
        <f t="shared" si="144"/>
        <v>0</v>
      </c>
      <c r="W764" s="75"/>
      <c r="X764" s="75"/>
      <c r="Y764" s="75"/>
      <c r="Z764" s="75"/>
      <c r="AA764" s="75"/>
      <c r="AB764" s="75"/>
      <c r="AC764" s="75"/>
      <c r="AD764" s="75"/>
      <c r="AE764" s="592"/>
      <c r="AF764" s="259"/>
      <c r="AG764" s="510">
        <v>0</v>
      </c>
      <c r="AH764" s="370">
        <v>0</v>
      </c>
      <c r="AI764" s="154"/>
      <c r="AJ764" s="154"/>
      <c r="AK764" s="154"/>
      <c r="AL764" s="154"/>
      <c r="AM764" s="154"/>
      <c r="AN764" s="64" t="s">
        <v>282</v>
      </c>
      <c r="AO764" s="64"/>
      <c r="AP764" s="64"/>
      <c r="AQ764" s="189"/>
      <c r="AR764" s="64"/>
      <c r="AS764" s="476"/>
      <c r="AT764" s="64"/>
      <c r="AU764" s="646"/>
      <c r="AV764" s="185"/>
    </row>
    <row r="765" spans="1:48" ht="15" customHeight="1" outlineLevel="2" x14ac:dyDescent="0.25">
      <c r="A765" s="63" t="str">
        <f t="shared" si="120"/>
        <v>1.5.1.5.1.64</v>
      </c>
      <c r="B765" s="64">
        <v>1</v>
      </c>
      <c r="C765" s="64">
        <v>5</v>
      </c>
      <c r="D765" s="64">
        <v>1</v>
      </c>
      <c r="E765" s="64">
        <v>5</v>
      </c>
      <c r="F765" s="64">
        <v>1</v>
      </c>
      <c r="G765" s="64">
        <v>64</v>
      </c>
      <c r="H765" s="65"/>
      <c r="I765" s="65"/>
      <c r="J765" s="65"/>
      <c r="K765" s="65" t="s">
        <v>809</v>
      </c>
      <c r="L765" s="64" t="s">
        <v>236</v>
      </c>
      <c r="M765" s="64" t="s">
        <v>422</v>
      </c>
      <c r="N765" s="64" t="s">
        <v>699</v>
      </c>
      <c r="O765" s="64" t="s">
        <v>700</v>
      </c>
      <c r="P765" s="69"/>
      <c r="Q765" s="69"/>
      <c r="R765" s="64"/>
      <c r="S765" s="65"/>
      <c r="T765" s="64"/>
      <c r="U765" s="75"/>
      <c r="V765" s="684">
        <f t="shared" si="144"/>
        <v>0</v>
      </c>
      <c r="W765" s="75"/>
      <c r="X765" s="75"/>
      <c r="Y765" s="75"/>
      <c r="Z765" s="75"/>
      <c r="AA765" s="75"/>
      <c r="AB765" s="75"/>
      <c r="AC765" s="75"/>
      <c r="AD765" s="75"/>
      <c r="AE765" s="592"/>
      <c r="AF765" s="259"/>
      <c r="AG765" s="510">
        <v>0</v>
      </c>
      <c r="AH765" s="370">
        <v>0</v>
      </c>
      <c r="AI765" s="154"/>
      <c r="AJ765" s="154"/>
      <c r="AK765" s="154"/>
      <c r="AL765" s="154"/>
      <c r="AM765" s="154"/>
      <c r="AN765" s="64" t="s">
        <v>282</v>
      </c>
      <c r="AO765" s="64"/>
      <c r="AP765" s="64"/>
      <c r="AQ765" s="189"/>
      <c r="AR765" s="64"/>
      <c r="AS765" s="476"/>
      <c r="AT765" s="64"/>
      <c r="AU765" s="646"/>
      <c r="AV765" s="185"/>
    </row>
    <row r="766" spans="1:48" s="107" customFormat="1" ht="34.5" customHeight="1" outlineLevel="1" x14ac:dyDescent="0.25">
      <c r="A766" s="173" t="str">
        <f t="shared" si="120"/>
        <v>1.5.1.6.0.0</v>
      </c>
      <c r="B766" s="82">
        <v>1</v>
      </c>
      <c r="C766" s="82">
        <v>5</v>
      </c>
      <c r="D766" s="82">
        <v>1</v>
      </c>
      <c r="E766" s="82">
        <v>6</v>
      </c>
      <c r="F766" s="82">
        <v>0</v>
      </c>
      <c r="G766" s="82">
        <v>0</v>
      </c>
      <c r="H766" s="149"/>
      <c r="I766" s="149"/>
      <c r="J766" s="1289" t="s">
        <v>810</v>
      </c>
      <c r="K766" s="1290"/>
      <c r="L766" s="81" t="s">
        <v>811</v>
      </c>
      <c r="M766" s="174"/>
      <c r="N766" s="81"/>
      <c r="O766" s="81"/>
      <c r="P766" s="81"/>
      <c r="Q766" s="173"/>
      <c r="R766" s="81"/>
      <c r="S766" s="173"/>
      <c r="T766" s="81"/>
      <c r="U766" s="379">
        <f t="shared" ref="U766:AG766" si="152">SUM(U767)</f>
        <v>0</v>
      </c>
      <c r="V766" s="682">
        <f t="shared" si="152"/>
        <v>0</v>
      </c>
      <c r="W766" s="379">
        <f t="shared" si="152"/>
        <v>0</v>
      </c>
      <c r="X766" s="379">
        <f t="shared" si="152"/>
        <v>0</v>
      </c>
      <c r="Y766" s="379">
        <f t="shared" si="152"/>
        <v>0</v>
      </c>
      <c r="Z766" s="379">
        <f t="shared" si="152"/>
        <v>0</v>
      </c>
      <c r="AA766" s="379">
        <f t="shared" si="152"/>
        <v>0</v>
      </c>
      <c r="AB766" s="379">
        <f t="shared" si="152"/>
        <v>0</v>
      </c>
      <c r="AC766" s="379">
        <f t="shared" si="152"/>
        <v>0</v>
      </c>
      <c r="AD766" s="379">
        <f t="shared" si="152"/>
        <v>0</v>
      </c>
      <c r="AE766" s="379">
        <f t="shared" si="152"/>
        <v>0</v>
      </c>
      <c r="AF766" s="379">
        <f t="shared" si="152"/>
        <v>0</v>
      </c>
      <c r="AG766" s="379">
        <f t="shared" si="152"/>
        <v>0</v>
      </c>
      <c r="AH766" s="379">
        <f>SUM(AH767)</f>
        <v>0</v>
      </c>
      <c r="AI766" s="152"/>
      <c r="AJ766" s="152"/>
      <c r="AK766" s="152"/>
      <c r="AL766" s="152"/>
      <c r="AM766" s="152"/>
      <c r="AN766" s="82" t="s">
        <v>39</v>
      </c>
      <c r="AO766" s="82"/>
      <c r="AP766" s="82"/>
      <c r="AQ766" s="365"/>
      <c r="AR766" s="82"/>
      <c r="AS766" s="483"/>
      <c r="AT766" s="82"/>
      <c r="AU766" s="666"/>
      <c r="AV766" s="444"/>
    </row>
    <row r="767" spans="1:48" s="212" customFormat="1" ht="27" customHeight="1" outlineLevel="2" x14ac:dyDescent="0.25">
      <c r="A767" s="210" t="str">
        <f t="shared" si="120"/>
        <v>1.5.1.6.1.0</v>
      </c>
      <c r="B767" s="136">
        <v>1</v>
      </c>
      <c r="C767" s="136">
        <v>5</v>
      </c>
      <c r="D767" s="136">
        <v>1</v>
      </c>
      <c r="E767" s="136">
        <v>6</v>
      </c>
      <c r="F767" s="136">
        <v>1</v>
      </c>
      <c r="G767" s="136">
        <v>0</v>
      </c>
      <c r="H767" s="125"/>
      <c r="I767" s="125"/>
      <c r="J767" s="213"/>
      <c r="K767" s="125" t="s">
        <v>812</v>
      </c>
      <c r="L767" s="136" t="s">
        <v>813</v>
      </c>
      <c r="M767" s="136" t="s">
        <v>814</v>
      </c>
      <c r="N767" s="136" t="s">
        <v>180</v>
      </c>
      <c r="O767" s="136" t="s">
        <v>179</v>
      </c>
      <c r="P767" s="136"/>
      <c r="Q767" s="214"/>
      <c r="R767" s="136">
        <f>T767+W767+Z767+AC767</f>
        <v>1</v>
      </c>
      <c r="S767" s="125" t="s">
        <v>76</v>
      </c>
      <c r="T767" s="136">
        <v>1</v>
      </c>
      <c r="U767" s="132">
        <v>0</v>
      </c>
      <c r="V767" s="674">
        <v>0</v>
      </c>
      <c r="W767" s="132">
        <v>0</v>
      </c>
      <c r="X767" s="132"/>
      <c r="Y767" s="132"/>
      <c r="Z767" s="132">
        <v>0</v>
      </c>
      <c r="AA767" s="132"/>
      <c r="AB767" s="132"/>
      <c r="AC767" s="132">
        <v>0</v>
      </c>
      <c r="AD767" s="132"/>
      <c r="AE767" s="598"/>
      <c r="AF767" s="349" t="s">
        <v>76</v>
      </c>
      <c r="AG767" s="510">
        <v>0</v>
      </c>
      <c r="AH767" s="370">
        <v>0</v>
      </c>
      <c r="AI767" s="75"/>
      <c r="AJ767" s="75"/>
      <c r="AK767" s="75"/>
      <c r="AL767" s="75"/>
      <c r="AM767" s="75"/>
      <c r="AN767" s="136" t="s">
        <v>39</v>
      </c>
      <c r="AO767" s="136"/>
      <c r="AP767" s="136"/>
      <c r="AQ767" s="414"/>
      <c r="AR767" s="136"/>
      <c r="AS767" s="477"/>
      <c r="AT767" s="136"/>
      <c r="AU767" s="646"/>
      <c r="AV767" s="448"/>
    </row>
    <row r="768" spans="1:48" s="153" customFormat="1" ht="34.5" customHeight="1" outlineLevel="1" x14ac:dyDescent="0.25">
      <c r="A768" s="743" t="str">
        <f t="shared" si="120"/>
        <v>1.6.1.0.0.0</v>
      </c>
      <c r="B768" s="109">
        <v>1</v>
      </c>
      <c r="C768" s="109">
        <v>6</v>
      </c>
      <c r="D768" s="109">
        <v>1</v>
      </c>
      <c r="E768" s="109">
        <v>0</v>
      </c>
      <c r="F768" s="109">
        <v>0</v>
      </c>
      <c r="G768" s="109">
        <v>0</v>
      </c>
      <c r="H768" s="748"/>
      <c r="I768" s="1328" t="s">
        <v>815</v>
      </c>
      <c r="J768" s="1329"/>
      <c r="K768" s="1330"/>
      <c r="L768" s="109" t="s">
        <v>816</v>
      </c>
      <c r="M768" s="109" t="s">
        <v>817</v>
      </c>
      <c r="N768" s="109" t="s">
        <v>818</v>
      </c>
      <c r="O768" s="109" t="s">
        <v>819</v>
      </c>
      <c r="P768" s="109"/>
      <c r="Q768" s="109"/>
      <c r="R768" s="109">
        <v>1</v>
      </c>
      <c r="S768" s="110" t="s">
        <v>820</v>
      </c>
      <c r="T768" s="109"/>
      <c r="U768" s="112">
        <f t="shared" ref="U768:AD768" si="153">+U769+U772+U832+U836+U841</f>
        <v>6360866.25</v>
      </c>
      <c r="V768" s="680">
        <f t="shared" si="153"/>
        <v>924035.86</v>
      </c>
      <c r="W768" s="112">
        <f t="shared" si="153"/>
        <v>0</v>
      </c>
      <c r="X768" s="112">
        <f t="shared" si="153"/>
        <v>6885311.25</v>
      </c>
      <c r="Y768" s="112"/>
      <c r="Z768" s="112">
        <f t="shared" si="153"/>
        <v>0</v>
      </c>
      <c r="AA768" s="112">
        <f t="shared" si="153"/>
        <v>6297991.25</v>
      </c>
      <c r="AB768" s="112"/>
      <c r="AC768" s="112">
        <f t="shared" si="153"/>
        <v>0</v>
      </c>
      <c r="AD768" s="112">
        <f t="shared" si="153"/>
        <v>6297991.25</v>
      </c>
      <c r="AE768" s="574"/>
      <c r="AF768" s="333"/>
      <c r="AG768" s="760">
        <f>+AG769+AG772+AG832+AG836+AG841</f>
        <v>6910740.156059132</v>
      </c>
      <c r="AH768" s="761">
        <f>+AH769+AH772+AH832+AH836+AH841</f>
        <v>26016800</v>
      </c>
      <c r="AI768" s="521">
        <f>+AI769+AI772+AI832+AI836+AI841</f>
        <v>0</v>
      </c>
      <c r="AJ768" s="760">
        <f>+AJ769+AJ772+AJ832+AJ836+AJ841</f>
        <v>924035.86</v>
      </c>
      <c r="AK768" s="217"/>
      <c r="AL768" s="217"/>
      <c r="AM768" s="217"/>
      <c r="AN768" s="785" t="s">
        <v>39</v>
      </c>
      <c r="AO768" s="109"/>
      <c r="AP768" s="109"/>
      <c r="AQ768" s="411"/>
      <c r="AR768" s="109"/>
      <c r="AS768" s="473"/>
      <c r="AT768" s="109"/>
      <c r="AU768" s="659"/>
      <c r="AV768" s="429" t="s">
        <v>821</v>
      </c>
    </row>
    <row r="769" spans="1:48" s="153" customFormat="1" ht="15.75" outlineLevel="1" x14ac:dyDescent="0.25">
      <c r="A769" s="744" t="str">
        <f t="shared" si="120"/>
        <v>1.6.1.1.0.0</v>
      </c>
      <c r="B769" s="82">
        <v>1</v>
      </c>
      <c r="C769" s="82">
        <v>6</v>
      </c>
      <c r="D769" s="82">
        <v>1</v>
      </c>
      <c r="E769" s="82">
        <v>1</v>
      </c>
      <c r="F769" s="82">
        <v>0</v>
      </c>
      <c r="G769" s="82">
        <v>0</v>
      </c>
      <c r="H769" s="749"/>
      <c r="I769" s="749"/>
      <c r="J769" s="1304" t="s">
        <v>822</v>
      </c>
      <c r="K769" s="1303"/>
      <c r="L769" s="82" t="s">
        <v>209</v>
      </c>
      <c r="M769" s="82">
        <v>0</v>
      </c>
      <c r="N769" s="82" t="s">
        <v>818</v>
      </c>
      <c r="O769" s="82" t="s">
        <v>359</v>
      </c>
      <c r="P769" s="82"/>
      <c r="Q769" s="82"/>
      <c r="R769" s="82"/>
      <c r="S769" s="149"/>
      <c r="T769" s="82"/>
      <c r="U769" s="386">
        <f t="shared" ref="U769:AG769" si="154">SUM(U770:U771)</f>
        <v>0</v>
      </c>
      <c r="V769" s="685">
        <f t="shared" si="154"/>
        <v>0</v>
      </c>
      <c r="W769" s="386">
        <f t="shared" si="154"/>
        <v>0</v>
      </c>
      <c r="X769" s="386">
        <f t="shared" si="154"/>
        <v>0</v>
      </c>
      <c r="Y769" s="386">
        <f t="shared" si="154"/>
        <v>0</v>
      </c>
      <c r="Z769" s="386">
        <f t="shared" si="154"/>
        <v>0</v>
      </c>
      <c r="AA769" s="386">
        <f t="shared" si="154"/>
        <v>0</v>
      </c>
      <c r="AB769" s="386">
        <f t="shared" si="154"/>
        <v>0</v>
      </c>
      <c r="AC769" s="386">
        <f t="shared" si="154"/>
        <v>0</v>
      </c>
      <c r="AD769" s="386">
        <f t="shared" si="154"/>
        <v>0</v>
      </c>
      <c r="AE769" s="386">
        <f t="shared" si="154"/>
        <v>0</v>
      </c>
      <c r="AF769" s="386">
        <f t="shared" si="154"/>
        <v>0</v>
      </c>
      <c r="AG769" s="762">
        <f t="shared" si="154"/>
        <v>0</v>
      </c>
      <c r="AH769" s="762">
        <f>SUM(AH770:AH771)</f>
        <v>0</v>
      </c>
      <c r="AI769" s="218"/>
      <c r="AJ769" s="776"/>
      <c r="AK769" s="218"/>
      <c r="AL769" s="218"/>
      <c r="AM769" s="218"/>
      <c r="AN769" s="786" t="s">
        <v>39</v>
      </c>
      <c r="AO769" s="82"/>
      <c r="AP769" s="82"/>
      <c r="AQ769" s="365"/>
      <c r="AR769" s="82"/>
      <c r="AS769" s="483"/>
      <c r="AT769" s="82"/>
      <c r="AU769" s="666"/>
      <c r="AV769" s="444"/>
    </row>
    <row r="770" spans="1:48" ht="30" customHeight="1" outlineLevel="2" x14ac:dyDescent="0.25">
      <c r="A770" s="745" t="str">
        <f t="shared" si="120"/>
        <v>1.6.1.1.1.58-64</v>
      </c>
      <c r="B770" s="64">
        <v>1</v>
      </c>
      <c r="C770" s="64">
        <v>6</v>
      </c>
      <c r="D770" s="64">
        <v>1</v>
      </c>
      <c r="E770" s="64">
        <v>1</v>
      </c>
      <c r="F770" s="64">
        <v>1</v>
      </c>
      <c r="G770" s="64" t="s">
        <v>64</v>
      </c>
      <c r="H770" s="750"/>
      <c r="I770" s="750"/>
      <c r="J770" s="751"/>
      <c r="K770" s="752" t="s">
        <v>823</v>
      </c>
      <c r="L770" s="64" t="s">
        <v>209</v>
      </c>
      <c r="M770" s="64" t="s">
        <v>824</v>
      </c>
      <c r="N770" s="64" t="s">
        <v>818</v>
      </c>
      <c r="O770" s="64" t="s">
        <v>359</v>
      </c>
      <c r="P770" s="69">
        <v>44197</v>
      </c>
      <c r="Q770" s="69">
        <v>44353</v>
      </c>
      <c r="R770" s="64"/>
      <c r="S770" s="65"/>
      <c r="T770" s="64"/>
      <c r="U770" s="75"/>
      <c r="V770" s="674">
        <f>+AJ770</f>
        <v>0</v>
      </c>
      <c r="W770" s="75"/>
      <c r="X770" s="75"/>
      <c r="Y770" s="75"/>
      <c r="Z770" s="75"/>
      <c r="AA770" s="75"/>
      <c r="AB770" s="75"/>
      <c r="AC770" s="75"/>
      <c r="AD770" s="75"/>
      <c r="AE770" s="592"/>
      <c r="AF770" s="259"/>
      <c r="AG770" s="763">
        <v>0</v>
      </c>
      <c r="AH770" s="764">
        <v>0</v>
      </c>
      <c r="AI770" s="75"/>
      <c r="AJ770" s="777"/>
      <c r="AK770" s="75"/>
      <c r="AL770" s="75"/>
      <c r="AM770" s="75"/>
      <c r="AN770" s="787" t="s">
        <v>39</v>
      </c>
      <c r="AO770" s="64"/>
      <c r="AP770" s="64"/>
      <c r="AQ770" s="189"/>
      <c r="AR770" s="64"/>
      <c r="AS770" s="476"/>
      <c r="AT770" s="64"/>
      <c r="AU770" s="646"/>
      <c r="AV770" s="185"/>
    </row>
    <row r="771" spans="1:48" ht="28.5" customHeight="1" outlineLevel="2" x14ac:dyDescent="0.25">
      <c r="A771" s="745" t="str">
        <f t="shared" si="120"/>
        <v>1.6.1.1.2.58-64</v>
      </c>
      <c r="B771" s="64">
        <v>1</v>
      </c>
      <c r="C771" s="64">
        <v>6</v>
      </c>
      <c r="D771" s="64">
        <v>1</v>
      </c>
      <c r="E771" s="64">
        <v>1</v>
      </c>
      <c r="F771" s="64">
        <v>2</v>
      </c>
      <c r="G771" s="64" t="s">
        <v>64</v>
      </c>
      <c r="H771" s="750"/>
      <c r="I771" s="750"/>
      <c r="J771" s="751"/>
      <c r="K771" s="752" t="s">
        <v>825</v>
      </c>
      <c r="L771" s="64" t="s">
        <v>209</v>
      </c>
      <c r="M771" s="64" t="s">
        <v>826</v>
      </c>
      <c r="N771" s="64" t="s">
        <v>818</v>
      </c>
      <c r="O771" s="64" t="s">
        <v>819</v>
      </c>
      <c r="P771" s="64"/>
      <c r="Q771" s="64"/>
      <c r="R771" s="64"/>
      <c r="S771" s="65" t="s">
        <v>827</v>
      </c>
      <c r="T771" s="64"/>
      <c r="U771" s="75"/>
      <c r="V771" s="674">
        <f t="shared" ref="V771:V834" si="155">+AJ771</f>
        <v>0</v>
      </c>
      <c r="W771" s="75"/>
      <c r="X771" s="75"/>
      <c r="Y771" s="75"/>
      <c r="Z771" s="75"/>
      <c r="AA771" s="75"/>
      <c r="AB771" s="75"/>
      <c r="AC771" s="75"/>
      <c r="AD771" s="75"/>
      <c r="AE771" s="592"/>
      <c r="AF771" s="259" t="s">
        <v>1796</v>
      </c>
      <c r="AG771" s="763">
        <v>0</v>
      </c>
      <c r="AH771" s="764">
        <v>0</v>
      </c>
      <c r="AI771" s="75"/>
      <c r="AJ771" s="777"/>
      <c r="AK771" s="75"/>
      <c r="AL771" s="75"/>
      <c r="AM771" s="75"/>
      <c r="AN771" s="787" t="s">
        <v>39</v>
      </c>
      <c r="AO771" s="64"/>
      <c r="AP771" s="64"/>
      <c r="AQ771" s="189"/>
      <c r="AR771" s="64"/>
      <c r="AS771" s="476"/>
      <c r="AT771" s="64"/>
      <c r="AU771" s="646"/>
      <c r="AV771" s="185"/>
    </row>
    <row r="772" spans="1:48" s="153" customFormat="1" ht="43.5" customHeight="1" outlineLevel="1" x14ac:dyDescent="0.25">
      <c r="A772" s="744" t="str">
        <f t="shared" si="120"/>
        <v>1.6.1.2.0.0</v>
      </c>
      <c r="B772" s="82">
        <v>1</v>
      </c>
      <c r="C772" s="82">
        <v>6</v>
      </c>
      <c r="D772" s="82">
        <v>1</v>
      </c>
      <c r="E772" s="82">
        <v>2</v>
      </c>
      <c r="F772" s="82">
        <v>0</v>
      </c>
      <c r="G772" s="82">
        <v>0</v>
      </c>
      <c r="H772" s="749"/>
      <c r="I772" s="749"/>
      <c r="J772" s="1304" t="s">
        <v>687</v>
      </c>
      <c r="K772" s="1303"/>
      <c r="L772" s="82" t="s">
        <v>72</v>
      </c>
      <c r="M772" s="82" t="s">
        <v>73</v>
      </c>
      <c r="N772" s="83" t="s">
        <v>828</v>
      </c>
      <c r="O772" s="82" t="s">
        <v>829</v>
      </c>
      <c r="P772" s="82"/>
      <c r="Q772" s="82"/>
      <c r="R772" s="82"/>
      <c r="S772" s="149"/>
      <c r="T772" s="82"/>
      <c r="U772" s="209">
        <f>SUM(U773:U831)</f>
        <v>331666.25</v>
      </c>
      <c r="V772" s="683">
        <f>SUM(V773:V831)</f>
        <v>574755.86</v>
      </c>
      <c r="W772" s="209"/>
      <c r="X772" s="209">
        <f t="shared" ref="X772:AD772" si="156">SUM(X773:X831)</f>
        <v>856111.25</v>
      </c>
      <c r="Y772" s="209"/>
      <c r="Z772" s="209"/>
      <c r="AA772" s="209">
        <f t="shared" si="156"/>
        <v>356111.25</v>
      </c>
      <c r="AB772" s="209"/>
      <c r="AC772" s="209"/>
      <c r="AD772" s="209">
        <f t="shared" si="156"/>
        <v>356111.25</v>
      </c>
      <c r="AE772" s="603"/>
      <c r="AF772" s="358"/>
      <c r="AG772" s="765">
        <f>+SUM(AG773:AG831)</f>
        <v>1312195.55</v>
      </c>
      <c r="AH772" s="762">
        <f>+SUM(AH773:AH831)</f>
        <v>1900000</v>
      </c>
      <c r="AI772" s="522">
        <f>+SUM(AI773:AI831)</f>
        <v>0</v>
      </c>
      <c r="AJ772" s="765">
        <f>+SUM(AJ773:AJ831)</f>
        <v>574755.86</v>
      </c>
      <c r="AK772" s="218"/>
      <c r="AL772" s="218"/>
      <c r="AM772" s="218"/>
      <c r="AN772" s="786" t="s">
        <v>39</v>
      </c>
      <c r="AO772" s="82"/>
      <c r="AP772" s="82"/>
      <c r="AQ772" s="365"/>
      <c r="AR772" s="82"/>
      <c r="AS772" s="483"/>
      <c r="AT772" s="82"/>
      <c r="AU772" s="666"/>
      <c r="AV772" s="444"/>
    </row>
    <row r="773" spans="1:48" s="212" customFormat="1" ht="15" customHeight="1" outlineLevel="2" x14ac:dyDescent="0.25">
      <c r="A773" s="746" t="str">
        <f t="shared" si="120"/>
        <v>1.6.1.2.1.58</v>
      </c>
      <c r="B773" s="136">
        <v>1</v>
      </c>
      <c r="C773" s="136">
        <v>6</v>
      </c>
      <c r="D773" s="136">
        <v>1</v>
      </c>
      <c r="E773" s="136">
        <v>2</v>
      </c>
      <c r="F773" s="136">
        <v>1</v>
      </c>
      <c r="G773" s="136">
        <v>58</v>
      </c>
      <c r="H773" s="753"/>
      <c r="I773" s="753"/>
      <c r="J773" s="753"/>
      <c r="K773" s="753" t="s">
        <v>482</v>
      </c>
      <c r="L773" s="136" t="s">
        <v>830</v>
      </c>
      <c r="M773" s="136" t="s">
        <v>73</v>
      </c>
      <c r="N773" s="136" t="s">
        <v>74</v>
      </c>
      <c r="O773" s="136" t="s">
        <v>737</v>
      </c>
      <c r="P773" s="219">
        <v>44197</v>
      </c>
      <c r="Q773" s="219">
        <v>44229</v>
      </c>
      <c r="R773" s="219">
        <v>1</v>
      </c>
      <c r="S773" s="219" t="s">
        <v>831</v>
      </c>
      <c r="T773" s="219"/>
      <c r="U773" s="220"/>
      <c r="V773" s="674">
        <f t="shared" si="155"/>
        <v>0</v>
      </c>
      <c r="W773" s="220"/>
      <c r="X773" s="220"/>
      <c r="Y773" s="220"/>
      <c r="Z773" s="220"/>
      <c r="AA773" s="220"/>
      <c r="AB773" s="220"/>
      <c r="AC773" s="132"/>
      <c r="AD773" s="132"/>
      <c r="AE773" s="598"/>
      <c r="AF773" s="359" t="s">
        <v>166</v>
      </c>
      <c r="AG773" s="763">
        <v>0</v>
      </c>
      <c r="AH773" s="764">
        <v>0</v>
      </c>
      <c r="AI773" s="75"/>
      <c r="AJ773" s="777"/>
      <c r="AK773" s="75"/>
      <c r="AL773" s="75"/>
      <c r="AM773" s="75"/>
      <c r="AN773" s="788" t="s">
        <v>39</v>
      </c>
      <c r="AO773" s="221"/>
      <c r="AP773" s="221"/>
      <c r="AQ773" s="221"/>
      <c r="AR773" s="221"/>
      <c r="AS773" s="221"/>
      <c r="AT773" s="221"/>
      <c r="AU773" s="654"/>
      <c r="AV773" s="1317"/>
    </row>
    <row r="774" spans="1:48" s="212" customFormat="1" ht="15" customHeight="1" outlineLevel="2" x14ac:dyDescent="0.25">
      <c r="A774" s="746" t="str">
        <f t="shared" si="120"/>
        <v>1.6.1.2.1.59</v>
      </c>
      <c r="B774" s="136">
        <v>1</v>
      </c>
      <c r="C774" s="136">
        <v>6</v>
      </c>
      <c r="D774" s="136">
        <v>1</v>
      </c>
      <c r="E774" s="136">
        <v>2</v>
      </c>
      <c r="F774" s="136">
        <v>1</v>
      </c>
      <c r="G774" s="136">
        <v>59</v>
      </c>
      <c r="H774" s="753"/>
      <c r="I774" s="753"/>
      <c r="J774" s="753"/>
      <c r="K774" s="753" t="s">
        <v>483</v>
      </c>
      <c r="L774" s="136" t="s">
        <v>830</v>
      </c>
      <c r="M774" s="136" t="s">
        <v>73</v>
      </c>
      <c r="N774" s="136" t="s">
        <v>74</v>
      </c>
      <c r="O774" s="136" t="s">
        <v>737</v>
      </c>
      <c r="P774" s="219"/>
      <c r="Q774" s="219"/>
      <c r="R774" s="219"/>
      <c r="S774" s="219"/>
      <c r="T774" s="219"/>
      <c r="U774" s="220"/>
      <c r="V774" s="674">
        <f t="shared" si="155"/>
        <v>0</v>
      </c>
      <c r="W774" s="220"/>
      <c r="X774" s="220"/>
      <c r="Y774" s="220"/>
      <c r="Z774" s="220"/>
      <c r="AA774" s="220"/>
      <c r="AB774" s="220"/>
      <c r="AC774" s="132"/>
      <c r="AD774" s="132"/>
      <c r="AE774" s="598"/>
      <c r="AF774" s="359" t="s">
        <v>166</v>
      </c>
      <c r="AG774" s="763">
        <v>0</v>
      </c>
      <c r="AH774" s="764">
        <v>0</v>
      </c>
      <c r="AI774" s="75"/>
      <c r="AJ774" s="777"/>
      <c r="AK774" s="75"/>
      <c r="AL774" s="75"/>
      <c r="AM774" s="75"/>
      <c r="AN774" s="788" t="s">
        <v>39</v>
      </c>
      <c r="AO774" s="221"/>
      <c r="AP774" s="221"/>
      <c r="AQ774" s="221"/>
      <c r="AR774" s="221"/>
      <c r="AS774" s="221"/>
      <c r="AT774" s="221"/>
      <c r="AU774" s="654"/>
      <c r="AV774" s="1318"/>
    </row>
    <row r="775" spans="1:48" s="212" customFormat="1" ht="15" customHeight="1" outlineLevel="2" x14ac:dyDescent="0.25">
      <c r="A775" s="746" t="str">
        <f t="shared" si="120"/>
        <v>1.6.1.2.1.60</v>
      </c>
      <c r="B775" s="136">
        <v>1</v>
      </c>
      <c r="C775" s="136">
        <v>6</v>
      </c>
      <c r="D775" s="136">
        <v>1</v>
      </c>
      <c r="E775" s="136">
        <v>2</v>
      </c>
      <c r="F775" s="136">
        <v>1</v>
      </c>
      <c r="G775" s="136">
        <v>60</v>
      </c>
      <c r="H775" s="753"/>
      <c r="I775" s="753"/>
      <c r="J775" s="753"/>
      <c r="K775" s="753" t="s">
        <v>484</v>
      </c>
      <c r="L775" s="136" t="s">
        <v>830</v>
      </c>
      <c r="M775" s="136" t="s">
        <v>73</v>
      </c>
      <c r="N775" s="136" t="s">
        <v>74</v>
      </c>
      <c r="O775" s="136" t="s">
        <v>737</v>
      </c>
      <c r="P775" s="219"/>
      <c r="Q775" s="219"/>
      <c r="R775" s="219"/>
      <c r="S775" s="219"/>
      <c r="T775" s="219"/>
      <c r="U775" s="220"/>
      <c r="V775" s="674">
        <f t="shared" si="155"/>
        <v>0</v>
      </c>
      <c r="W775" s="220"/>
      <c r="X775" s="220"/>
      <c r="Y775" s="220"/>
      <c r="Z775" s="220"/>
      <c r="AA775" s="220"/>
      <c r="AB775" s="220"/>
      <c r="AC775" s="132"/>
      <c r="AD775" s="132"/>
      <c r="AE775" s="598"/>
      <c r="AF775" s="359" t="s">
        <v>166</v>
      </c>
      <c r="AG775" s="763">
        <v>0</v>
      </c>
      <c r="AH775" s="764">
        <v>0</v>
      </c>
      <c r="AI775" s="75"/>
      <c r="AJ775" s="777"/>
      <c r="AK775" s="75"/>
      <c r="AL775" s="75"/>
      <c r="AM775" s="75"/>
      <c r="AN775" s="788" t="s">
        <v>39</v>
      </c>
      <c r="AO775" s="221"/>
      <c r="AP775" s="221"/>
      <c r="AQ775" s="221"/>
      <c r="AR775" s="221"/>
      <c r="AS775" s="221"/>
      <c r="AT775" s="221"/>
      <c r="AU775" s="654"/>
      <c r="AV775" s="1318"/>
    </row>
    <row r="776" spans="1:48" s="212" customFormat="1" ht="15" customHeight="1" outlineLevel="2" x14ac:dyDescent="0.25">
      <c r="A776" s="746" t="str">
        <f t="shared" si="120"/>
        <v>1.6.1.2.1.61</v>
      </c>
      <c r="B776" s="136">
        <v>1</v>
      </c>
      <c r="C776" s="136">
        <v>6</v>
      </c>
      <c r="D776" s="136">
        <v>1</v>
      </c>
      <c r="E776" s="136">
        <v>2</v>
      </c>
      <c r="F776" s="136">
        <v>1</v>
      </c>
      <c r="G776" s="136">
        <v>61</v>
      </c>
      <c r="H776" s="753"/>
      <c r="I776" s="753"/>
      <c r="J776" s="753"/>
      <c r="K776" s="753" t="s">
        <v>485</v>
      </c>
      <c r="L776" s="136" t="s">
        <v>830</v>
      </c>
      <c r="M776" s="136" t="s">
        <v>73</v>
      </c>
      <c r="N776" s="136" t="s">
        <v>74</v>
      </c>
      <c r="O776" s="136" t="s">
        <v>737</v>
      </c>
      <c r="P776" s="219"/>
      <c r="Q776" s="219"/>
      <c r="R776" s="219"/>
      <c r="S776" s="219"/>
      <c r="T776" s="219"/>
      <c r="U776" s="220"/>
      <c r="V776" s="674">
        <f t="shared" si="155"/>
        <v>0</v>
      </c>
      <c r="W776" s="220"/>
      <c r="X776" s="220"/>
      <c r="Y776" s="220"/>
      <c r="Z776" s="220"/>
      <c r="AA776" s="220"/>
      <c r="AB776" s="220"/>
      <c r="AC776" s="132"/>
      <c r="AD776" s="132"/>
      <c r="AE776" s="598"/>
      <c r="AF776" s="359" t="s">
        <v>166</v>
      </c>
      <c r="AG776" s="763">
        <v>0</v>
      </c>
      <c r="AH776" s="764">
        <v>0</v>
      </c>
      <c r="AI776" s="75"/>
      <c r="AJ776" s="777"/>
      <c r="AK776" s="75"/>
      <c r="AL776" s="75"/>
      <c r="AM776" s="75"/>
      <c r="AN776" s="788" t="s">
        <v>39</v>
      </c>
      <c r="AO776" s="221"/>
      <c r="AP776" s="221"/>
      <c r="AQ776" s="221"/>
      <c r="AR776" s="221"/>
      <c r="AS776" s="221"/>
      <c r="AT776" s="221"/>
      <c r="AU776" s="654"/>
      <c r="AV776" s="1318"/>
    </row>
    <row r="777" spans="1:48" s="212" customFormat="1" ht="15" customHeight="1" outlineLevel="2" x14ac:dyDescent="0.25">
      <c r="A777" s="746" t="str">
        <f t="shared" si="120"/>
        <v>1.6.1.2.1.62</v>
      </c>
      <c r="B777" s="136">
        <v>1</v>
      </c>
      <c r="C777" s="136">
        <v>6</v>
      </c>
      <c r="D777" s="136">
        <v>1</v>
      </c>
      <c r="E777" s="136">
        <v>2</v>
      </c>
      <c r="F777" s="136">
        <v>1</v>
      </c>
      <c r="G777" s="136">
        <v>62</v>
      </c>
      <c r="H777" s="753"/>
      <c r="I777" s="753"/>
      <c r="J777" s="753"/>
      <c r="K777" s="753" t="s">
        <v>832</v>
      </c>
      <c r="L777" s="136" t="s">
        <v>830</v>
      </c>
      <c r="M777" s="136" t="s">
        <v>73</v>
      </c>
      <c r="N777" s="136" t="s">
        <v>74</v>
      </c>
      <c r="O777" s="136" t="s">
        <v>737</v>
      </c>
      <c r="P777" s="219"/>
      <c r="Q777" s="219"/>
      <c r="R777" s="221"/>
      <c r="S777" s="219"/>
      <c r="T777" s="219"/>
      <c r="U777" s="220"/>
      <c r="V777" s="674">
        <f t="shared" si="155"/>
        <v>0</v>
      </c>
      <c r="W777" s="220"/>
      <c r="X777" s="220"/>
      <c r="Y777" s="220"/>
      <c r="Z777" s="220"/>
      <c r="AA777" s="220"/>
      <c r="AB777" s="220"/>
      <c r="AC777" s="132"/>
      <c r="AD777" s="132"/>
      <c r="AE777" s="598"/>
      <c r="AF777" s="359" t="s">
        <v>166</v>
      </c>
      <c r="AG777" s="763">
        <v>0</v>
      </c>
      <c r="AH777" s="764">
        <v>0</v>
      </c>
      <c r="AI777" s="75"/>
      <c r="AJ777" s="777"/>
      <c r="AK777" s="75"/>
      <c r="AL777" s="75"/>
      <c r="AM777" s="75"/>
      <c r="AN777" s="788" t="s">
        <v>39</v>
      </c>
      <c r="AO777" s="221"/>
      <c r="AP777" s="221"/>
      <c r="AQ777" s="221"/>
      <c r="AR777" s="221"/>
      <c r="AS777" s="221"/>
      <c r="AT777" s="221"/>
      <c r="AU777" s="654"/>
      <c r="AV777" s="1318"/>
    </row>
    <row r="778" spans="1:48" s="212" customFormat="1" ht="15" customHeight="1" outlineLevel="2" x14ac:dyDescent="0.25">
      <c r="A778" s="746" t="str">
        <f t="shared" si="120"/>
        <v>1.6.1.2.1.63</v>
      </c>
      <c r="B778" s="136">
        <v>1</v>
      </c>
      <c r="C778" s="136">
        <v>6</v>
      </c>
      <c r="D778" s="136">
        <v>1</v>
      </c>
      <c r="E778" s="136">
        <v>2</v>
      </c>
      <c r="F778" s="136">
        <v>1</v>
      </c>
      <c r="G778" s="136">
        <v>63</v>
      </c>
      <c r="H778" s="753"/>
      <c r="I778" s="753"/>
      <c r="J778" s="753"/>
      <c r="K778" s="753" t="s">
        <v>1757</v>
      </c>
      <c r="L778" s="136" t="s">
        <v>830</v>
      </c>
      <c r="M778" s="136" t="s">
        <v>73</v>
      </c>
      <c r="N778" s="136" t="s">
        <v>74</v>
      </c>
      <c r="O778" s="136" t="s">
        <v>737</v>
      </c>
      <c r="P778" s="219"/>
      <c r="Q778" s="219"/>
      <c r="R778" s="219"/>
      <c r="S778" s="219"/>
      <c r="T778" s="219"/>
      <c r="U778" s="220"/>
      <c r="V778" s="674">
        <f t="shared" si="155"/>
        <v>0</v>
      </c>
      <c r="W778" s="220"/>
      <c r="X778" s="220"/>
      <c r="Y778" s="220"/>
      <c r="Z778" s="220"/>
      <c r="AA778" s="220"/>
      <c r="AB778" s="220"/>
      <c r="AC778" s="132"/>
      <c r="AD778" s="132"/>
      <c r="AE778" s="598"/>
      <c r="AF778" s="359" t="s">
        <v>166</v>
      </c>
      <c r="AG778" s="763">
        <v>0</v>
      </c>
      <c r="AH778" s="764">
        <v>0</v>
      </c>
      <c r="AI778" s="75"/>
      <c r="AJ778" s="777"/>
      <c r="AK778" s="75"/>
      <c r="AL778" s="75"/>
      <c r="AM778" s="75"/>
      <c r="AN778" s="788" t="s">
        <v>39</v>
      </c>
      <c r="AO778" s="221"/>
      <c r="AP778" s="221"/>
      <c r="AQ778" s="221"/>
      <c r="AR778" s="221"/>
      <c r="AS778" s="221"/>
      <c r="AT778" s="221"/>
      <c r="AU778" s="654"/>
      <c r="AV778" s="1318"/>
    </row>
    <row r="779" spans="1:48" s="212" customFormat="1" ht="15" customHeight="1" outlineLevel="2" x14ac:dyDescent="0.25">
      <c r="A779" s="746" t="str">
        <f t="shared" si="120"/>
        <v>1.6.1.2.1.64</v>
      </c>
      <c r="B779" s="136">
        <v>1</v>
      </c>
      <c r="C779" s="136">
        <v>6</v>
      </c>
      <c r="D779" s="136">
        <v>1</v>
      </c>
      <c r="E779" s="136">
        <v>2</v>
      </c>
      <c r="F779" s="136">
        <v>1</v>
      </c>
      <c r="G779" s="136">
        <v>64</v>
      </c>
      <c r="H779" s="753"/>
      <c r="I779" s="753"/>
      <c r="J779" s="753"/>
      <c r="K779" s="753" t="s">
        <v>487</v>
      </c>
      <c r="L779" s="136" t="s">
        <v>830</v>
      </c>
      <c r="M779" s="136" t="s">
        <v>73</v>
      </c>
      <c r="N779" s="136" t="s">
        <v>74</v>
      </c>
      <c r="O779" s="136" t="s">
        <v>737</v>
      </c>
      <c r="P779" s="219"/>
      <c r="Q779" s="219"/>
      <c r="R779" s="219"/>
      <c r="S779" s="219"/>
      <c r="T779" s="219"/>
      <c r="U779" s="220"/>
      <c r="V779" s="674">
        <f t="shared" si="155"/>
        <v>0</v>
      </c>
      <c r="W779" s="220"/>
      <c r="X779" s="220"/>
      <c r="Y779" s="220"/>
      <c r="Z779" s="220"/>
      <c r="AA779" s="220"/>
      <c r="AB779" s="220"/>
      <c r="AC779" s="132"/>
      <c r="AD779" s="132"/>
      <c r="AE779" s="598"/>
      <c r="AF779" s="359" t="s">
        <v>166</v>
      </c>
      <c r="AG779" s="763">
        <v>0</v>
      </c>
      <c r="AH779" s="764">
        <v>0</v>
      </c>
      <c r="AI779" s="75"/>
      <c r="AJ779" s="777"/>
      <c r="AK779" s="75"/>
      <c r="AL779" s="75"/>
      <c r="AM779" s="75"/>
      <c r="AN779" s="788" t="s">
        <v>39</v>
      </c>
      <c r="AO779" s="221"/>
      <c r="AP779" s="221"/>
      <c r="AQ779" s="221"/>
      <c r="AR779" s="221"/>
      <c r="AS779" s="221"/>
      <c r="AT779" s="221"/>
      <c r="AU779" s="654"/>
      <c r="AV779" s="1319"/>
    </row>
    <row r="780" spans="1:48" s="212" customFormat="1" ht="30" customHeight="1" outlineLevel="2" x14ac:dyDescent="0.25">
      <c r="A780" s="746" t="str">
        <f t="shared" si="120"/>
        <v>1.6.1.2.2.58</v>
      </c>
      <c r="B780" s="136">
        <v>1</v>
      </c>
      <c r="C780" s="136">
        <v>6</v>
      </c>
      <c r="D780" s="136">
        <v>1</v>
      </c>
      <c r="E780" s="136">
        <v>2</v>
      </c>
      <c r="F780" s="136">
        <v>2</v>
      </c>
      <c r="G780" s="136">
        <v>58</v>
      </c>
      <c r="H780" s="753"/>
      <c r="I780" s="753"/>
      <c r="J780" s="753"/>
      <c r="K780" s="754" t="s">
        <v>833</v>
      </c>
      <c r="L780" s="136" t="s">
        <v>830</v>
      </c>
      <c r="M780" s="136" t="s">
        <v>73</v>
      </c>
      <c r="N780" s="136" t="s">
        <v>834</v>
      </c>
      <c r="O780" s="136" t="s">
        <v>737</v>
      </c>
      <c r="P780" s="210">
        <v>44197</v>
      </c>
      <c r="Q780" s="210">
        <v>44229</v>
      </c>
      <c r="R780" s="219">
        <v>1</v>
      </c>
      <c r="S780" s="219" t="s">
        <v>831</v>
      </c>
      <c r="T780" s="219"/>
      <c r="U780" s="220"/>
      <c r="V780" s="674">
        <f t="shared" si="155"/>
        <v>0</v>
      </c>
      <c r="W780" s="220"/>
      <c r="X780" s="132">
        <f>+AH$780/7</f>
        <v>71428.571428571435</v>
      </c>
      <c r="Y780" s="220"/>
      <c r="Z780" s="220"/>
      <c r="AA780" s="220"/>
      <c r="AB780" s="220"/>
      <c r="AC780" s="132"/>
      <c r="AD780" s="132"/>
      <c r="AE780" s="598"/>
      <c r="AF780" s="360" t="s">
        <v>73</v>
      </c>
      <c r="AG780" s="763">
        <v>0</v>
      </c>
      <c r="AH780" s="1394">
        <v>500000</v>
      </c>
      <c r="AI780" s="322"/>
      <c r="AJ780" s="778"/>
      <c r="AK780" s="322"/>
      <c r="AL780" s="322"/>
      <c r="AM780" s="322"/>
      <c r="AN780" s="788" t="s">
        <v>39</v>
      </c>
      <c r="AO780" s="221"/>
      <c r="AP780" s="221"/>
      <c r="AQ780" s="221"/>
      <c r="AR780" s="221"/>
      <c r="AS780" s="221"/>
      <c r="AT780" s="221"/>
      <c r="AU780" s="654"/>
      <c r="AV780" s="1397" t="s">
        <v>835</v>
      </c>
    </row>
    <row r="781" spans="1:48" s="212" customFormat="1" ht="15" customHeight="1" outlineLevel="2" x14ac:dyDescent="0.25">
      <c r="A781" s="746" t="str">
        <f t="shared" si="120"/>
        <v>1.6.1.2.2.59</v>
      </c>
      <c r="B781" s="136">
        <v>1</v>
      </c>
      <c r="C781" s="136">
        <v>6</v>
      </c>
      <c r="D781" s="136">
        <v>1</v>
      </c>
      <c r="E781" s="136">
        <v>2</v>
      </c>
      <c r="F781" s="136">
        <v>2</v>
      </c>
      <c r="G781" s="136">
        <v>59</v>
      </c>
      <c r="H781" s="753"/>
      <c r="I781" s="753"/>
      <c r="J781" s="753"/>
      <c r="K781" s="754" t="s">
        <v>836</v>
      </c>
      <c r="L781" s="136" t="s">
        <v>830</v>
      </c>
      <c r="M781" s="136" t="s">
        <v>73</v>
      </c>
      <c r="N781" s="136" t="s">
        <v>834</v>
      </c>
      <c r="O781" s="136" t="s">
        <v>737</v>
      </c>
      <c r="P781" s="219"/>
      <c r="Q781" s="219"/>
      <c r="R781" s="219"/>
      <c r="S781" s="219"/>
      <c r="T781" s="219"/>
      <c r="U781" s="220"/>
      <c r="V781" s="674">
        <f t="shared" si="155"/>
        <v>0</v>
      </c>
      <c r="W781" s="220"/>
      <c r="X781" s="132">
        <f t="shared" ref="X781:X786" si="157">+AH$780/7</f>
        <v>71428.571428571435</v>
      </c>
      <c r="Y781" s="220"/>
      <c r="Z781" s="220"/>
      <c r="AA781" s="220"/>
      <c r="AB781" s="220"/>
      <c r="AC781" s="132"/>
      <c r="AD781" s="132"/>
      <c r="AE781" s="598"/>
      <c r="AF781" s="360" t="s">
        <v>73</v>
      </c>
      <c r="AG781" s="763">
        <v>0</v>
      </c>
      <c r="AH781" s="1395"/>
      <c r="AI781" s="323"/>
      <c r="AJ781" s="779"/>
      <c r="AK781" s="323"/>
      <c r="AL781" s="323"/>
      <c r="AM781" s="323"/>
      <c r="AN781" s="788" t="s">
        <v>39</v>
      </c>
      <c r="AO781" s="221"/>
      <c r="AP781" s="221"/>
      <c r="AQ781" s="221"/>
      <c r="AR781" s="221"/>
      <c r="AS781" s="221"/>
      <c r="AT781" s="221"/>
      <c r="AU781" s="654"/>
      <c r="AV781" s="1398"/>
    </row>
    <row r="782" spans="1:48" s="212" customFormat="1" ht="15" customHeight="1" outlineLevel="2" x14ac:dyDescent="0.25">
      <c r="A782" s="746" t="str">
        <f t="shared" si="120"/>
        <v>1.6.1.2.2.60</v>
      </c>
      <c r="B782" s="136">
        <v>1</v>
      </c>
      <c r="C782" s="136">
        <v>6</v>
      </c>
      <c r="D782" s="136">
        <v>1</v>
      </c>
      <c r="E782" s="136">
        <v>2</v>
      </c>
      <c r="F782" s="136">
        <v>2</v>
      </c>
      <c r="G782" s="136">
        <v>60</v>
      </c>
      <c r="H782" s="753"/>
      <c r="I782" s="753"/>
      <c r="J782" s="753"/>
      <c r="K782" s="754" t="s">
        <v>837</v>
      </c>
      <c r="L782" s="136" t="s">
        <v>830</v>
      </c>
      <c r="M782" s="136" t="s">
        <v>73</v>
      </c>
      <c r="N782" s="136" t="s">
        <v>834</v>
      </c>
      <c r="O782" s="136" t="s">
        <v>737</v>
      </c>
      <c r="P782" s="219"/>
      <c r="Q782" s="219"/>
      <c r="R782" s="219"/>
      <c r="S782" s="219"/>
      <c r="T782" s="219"/>
      <c r="U782" s="220"/>
      <c r="V782" s="674">
        <f t="shared" si="155"/>
        <v>0</v>
      </c>
      <c r="W782" s="220"/>
      <c r="X782" s="132">
        <f t="shared" si="157"/>
        <v>71428.571428571435</v>
      </c>
      <c r="Y782" s="220"/>
      <c r="Z782" s="220"/>
      <c r="AA782" s="220"/>
      <c r="AB782" s="220"/>
      <c r="AC782" s="132"/>
      <c r="AD782" s="132"/>
      <c r="AE782" s="598"/>
      <c r="AF782" s="360" t="s">
        <v>73</v>
      </c>
      <c r="AG782" s="763">
        <v>0</v>
      </c>
      <c r="AH782" s="1395"/>
      <c r="AI782" s="323"/>
      <c r="AJ782" s="779"/>
      <c r="AK782" s="323"/>
      <c r="AL782" s="323"/>
      <c r="AM782" s="323"/>
      <c r="AN782" s="788" t="s">
        <v>39</v>
      </c>
      <c r="AO782" s="221"/>
      <c r="AP782" s="221"/>
      <c r="AQ782" s="221"/>
      <c r="AR782" s="221"/>
      <c r="AS782" s="221"/>
      <c r="AT782" s="221"/>
      <c r="AU782" s="654"/>
      <c r="AV782" s="1398"/>
    </row>
    <row r="783" spans="1:48" s="212" customFormat="1" ht="15" customHeight="1" outlineLevel="2" x14ac:dyDescent="0.25">
      <c r="A783" s="746" t="str">
        <f t="shared" si="120"/>
        <v>1.6.1.2.2.61</v>
      </c>
      <c r="B783" s="136">
        <v>1</v>
      </c>
      <c r="C783" s="136">
        <v>6</v>
      </c>
      <c r="D783" s="136">
        <v>1</v>
      </c>
      <c r="E783" s="136">
        <v>2</v>
      </c>
      <c r="F783" s="136">
        <v>2</v>
      </c>
      <c r="G783" s="136">
        <v>61</v>
      </c>
      <c r="H783" s="753"/>
      <c r="I783" s="753"/>
      <c r="J783" s="753"/>
      <c r="K783" s="754" t="s">
        <v>838</v>
      </c>
      <c r="L783" s="136" t="s">
        <v>830</v>
      </c>
      <c r="M783" s="136" t="s">
        <v>73</v>
      </c>
      <c r="N783" s="136" t="s">
        <v>834</v>
      </c>
      <c r="O783" s="136" t="s">
        <v>737</v>
      </c>
      <c r="P783" s="219"/>
      <c r="Q783" s="219"/>
      <c r="R783" s="219"/>
      <c r="S783" s="219"/>
      <c r="T783" s="219"/>
      <c r="U783" s="220"/>
      <c r="V783" s="674">
        <f t="shared" si="155"/>
        <v>0</v>
      </c>
      <c r="W783" s="220"/>
      <c r="X783" s="132">
        <f t="shared" si="157"/>
        <v>71428.571428571435</v>
      </c>
      <c r="Y783" s="220"/>
      <c r="Z783" s="220"/>
      <c r="AA783" s="220"/>
      <c r="AB783" s="220"/>
      <c r="AC783" s="132"/>
      <c r="AD783" s="132"/>
      <c r="AE783" s="598"/>
      <c r="AF783" s="360" t="s">
        <v>73</v>
      </c>
      <c r="AG783" s="763">
        <v>0</v>
      </c>
      <c r="AH783" s="1395"/>
      <c r="AI783" s="323"/>
      <c r="AJ783" s="779"/>
      <c r="AK783" s="323"/>
      <c r="AL783" s="323"/>
      <c r="AM783" s="323"/>
      <c r="AN783" s="788" t="s">
        <v>39</v>
      </c>
      <c r="AO783" s="221"/>
      <c r="AP783" s="221"/>
      <c r="AQ783" s="221"/>
      <c r="AR783" s="221"/>
      <c r="AS783" s="221"/>
      <c r="AT783" s="221"/>
      <c r="AU783" s="654"/>
      <c r="AV783" s="1398"/>
    </row>
    <row r="784" spans="1:48" s="212" customFormat="1" ht="15" customHeight="1" outlineLevel="2" x14ac:dyDescent="0.25">
      <c r="A784" s="746" t="str">
        <f t="shared" si="120"/>
        <v>1.6.1.2.2.62</v>
      </c>
      <c r="B784" s="136">
        <v>1</v>
      </c>
      <c r="C784" s="136">
        <v>6</v>
      </c>
      <c r="D784" s="136">
        <v>1</v>
      </c>
      <c r="E784" s="136">
        <v>2</v>
      </c>
      <c r="F784" s="136">
        <v>2</v>
      </c>
      <c r="G784" s="136">
        <v>62</v>
      </c>
      <c r="H784" s="753"/>
      <c r="I784" s="753"/>
      <c r="J784" s="753"/>
      <c r="K784" s="754" t="s">
        <v>839</v>
      </c>
      <c r="L784" s="136" t="s">
        <v>830</v>
      </c>
      <c r="M784" s="136" t="s">
        <v>73</v>
      </c>
      <c r="N784" s="136" t="s">
        <v>834</v>
      </c>
      <c r="O784" s="136" t="s">
        <v>737</v>
      </c>
      <c r="P784" s="219"/>
      <c r="Q784" s="219"/>
      <c r="R784" s="221"/>
      <c r="S784" s="219"/>
      <c r="T784" s="219"/>
      <c r="U784" s="220"/>
      <c r="V784" s="674">
        <f t="shared" si="155"/>
        <v>0</v>
      </c>
      <c r="W784" s="220"/>
      <c r="X784" s="132">
        <f t="shared" si="157"/>
        <v>71428.571428571435</v>
      </c>
      <c r="Y784" s="220"/>
      <c r="Z784" s="220"/>
      <c r="AA784" s="220"/>
      <c r="AB784" s="220"/>
      <c r="AC784" s="132"/>
      <c r="AD784" s="132"/>
      <c r="AE784" s="598"/>
      <c r="AF784" s="360" t="s">
        <v>73</v>
      </c>
      <c r="AG784" s="763">
        <v>0</v>
      </c>
      <c r="AH784" s="1395"/>
      <c r="AI784" s="323"/>
      <c r="AJ784" s="779"/>
      <c r="AK784" s="323"/>
      <c r="AL784" s="323"/>
      <c r="AM784" s="323"/>
      <c r="AN784" s="788" t="s">
        <v>39</v>
      </c>
      <c r="AO784" s="221"/>
      <c r="AP784" s="221"/>
      <c r="AQ784" s="221"/>
      <c r="AR784" s="221"/>
      <c r="AS784" s="221"/>
      <c r="AT784" s="221"/>
      <c r="AU784" s="654"/>
      <c r="AV784" s="1398"/>
    </row>
    <row r="785" spans="1:48" s="212" customFormat="1" ht="15" customHeight="1" outlineLevel="2" x14ac:dyDescent="0.25">
      <c r="A785" s="746" t="str">
        <f t="shared" si="120"/>
        <v>1.6.1.2.2.63</v>
      </c>
      <c r="B785" s="136">
        <v>1</v>
      </c>
      <c r="C785" s="136">
        <v>6</v>
      </c>
      <c r="D785" s="136">
        <v>1</v>
      </c>
      <c r="E785" s="136">
        <v>2</v>
      </c>
      <c r="F785" s="136">
        <v>2</v>
      </c>
      <c r="G785" s="136">
        <v>63</v>
      </c>
      <c r="H785" s="753"/>
      <c r="I785" s="753"/>
      <c r="J785" s="753"/>
      <c r="K785" s="753" t="s">
        <v>1758</v>
      </c>
      <c r="L785" s="136" t="s">
        <v>830</v>
      </c>
      <c r="M785" s="136" t="s">
        <v>73</v>
      </c>
      <c r="N785" s="136" t="s">
        <v>834</v>
      </c>
      <c r="O785" s="136" t="s">
        <v>737</v>
      </c>
      <c r="P785" s="219"/>
      <c r="Q785" s="219"/>
      <c r="R785" s="219"/>
      <c r="S785" s="219"/>
      <c r="T785" s="219"/>
      <c r="U785" s="220"/>
      <c r="V785" s="674">
        <f t="shared" si="155"/>
        <v>0</v>
      </c>
      <c r="W785" s="220"/>
      <c r="X785" s="132">
        <f t="shared" si="157"/>
        <v>71428.571428571435</v>
      </c>
      <c r="Y785" s="220"/>
      <c r="Z785" s="220"/>
      <c r="AA785" s="220"/>
      <c r="AB785" s="220"/>
      <c r="AC785" s="132"/>
      <c r="AD785" s="132"/>
      <c r="AE785" s="598"/>
      <c r="AF785" s="360" t="s">
        <v>73</v>
      </c>
      <c r="AG785" s="763">
        <v>0</v>
      </c>
      <c r="AH785" s="1395"/>
      <c r="AI785" s="323"/>
      <c r="AJ785" s="779"/>
      <c r="AK785" s="323"/>
      <c r="AL785" s="323"/>
      <c r="AM785" s="323"/>
      <c r="AN785" s="788" t="s">
        <v>39</v>
      </c>
      <c r="AO785" s="221"/>
      <c r="AP785" s="221"/>
      <c r="AQ785" s="221"/>
      <c r="AR785" s="221"/>
      <c r="AS785" s="221"/>
      <c r="AT785" s="221"/>
      <c r="AU785" s="654"/>
      <c r="AV785" s="1398"/>
    </row>
    <row r="786" spans="1:48" s="212" customFormat="1" ht="15" customHeight="1" outlineLevel="2" x14ac:dyDescent="0.25">
      <c r="A786" s="746" t="str">
        <f t="shared" si="120"/>
        <v>1.6.1.2.2.64</v>
      </c>
      <c r="B786" s="136">
        <v>1</v>
      </c>
      <c r="C786" s="136">
        <v>6</v>
      </c>
      <c r="D786" s="136">
        <v>1</v>
      </c>
      <c r="E786" s="136">
        <v>2</v>
      </c>
      <c r="F786" s="136">
        <v>2</v>
      </c>
      <c r="G786" s="136">
        <v>64</v>
      </c>
      <c r="H786" s="753"/>
      <c r="I786" s="753"/>
      <c r="J786" s="753"/>
      <c r="K786" s="754" t="s">
        <v>840</v>
      </c>
      <c r="L786" s="136" t="s">
        <v>830</v>
      </c>
      <c r="M786" s="136" t="s">
        <v>73</v>
      </c>
      <c r="N786" s="136" t="s">
        <v>834</v>
      </c>
      <c r="O786" s="136" t="s">
        <v>737</v>
      </c>
      <c r="P786" s="219"/>
      <c r="Q786" s="219"/>
      <c r="R786" s="219"/>
      <c r="S786" s="219"/>
      <c r="T786" s="219"/>
      <c r="U786" s="220"/>
      <c r="V786" s="674">
        <f t="shared" si="155"/>
        <v>0</v>
      </c>
      <c r="W786" s="220"/>
      <c r="X786" s="132">
        <f t="shared" si="157"/>
        <v>71428.571428571435</v>
      </c>
      <c r="Y786" s="220"/>
      <c r="Z786" s="220"/>
      <c r="AA786" s="220"/>
      <c r="AB786" s="220"/>
      <c r="AC786" s="132"/>
      <c r="AD786" s="132"/>
      <c r="AE786" s="598"/>
      <c r="AF786" s="360" t="s">
        <v>73</v>
      </c>
      <c r="AG786" s="763">
        <v>0</v>
      </c>
      <c r="AH786" s="1396"/>
      <c r="AI786" s="324"/>
      <c r="AJ786" s="780"/>
      <c r="AK786" s="324"/>
      <c r="AL786" s="324"/>
      <c r="AM786" s="324"/>
      <c r="AN786" s="788" t="s">
        <v>39</v>
      </c>
      <c r="AO786" s="221"/>
      <c r="AP786" s="221"/>
      <c r="AQ786" s="221"/>
      <c r="AR786" s="221"/>
      <c r="AS786" s="221"/>
      <c r="AT786" s="221"/>
      <c r="AU786" s="654"/>
      <c r="AV786" s="1399"/>
    </row>
    <row r="787" spans="1:48" s="212" customFormat="1" ht="15" customHeight="1" outlineLevel="2" x14ac:dyDescent="0.25">
      <c r="A787" s="746" t="str">
        <f t="shared" si="120"/>
        <v>1.6.1.2.3.58</v>
      </c>
      <c r="B787" s="136">
        <v>1</v>
      </c>
      <c r="C787" s="136">
        <v>6</v>
      </c>
      <c r="D787" s="136">
        <v>1</v>
      </c>
      <c r="E787" s="136">
        <v>2</v>
      </c>
      <c r="F787" s="136">
        <v>3</v>
      </c>
      <c r="G787" s="136">
        <v>58</v>
      </c>
      <c r="H787" s="753"/>
      <c r="I787" s="753"/>
      <c r="J787" s="753"/>
      <c r="K787" s="754" t="s">
        <v>841</v>
      </c>
      <c r="L787" s="136" t="s">
        <v>830</v>
      </c>
      <c r="M787" s="136" t="s">
        <v>73</v>
      </c>
      <c r="N787" s="136" t="s">
        <v>74</v>
      </c>
      <c r="O787" s="136" t="s">
        <v>737</v>
      </c>
      <c r="P787" s="222">
        <v>44197</v>
      </c>
      <c r="Q787" s="222">
        <v>44561</v>
      </c>
      <c r="R787" s="126">
        <v>1</v>
      </c>
      <c r="S787" s="126"/>
      <c r="T787" s="223"/>
      <c r="U787" s="132"/>
      <c r="V787" s="674">
        <f t="shared" si="155"/>
        <v>0</v>
      </c>
      <c r="W787" s="132"/>
      <c r="X787" s="132"/>
      <c r="Y787" s="132"/>
      <c r="Z787" s="132"/>
      <c r="AA787" s="132"/>
      <c r="AB787" s="132"/>
      <c r="AC787" s="132">
        <v>1</v>
      </c>
      <c r="AD787" s="132"/>
      <c r="AE787" s="598"/>
      <c r="AF787" s="359" t="s">
        <v>166</v>
      </c>
      <c r="AG787" s="763">
        <v>0</v>
      </c>
      <c r="AH787" s="764">
        <v>0</v>
      </c>
      <c r="AI787" s="75"/>
      <c r="AJ787" s="777"/>
      <c r="AK787" s="75"/>
      <c r="AL787" s="75"/>
      <c r="AM787" s="75"/>
      <c r="AN787" s="788" t="s">
        <v>39</v>
      </c>
      <c r="AO787" s="221"/>
      <c r="AP787" s="221"/>
      <c r="AQ787" s="419"/>
      <c r="AR787" s="221"/>
      <c r="AS787" s="485"/>
      <c r="AT787" s="221"/>
      <c r="AU787" s="654"/>
      <c r="AV787" s="451"/>
    </row>
    <row r="788" spans="1:48" s="212" customFormat="1" ht="15" customHeight="1" outlineLevel="2" x14ac:dyDescent="0.25">
      <c r="A788" s="746" t="str">
        <f t="shared" si="120"/>
        <v>1.6.1.2.3.59</v>
      </c>
      <c r="B788" s="136">
        <v>1</v>
      </c>
      <c r="C788" s="136">
        <v>6</v>
      </c>
      <c r="D788" s="136">
        <v>1</v>
      </c>
      <c r="E788" s="136">
        <v>2</v>
      </c>
      <c r="F788" s="136">
        <v>3</v>
      </c>
      <c r="G788" s="136">
        <v>59</v>
      </c>
      <c r="H788" s="753"/>
      <c r="I788" s="753"/>
      <c r="J788" s="753"/>
      <c r="K788" s="753" t="s">
        <v>842</v>
      </c>
      <c r="L788" s="136" t="s">
        <v>830</v>
      </c>
      <c r="M788" s="136" t="s">
        <v>73</v>
      </c>
      <c r="N788" s="136" t="s">
        <v>74</v>
      </c>
      <c r="O788" s="136" t="s">
        <v>737</v>
      </c>
      <c r="P788" s="222">
        <v>44197</v>
      </c>
      <c r="Q788" s="222">
        <v>44561</v>
      </c>
      <c r="R788" s="126">
        <v>1</v>
      </c>
      <c r="S788" s="126"/>
      <c r="T788" s="223"/>
      <c r="U788" s="132"/>
      <c r="V788" s="674">
        <f t="shared" si="155"/>
        <v>0</v>
      </c>
      <c r="W788" s="132"/>
      <c r="X788" s="132"/>
      <c r="Y788" s="132"/>
      <c r="Z788" s="132"/>
      <c r="AA788" s="132"/>
      <c r="AB788" s="132"/>
      <c r="AC788" s="132">
        <v>1</v>
      </c>
      <c r="AD788" s="132"/>
      <c r="AE788" s="598"/>
      <c r="AF788" s="359" t="s">
        <v>166</v>
      </c>
      <c r="AG788" s="763">
        <v>0</v>
      </c>
      <c r="AH788" s="764">
        <v>0</v>
      </c>
      <c r="AI788" s="75"/>
      <c r="AJ788" s="777"/>
      <c r="AK788" s="75"/>
      <c r="AL788" s="75"/>
      <c r="AM788" s="75"/>
      <c r="AN788" s="788" t="s">
        <v>39</v>
      </c>
      <c r="AO788" s="221"/>
      <c r="AP788" s="221"/>
      <c r="AQ788" s="419"/>
      <c r="AR788" s="221"/>
      <c r="AS788" s="485"/>
      <c r="AT788" s="221"/>
      <c r="AU788" s="654"/>
      <c r="AV788" s="451"/>
    </row>
    <row r="789" spans="1:48" s="212" customFormat="1" ht="15" customHeight="1" outlineLevel="2" x14ac:dyDescent="0.25">
      <c r="A789" s="746" t="str">
        <f t="shared" si="120"/>
        <v>1.6.1.2.3.60</v>
      </c>
      <c r="B789" s="136">
        <v>1</v>
      </c>
      <c r="C789" s="136">
        <v>6</v>
      </c>
      <c r="D789" s="136">
        <v>1</v>
      </c>
      <c r="E789" s="136">
        <v>2</v>
      </c>
      <c r="F789" s="136">
        <v>3</v>
      </c>
      <c r="G789" s="136">
        <v>60</v>
      </c>
      <c r="H789" s="753"/>
      <c r="I789" s="753"/>
      <c r="J789" s="753"/>
      <c r="K789" s="753" t="s">
        <v>843</v>
      </c>
      <c r="L789" s="136" t="s">
        <v>830</v>
      </c>
      <c r="M789" s="136" t="s">
        <v>73</v>
      </c>
      <c r="N789" s="136" t="s">
        <v>74</v>
      </c>
      <c r="O789" s="136" t="s">
        <v>737</v>
      </c>
      <c r="P789" s="222">
        <v>44197</v>
      </c>
      <c r="Q789" s="222">
        <v>44561</v>
      </c>
      <c r="R789" s="126">
        <v>1</v>
      </c>
      <c r="S789" s="126"/>
      <c r="T789" s="223"/>
      <c r="U789" s="132"/>
      <c r="V789" s="674">
        <f t="shared" si="155"/>
        <v>0</v>
      </c>
      <c r="W789" s="132"/>
      <c r="X789" s="132"/>
      <c r="Y789" s="132"/>
      <c r="Z789" s="132"/>
      <c r="AA789" s="132"/>
      <c r="AB789" s="132"/>
      <c r="AC789" s="132">
        <v>1</v>
      </c>
      <c r="AD789" s="132"/>
      <c r="AE789" s="598"/>
      <c r="AF789" s="359" t="s">
        <v>166</v>
      </c>
      <c r="AG789" s="763">
        <v>0</v>
      </c>
      <c r="AH789" s="764">
        <v>0</v>
      </c>
      <c r="AI789" s="75"/>
      <c r="AJ789" s="777"/>
      <c r="AK789" s="75"/>
      <c r="AL789" s="75"/>
      <c r="AM789" s="75"/>
      <c r="AN789" s="788" t="s">
        <v>39</v>
      </c>
      <c r="AO789" s="221"/>
      <c r="AP789" s="221"/>
      <c r="AQ789" s="419"/>
      <c r="AR789" s="221"/>
      <c r="AS789" s="485"/>
      <c r="AT789" s="221"/>
      <c r="AU789" s="654"/>
      <c r="AV789" s="451"/>
    </row>
    <row r="790" spans="1:48" s="212" customFormat="1" ht="15" customHeight="1" outlineLevel="2" x14ac:dyDescent="0.25">
      <c r="A790" s="746" t="str">
        <f t="shared" si="120"/>
        <v>1.6.1.2.3.61</v>
      </c>
      <c r="B790" s="136">
        <v>1</v>
      </c>
      <c r="C790" s="136">
        <v>6</v>
      </c>
      <c r="D790" s="136">
        <v>1</v>
      </c>
      <c r="E790" s="136">
        <v>2</v>
      </c>
      <c r="F790" s="136">
        <v>3</v>
      </c>
      <c r="G790" s="136">
        <v>61</v>
      </c>
      <c r="H790" s="753"/>
      <c r="I790" s="753"/>
      <c r="J790" s="753"/>
      <c r="K790" s="753" t="s">
        <v>844</v>
      </c>
      <c r="L790" s="136" t="s">
        <v>830</v>
      </c>
      <c r="M790" s="136" t="s">
        <v>73</v>
      </c>
      <c r="N790" s="136" t="s">
        <v>74</v>
      </c>
      <c r="O790" s="136" t="s">
        <v>737</v>
      </c>
      <c r="P790" s="222">
        <v>44197</v>
      </c>
      <c r="Q790" s="222">
        <v>44561</v>
      </c>
      <c r="R790" s="126">
        <v>1</v>
      </c>
      <c r="S790" s="126"/>
      <c r="T790" s="223"/>
      <c r="U790" s="132"/>
      <c r="V790" s="674">
        <f t="shared" si="155"/>
        <v>0</v>
      </c>
      <c r="W790" s="132"/>
      <c r="X790" s="132"/>
      <c r="Y790" s="132"/>
      <c r="Z790" s="132"/>
      <c r="AA790" s="132"/>
      <c r="AB790" s="132"/>
      <c r="AC790" s="132">
        <v>1</v>
      </c>
      <c r="AD790" s="132"/>
      <c r="AE790" s="598"/>
      <c r="AF790" s="359" t="s">
        <v>166</v>
      </c>
      <c r="AG790" s="763">
        <v>0</v>
      </c>
      <c r="AH790" s="764">
        <v>0</v>
      </c>
      <c r="AI790" s="75"/>
      <c r="AJ790" s="777"/>
      <c r="AK790" s="75"/>
      <c r="AL790" s="75"/>
      <c r="AM790" s="75"/>
      <c r="AN790" s="788" t="s">
        <v>39</v>
      </c>
      <c r="AO790" s="221"/>
      <c r="AP790" s="221"/>
      <c r="AQ790" s="419"/>
      <c r="AR790" s="221"/>
      <c r="AS790" s="485"/>
      <c r="AT790" s="221"/>
      <c r="AU790" s="654"/>
      <c r="AV790" s="451"/>
    </row>
    <row r="791" spans="1:48" s="212" customFormat="1" ht="15" customHeight="1" outlineLevel="2" x14ac:dyDescent="0.25">
      <c r="A791" s="746" t="str">
        <f t="shared" si="120"/>
        <v>1.6.1.2.3.62</v>
      </c>
      <c r="B791" s="136">
        <v>1</v>
      </c>
      <c r="C791" s="136">
        <v>6</v>
      </c>
      <c r="D791" s="136">
        <v>1</v>
      </c>
      <c r="E791" s="136">
        <v>2</v>
      </c>
      <c r="F791" s="136">
        <v>3</v>
      </c>
      <c r="G791" s="136">
        <v>62</v>
      </c>
      <c r="H791" s="753"/>
      <c r="I791" s="753"/>
      <c r="J791" s="753"/>
      <c r="K791" s="753" t="s">
        <v>845</v>
      </c>
      <c r="L791" s="136" t="s">
        <v>830</v>
      </c>
      <c r="M791" s="136" t="s">
        <v>73</v>
      </c>
      <c r="N791" s="136" t="s">
        <v>74</v>
      </c>
      <c r="O791" s="136" t="s">
        <v>737</v>
      </c>
      <c r="P791" s="222">
        <v>44197</v>
      </c>
      <c r="Q791" s="222">
        <v>44561</v>
      </c>
      <c r="R791" s="126">
        <v>1</v>
      </c>
      <c r="S791" s="126"/>
      <c r="T791" s="223"/>
      <c r="U791" s="132"/>
      <c r="V791" s="674">
        <f t="shared" si="155"/>
        <v>0</v>
      </c>
      <c r="W791" s="132"/>
      <c r="X791" s="132"/>
      <c r="Y791" s="132"/>
      <c r="Z791" s="132"/>
      <c r="AA791" s="132"/>
      <c r="AB791" s="132"/>
      <c r="AC791" s="132">
        <v>1</v>
      </c>
      <c r="AD791" s="132"/>
      <c r="AE791" s="598"/>
      <c r="AF791" s="359" t="s">
        <v>166</v>
      </c>
      <c r="AG791" s="763">
        <v>0</v>
      </c>
      <c r="AH791" s="764">
        <v>0</v>
      </c>
      <c r="AI791" s="75"/>
      <c r="AJ791" s="777"/>
      <c r="AK791" s="75"/>
      <c r="AL791" s="75"/>
      <c r="AM791" s="75"/>
      <c r="AN791" s="788" t="s">
        <v>39</v>
      </c>
      <c r="AO791" s="221"/>
      <c r="AP791" s="221"/>
      <c r="AQ791" s="419"/>
      <c r="AR791" s="221"/>
      <c r="AS791" s="485"/>
      <c r="AT791" s="221"/>
      <c r="AU791" s="654"/>
      <c r="AV791" s="451"/>
    </row>
    <row r="792" spans="1:48" s="212" customFormat="1" ht="15" customHeight="1" outlineLevel="2" x14ac:dyDescent="0.25">
      <c r="A792" s="746" t="str">
        <f t="shared" si="120"/>
        <v>1.6.1.2.3.63</v>
      </c>
      <c r="B792" s="136">
        <v>1</v>
      </c>
      <c r="C792" s="136">
        <v>6</v>
      </c>
      <c r="D792" s="136">
        <v>1</v>
      </c>
      <c r="E792" s="136">
        <v>2</v>
      </c>
      <c r="F792" s="136">
        <v>3</v>
      </c>
      <c r="G792" s="136">
        <v>63</v>
      </c>
      <c r="H792" s="753"/>
      <c r="I792" s="753"/>
      <c r="J792" s="753"/>
      <c r="K792" s="753" t="s">
        <v>1759</v>
      </c>
      <c r="L792" s="136" t="s">
        <v>830</v>
      </c>
      <c r="M792" s="136" t="s">
        <v>73</v>
      </c>
      <c r="N792" s="136" t="s">
        <v>74</v>
      </c>
      <c r="O792" s="136" t="s">
        <v>737</v>
      </c>
      <c r="P792" s="222">
        <v>44197</v>
      </c>
      <c r="Q792" s="222">
        <v>44561</v>
      </c>
      <c r="R792" s="126">
        <v>1</v>
      </c>
      <c r="S792" s="126"/>
      <c r="T792" s="223"/>
      <c r="U792" s="132"/>
      <c r="V792" s="674">
        <f t="shared" si="155"/>
        <v>0</v>
      </c>
      <c r="W792" s="132"/>
      <c r="X792" s="132"/>
      <c r="Y792" s="132"/>
      <c r="Z792" s="132"/>
      <c r="AA792" s="132"/>
      <c r="AB792" s="132"/>
      <c r="AC792" s="132">
        <v>1</v>
      </c>
      <c r="AD792" s="132"/>
      <c r="AE792" s="598"/>
      <c r="AF792" s="359" t="s">
        <v>166</v>
      </c>
      <c r="AG792" s="763">
        <v>0</v>
      </c>
      <c r="AH792" s="764">
        <v>0</v>
      </c>
      <c r="AI792" s="75"/>
      <c r="AJ792" s="777"/>
      <c r="AK792" s="75"/>
      <c r="AL792" s="75"/>
      <c r="AM792" s="75"/>
      <c r="AN792" s="788" t="s">
        <v>39</v>
      </c>
      <c r="AO792" s="221"/>
      <c r="AP792" s="221"/>
      <c r="AQ792" s="419"/>
      <c r="AR792" s="221"/>
      <c r="AS792" s="485"/>
      <c r="AT792" s="221"/>
      <c r="AU792" s="654"/>
      <c r="AV792" s="451"/>
    </row>
    <row r="793" spans="1:48" s="212" customFormat="1" ht="15" customHeight="1" outlineLevel="2" x14ac:dyDescent="0.25">
      <c r="A793" s="746" t="str">
        <f t="shared" si="120"/>
        <v>1.6.1.2.3.64</v>
      </c>
      <c r="B793" s="136">
        <v>1</v>
      </c>
      <c r="C793" s="136">
        <v>6</v>
      </c>
      <c r="D793" s="136">
        <v>1</v>
      </c>
      <c r="E793" s="136">
        <v>2</v>
      </c>
      <c r="F793" s="136">
        <v>3</v>
      </c>
      <c r="G793" s="136">
        <v>64</v>
      </c>
      <c r="H793" s="753"/>
      <c r="I793" s="753"/>
      <c r="J793" s="753"/>
      <c r="K793" s="753" t="s">
        <v>846</v>
      </c>
      <c r="L793" s="136" t="s">
        <v>830</v>
      </c>
      <c r="M793" s="136" t="s">
        <v>73</v>
      </c>
      <c r="N793" s="136" t="s">
        <v>74</v>
      </c>
      <c r="O793" s="136" t="s">
        <v>737</v>
      </c>
      <c r="P793" s="222">
        <v>44197</v>
      </c>
      <c r="Q793" s="222">
        <v>44561</v>
      </c>
      <c r="R793" s="126">
        <v>1</v>
      </c>
      <c r="S793" s="126"/>
      <c r="T793" s="223"/>
      <c r="U793" s="132"/>
      <c r="V793" s="674">
        <f t="shared" si="155"/>
        <v>0</v>
      </c>
      <c r="W793" s="132"/>
      <c r="X793" s="132"/>
      <c r="Y793" s="132"/>
      <c r="Z793" s="132"/>
      <c r="AA793" s="132"/>
      <c r="AB793" s="132"/>
      <c r="AC793" s="132">
        <v>1</v>
      </c>
      <c r="AD793" s="132"/>
      <c r="AE793" s="598"/>
      <c r="AF793" s="359" t="s">
        <v>166</v>
      </c>
      <c r="AG793" s="763">
        <v>0</v>
      </c>
      <c r="AH793" s="764">
        <v>0</v>
      </c>
      <c r="AI793" s="75"/>
      <c r="AJ793" s="777"/>
      <c r="AK793" s="75"/>
      <c r="AL793" s="75"/>
      <c r="AM793" s="75"/>
      <c r="AN793" s="788" t="s">
        <v>39</v>
      </c>
      <c r="AO793" s="221"/>
      <c r="AP793" s="221"/>
      <c r="AQ793" s="419"/>
      <c r="AR793" s="221"/>
      <c r="AS793" s="485"/>
      <c r="AT793" s="221"/>
      <c r="AU793" s="654"/>
      <c r="AV793" s="451"/>
    </row>
    <row r="794" spans="1:48" s="212" customFormat="1" ht="15" customHeight="1" outlineLevel="2" x14ac:dyDescent="0.25">
      <c r="A794" s="746" t="str">
        <f t="shared" si="120"/>
        <v>1.6.1.2.4.58</v>
      </c>
      <c r="B794" s="136">
        <v>1</v>
      </c>
      <c r="C794" s="136">
        <v>6</v>
      </c>
      <c r="D794" s="136">
        <v>1</v>
      </c>
      <c r="E794" s="136">
        <v>2</v>
      </c>
      <c r="F794" s="136">
        <v>4</v>
      </c>
      <c r="G794" s="136">
        <v>58</v>
      </c>
      <c r="H794" s="753"/>
      <c r="I794" s="753"/>
      <c r="J794" s="753"/>
      <c r="K794" s="753" t="s">
        <v>847</v>
      </c>
      <c r="L794" s="136" t="s">
        <v>72</v>
      </c>
      <c r="M794" s="136" t="s">
        <v>73</v>
      </c>
      <c r="N794" s="136" t="s">
        <v>74</v>
      </c>
      <c r="O794" s="136" t="s">
        <v>848</v>
      </c>
      <c r="P794" s="224">
        <v>44197</v>
      </c>
      <c r="Q794" s="224">
        <v>44229</v>
      </c>
      <c r="R794" s="219">
        <v>1</v>
      </c>
      <c r="S794" s="219" t="s">
        <v>831</v>
      </c>
      <c r="T794" s="219"/>
      <c r="U794" s="220"/>
      <c r="V794" s="674">
        <f t="shared" si="155"/>
        <v>0</v>
      </c>
      <c r="W794" s="220"/>
      <c r="X794" s="220"/>
      <c r="Y794" s="220"/>
      <c r="Z794" s="220"/>
      <c r="AA794" s="220"/>
      <c r="AB794" s="220"/>
      <c r="AC794" s="132"/>
      <c r="AD794" s="132"/>
      <c r="AE794" s="598"/>
      <c r="AF794" s="360" t="s">
        <v>649</v>
      </c>
      <c r="AG794" s="763">
        <v>0</v>
      </c>
      <c r="AH794" s="764">
        <v>0</v>
      </c>
      <c r="AI794" s="75"/>
      <c r="AJ794" s="777"/>
      <c r="AK794" s="75"/>
      <c r="AL794" s="75"/>
      <c r="AM794" s="75"/>
      <c r="AN794" s="788" t="s">
        <v>39</v>
      </c>
      <c r="AO794" s="221"/>
      <c r="AP794" s="221"/>
      <c r="AQ794" s="419"/>
      <c r="AR794" s="221"/>
      <c r="AS794" s="485"/>
      <c r="AT794" s="221"/>
      <c r="AU794" s="654"/>
      <c r="AV794" s="451"/>
    </row>
    <row r="795" spans="1:48" s="212" customFormat="1" ht="15" customHeight="1" outlineLevel="2" x14ac:dyDescent="0.25">
      <c r="A795" s="746" t="str">
        <f t="shared" si="120"/>
        <v>1.6.1.2.4.59</v>
      </c>
      <c r="B795" s="136">
        <v>1</v>
      </c>
      <c r="C795" s="136">
        <v>6</v>
      </c>
      <c r="D795" s="136">
        <v>1</v>
      </c>
      <c r="E795" s="136">
        <v>2</v>
      </c>
      <c r="F795" s="136">
        <v>4</v>
      </c>
      <c r="G795" s="136">
        <v>59</v>
      </c>
      <c r="H795" s="753"/>
      <c r="I795" s="753"/>
      <c r="J795" s="753"/>
      <c r="K795" s="753" t="s">
        <v>849</v>
      </c>
      <c r="L795" s="136" t="s">
        <v>72</v>
      </c>
      <c r="M795" s="136" t="s">
        <v>73</v>
      </c>
      <c r="N795" s="136" t="s">
        <v>74</v>
      </c>
      <c r="O795" s="136" t="s">
        <v>848</v>
      </c>
      <c r="P795" s="224"/>
      <c r="Q795" s="224"/>
      <c r="R795" s="219"/>
      <c r="S795" s="219"/>
      <c r="T795" s="219"/>
      <c r="U795" s="220"/>
      <c r="V795" s="674">
        <f t="shared" si="155"/>
        <v>0</v>
      </c>
      <c r="W795" s="220"/>
      <c r="X795" s="220"/>
      <c r="Y795" s="220"/>
      <c r="Z795" s="220"/>
      <c r="AA795" s="220"/>
      <c r="AB795" s="220"/>
      <c r="AC795" s="132"/>
      <c r="AD795" s="132"/>
      <c r="AE795" s="598"/>
      <c r="AF795" s="360"/>
      <c r="AG795" s="763">
        <v>0</v>
      </c>
      <c r="AH795" s="764">
        <v>0</v>
      </c>
      <c r="AI795" s="75"/>
      <c r="AJ795" s="777"/>
      <c r="AK795" s="75"/>
      <c r="AL795" s="75"/>
      <c r="AM795" s="75"/>
      <c r="AN795" s="788" t="s">
        <v>39</v>
      </c>
      <c r="AO795" s="221"/>
      <c r="AP795" s="221"/>
      <c r="AQ795" s="419"/>
      <c r="AR795" s="221"/>
      <c r="AS795" s="485"/>
      <c r="AT795" s="221"/>
      <c r="AU795" s="654"/>
      <c r="AV795" s="451"/>
    </row>
    <row r="796" spans="1:48" s="212" customFormat="1" ht="15" customHeight="1" outlineLevel="2" x14ac:dyDescent="0.25">
      <c r="A796" s="746" t="str">
        <f t="shared" si="120"/>
        <v>1.6.1.2.4.60</v>
      </c>
      <c r="B796" s="136">
        <v>1</v>
      </c>
      <c r="C796" s="136">
        <v>6</v>
      </c>
      <c r="D796" s="136">
        <v>1</v>
      </c>
      <c r="E796" s="136">
        <v>2</v>
      </c>
      <c r="F796" s="136">
        <v>4</v>
      </c>
      <c r="G796" s="136">
        <v>60</v>
      </c>
      <c r="H796" s="753"/>
      <c r="I796" s="753"/>
      <c r="J796" s="753"/>
      <c r="K796" s="753" t="s">
        <v>850</v>
      </c>
      <c r="L796" s="136" t="s">
        <v>72</v>
      </c>
      <c r="M796" s="136" t="s">
        <v>73</v>
      </c>
      <c r="N796" s="136" t="s">
        <v>74</v>
      </c>
      <c r="O796" s="136" t="s">
        <v>848</v>
      </c>
      <c r="P796" s="224"/>
      <c r="Q796" s="224"/>
      <c r="R796" s="219"/>
      <c r="S796" s="219"/>
      <c r="T796" s="219"/>
      <c r="U796" s="220"/>
      <c r="V796" s="674">
        <f t="shared" si="155"/>
        <v>0</v>
      </c>
      <c r="W796" s="220"/>
      <c r="X796" s="220"/>
      <c r="Y796" s="220"/>
      <c r="Z796" s="220"/>
      <c r="AA796" s="220"/>
      <c r="AB796" s="220"/>
      <c r="AC796" s="132"/>
      <c r="AD796" s="132"/>
      <c r="AE796" s="598"/>
      <c r="AF796" s="360"/>
      <c r="AG796" s="763">
        <v>0</v>
      </c>
      <c r="AH796" s="764">
        <v>0</v>
      </c>
      <c r="AI796" s="75"/>
      <c r="AJ796" s="777"/>
      <c r="AK796" s="75"/>
      <c r="AL796" s="75"/>
      <c r="AM796" s="75"/>
      <c r="AN796" s="788" t="s">
        <v>39</v>
      </c>
      <c r="AO796" s="221"/>
      <c r="AP796" s="221"/>
      <c r="AQ796" s="419"/>
      <c r="AR796" s="221"/>
      <c r="AS796" s="485"/>
      <c r="AT796" s="221"/>
      <c r="AU796" s="654"/>
      <c r="AV796" s="451"/>
    </row>
    <row r="797" spans="1:48" s="212" customFormat="1" ht="15" customHeight="1" outlineLevel="2" x14ac:dyDescent="0.25">
      <c r="A797" s="746" t="str">
        <f t="shared" si="120"/>
        <v>1.6.1.2.4.61</v>
      </c>
      <c r="B797" s="136">
        <v>1</v>
      </c>
      <c r="C797" s="136">
        <v>6</v>
      </c>
      <c r="D797" s="136">
        <v>1</v>
      </c>
      <c r="E797" s="136">
        <v>2</v>
      </c>
      <c r="F797" s="136">
        <v>4</v>
      </c>
      <c r="G797" s="136">
        <v>61</v>
      </c>
      <c r="H797" s="753"/>
      <c r="I797" s="753"/>
      <c r="J797" s="753"/>
      <c r="K797" s="753" t="s">
        <v>851</v>
      </c>
      <c r="L797" s="136" t="s">
        <v>72</v>
      </c>
      <c r="M797" s="136" t="s">
        <v>73</v>
      </c>
      <c r="N797" s="136" t="s">
        <v>74</v>
      </c>
      <c r="O797" s="136" t="s">
        <v>848</v>
      </c>
      <c r="P797" s="224"/>
      <c r="Q797" s="224"/>
      <c r="R797" s="219"/>
      <c r="S797" s="219"/>
      <c r="T797" s="219"/>
      <c r="U797" s="220"/>
      <c r="V797" s="674">
        <f t="shared" si="155"/>
        <v>0</v>
      </c>
      <c r="W797" s="220"/>
      <c r="X797" s="220"/>
      <c r="Y797" s="220"/>
      <c r="Z797" s="220"/>
      <c r="AA797" s="220"/>
      <c r="AB797" s="220"/>
      <c r="AC797" s="132"/>
      <c r="AD797" s="132"/>
      <c r="AE797" s="598"/>
      <c r="AF797" s="360"/>
      <c r="AG797" s="763">
        <v>0</v>
      </c>
      <c r="AH797" s="764">
        <v>0</v>
      </c>
      <c r="AI797" s="75"/>
      <c r="AJ797" s="777"/>
      <c r="AK797" s="75"/>
      <c r="AL797" s="75"/>
      <c r="AM797" s="75"/>
      <c r="AN797" s="788" t="s">
        <v>39</v>
      </c>
      <c r="AO797" s="221"/>
      <c r="AP797" s="221"/>
      <c r="AQ797" s="419"/>
      <c r="AR797" s="221"/>
      <c r="AS797" s="485"/>
      <c r="AT797" s="221"/>
      <c r="AU797" s="654"/>
      <c r="AV797" s="451"/>
    </row>
    <row r="798" spans="1:48" s="212" customFormat="1" ht="15" customHeight="1" outlineLevel="2" x14ac:dyDescent="0.25">
      <c r="A798" s="746" t="str">
        <f t="shared" si="120"/>
        <v>1.6.1.2.4.62</v>
      </c>
      <c r="B798" s="136">
        <v>1</v>
      </c>
      <c r="C798" s="136">
        <v>6</v>
      </c>
      <c r="D798" s="136">
        <v>1</v>
      </c>
      <c r="E798" s="136">
        <v>2</v>
      </c>
      <c r="F798" s="136">
        <v>4</v>
      </c>
      <c r="G798" s="136">
        <v>62</v>
      </c>
      <c r="H798" s="753"/>
      <c r="I798" s="753"/>
      <c r="J798" s="753"/>
      <c r="K798" s="753" t="s">
        <v>852</v>
      </c>
      <c r="L798" s="136" t="s">
        <v>72</v>
      </c>
      <c r="M798" s="136" t="s">
        <v>73</v>
      </c>
      <c r="N798" s="136" t="s">
        <v>74</v>
      </c>
      <c r="O798" s="136" t="s">
        <v>848</v>
      </c>
      <c r="P798" s="224"/>
      <c r="Q798" s="224"/>
      <c r="R798" s="221"/>
      <c r="S798" s="219"/>
      <c r="T798" s="219"/>
      <c r="U798" s="220"/>
      <c r="V798" s="674">
        <f t="shared" si="155"/>
        <v>0</v>
      </c>
      <c r="W798" s="220"/>
      <c r="X798" s="220"/>
      <c r="Y798" s="220"/>
      <c r="Z798" s="220"/>
      <c r="AA798" s="220"/>
      <c r="AB798" s="220"/>
      <c r="AC798" s="132"/>
      <c r="AD798" s="132"/>
      <c r="AE798" s="598"/>
      <c r="AF798" s="360"/>
      <c r="AG798" s="763">
        <v>0</v>
      </c>
      <c r="AH798" s="764">
        <v>0</v>
      </c>
      <c r="AI798" s="75"/>
      <c r="AJ798" s="777"/>
      <c r="AK798" s="75"/>
      <c r="AL798" s="75"/>
      <c r="AM798" s="75"/>
      <c r="AN798" s="788" t="s">
        <v>39</v>
      </c>
      <c r="AO798" s="221"/>
      <c r="AP798" s="221"/>
      <c r="AQ798" s="419"/>
      <c r="AR798" s="221"/>
      <c r="AS798" s="485"/>
      <c r="AT798" s="221"/>
      <c r="AU798" s="654"/>
      <c r="AV798" s="451"/>
    </row>
    <row r="799" spans="1:48" s="212" customFormat="1" ht="15" customHeight="1" outlineLevel="2" x14ac:dyDescent="0.25">
      <c r="A799" s="746" t="str">
        <f t="shared" si="120"/>
        <v>1.6.1.2.4.63</v>
      </c>
      <c r="B799" s="136">
        <v>1</v>
      </c>
      <c r="C799" s="136">
        <v>6</v>
      </c>
      <c r="D799" s="136">
        <v>1</v>
      </c>
      <c r="E799" s="136">
        <v>2</v>
      </c>
      <c r="F799" s="136">
        <v>4</v>
      </c>
      <c r="G799" s="136">
        <v>63</v>
      </c>
      <c r="H799" s="753"/>
      <c r="I799" s="753"/>
      <c r="J799" s="753"/>
      <c r="K799" s="753" t="s">
        <v>1760</v>
      </c>
      <c r="L799" s="136" t="s">
        <v>72</v>
      </c>
      <c r="M799" s="136" t="s">
        <v>73</v>
      </c>
      <c r="N799" s="136" t="s">
        <v>74</v>
      </c>
      <c r="O799" s="136" t="s">
        <v>848</v>
      </c>
      <c r="P799" s="224"/>
      <c r="Q799" s="224"/>
      <c r="R799" s="219"/>
      <c r="S799" s="219"/>
      <c r="T799" s="219"/>
      <c r="U799" s="220"/>
      <c r="V799" s="674">
        <f t="shared" si="155"/>
        <v>0</v>
      </c>
      <c r="W799" s="220"/>
      <c r="X799" s="220"/>
      <c r="Y799" s="220"/>
      <c r="Z799" s="220"/>
      <c r="AA799" s="220"/>
      <c r="AB799" s="220"/>
      <c r="AC799" s="132"/>
      <c r="AD799" s="132"/>
      <c r="AE799" s="598"/>
      <c r="AF799" s="360"/>
      <c r="AG799" s="763">
        <v>0</v>
      </c>
      <c r="AH799" s="764">
        <v>0</v>
      </c>
      <c r="AI799" s="75"/>
      <c r="AJ799" s="777"/>
      <c r="AK799" s="75"/>
      <c r="AL799" s="75"/>
      <c r="AM799" s="75"/>
      <c r="AN799" s="788" t="s">
        <v>39</v>
      </c>
      <c r="AO799" s="221"/>
      <c r="AP799" s="221"/>
      <c r="AQ799" s="419"/>
      <c r="AR799" s="221"/>
      <c r="AS799" s="485"/>
      <c r="AT799" s="221"/>
      <c r="AU799" s="654"/>
      <c r="AV799" s="451"/>
    </row>
    <row r="800" spans="1:48" s="212" customFormat="1" ht="15" customHeight="1" outlineLevel="2" x14ac:dyDescent="0.25">
      <c r="A800" s="746" t="str">
        <f t="shared" si="120"/>
        <v>1.6.1.2.4.64</v>
      </c>
      <c r="B800" s="136">
        <v>1</v>
      </c>
      <c r="C800" s="136">
        <v>6</v>
      </c>
      <c r="D800" s="136">
        <v>1</v>
      </c>
      <c r="E800" s="136">
        <v>2</v>
      </c>
      <c r="F800" s="136">
        <v>4</v>
      </c>
      <c r="G800" s="136">
        <v>64</v>
      </c>
      <c r="H800" s="753"/>
      <c r="I800" s="753"/>
      <c r="J800" s="753"/>
      <c r="K800" s="753" t="s">
        <v>853</v>
      </c>
      <c r="L800" s="136" t="s">
        <v>72</v>
      </c>
      <c r="M800" s="136" t="s">
        <v>73</v>
      </c>
      <c r="N800" s="136" t="s">
        <v>74</v>
      </c>
      <c r="O800" s="136" t="s">
        <v>848</v>
      </c>
      <c r="P800" s="224"/>
      <c r="Q800" s="224"/>
      <c r="R800" s="219"/>
      <c r="S800" s="219"/>
      <c r="T800" s="219"/>
      <c r="U800" s="220"/>
      <c r="V800" s="674">
        <f t="shared" si="155"/>
        <v>0</v>
      </c>
      <c r="W800" s="220"/>
      <c r="X800" s="220"/>
      <c r="Y800" s="220"/>
      <c r="Z800" s="220"/>
      <c r="AA800" s="220"/>
      <c r="AB800" s="220"/>
      <c r="AC800" s="132"/>
      <c r="AD800" s="132"/>
      <c r="AE800" s="598"/>
      <c r="AF800" s="360"/>
      <c r="AG800" s="763">
        <v>0</v>
      </c>
      <c r="AH800" s="764">
        <v>0</v>
      </c>
      <c r="AI800" s="75"/>
      <c r="AJ800" s="777"/>
      <c r="AK800" s="75"/>
      <c r="AL800" s="75"/>
      <c r="AM800" s="75"/>
      <c r="AN800" s="788" t="s">
        <v>39</v>
      </c>
      <c r="AO800" s="221"/>
      <c r="AP800" s="221"/>
      <c r="AQ800" s="419"/>
      <c r="AR800" s="221"/>
      <c r="AS800" s="485"/>
      <c r="AT800" s="221"/>
      <c r="AU800" s="654"/>
      <c r="AV800" s="451"/>
    </row>
    <row r="801" spans="1:48" s="212" customFormat="1" ht="15" customHeight="1" outlineLevel="2" x14ac:dyDescent="0.25">
      <c r="A801" s="746" t="str">
        <f t="shared" si="120"/>
        <v>1.6.1.2.5.58</v>
      </c>
      <c r="B801" s="136">
        <v>1</v>
      </c>
      <c r="C801" s="136">
        <v>6</v>
      </c>
      <c r="D801" s="136">
        <v>1</v>
      </c>
      <c r="E801" s="136">
        <v>2</v>
      </c>
      <c r="F801" s="136">
        <v>5</v>
      </c>
      <c r="G801" s="136">
        <v>58</v>
      </c>
      <c r="H801" s="753"/>
      <c r="I801" s="753"/>
      <c r="J801" s="753"/>
      <c r="K801" s="753" t="s">
        <v>854</v>
      </c>
      <c r="L801" s="136" t="s">
        <v>830</v>
      </c>
      <c r="M801" s="136" t="s">
        <v>73</v>
      </c>
      <c r="N801" s="136" t="s">
        <v>74</v>
      </c>
      <c r="O801" s="136" t="s">
        <v>737</v>
      </c>
      <c r="P801" s="224">
        <v>44197</v>
      </c>
      <c r="Q801" s="224">
        <v>44229</v>
      </c>
      <c r="R801" s="219">
        <v>1</v>
      </c>
      <c r="S801" s="219" t="s">
        <v>831</v>
      </c>
      <c r="T801" s="219"/>
      <c r="U801" s="220"/>
      <c r="V801" s="674">
        <f t="shared" si="155"/>
        <v>0</v>
      </c>
      <c r="W801" s="220"/>
      <c r="X801" s="220"/>
      <c r="Y801" s="220"/>
      <c r="Z801" s="220"/>
      <c r="AA801" s="220"/>
      <c r="AB801" s="220"/>
      <c r="AC801" s="132"/>
      <c r="AD801" s="132"/>
      <c r="AE801" s="598"/>
      <c r="AF801" s="360" t="s">
        <v>649</v>
      </c>
      <c r="AG801" s="763">
        <v>0</v>
      </c>
      <c r="AH801" s="764">
        <v>0</v>
      </c>
      <c r="AI801" s="75"/>
      <c r="AJ801" s="777"/>
      <c r="AK801" s="75"/>
      <c r="AL801" s="75"/>
      <c r="AM801" s="75"/>
      <c r="AN801" s="788" t="s">
        <v>39</v>
      </c>
      <c r="AO801" s="221"/>
      <c r="AP801" s="221"/>
      <c r="AQ801" s="419"/>
      <c r="AR801" s="221"/>
      <c r="AS801" s="485"/>
      <c r="AT801" s="221"/>
      <c r="AU801" s="654"/>
      <c r="AV801" s="451"/>
    </row>
    <row r="802" spans="1:48" s="212" customFormat="1" ht="15" customHeight="1" outlineLevel="2" x14ac:dyDescent="0.25">
      <c r="A802" s="746" t="str">
        <f t="shared" si="120"/>
        <v>1.6.1.2.5.59</v>
      </c>
      <c r="B802" s="136">
        <v>1</v>
      </c>
      <c r="C802" s="136">
        <v>6</v>
      </c>
      <c r="D802" s="136">
        <v>1</v>
      </c>
      <c r="E802" s="136">
        <v>2</v>
      </c>
      <c r="F802" s="136">
        <v>5</v>
      </c>
      <c r="G802" s="136">
        <v>59</v>
      </c>
      <c r="H802" s="753"/>
      <c r="I802" s="753"/>
      <c r="J802" s="753"/>
      <c r="K802" s="753" t="s">
        <v>855</v>
      </c>
      <c r="L802" s="136" t="s">
        <v>830</v>
      </c>
      <c r="M802" s="136" t="s">
        <v>73</v>
      </c>
      <c r="N802" s="136" t="s">
        <v>74</v>
      </c>
      <c r="O802" s="136" t="s">
        <v>737</v>
      </c>
      <c r="P802" s="224"/>
      <c r="Q802" s="224"/>
      <c r="R802" s="219"/>
      <c r="S802" s="219"/>
      <c r="T802" s="219"/>
      <c r="U802" s="220"/>
      <c r="V802" s="674">
        <f t="shared" si="155"/>
        <v>0</v>
      </c>
      <c r="W802" s="220"/>
      <c r="X802" s="220"/>
      <c r="Y802" s="220"/>
      <c r="Z802" s="220"/>
      <c r="AA802" s="220"/>
      <c r="AB802" s="220"/>
      <c r="AC802" s="132"/>
      <c r="AD802" s="132"/>
      <c r="AE802" s="598"/>
      <c r="AF802" s="360"/>
      <c r="AG802" s="763">
        <v>0</v>
      </c>
      <c r="AH802" s="764">
        <v>0</v>
      </c>
      <c r="AI802" s="75"/>
      <c r="AJ802" s="777"/>
      <c r="AK802" s="75"/>
      <c r="AL802" s="75"/>
      <c r="AM802" s="75"/>
      <c r="AN802" s="788" t="s">
        <v>39</v>
      </c>
      <c r="AO802" s="221"/>
      <c r="AP802" s="221"/>
      <c r="AQ802" s="419"/>
      <c r="AR802" s="221"/>
      <c r="AS802" s="485"/>
      <c r="AT802" s="221"/>
      <c r="AU802" s="654"/>
      <c r="AV802" s="451"/>
    </row>
    <row r="803" spans="1:48" s="212" customFormat="1" ht="15" customHeight="1" outlineLevel="2" x14ac:dyDescent="0.25">
      <c r="A803" s="746" t="str">
        <f t="shared" si="120"/>
        <v>1.6.1.2.5.60</v>
      </c>
      <c r="B803" s="136">
        <v>1</v>
      </c>
      <c r="C803" s="136">
        <v>6</v>
      </c>
      <c r="D803" s="136">
        <v>1</v>
      </c>
      <c r="E803" s="136">
        <v>2</v>
      </c>
      <c r="F803" s="136">
        <v>5</v>
      </c>
      <c r="G803" s="136">
        <v>60</v>
      </c>
      <c r="H803" s="753"/>
      <c r="I803" s="753"/>
      <c r="J803" s="753"/>
      <c r="K803" s="753" t="s">
        <v>856</v>
      </c>
      <c r="L803" s="136" t="s">
        <v>830</v>
      </c>
      <c r="M803" s="136" t="s">
        <v>73</v>
      </c>
      <c r="N803" s="136" t="s">
        <v>74</v>
      </c>
      <c r="O803" s="136" t="s">
        <v>737</v>
      </c>
      <c r="P803" s="224"/>
      <c r="Q803" s="224"/>
      <c r="R803" s="219"/>
      <c r="S803" s="219"/>
      <c r="T803" s="219"/>
      <c r="U803" s="220"/>
      <c r="V803" s="674">
        <f t="shared" si="155"/>
        <v>0</v>
      </c>
      <c r="W803" s="220"/>
      <c r="X803" s="220"/>
      <c r="Y803" s="220"/>
      <c r="Z803" s="220"/>
      <c r="AA803" s="220"/>
      <c r="AB803" s="220"/>
      <c r="AC803" s="132"/>
      <c r="AD803" s="132"/>
      <c r="AE803" s="598"/>
      <c r="AF803" s="360"/>
      <c r="AG803" s="763">
        <v>0</v>
      </c>
      <c r="AH803" s="764">
        <v>0</v>
      </c>
      <c r="AI803" s="75"/>
      <c r="AJ803" s="777"/>
      <c r="AK803" s="75"/>
      <c r="AL803" s="75"/>
      <c r="AM803" s="75"/>
      <c r="AN803" s="788" t="s">
        <v>39</v>
      </c>
      <c r="AO803" s="221"/>
      <c r="AP803" s="221"/>
      <c r="AQ803" s="419"/>
      <c r="AR803" s="221"/>
      <c r="AS803" s="485"/>
      <c r="AT803" s="221"/>
      <c r="AU803" s="654"/>
      <c r="AV803" s="451"/>
    </row>
    <row r="804" spans="1:48" s="212" customFormat="1" ht="15" customHeight="1" outlineLevel="2" x14ac:dyDescent="0.25">
      <c r="A804" s="746" t="str">
        <f t="shared" si="120"/>
        <v>1.6.1.2.5.61</v>
      </c>
      <c r="B804" s="136">
        <v>1</v>
      </c>
      <c r="C804" s="136">
        <v>6</v>
      </c>
      <c r="D804" s="136">
        <v>1</v>
      </c>
      <c r="E804" s="136">
        <v>2</v>
      </c>
      <c r="F804" s="136">
        <v>5</v>
      </c>
      <c r="G804" s="136">
        <v>61</v>
      </c>
      <c r="H804" s="753"/>
      <c r="I804" s="753"/>
      <c r="J804" s="753"/>
      <c r="K804" s="753" t="s">
        <v>857</v>
      </c>
      <c r="L804" s="136" t="s">
        <v>830</v>
      </c>
      <c r="M804" s="136" t="s">
        <v>73</v>
      </c>
      <c r="N804" s="136" t="s">
        <v>74</v>
      </c>
      <c r="O804" s="136" t="s">
        <v>737</v>
      </c>
      <c r="P804" s="219"/>
      <c r="Q804" s="219"/>
      <c r="R804" s="219"/>
      <c r="S804" s="219"/>
      <c r="T804" s="219"/>
      <c r="U804" s="220"/>
      <c r="V804" s="674">
        <f t="shared" si="155"/>
        <v>0</v>
      </c>
      <c r="W804" s="220"/>
      <c r="X804" s="220"/>
      <c r="Y804" s="220"/>
      <c r="Z804" s="220"/>
      <c r="AA804" s="220"/>
      <c r="AB804" s="220"/>
      <c r="AC804" s="132"/>
      <c r="AD804" s="132"/>
      <c r="AE804" s="598"/>
      <c r="AF804" s="360"/>
      <c r="AG804" s="763">
        <v>0</v>
      </c>
      <c r="AH804" s="764">
        <v>0</v>
      </c>
      <c r="AI804" s="75"/>
      <c r="AJ804" s="777"/>
      <c r="AK804" s="75"/>
      <c r="AL804" s="75"/>
      <c r="AM804" s="75"/>
      <c r="AN804" s="788" t="s">
        <v>39</v>
      </c>
      <c r="AO804" s="221"/>
      <c r="AP804" s="221"/>
      <c r="AQ804" s="419"/>
      <c r="AR804" s="221"/>
      <c r="AS804" s="485"/>
      <c r="AT804" s="221"/>
      <c r="AU804" s="654"/>
      <c r="AV804" s="451"/>
    </row>
    <row r="805" spans="1:48" s="212" customFormat="1" ht="15" customHeight="1" outlineLevel="2" x14ac:dyDescent="0.25">
      <c r="A805" s="746" t="str">
        <f t="shared" si="120"/>
        <v>1.6.1.2.5.62</v>
      </c>
      <c r="B805" s="136">
        <v>1</v>
      </c>
      <c r="C805" s="136">
        <v>6</v>
      </c>
      <c r="D805" s="136">
        <v>1</v>
      </c>
      <c r="E805" s="136">
        <v>2</v>
      </c>
      <c r="F805" s="136">
        <v>5</v>
      </c>
      <c r="G805" s="136">
        <v>62</v>
      </c>
      <c r="H805" s="753"/>
      <c r="I805" s="753"/>
      <c r="J805" s="753"/>
      <c r="K805" s="753" t="s">
        <v>858</v>
      </c>
      <c r="L805" s="136" t="s">
        <v>830</v>
      </c>
      <c r="M805" s="136" t="s">
        <v>73</v>
      </c>
      <c r="N805" s="136" t="s">
        <v>74</v>
      </c>
      <c r="O805" s="136" t="s">
        <v>737</v>
      </c>
      <c r="P805" s="219"/>
      <c r="Q805" s="219"/>
      <c r="R805" s="221"/>
      <c r="S805" s="219"/>
      <c r="T805" s="219"/>
      <c r="U805" s="220"/>
      <c r="V805" s="674">
        <f t="shared" si="155"/>
        <v>0</v>
      </c>
      <c r="W805" s="220"/>
      <c r="X805" s="220"/>
      <c r="Y805" s="220"/>
      <c r="Z805" s="220"/>
      <c r="AA805" s="220"/>
      <c r="AB805" s="220"/>
      <c r="AC805" s="132"/>
      <c r="AD805" s="132"/>
      <c r="AE805" s="598"/>
      <c r="AF805" s="360"/>
      <c r="AG805" s="763">
        <v>0</v>
      </c>
      <c r="AH805" s="764">
        <v>0</v>
      </c>
      <c r="AI805" s="75"/>
      <c r="AJ805" s="777"/>
      <c r="AK805" s="75"/>
      <c r="AL805" s="75"/>
      <c r="AM805" s="75"/>
      <c r="AN805" s="788" t="s">
        <v>39</v>
      </c>
      <c r="AO805" s="221"/>
      <c r="AP805" s="221"/>
      <c r="AQ805" s="419"/>
      <c r="AR805" s="221"/>
      <c r="AS805" s="485"/>
      <c r="AT805" s="221"/>
      <c r="AU805" s="654"/>
      <c r="AV805" s="451"/>
    </row>
    <row r="806" spans="1:48" s="212" customFormat="1" ht="15" customHeight="1" outlineLevel="2" x14ac:dyDescent="0.25">
      <c r="A806" s="746" t="str">
        <f t="shared" si="120"/>
        <v>1.6.1.2.5.63</v>
      </c>
      <c r="B806" s="136">
        <v>1</v>
      </c>
      <c r="C806" s="136">
        <v>6</v>
      </c>
      <c r="D806" s="136">
        <v>1</v>
      </c>
      <c r="E806" s="136">
        <v>2</v>
      </c>
      <c r="F806" s="136">
        <v>5</v>
      </c>
      <c r="G806" s="136">
        <v>63</v>
      </c>
      <c r="H806" s="753"/>
      <c r="I806" s="753"/>
      <c r="J806" s="753"/>
      <c r="K806" s="753" t="s">
        <v>1761</v>
      </c>
      <c r="L806" s="136" t="s">
        <v>830</v>
      </c>
      <c r="M806" s="136" t="s">
        <v>73</v>
      </c>
      <c r="N806" s="136" t="s">
        <v>74</v>
      </c>
      <c r="O806" s="136" t="s">
        <v>737</v>
      </c>
      <c r="P806" s="219"/>
      <c r="Q806" s="219"/>
      <c r="R806" s="219"/>
      <c r="S806" s="219"/>
      <c r="T806" s="219"/>
      <c r="U806" s="220"/>
      <c r="V806" s="674">
        <f t="shared" si="155"/>
        <v>0</v>
      </c>
      <c r="W806" s="220"/>
      <c r="X806" s="220"/>
      <c r="Y806" s="220"/>
      <c r="Z806" s="220"/>
      <c r="AA806" s="220"/>
      <c r="AB806" s="220"/>
      <c r="AC806" s="132"/>
      <c r="AD806" s="132"/>
      <c r="AE806" s="598"/>
      <c r="AF806" s="360"/>
      <c r="AG806" s="763">
        <v>0</v>
      </c>
      <c r="AH806" s="764">
        <v>0</v>
      </c>
      <c r="AI806" s="75"/>
      <c r="AJ806" s="777"/>
      <c r="AK806" s="75"/>
      <c r="AL806" s="75"/>
      <c r="AM806" s="75"/>
      <c r="AN806" s="788" t="s">
        <v>39</v>
      </c>
      <c r="AO806" s="221"/>
      <c r="AP806" s="221"/>
      <c r="AQ806" s="419"/>
      <c r="AR806" s="221"/>
      <c r="AS806" s="485"/>
      <c r="AT806" s="221"/>
      <c r="AU806" s="654"/>
      <c r="AV806" s="451"/>
    </row>
    <row r="807" spans="1:48" s="212" customFormat="1" ht="15" customHeight="1" outlineLevel="2" x14ac:dyDescent="0.25">
      <c r="A807" s="746" t="str">
        <f t="shared" si="120"/>
        <v>1.6.1.2.5.64</v>
      </c>
      <c r="B807" s="136">
        <v>1</v>
      </c>
      <c r="C807" s="136">
        <v>6</v>
      </c>
      <c r="D807" s="136">
        <v>1</v>
      </c>
      <c r="E807" s="136">
        <v>2</v>
      </c>
      <c r="F807" s="136">
        <v>5</v>
      </c>
      <c r="G807" s="136">
        <v>64</v>
      </c>
      <c r="H807" s="753"/>
      <c r="I807" s="753"/>
      <c r="J807" s="753"/>
      <c r="K807" s="753" t="s">
        <v>859</v>
      </c>
      <c r="L807" s="136" t="s">
        <v>830</v>
      </c>
      <c r="M807" s="136" t="s">
        <v>73</v>
      </c>
      <c r="N807" s="136" t="s">
        <v>74</v>
      </c>
      <c r="O807" s="136" t="s">
        <v>737</v>
      </c>
      <c r="P807" s="219"/>
      <c r="Q807" s="219"/>
      <c r="R807" s="219"/>
      <c r="S807" s="219"/>
      <c r="T807" s="219"/>
      <c r="U807" s="220"/>
      <c r="V807" s="674">
        <f t="shared" si="155"/>
        <v>0</v>
      </c>
      <c r="W807" s="220"/>
      <c r="X807" s="220"/>
      <c r="Y807" s="220"/>
      <c r="Z807" s="220"/>
      <c r="AA807" s="220"/>
      <c r="AB807" s="220"/>
      <c r="AC807" s="132"/>
      <c r="AD807" s="132"/>
      <c r="AE807" s="598"/>
      <c r="AF807" s="360"/>
      <c r="AG807" s="763">
        <v>0</v>
      </c>
      <c r="AH807" s="764">
        <v>0</v>
      </c>
      <c r="AI807" s="75"/>
      <c r="AJ807" s="777"/>
      <c r="AK807" s="75"/>
      <c r="AL807" s="75"/>
      <c r="AM807" s="75"/>
      <c r="AN807" s="788" t="s">
        <v>39</v>
      </c>
      <c r="AO807" s="221"/>
      <c r="AP807" s="221"/>
      <c r="AQ807" s="419"/>
      <c r="AR807" s="221"/>
      <c r="AS807" s="485"/>
      <c r="AT807" s="221"/>
      <c r="AU807" s="654"/>
      <c r="AV807" s="451"/>
    </row>
    <row r="808" spans="1:48" s="212" customFormat="1" ht="30" customHeight="1" outlineLevel="2" x14ac:dyDescent="0.25">
      <c r="A808" s="746" t="str">
        <f t="shared" si="120"/>
        <v>1.6.1.2.6.58</v>
      </c>
      <c r="B808" s="136">
        <v>1</v>
      </c>
      <c r="C808" s="136">
        <v>6</v>
      </c>
      <c r="D808" s="136">
        <v>1</v>
      </c>
      <c r="E808" s="136">
        <v>2</v>
      </c>
      <c r="F808" s="136">
        <v>6</v>
      </c>
      <c r="G808" s="136">
        <v>58</v>
      </c>
      <c r="H808" s="753"/>
      <c r="I808" s="753"/>
      <c r="J808" s="753"/>
      <c r="K808" s="754" t="s">
        <v>860</v>
      </c>
      <c r="L808" s="136" t="s">
        <v>830</v>
      </c>
      <c r="M808" s="136" t="s">
        <v>73</v>
      </c>
      <c r="N808" s="136" t="s">
        <v>74</v>
      </c>
      <c r="O808" s="136" t="s">
        <v>737</v>
      </c>
      <c r="P808" s="219">
        <v>44197</v>
      </c>
      <c r="Q808" s="219">
        <v>44560</v>
      </c>
      <c r="R808" s="219">
        <v>1</v>
      </c>
      <c r="S808" s="219" t="s">
        <v>831</v>
      </c>
      <c r="T808" s="219"/>
      <c r="U808" s="220"/>
      <c r="V808" s="674">
        <f t="shared" si="155"/>
        <v>0</v>
      </c>
      <c r="W808" s="220"/>
      <c r="X808" s="220"/>
      <c r="Y808" s="220"/>
      <c r="Z808" s="220"/>
      <c r="AA808" s="220"/>
      <c r="AB808" s="220"/>
      <c r="AC808" s="132"/>
      <c r="AD808" s="132"/>
      <c r="AE808" s="598"/>
      <c r="AF808" s="360" t="s">
        <v>649</v>
      </c>
      <c r="AG808" s="763">
        <v>0</v>
      </c>
      <c r="AH808" s="764">
        <v>0</v>
      </c>
      <c r="AI808" s="75"/>
      <c r="AJ808" s="777"/>
      <c r="AK808" s="75"/>
      <c r="AL808" s="75"/>
      <c r="AM808" s="75"/>
      <c r="AN808" s="788" t="s">
        <v>39</v>
      </c>
      <c r="AO808" s="221"/>
      <c r="AP808" s="221"/>
      <c r="AQ808" s="419"/>
      <c r="AR808" s="221"/>
      <c r="AS808" s="485"/>
      <c r="AT808" s="221"/>
      <c r="AU808" s="654"/>
      <c r="AV808" s="451"/>
    </row>
    <row r="809" spans="1:48" s="212" customFormat="1" ht="30" customHeight="1" outlineLevel="2" x14ac:dyDescent="0.25">
      <c r="A809" s="746" t="str">
        <f t="shared" si="120"/>
        <v>1.6.1.2.6.59</v>
      </c>
      <c r="B809" s="136">
        <v>1</v>
      </c>
      <c r="C809" s="136">
        <v>6</v>
      </c>
      <c r="D809" s="136">
        <v>1</v>
      </c>
      <c r="E809" s="136">
        <v>2</v>
      </c>
      <c r="F809" s="136">
        <v>6</v>
      </c>
      <c r="G809" s="136">
        <v>59</v>
      </c>
      <c r="H809" s="753"/>
      <c r="I809" s="753"/>
      <c r="J809" s="753"/>
      <c r="K809" s="754" t="s">
        <v>861</v>
      </c>
      <c r="L809" s="136" t="s">
        <v>830</v>
      </c>
      <c r="M809" s="136" t="s">
        <v>73</v>
      </c>
      <c r="N809" s="136" t="s">
        <v>74</v>
      </c>
      <c r="O809" s="136" t="s">
        <v>737</v>
      </c>
      <c r="P809" s="219"/>
      <c r="Q809" s="219"/>
      <c r="R809" s="219"/>
      <c r="S809" s="219"/>
      <c r="T809" s="219"/>
      <c r="U809" s="220"/>
      <c r="V809" s="674">
        <f t="shared" si="155"/>
        <v>0</v>
      </c>
      <c r="W809" s="220"/>
      <c r="X809" s="220"/>
      <c r="Y809" s="220"/>
      <c r="Z809" s="220"/>
      <c r="AA809" s="220"/>
      <c r="AB809" s="220"/>
      <c r="AC809" s="132"/>
      <c r="AD809" s="132"/>
      <c r="AE809" s="598"/>
      <c r="AF809" s="360"/>
      <c r="AG809" s="763">
        <v>0</v>
      </c>
      <c r="AH809" s="764">
        <v>0</v>
      </c>
      <c r="AI809" s="75"/>
      <c r="AJ809" s="777"/>
      <c r="AK809" s="75"/>
      <c r="AL809" s="75"/>
      <c r="AM809" s="75"/>
      <c r="AN809" s="788" t="s">
        <v>39</v>
      </c>
      <c r="AO809" s="221"/>
      <c r="AP809" s="221"/>
      <c r="AQ809" s="419"/>
      <c r="AR809" s="221"/>
      <c r="AS809" s="485"/>
      <c r="AT809" s="221"/>
      <c r="AU809" s="654"/>
      <c r="AV809" s="451"/>
    </row>
    <row r="810" spans="1:48" s="212" customFormat="1" ht="30" customHeight="1" outlineLevel="2" x14ac:dyDescent="0.25">
      <c r="A810" s="746" t="str">
        <f t="shared" si="120"/>
        <v>1.6.1.2.6.60</v>
      </c>
      <c r="B810" s="136">
        <v>1</v>
      </c>
      <c r="C810" s="136">
        <v>6</v>
      </c>
      <c r="D810" s="136">
        <v>1</v>
      </c>
      <c r="E810" s="136">
        <v>2</v>
      </c>
      <c r="F810" s="136">
        <v>6</v>
      </c>
      <c r="G810" s="136">
        <v>60</v>
      </c>
      <c r="H810" s="753"/>
      <c r="I810" s="753"/>
      <c r="J810" s="753"/>
      <c r="K810" s="754" t="s">
        <v>862</v>
      </c>
      <c r="L810" s="136" t="s">
        <v>830</v>
      </c>
      <c r="M810" s="136" t="s">
        <v>73</v>
      </c>
      <c r="N810" s="136" t="s">
        <v>74</v>
      </c>
      <c r="O810" s="136" t="s">
        <v>737</v>
      </c>
      <c r="P810" s="219"/>
      <c r="Q810" s="219"/>
      <c r="R810" s="219"/>
      <c r="S810" s="219"/>
      <c r="T810" s="219"/>
      <c r="U810" s="220"/>
      <c r="V810" s="674">
        <f t="shared" si="155"/>
        <v>0</v>
      </c>
      <c r="W810" s="220"/>
      <c r="X810" s="220"/>
      <c r="Y810" s="220"/>
      <c r="Z810" s="220"/>
      <c r="AA810" s="220"/>
      <c r="AB810" s="220"/>
      <c r="AC810" s="132"/>
      <c r="AD810" s="132"/>
      <c r="AE810" s="598"/>
      <c r="AF810" s="360"/>
      <c r="AG810" s="763">
        <v>0</v>
      </c>
      <c r="AH810" s="764">
        <v>0</v>
      </c>
      <c r="AI810" s="75"/>
      <c r="AJ810" s="777"/>
      <c r="AK810" s="75"/>
      <c r="AL810" s="75"/>
      <c r="AM810" s="75"/>
      <c r="AN810" s="788" t="s">
        <v>39</v>
      </c>
      <c r="AO810" s="221"/>
      <c r="AP810" s="221"/>
      <c r="AQ810" s="419"/>
      <c r="AR810" s="221"/>
      <c r="AS810" s="485"/>
      <c r="AT810" s="221"/>
      <c r="AU810" s="654"/>
      <c r="AV810" s="451"/>
    </row>
    <row r="811" spans="1:48" s="212" customFormat="1" ht="30" customHeight="1" outlineLevel="2" x14ac:dyDescent="0.25">
      <c r="A811" s="746" t="str">
        <f t="shared" si="120"/>
        <v>1.6.1.2.6.61</v>
      </c>
      <c r="B811" s="136">
        <v>1</v>
      </c>
      <c r="C811" s="136">
        <v>6</v>
      </c>
      <c r="D811" s="136">
        <v>1</v>
      </c>
      <c r="E811" s="136">
        <v>2</v>
      </c>
      <c r="F811" s="136">
        <v>6</v>
      </c>
      <c r="G811" s="136">
        <v>61</v>
      </c>
      <c r="H811" s="753"/>
      <c r="I811" s="753"/>
      <c r="J811" s="753"/>
      <c r="K811" s="754" t="s">
        <v>863</v>
      </c>
      <c r="L811" s="136" t="s">
        <v>830</v>
      </c>
      <c r="M811" s="136" t="s">
        <v>73</v>
      </c>
      <c r="N811" s="136" t="s">
        <v>74</v>
      </c>
      <c r="O811" s="136" t="s">
        <v>737</v>
      </c>
      <c r="P811" s="219"/>
      <c r="Q811" s="219"/>
      <c r="R811" s="219"/>
      <c r="S811" s="219"/>
      <c r="T811" s="219"/>
      <c r="U811" s="220"/>
      <c r="V811" s="674">
        <f t="shared" si="155"/>
        <v>0</v>
      </c>
      <c r="W811" s="220"/>
      <c r="X811" s="220"/>
      <c r="Y811" s="220"/>
      <c r="Z811" s="220"/>
      <c r="AA811" s="220"/>
      <c r="AB811" s="220"/>
      <c r="AC811" s="132"/>
      <c r="AD811" s="132"/>
      <c r="AE811" s="598"/>
      <c r="AF811" s="360"/>
      <c r="AG811" s="763">
        <v>0</v>
      </c>
      <c r="AH811" s="764">
        <v>0</v>
      </c>
      <c r="AI811" s="75"/>
      <c r="AJ811" s="777"/>
      <c r="AK811" s="75"/>
      <c r="AL811" s="75"/>
      <c r="AM811" s="75"/>
      <c r="AN811" s="788" t="s">
        <v>39</v>
      </c>
      <c r="AO811" s="221"/>
      <c r="AP811" s="221"/>
      <c r="AQ811" s="419"/>
      <c r="AR811" s="221"/>
      <c r="AS811" s="485"/>
      <c r="AT811" s="221"/>
      <c r="AU811" s="654"/>
      <c r="AV811" s="451"/>
    </row>
    <row r="812" spans="1:48" s="212" customFormat="1" ht="30" customHeight="1" outlineLevel="2" x14ac:dyDescent="0.25">
      <c r="A812" s="746" t="str">
        <f t="shared" si="120"/>
        <v>1.6.1.2.6.62</v>
      </c>
      <c r="B812" s="136">
        <v>1</v>
      </c>
      <c r="C812" s="136">
        <v>6</v>
      </c>
      <c r="D812" s="136">
        <v>1</v>
      </c>
      <c r="E812" s="136">
        <v>2</v>
      </c>
      <c r="F812" s="136">
        <v>6</v>
      </c>
      <c r="G812" s="136">
        <v>62</v>
      </c>
      <c r="H812" s="753"/>
      <c r="I812" s="753"/>
      <c r="J812" s="753"/>
      <c r="K812" s="754" t="s">
        <v>864</v>
      </c>
      <c r="L812" s="136" t="s">
        <v>830</v>
      </c>
      <c r="M812" s="136" t="s">
        <v>73</v>
      </c>
      <c r="N812" s="136" t="s">
        <v>74</v>
      </c>
      <c r="O812" s="136" t="s">
        <v>737</v>
      </c>
      <c r="P812" s="219"/>
      <c r="Q812" s="219"/>
      <c r="R812" s="219"/>
      <c r="S812" s="219"/>
      <c r="T812" s="219"/>
      <c r="U812" s="220"/>
      <c r="V812" s="674">
        <f t="shared" si="155"/>
        <v>0</v>
      </c>
      <c r="W812" s="220"/>
      <c r="X812" s="220"/>
      <c r="Y812" s="220"/>
      <c r="Z812" s="220"/>
      <c r="AA812" s="220"/>
      <c r="AB812" s="220"/>
      <c r="AC812" s="132"/>
      <c r="AD812" s="132"/>
      <c r="AE812" s="598"/>
      <c r="AF812" s="360"/>
      <c r="AG812" s="763">
        <v>0</v>
      </c>
      <c r="AH812" s="764">
        <v>0</v>
      </c>
      <c r="AI812" s="75"/>
      <c r="AJ812" s="777"/>
      <c r="AK812" s="75"/>
      <c r="AL812" s="75"/>
      <c r="AM812" s="75"/>
      <c r="AN812" s="788" t="s">
        <v>39</v>
      </c>
      <c r="AO812" s="221"/>
      <c r="AP812" s="221"/>
      <c r="AQ812" s="419"/>
      <c r="AR812" s="221"/>
      <c r="AS812" s="485"/>
      <c r="AT812" s="221"/>
      <c r="AU812" s="654"/>
      <c r="AV812" s="451"/>
    </row>
    <row r="813" spans="1:48" s="212" customFormat="1" ht="15" customHeight="1" outlineLevel="2" x14ac:dyDescent="0.25">
      <c r="A813" s="746" t="str">
        <f t="shared" si="120"/>
        <v>1.6.1.2.6.63</v>
      </c>
      <c r="B813" s="136">
        <v>1</v>
      </c>
      <c r="C813" s="136">
        <v>6</v>
      </c>
      <c r="D813" s="136">
        <v>1</v>
      </c>
      <c r="E813" s="136">
        <v>2</v>
      </c>
      <c r="F813" s="136">
        <v>6</v>
      </c>
      <c r="G813" s="136">
        <v>63</v>
      </c>
      <c r="H813" s="753"/>
      <c r="I813" s="753"/>
      <c r="J813" s="753"/>
      <c r="K813" s="754" t="s">
        <v>1762</v>
      </c>
      <c r="L813" s="136" t="s">
        <v>830</v>
      </c>
      <c r="M813" s="136" t="s">
        <v>73</v>
      </c>
      <c r="N813" s="136" t="s">
        <v>74</v>
      </c>
      <c r="O813" s="136" t="s">
        <v>737</v>
      </c>
      <c r="P813" s="219"/>
      <c r="Q813" s="219"/>
      <c r="R813" s="219"/>
      <c r="S813" s="219"/>
      <c r="T813" s="219"/>
      <c r="U813" s="220"/>
      <c r="V813" s="674">
        <f t="shared" si="155"/>
        <v>0</v>
      </c>
      <c r="W813" s="220"/>
      <c r="X813" s="220"/>
      <c r="Y813" s="220"/>
      <c r="Z813" s="220"/>
      <c r="AA813" s="220"/>
      <c r="AB813" s="220"/>
      <c r="AC813" s="132"/>
      <c r="AD813" s="132"/>
      <c r="AE813" s="598"/>
      <c r="AF813" s="360"/>
      <c r="AG813" s="763">
        <v>0</v>
      </c>
      <c r="AH813" s="764">
        <v>0</v>
      </c>
      <c r="AI813" s="75"/>
      <c r="AJ813" s="777"/>
      <c r="AK813" s="75"/>
      <c r="AL813" s="75"/>
      <c r="AM813" s="75"/>
      <c r="AN813" s="788" t="s">
        <v>39</v>
      </c>
      <c r="AO813" s="221"/>
      <c r="AP813" s="221"/>
      <c r="AQ813" s="419"/>
      <c r="AR813" s="221"/>
      <c r="AS813" s="485"/>
      <c r="AT813" s="221"/>
      <c r="AU813" s="654"/>
      <c r="AV813" s="451"/>
    </row>
    <row r="814" spans="1:48" s="212" customFormat="1" ht="30" customHeight="1" outlineLevel="2" x14ac:dyDescent="0.25">
      <c r="A814" s="746" t="str">
        <f t="shared" si="120"/>
        <v>1.6.1.2.6.64</v>
      </c>
      <c r="B814" s="136">
        <v>1</v>
      </c>
      <c r="C814" s="136">
        <v>6</v>
      </c>
      <c r="D814" s="136">
        <v>1</v>
      </c>
      <c r="E814" s="136">
        <v>2</v>
      </c>
      <c r="F814" s="136">
        <v>6</v>
      </c>
      <c r="G814" s="136">
        <v>64</v>
      </c>
      <c r="H814" s="753"/>
      <c r="I814" s="753"/>
      <c r="J814" s="753"/>
      <c r="K814" s="754" t="s">
        <v>865</v>
      </c>
      <c r="L814" s="136" t="s">
        <v>830</v>
      </c>
      <c r="M814" s="136" t="s">
        <v>73</v>
      </c>
      <c r="N814" s="136" t="s">
        <v>74</v>
      </c>
      <c r="O814" s="136" t="s">
        <v>737</v>
      </c>
      <c r="P814" s="219"/>
      <c r="Q814" s="219"/>
      <c r="R814" s="219"/>
      <c r="S814" s="219"/>
      <c r="T814" s="219"/>
      <c r="U814" s="220"/>
      <c r="V814" s="674">
        <f t="shared" si="155"/>
        <v>0</v>
      </c>
      <c r="W814" s="220"/>
      <c r="X814" s="220"/>
      <c r="Y814" s="220"/>
      <c r="Z814" s="220"/>
      <c r="AA814" s="220"/>
      <c r="AB814" s="220"/>
      <c r="AC814" s="132"/>
      <c r="AD814" s="132"/>
      <c r="AE814" s="598"/>
      <c r="AF814" s="360"/>
      <c r="AG814" s="763">
        <v>0</v>
      </c>
      <c r="AH814" s="764">
        <v>0</v>
      </c>
      <c r="AI814" s="75"/>
      <c r="AJ814" s="777"/>
      <c r="AK814" s="75"/>
      <c r="AL814" s="75"/>
      <c r="AM814" s="75"/>
      <c r="AN814" s="788" t="s">
        <v>39</v>
      </c>
      <c r="AO814" s="221"/>
      <c r="AP814" s="221"/>
      <c r="AQ814" s="419"/>
      <c r="AR814" s="221"/>
      <c r="AS814" s="485"/>
      <c r="AT814" s="221"/>
      <c r="AU814" s="654"/>
      <c r="AV814" s="451"/>
    </row>
    <row r="815" spans="1:48" s="212" customFormat="1" ht="15" customHeight="1" outlineLevel="2" x14ac:dyDescent="0.25">
      <c r="A815" s="746" t="str">
        <f t="shared" si="120"/>
        <v>1.6.1.2.7.0</v>
      </c>
      <c r="B815" s="136">
        <v>1</v>
      </c>
      <c r="C815" s="136">
        <v>6</v>
      </c>
      <c r="D815" s="136">
        <v>1</v>
      </c>
      <c r="E815" s="136">
        <v>2</v>
      </c>
      <c r="F815" s="136">
        <v>7</v>
      </c>
      <c r="G815" s="136">
        <v>0</v>
      </c>
      <c r="H815" s="753"/>
      <c r="I815" s="753"/>
      <c r="J815" s="753"/>
      <c r="K815" s="753" t="s">
        <v>866</v>
      </c>
      <c r="L815" s="136" t="s">
        <v>72</v>
      </c>
      <c r="M815" s="136" t="s">
        <v>73</v>
      </c>
      <c r="N815" s="136" t="s">
        <v>74</v>
      </c>
      <c r="O815" s="136" t="s">
        <v>867</v>
      </c>
      <c r="P815" s="219">
        <v>44197</v>
      </c>
      <c r="Q815" s="219">
        <v>41030</v>
      </c>
      <c r="R815" s="219">
        <v>1</v>
      </c>
      <c r="S815" s="219" t="s">
        <v>831</v>
      </c>
      <c r="T815" s="219"/>
      <c r="U815" s="220"/>
      <c r="V815" s="674">
        <f t="shared" si="155"/>
        <v>0</v>
      </c>
      <c r="W815" s="220"/>
      <c r="X815" s="220"/>
      <c r="Y815" s="220"/>
      <c r="Z815" s="220"/>
      <c r="AA815" s="220"/>
      <c r="AB815" s="220"/>
      <c r="AC815" s="132"/>
      <c r="AD815" s="132"/>
      <c r="AE815" s="598"/>
      <c r="AF815" s="360" t="s">
        <v>649</v>
      </c>
      <c r="AG815" s="763">
        <v>0</v>
      </c>
      <c r="AH815" s="764">
        <v>0</v>
      </c>
      <c r="AI815" s="75"/>
      <c r="AJ815" s="777"/>
      <c r="AK815" s="75"/>
      <c r="AL815" s="75"/>
      <c r="AM815" s="75"/>
      <c r="AN815" s="788" t="s">
        <v>39</v>
      </c>
      <c r="AO815" s="221"/>
      <c r="AP815" s="221"/>
      <c r="AQ815" s="419"/>
      <c r="AR815" s="221"/>
      <c r="AS815" s="485"/>
      <c r="AT815" s="221"/>
      <c r="AU815" s="654"/>
      <c r="AV815" s="451"/>
    </row>
    <row r="816" spans="1:48" s="212" customFormat="1" ht="30" customHeight="1" outlineLevel="2" x14ac:dyDescent="0.25">
      <c r="A816" s="746" t="str">
        <f t="shared" si="120"/>
        <v>1.6.1.2.8.0</v>
      </c>
      <c r="B816" s="136">
        <v>1</v>
      </c>
      <c r="C816" s="136">
        <v>6</v>
      </c>
      <c r="D816" s="136">
        <v>1</v>
      </c>
      <c r="E816" s="136">
        <v>2</v>
      </c>
      <c r="F816" s="136">
        <v>8</v>
      </c>
      <c r="G816" s="136">
        <v>0</v>
      </c>
      <c r="H816" s="753"/>
      <c r="I816" s="753"/>
      <c r="J816" s="753"/>
      <c r="K816" s="754" t="s">
        <v>1915</v>
      </c>
      <c r="L816" s="136" t="s">
        <v>72</v>
      </c>
      <c r="M816" s="136" t="s">
        <v>73</v>
      </c>
      <c r="N816" s="136" t="s">
        <v>382</v>
      </c>
      <c r="O816" s="136" t="s">
        <v>829</v>
      </c>
      <c r="P816" s="225">
        <v>44197</v>
      </c>
      <c r="Q816" s="225">
        <v>44560</v>
      </c>
      <c r="R816" s="136">
        <v>1</v>
      </c>
      <c r="S816" s="219" t="s">
        <v>76</v>
      </c>
      <c r="T816" s="219">
        <v>761670</v>
      </c>
      <c r="U816" s="163">
        <v>331666.25</v>
      </c>
      <c r="V816" s="702">
        <f t="shared" si="155"/>
        <v>574755.86</v>
      </c>
      <c r="W816" s="220">
        <v>761670</v>
      </c>
      <c r="X816" s="163">
        <f>+(AH816-U816)/3</f>
        <v>356111.25</v>
      </c>
      <c r="Y816" s="226">
        <v>0</v>
      </c>
      <c r="Z816" s="226">
        <v>0</v>
      </c>
      <c r="AA816" s="163">
        <f>+(AH816-U816)/3</f>
        <v>356111.25</v>
      </c>
      <c r="AB816" s="226">
        <f t="shared" ref="AB816:AC816" si="158">+(AL816-Y816)/3</f>
        <v>0</v>
      </c>
      <c r="AC816" s="226">
        <f t="shared" si="158"/>
        <v>0</v>
      </c>
      <c r="AD816" s="163">
        <f>+(AH816-U816)/3</f>
        <v>356111.25</v>
      </c>
      <c r="AE816" s="598"/>
      <c r="AF816" s="360" t="s">
        <v>868</v>
      </c>
      <c r="AG816" s="763">
        <v>1312195.55</v>
      </c>
      <c r="AH816" s="764">
        <v>1400000</v>
      </c>
      <c r="AI816" s="75"/>
      <c r="AJ816" s="777">
        <f>175169.24+27675+29410+175443.19+167058.43</f>
        <v>574755.86</v>
      </c>
      <c r="AK816" s="75"/>
      <c r="AL816" s="75"/>
      <c r="AM816" s="75"/>
      <c r="AN816" s="789" t="s">
        <v>39</v>
      </c>
      <c r="AO816" s="136" t="s">
        <v>1815</v>
      </c>
      <c r="AP816" s="136" t="s">
        <v>649</v>
      </c>
      <c r="AQ816" s="581" t="s">
        <v>649</v>
      </c>
      <c r="AR816" s="136" t="s">
        <v>649</v>
      </c>
      <c r="AS816" s="581" t="s">
        <v>649</v>
      </c>
      <c r="AT816" s="136" t="s">
        <v>1814</v>
      </c>
      <c r="AU816" s="646" t="s">
        <v>1990</v>
      </c>
      <c r="AV816" s="452" t="s">
        <v>1991</v>
      </c>
    </row>
    <row r="817" spans="1:48" s="212" customFormat="1" ht="15.75" outlineLevel="2" x14ac:dyDescent="0.25">
      <c r="A817" s="746" t="str">
        <f t="shared" si="120"/>
        <v>1.6.1.2.9.58-64</v>
      </c>
      <c r="B817" s="136">
        <v>1</v>
      </c>
      <c r="C817" s="136">
        <v>6</v>
      </c>
      <c r="D817" s="136">
        <v>1</v>
      </c>
      <c r="E817" s="136">
        <v>2</v>
      </c>
      <c r="F817" s="136">
        <v>9</v>
      </c>
      <c r="G817" s="136" t="s">
        <v>64</v>
      </c>
      <c r="H817" s="753"/>
      <c r="I817" s="753"/>
      <c r="J817" s="753"/>
      <c r="K817" s="753" t="s">
        <v>869</v>
      </c>
      <c r="L817" s="136" t="s">
        <v>830</v>
      </c>
      <c r="M817" s="136" t="s">
        <v>73</v>
      </c>
      <c r="N817" s="136" t="s">
        <v>870</v>
      </c>
      <c r="O817" s="136" t="s">
        <v>668</v>
      </c>
      <c r="P817" s="214">
        <v>44197</v>
      </c>
      <c r="Q817" s="214">
        <v>44561</v>
      </c>
      <c r="R817" s="136"/>
      <c r="S817" s="219" t="s">
        <v>871</v>
      </c>
      <c r="T817" s="219"/>
      <c r="U817" s="220"/>
      <c r="V817" s="674">
        <f t="shared" si="155"/>
        <v>0</v>
      </c>
      <c r="W817" s="220"/>
      <c r="X817" s="220"/>
      <c r="Y817" s="220"/>
      <c r="Z817" s="220"/>
      <c r="AA817" s="220"/>
      <c r="AB817" s="220"/>
      <c r="AC817" s="132"/>
      <c r="AD817" s="132"/>
      <c r="AE817" s="598"/>
      <c r="AF817" s="360" t="s">
        <v>649</v>
      </c>
      <c r="AG817" s="763">
        <v>0</v>
      </c>
      <c r="AH817" s="764">
        <v>0</v>
      </c>
      <c r="AI817" s="75"/>
      <c r="AJ817" s="777"/>
      <c r="AK817" s="75"/>
      <c r="AL817" s="75"/>
      <c r="AM817" s="75"/>
      <c r="AN817" s="788" t="s">
        <v>39</v>
      </c>
      <c r="AO817" s="221"/>
      <c r="AP817" s="221"/>
      <c r="AQ817" s="419"/>
      <c r="AR817" s="221"/>
      <c r="AS817" s="485"/>
      <c r="AT817" s="221"/>
      <c r="AU817" s="654"/>
      <c r="AV817" s="453"/>
    </row>
    <row r="818" spans="1:48" s="212" customFormat="1" ht="15" customHeight="1" outlineLevel="2" x14ac:dyDescent="0.25">
      <c r="A818" s="746" t="str">
        <f t="shared" si="120"/>
        <v>1.6.1.2.10.58</v>
      </c>
      <c r="B818" s="136">
        <v>1</v>
      </c>
      <c r="C818" s="136">
        <v>6</v>
      </c>
      <c r="D818" s="136">
        <v>1</v>
      </c>
      <c r="E818" s="136">
        <v>2</v>
      </c>
      <c r="F818" s="136">
        <v>10</v>
      </c>
      <c r="G818" s="136">
        <v>58</v>
      </c>
      <c r="H818" s="753"/>
      <c r="I818" s="753"/>
      <c r="J818" s="753"/>
      <c r="K818" s="754" t="s">
        <v>872</v>
      </c>
      <c r="L818" s="136" t="s">
        <v>830</v>
      </c>
      <c r="M818" s="136" t="s">
        <v>73</v>
      </c>
      <c r="N818" s="136" t="s">
        <v>818</v>
      </c>
      <c r="O818" s="136" t="s">
        <v>873</v>
      </c>
      <c r="P818" s="219">
        <v>44315</v>
      </c>
      <c r="Q818" s="219">
        <v>44407</v>
      </c>
      <c r="R818" s="219">
        <v>1</v>
      </c>
      <c r="S818" s="219" t="s">
        <v>831</v>
      </c>
      <c r="T818" s="219"/>
      <c r="U818" s="220"/>
      <c r="V818" s="674">
        <f t="shared" si="155"/>
        <v>0</v>
      </c>
      <c r="W818" s="220">
        <v>1</v>
      </c>
      <c r="X818" s="220"/>
      <c r="Y818" s="220"/>
      <c r="Z818" s="220"/>
      <c r="AA818" s="220"/>
      <c r="AB818" s="220"/>
      <c r="AC818" s="132"/>
      <c r="AD818" s="132"/>
      <c r="AE818" s="598"/>
      <c r="AF818" s="361"/>
      <c r="AG818" s="763">
        <v>0</v>
      </c>
      <c r="AH818" s="764">
        <v>0</v>
      </c>
      <c r="AI818" s="75"/>
      <c r="AJ818" s="777"/>
      <c r="AK818" s="75"/>
      <c r="AL818" s="75"/>
      <c r="AM818" s="75"/>
      <c r="AN818" s="788" t="s">
        <v>39</v>
      </c>
      <c r="AO818" s="221"/>
      <c r="AP818" s="221"/>
      <c r="AQ818" s="221"/>
      <c r="AR818" s="221"/>
      <c r="AS818" s="221"/>
      <c r="AT818" s="221"/>
      <c r="AU818" s="654"/>
      <c r="AV818" s="1323"/>
    </row>
    <row r="819" spans="1:48" s="212" customFormat="1" ht="15" customHeight="1" outlineLevel="2" x14ac:dyDescent="0.25">
      <c r="A819" s="746" t="str">
        <f t="shared" si="120"/>
        <v>1.6.1.2.10.59</v>
      </c>
      <c r="B819" s="136">
        <v>1</v>
      </c>
      <c r="C819" s="136">
        <v>6</v>
      </c>
      <c r="D819" s="136">
        <v>1</v>
      </c>
      <c r="E819" s="136">
        <v>2</v>
      </c>
      <c r="F819" s="136">
        <v>10</v>
      </c>
      <c r="G819" s="136">
        <v>59</v>
      </c>
      <c r="H819" s="753"/>
      <c r="I819" s="753"/>
      <c r="J819" s="753"/>
      <c r="K819" s="753" t="s">
        <v>874</v>
      </c>
      <c r="L819" s="136" t="s">
        <v>830</v>
      </c>
      <c r="M819" s="136" t="s">
        <v>73</v>
      </c>
      <c r="N819" s="136" t="s">
        <v>818</v>
      </c>
      <c r="O819" s="136" t="s">
        <v>873</v>
      </c>
      <c r="P819" s="219"/>
      <c r="Q819" s="219"/>
      <c r="R819" s="219"/>
      <c r="S819" s="219"/>
      <c r="T819" s="219"/>
      <c r="U819" s="220"/>
      <c r="V819" s="674">
        <f t="shared" si="155"/>
        <v>0</v>
      </c>
      <c r="W819" s="220"/>
      <c r="X819" s="220"/>
      <c r="Y819" s="220"/>
      <c r="Z819" s="220"/>
      <c r="AA819" s="220"/>
      <c r="AB819" s="220"/>
      <c r="AC819" s="132"/>
      <c r="AD819" s="132"/>
      <c r="AE819" s="598"/>
      <c r="AF819" s="361"/>
      <c r="AG819" s="763">
        <v>0</v>
      </c>
      <c r="AH819" s="764">
        <v>0</v>
      </c>
      <c r="AI819" s="75"/>
      <c r="AJ819" s="777"/>
      <c r="AK819" s="75"/>
      <c r="AL819" s="75"/>
      <c r="AM819" s="75"/>
      <c r="AN819" s="788" t="s">
        <v>39</v>
      </c>
      <c r="AO819" s="221"/>
      <c r="AP819" s="221"/>
      <c r="AQ819" s="221"/>
      <c r="AR819" s="221"/>
      <c r="AS819" s="221"/>
      <c r="AT819" s="221"/>
      <c r="AU819" s="654"/>
      <c r="AV819" s="1324"/>
    </row>
    <row r="820" spans="1:48" s="212" customFormat="1" ht="15" customHeight="1" outlineLevel="2" x14ac:dyDescent="0.25">
      <c r="A820" s="746" t="str">
        <f t="shared" si="120"/>
        <v>1.6.1.2.10.60</v>
      </c>
      <c r="B820" s="136">
        <v>1</v>
      </c>
      <c r="C820" s="136">
        <v>6</v>
      </c>
      <c r="D820" s="136">
        <v>1</v>
      </c>
      <c r="E820" s="136">
        <v>2</v>
      </c>
      <c r="F820" s="136">
        <v>10</v>
      </c>
      <c r="G820" s="136">
        <v>60</v>
      </c>
      <c r="H820" s="753"/>
      <c r="I820" s="753"/>
      <c r="J820" s="753"/>
      <c r="K820" s="753" t="s">
        <v>875</v>
      </c>
      <c r="L820" s="136" t="s">
        <v>830</v>
      </c>
      <c r="M820" s="136" t="s">
        <v>73</v>
      </c>
      <c r="N820" s="136" t="s">
        <v>818</v>
      </c>
      <c r="O820" s="136" t="s">
        <v>873</v>
      </c>
      <c r="P820" s="219"/>
      <c r="Q820" s="219"/>
      <c r="R820" s="219"/>
      <c r="S820" s="219"/>
      <c r="T820" s="219"/>
      <c r="U820" s="220"/>
      <c r="V820" s="674">
        <f t="shared" si="155"/>
        <v>0</v>
      </c>
      <c r="W820" s="220"/>
      <c r="X820" s="220"/>
      <c r="Y820" s="220"/>
      <c r="Z820" s="220"/>
      <c r="AA820" s="220"/>
      <c r="AB820" s="220"/>
      <c r="AC820" s="132"/>
      <c r="AD820" s="132"/>
      <c r="AE820" s="598"/>
      <c r="AF820" s="361"/>
      <c r="AG820" s="763">
        <v>0</v>
      </c>
      <c r="AH820" s="764">
        <v>0</v>
      </c>
      <c r="AI820" s="75"/>
      <c r="AJ820" s="777"/>
      <c r="AK820" s="75"/>
      <c r="AL820" s="75"/>
      <c r="AM820" s="75"/>
      <c r="AN820" s="788" t="s">
        <v>39</v>
      </c>
      <c r="AO820" s="221"/>
      <c r="AP820" s="221"/>
      <c r="AQ820" s="221"/>
      <c r="AR820" s="221"/>
      <c r="AS820" s="221"/>
      <c r="AT820" s="221"/>
      <c r="AU820" s="654"/>
      <c r="AV820" s="1324"/>
    </row>
    <row r="821" spans="1:48" s="212" customFormat="1" ht="15" customHeight="1" outlineLevel="2" x14ac:dyDescent="0.25">
      <c r="A821" s="746" t="str">
        <f t="shared" si="120"/>
        <v>1.6.1.2.10.61</v>
      </c>
      <c r="B821" s="136">
        <v>1</v>
      </c>
      <c r="C821" s="136">
        <v>6</v>
      </c>
      <c r="D821" s="136">
        <v>1</v>
      </c>
      <c r="E821" s="136">
        <v>2</v>
      </c>
      <c r="F821" s="136">
        <v>10</v>
      </c>
      <c r="G821" s="136">
        <v>61</v>
      </c>
      <c r="H821" s="753"/>
      <c r="I821" s="753"/>
      <c r="J821" s="753"/>
      <c r="K821" s="753" t="s">
        <v>876</v>
      </c>
      <c r="L821" s="136" t="s">
        <v>830</v>
      </c>
      <c r="M821" s="136" t="s">
        <v>73</v>
      </c>
      <c r="N821" s="136" t="s">
        <v>818</v>
      </c>
      <c r="O821" s="136" t="s">
        <v>873</v>
      </c>
      <c r="P821" s="219"/>
      <c r="Q821" s="219"/>
      <c r="R821" s="219"/>
      <c r="S821" s="219"/>
      <c r="T821" s="219"/>
      <c r="U821" s="220"/>
      <c r="V821" s="674">
        <f t="shared" si="155"/>
        <v>0</v>
      </c>
      <c r="W821" s="220"/>
      <c r="X821" s="220"/>
      <c r="Y821" s="220"/>
      <c r="Z821" s="220"/>
      <c r="AA821" s="220"/>
      <c r="AB821" s="220"/>
      <c r="AC821" s="132"/>
      <c r="AD821" s="132"/>
      <c r="AE821" s="598"/>
      <c r="AF821" s="361"/>
      <c r="AG821" s="763">
        <v>0</v>
      </c>
      <c r="AH821" s="764">
        <v>0</v>
      </c>
      <c r="AI821" s="75"/>
      <c r="AJ821" s="777"/>
      <c r="AK821" s="75"/>
      <c r="AL821" s="75"/>
      <c r="AM821" s="75"/>
      <c r="AN821" s="788" t="s">
        <v>39</v>
      </c>
      <c r="AO821" s="221"/>
      <c r="AP821" s="221"/>
      <c r="AQ821" s="221"/>
      <c r="AR821" s="221"/>
      <c r="AS821" s="221"/>
      <c r="AT821" s="221"/>
      <c r="AU821" s="654"/>
      <c r="AV821" s="1324"/>
    </row>
    <row r="822" spans="1:48" s="212" customFormat="1" ht="15" customHeight="1" outlineLevel="2" x14ac:dyDescent="0.25">
      <c r="A822" s="746" t="str">
        <f t="shared" si="120"/>
        <v>1.6.1.2.10.62</v>
      </c>
      <c r="B822" s="136">
        <v>1</v>
      </c>
      <c r="C822" s="136">
        <v>6</v>
      </c>
      <c r="D822" s="136">
        <v>1</v>
      </c>
      <c r="E822" s="136">
        <v>2</v>
      </c>
      <c r="F822" s="136">
        <v>10</v>
      </c>
      <c r="G822" s="136">
        <v>62</v>
      </c>
      <c r="H822" s="753"/>
      <c r="I822" s="753"/>
      <c r="J822" s="753"/>
      <c r="K822" s="753" t="s">
        <v>877</v>
      </c>
      <c r="L822" s="136" t="s">
        <v>830</v>
      </c>
      <c r="M822" s="136" t="s">
        <v>73</v>
      </c>
      <c r="N822" s="136" t="s">
        <v>818</v>
      </c>
      <c r="O822" s="136" t="s">
        <v>873</v>
      </c>
      <c r="P822" s="219"/>
      <c r="Q822" s="219"/>
      <c r="R822" s="219"/>
      <c r="S822" s="219"/>
      <c r="T822" s="219"/>
      <c r="U822" s="220"/>
      <c r="V822" s="674">
        <f t="shared" si="155"/>
        <v>0</v>
      </c>
      <c r="W822" s="220"/>
      <c r="X822" s="220"/>
      <c r="Y822" s="220"/>
      <c r="Z822" s="220"/>
      <c r="AA822" s="220"/>
      <c r="AB822" s="220"/>
      <c r="AC822" s="132"/>
      <c r="AD822" s="132"/>
      <c r="AE822" s="598"/>
      <c r="AF822" s="361"/>
      <c r="AG822" s="763">
        <v>0</v>
      </c>
      <c r="AH822" s="764">
        <v>0</v>
      </c>
      <c r="AI822" s="75"/>
      <c r="AJ822" s="777"/>
      <c r="AK822" s="75"/>
      <c r="AL822" s="75"/>
      <c r="AM822" s="75"/>
      <c r="AN822" s="788" t="s">
        <v>39</v>
      </c>
      <c r="AO822" s="221"/>
      <c r="AP822" s="221"/>
      <c r="AQ822" s="221"/>
      <c r="AR822" s="221"/>
      <c r="AS822" s="221"/>
      <c r="AT822" s="221"/>
      <c r="AU822" s="654"/>
      <c r="AV822" s="1324"/>
    </row>
    <row r="823" spans="1:48" s="212" customFormat="1" ht="15" customHeight="1" outlineLevel="2" x14ac:dyDescent="0.25">
      <c r="A823" s="746" t="str">
        <f t="shared" si="120"/>
        <v>1.6.1.2.10.63</v>
      </c>
      <c r="B823" s="136">
        <v>1</v>
      </c>
      <c r="C823" s="136">
        <v>6</v>
      </c>
      <c r="D823" s="136">
        <v>1</v>
      </c>
      <c r="E823" s="136">
        <v>2</v>
      </c>
      <c r="F823" s="136">
        <v>10</v>
      </c>
      <c r="G823" s="136">
        <v>63</v>
      </c>
      <c r="H823" s="753"/>
      <c r="I823" s="753"/>
      <c r="J823" s="753"/>
      <c r="K823" s="753" t="s">
        <v>1763</v>
      </c>
      <c r="L823" s="136" t="s">
        <v>830</v>
      </c>
      <c r="M823" s="136" t="s">
        <v>73</v>
      </c>
      <c r="N823" s="136" t="s">
        <v>818</v>
      </c>
      <c r="O823" s="136" t="s">
        <v>873</v>
      </c>
      <c r="P823" s="219"/>
      <c r="Q823" s="219"/>
      <c r="R823" s="219"/>
      <c r="S823" s="219"/>
      <c r="T823" s="219"/>
      <c r="U823" s="220"/>
      <c r="V823" s="674">
        <f t="shared" si="155"/>
        <v>0</v>
      </c>
      <c r="W823" s="220"/>
      <c r="X823" s="220"/>
      <c r="Y823" s="220"/>
      <c r="Z823" s="220"/>
      <c r="AA823" s="220"/>
      <c r="AB823" s="220"/>
      <c r="AC823" s="132"/>
      <c r="AD823" s="132"/>
      <c r="AE823" s="598"/>
      <c r="AF823" s="361"/>
      <c r="AG823" s="763">
        <v>0</v>
      </c>
      <c r="AH823" s="764">
        <v>0</v>
      </c>
      <c r="AI823" s="75"/>
      <c r="AJ823" s="777"/>
      <c r="AK823" s="75"/>
      <c r="AL823" s="75"/>
      <c r="AM823" s="75"/>
      <c r="AN823" s="788" t="s">
        <v>39</v>
      </c>
      <c r="AO823" s="221"/>
      <c r="AP823" s="221"/>
      <c r="AQ823" s="221"/>
      <c r="AR823" s="221"/>
      <c r="AS823" s="221"/>
      <c r="AT823" s="221"/>
      <c r="AU823" s="654"/>
      <c r="AV823" s="1324"/>
    </row>
    <row r="824" spans="1:48" s="212" customFormat="1" ht="15" customHeight="1" outlineLevel="2" x14ac:dyDescent="0.25">
      <c r="A824" s="746" t="str">
        <f t="shared" si="120"/>
        <v>1.6.1.2.10.64</v>
      </c>
      <c r="B824" s="136">
        <v>1</v>
      </c>
      <c r="C824" s="136">
        <v>6</v>
      </c>
      <c r="D824" s="136">
        <v>1</v>
      </c>
      <c r="E824" s="136">
        <v>2</v>
      </c>
      <c r="F824" s="136">
        <v>10</v>
      </c>
      <c r="G824" s="136">
        <v>64</v>
      </c>
      <c r="H824" s="753"/>
      <c r="I824" s="753"/>
      <c r="J824" s="753"/>
      <c r="K824" s="753" t="s">
        <v>878</v>
      </c>
      <c r="L824" s="136" t="s">
        <v>830</v>
      </c>
      <c r="M824" s="136" t="s">
        <v>73</v>
      </c>
      <c r="N824" s="136" t="s">
        <v>818</v>
      </c>
      <c r="O824" s="136" t="s">
        <v>873</v>
      </c>
      <c r="P824" s="219"/>
      <c r="Q824" s="219"/>
      <c r="R824" s="219"/>
      <c r="S824" s="219"/>
      <c r="T824" s="219"/>
      <c r="U824" s="220"/>
      <c r="V824" s="674">
        <f t="shared" si="155"/>
        <v>0</v>
      </c>
      <c r="W824" s="220"/>
      <c r="X824" s="220"/>
      <c r="Y824" s="220"/>
      <c r="Z824" s="220"/>
      <c r="AA824" s="220"/>
      <c r="AB824" s="220"/>
      <c r="AC824" s="132"/>
      <c r="AD824" s="132"/>
      <c r="AE824" s="598"/>
      <c r="AF824" s="361"/>
      <c r="AG824" s="763">
        <v>0</v>
      </c>
      <c r="AH824" s="764">
        <v>0</v>
      </c>
      <c r="AI824" s="75"/>
      <c r="AJ824" s="777"/>
      <c r="AK824" s="75"/>
      <c r="AL824" s="75"/>
      <c r="AM824" s="75"/>
      <c r="AN824" s="788" t="s">
        <v>39</v>
      </c>
      <c r="AO824" s="221"/>
      <c r="AP824" s="221"/>
      <c r="AQ824" s="221"/>
      <c r="AR824" s="221"/>
      <c r="AS824" s="221"/>
      <c r="AT824" s="221"/>
      <c r="AU824" s="654"/>
      <c r="AV824" s="1325"/>
    </row>
    <row r="825" spans="1:48" s="212" customFormat="1" ht="15" customHeight="1" outlineLevel="2" x14ac:dyDescent="0.25">
      <c r="A825" s="746" t="str">
        <f t="shared" si="120"/>
        <v>1.6.1.2.11.58</v>
      </c>
      <c r="B825" s="136">
        <v>1</v>
      </c>
      <c r="C825" s="136">
        <v>6</v>
      </c>
      <c r="D825" s="136">
        <v>1</v>
      </c>
      <c r="E825" s="136">
        <v>2</v>
      </c>
      <c r="F825" s="136">
        <v>11</v>
      </c>
      <c r="G825" s="136">
        <v>58</v>
      </c>
      <c r="H825" s="753"/>
      <c r="I825" s="753"/>
      <c r="J825" s="753"/>
      <c r="K825" s="754" t="s">
        <v>879</v>
      </c>
      <c r="L825" s="136" t="s">
        <v>830</v>
      </c>
      <c r="M825" s="136" t="s">
        <v>73</v>
      </c>
      <c r="N825" s="136" t="s">
        <v>818</v>
      </c>
      <c r="O825" s="136" t="s">
        <v>737</v>
      </c>
      <c r="P825" s="227">
        <v>44197</v>
      </c>
      <c r="Q825" s="227">
        <v>44561</v>
      </c>
      <c r="R825" s="219">
        <v>1</v>
      </c>
      <c r="S825" s="219" t="s">
        <v>831</v>
      </c>
      <c r="T825" s="219"/>
      <c r="U825" s="220"/>
      <c r="V825" s="674">
        <f t="shared" si="155"/>
        <v>0</v>
      </c>
      <c r="W825" s="220"/>
      <c r="X825" s="220"/>
      <c r="Y825" s="220"/>
      <c r="Z825" s="220"/>
      <c r="AA825" s="220"/>
      <c r="AB825" s="220"/>
      <c r="AC825" s="132"/>
      <c r="AD825" s="132"/>
      <c r="AE825" s="598"/>
      <c r="AF825" s="360" t="s">
        <v>649</v>
      </c>
      <c r="AG825" s="763">
        <v>0</v>
      </c>
      <c r="AH825" s="764">
        <v>0</v>
      </c>
      <c r="AI825" s="75"/>
      <c r="AJ825" s="777"/>
      <c r="AK825" s="75"/>
      <c r="AL825" s="75"/>
      <c r="AM825" s="75"/>
      <c r="AN825" s="788" t="s">
        <v>39</v>
      </c>
      <c r="AO825" s="221"/>
      <c r="AP825" s="221"/>
      <c r="AQ825" s="221"/>
      <c r="AR825" s="221"/>
      <c r="AS825" s="221"/>
      <c r="AT825" s="221"/>
      <c r="AU825" s="654"/>
      <c r="AV825" s="451"/>
    </row>
    <row r="826" spans="1:48" s="212" customFormat="1" ht="15" customHeight="1" outlineLevel="2" x14ac:dyDescent="0.25">
      <c r="A826" s="746" t="str">
        <f t="shared" si="120"/>
        <v>1.6.1.2.11.59</v>
      </c>
      <c r="B826" s="136">
        <v>1</v>
      </c>
      <c r="C826" s="136">
        <v>6</v>
      </c>
      <c r="D826" s="136">
        <v>1</v>
      </c>
      <c r="E826" s="136">
        <v>2</v>
      </c>
      <c r="F826" s="136">
        <v>11</v>
      </c>
      <c r="G826" s="136">
        <v>59</v>
      </c>
      <c r="H826" s="753"/>
      <c r="I826" s="753"/>
      <c r="J826" s="753"/>
      <c r="K826" s="753" t="s">
        <v>880</v>
      </c>
      <c r="L826" s="136" t="s">
        <v>830</v>
      </c>
      <c r="M826" s="136" t="s">
        <v>73</v>
      </c>
      <c r="N826" s="136" t="s">
        <v>818</v>
      </c>
      <c r="O826" s="136" t="s">
        <v>737</v>
      </c>
      <c r="P826" s="227">
        <v>44197</v>
      </c>
      <c r="Q826" s="227">
        <v>44561</v>
      </c>
      <c r="R826" s="219"/>
      <c r="S826" s="219"/>
      <c r="T826" s="219"/>
      <c r="U826" s="220"/>
      <c r="V826" s="674">
        <f t="shared" si="155"/>
        <v>0</v>
      </c>
      <c r="W826" s="220"/>
      <c r="X826" s="220"/>
      <c r="Y826" s="220"/>
      <c r="Z826" s="220"/>
      <c r="AA826" s="220"/>
      <c r="AB826" s="220"/>
      <c r="AC826" s="132"/>
      <c r="AD826" s="132"/>
      <c r="AE826" s="598"/>
      <c r="AF826" s="360"/>
      <c r="AG826" s="763">
        <v>0</v>
      </c>
      <c r="AH826" s="764">
        <v>0</v>
      </c>
      <c r="AI826" s="75"/>
      <c r="AJ826" s="777"/>
      <c r="AK826" s="75"/>
      <c r="AL826" s="75"/>
      <c r="AM826" s="75"/>
      <c r="AN826" s="788" t="s">
        <v>39</v>
      </c>
      <c r="AO826" s="221"/>
      <c r="AP826" s="221"/>
      <c r="AQ826" s="419"/>
      <c r="AR826" s="221"/>
      <c r="AS826" s="485"/>
      <c r="AT826" s="221"/>
      <c r="AU826" s="654"/>
      <c r="AV826" s="451"/>
    </row>
    <row r="827" spans="1:48" s="212" customFormat="1" ht="15" customHeight="1" outlineLevel="2" x14ac:dyDescent="0.25">
      <c r="A827" s="746" t="str">
        <f t="shared" si="120"/>
        <v>1.6.1.2.11.60</v>
      </c>
      <c r="B827" s="136">
        <v>1</v>
      </c>
      <c r="C827" s="136">
        <v>6</v>
      </c>
      <c r="D827" s="136">
        <v>1</v>
      </c>
      <c r="E827" s="136">
        <v>2</v>
      </c>
      <c r="F827" s="136">
        <v>11</v>
      </c>
      <c r="G827" s="136">
        <v>60</v>
      </c>
      <c r="H827" s="753"/>
      <c r="I827" s="753"/>
      <c r="J827" s="753"/>
      <c r="K827" s="753" t="s">
        <v>881</v>
      </c>
      <c r="L827" s="136" t="s">
        <v>830</v>
      </c>
      <c r="M827" s="136" t="s">
        <v>73</v>
      </c>
      <c r="N827" s="136" t="s">
        <v>818</v>
      </c>
      <c r="O827" s="136" t="s">
        <v>737</v>
      </c>
      <c r="P827" s="227">
        <v>44197</v>
      </c>
      <c r="Q827" s="227">
        <v>44561</v>
      </c>
      <c r="R827" s="219"/>
      <c r="S827" s="219"/>
      <c r="T827" s="219"/>
      <c r="U827" s="220"/>
      <c r="V827" s="674">
        <f t="shared" si="155"/>
        <v>0</v>
      </c>
      <c r="W827" s="220"/>
      <c r="X827" s="220"/>
      <c r="Y827" s="220"/>
      <c r="Z827" s="220"/>
      <c r="AA827" s="220"/>
      <c r="AB827" s="220"/>
      <c r="AC827" s="132"/>
      <c r="AD827" s="132"/>
      <c r="AE827" s="598"/>
      <c r="AF827" s="360"/>
      <c r="AG827" s="763">
        <v>0</v>
      </c>
      <c r="AH827" s="764">
        <v>0</v>
      </c>
      <c r="AI827" s="75"/>
      <c r="AJ827" s="777"/>
      <c r="AK827" s="75"/>
      <c r="AL827" s="75"/>
      <c r="AM827" s="75"/>
      <c r="AN827" s="788" t="s">
        <v>39</v>
      </c>
      <c r="AO827" s="221"/>
      <c r="AP827" s="221"/>
      <c r="AQ827" s="419"/>
      <c r="AR827" s="221"/>
      <c r="AS827" s="485"/>
      <c r="AT827" s="221"/>
      <c r="AU827" s="654"/>
      <c r="AV827" s="451"/>
    </row>
    <row r="828" spans="1:48" s="212" customFormat="1" ht="15" customHeight="1" outlineLevel="2" x14ac:dyDescent="0.25">
      <c r="A828" s="746" t="str">
        <f t="shared" si="120"/>
        <v>1.6.1.2.11.61</v>
      </c>
      <c r="B828" s="136">
        <v>1</v>
      </c>
      <c r="C828" s="136">
        <v>6</v>
      </c>
      <c r="D828" s="136">
        <v>1</v>
      </c>
      <c r="E828" s="136">
        <v>2</v>
      </c>
      <c r="F828" s="136">
        <v>11</v>
      </c>
      <c r="G828" s="136">
        <v>61</v>
      </c>
      <c r="H828" s="753"/>
      <c r="I828" s="753"/>
      <c r="J828" s="753"/>
      <c r="K828" s="753" t="s">
        <v>882</v>
      </c>
      <c r="L828" s="136" t="s">
        <v>830</v>
      </c>
      <c r="M828" s="136" t="s">
        <v>73</v>
      </c>
      <c r="N828" s="136" t="s">
        <v>818</v>
      </c>
      <c r="O828" s="136" t="s">
        <v>737</v>
      </c>
      <c r="P828" s="227">
        <v>44197</v>
      </c>
      <c r="Q828" s="227">
        <v>44561</v>
      </c>
      <c r="R828" s="219"/>
      <c r="S828" s="219"/>
      <c r="T828" s="219"/>
      <c r="U828" s="220"/>
      <c r="V828" s="674">
        <f t="shared" si="155"/>
        <v>0</v>
      </c>
      <c r="W828" s="220"/>
      <c r="X828" s="220"/>
      <c r="Y828" s="220"/>
      <c r="Z828" s="220"/>
      <c r="AA828" s="220"/>
      <c r="AB828" s="220"/>
      <c r="AC828" s="132"/>
      <c r="AD828" s="132"/>
      <c r="AE828" s="598"/>
      <c r="AF828" s="360"/>
      <c r="AG828" s="763">
        <v>0</v>
      </c>
      <c r="AH828" s="764">
        <v>0</v>
      </c>
      <c r="AI828" s="75"/>
      <c r="AJ828" s="777"/>
      <c r="AK828" s="75"/>
      <c r="AL828" s="75"/>
      <c r="AM828" s="75"/>
      <c r="AN828" s="788" t="s">
        <v>39</v>
      </c>
      <c r="AO828" s="221"/>
      <c r="AP828" s="221"/>
      <c r="AQ828" s="419"/>
      <c r="AR828" s="221"/>
      <c r="AS828" s="485"/>
      <c r="AT828" s="221"/>
      <c r="AU828" s="654"/>
      <c r="AV828" s="451"/>
    </row>
    <row r="829" spans="1:48" s="212" customFormat="1" ht="15" customHeight="1" outlineLevel="2" x14ac:dyDescent="0.25">
      <c r="A829" s="746" t="str">
        <f t="shared" si="120"/>
        <v>1.6.1.2.11.62</v>
      </c>
      <c r="B829" s="136">
        <v>1</v>
      </c>
      <c r="C829" s="136">
        <v>6</v>
      </c>
      <c r="D829" s="136">
        <v>1</v>
      </c>
      <c r="E829" s="136">
        <v>2</v>
      </c>
      <c r="F829" s="136">
        <v>11</v>
      </c>
      <c r="G829" s="136">
        <v>62</v>
      </c>
      <c r="H829" s="753"/>
      <c r="I829" s="753"/>
      <c r="J829" s="753"/>
      <c r="K829" s="753" t="s">
        <v>883</v>
      </c>
      <c r="L829" s="136" t="s">
        <v>830</v>
      </c>
      <c r="M829" s="136" t="s">
        <v>73</v>
      </c>
      <c r="N829" s="136" t="s">
        <v>818</v>
      </c>
      <c r="O829" s="136" t="s">
        <v>737</v>
      </c>
      <c r="P829" s="227">
        <v>44197</v>
      </c>
      <c r="Q829" s="227">
        <v>44561</v>
      </c>
      <c r="R829" s="219"/>
      <c r="S829" s="219"/>
      <c r="T829" s="219"/>
      <c r="U829" s="220"/>
      <c r="V829" s="674">
        <f t="shared" si="155"/>
        <v>0</v>
      </c>
      <c r="W829" s="220"/>
      <c r="X829" s="220"/>
      <c r="Y829" s="220"/>
      <c r="Z829" s="220"/>
      <c r="AA829" s="220"/>
      <c r="AB829" s="220"/>
      <c r="AC829" s="132"/>
      <c r="AD829" s="132"/>
      <c r="AE829" s="598"/>
      <c r="AF829" s="360"/>
      <c r="AG829" s="763">
        <v>0</v>
      </c>
      <c r="AH829" s="764">
        <v>0</v>
      </c>
      <c r="AI829" s="75"/>
      <c r="AJ829" s="777"/>
      <c r="AK829" s="75"/>
      <c r="AL829" s="75"/>
      <c r="AM829" s="75"/>
      <c r="AN829" s="788" t="s">
        <v>39</v>
      </c>
      <c r="AO829" s="221"/>
      <c r="AP829" s="221"/>
      <c r="AQ829" s="419"/>
      <c r="AR829" s="221"/>
      <c r="AS829" s="485"/>
      <c r="AT829" s="221"/>
      <c r="AU829" s="654"/>
      <c r="AV829" s="451"/>
    </row>
    <row r="830" spans="1:48" s="212" customFormat="1" ht="15" customHeight="1" outlineLevel="2" x14ac:dyDescent="0.25">
      <c r="A830" s="746" t="str">
        <f t="shared" si="120"/>
        <v>1.6.1.2.11.63</v>
      </c>
      <c r="B830" s="136">
        <v>1</v>
      </c>
      <c r="C830" s="136">
        <v>6</v>
      </c>
      <c r="D830" s="136">
        <v>1</v>
      </c>
      <c r="E830" s="136">
        <v>2</v>
      </c>
      <c r="F830" s="136">
        <v>11</v>
      </c>
      <c r="G830" s="136">
        <v>63</v>
      </c>
      <c r="H830" s="753"/>
      <c r="I830" s="753"/>
      <c r="J830" s="753"/>
      <c r="K830" s="753" t="s">
        <v>1764</v>
      </c>
      <c r="L830" s="136" t="s">
        <v>830</v>
      </c>
      <c r="M830" s="136" t="s">
        <v>73</v>
      </c>
      <c r="N830" s="136" t="s">
        <v>818</v>
      </c>
      <c r="O830" s="136" t="s">
        <v>737</v>
      </c>
      <c r="P830" s="227">
        <v>44197</v>
      </c>
      <c r="Q830" s="227">
        <v>44561</v>
      </c>
      <c r="R830" s="219"/>
      <c r="S830" s="219"/>
      <c r="T830" s="219"/>
      <c r="U830" s="220"/>
      <c r="V830" s="674">
        <f t="shared" si="155"/>
        <v>0</v>
      </c>
      <c r="W830" s="220"/>
      <c r="X830" s="220"/>
      <c r="Y830" s="220"/>
      <c r="Z830" s="220"/>
      <c r="AA830" s="220"/>
      <c r="AB830" s="220"/>
      <c r="AC830" s="132"/>
      <c r="AD830" s="132"/>
      <c r="AE830" s="598"/>
      <c r="AF830" s="360"/>
      <c r="AG830" s="763">
        <v>0</v>
      </c>
      <c r="AH830" s="764">
        <v>0</v>
      </c>
      <c r="AI830" s="75"/>
      <c r="AJ830" s="777"/>
      <c r="AK830" s="75"/>
      <c r="AL830" s="75"/>
      <c r="AM830" s="75"/>
      <c r="AN830" s="788" t="s">
        <v>39</v>
      </c>
      <c r="AO830" s="221"/>
      <c r="AP830" s="221"/>
      <c r="AQ830" s="419"/>
      <c r="AR830" s="221"/>
      <c r="AS830" s="485"/>
      <c r="AT830" s="221"/>
      <c r="AU830" s="654"/>
      <c r="AV830" s="451"/>
    </row>
    <row r="831" spans="1:48" s="212" customFormat="1" ht="15" customHeight="1" outlineLevel="2" x14ac:dyDescent="0.25">
      <c r="A831" s="746" t="str">
        <f t="shared" si="120"/>
        <v>1.6.1.2.11.64</v>
      </c>
      <c r="B831" s="136">
        <v>1</v>
      </c>
      <c r="C831" s="136">
        <v>6</v>
      </c>
      <c r="D831" s="136">
        <v>1</v>
      </c>
      <c r="E831" s="136">
        <v>2</v>
      </c>
      <c r="F831" s="136">
        <v>11</v>
      </c>
      <c r="G831" s="136">
        <v>64</v>
      </c>
      <c r="H831" s="753"/>
      <c r="I831" s="753"/>
      <c r="J831" s="753"/>
      <c r="K831" s="753" t="s">
        <v>884</v>
      </c>
      <c r="L831" s="136" t="s">
        <v>830</v>
      </c>
      <c r="M831" s="136" t="s">
        <v>73</v>
      </c>
      <c r="N831" s="136" t="s">
        <v>818</v>
      </c>
      <c r="O831" s="136" t="s">
        <v>737</v>
      </c>
      <c r="P831" s="227">
        <v>44197</v>
      </c>
      <c r="Q831" s="227">
        <v>44561</v>
      </c>
      <c r="R831" s="219"/>
      <c r="S831" s="219"/>
      <c r="T831" s="219"/>
      <c r="U831" s="220"/>
      <c r="V831" s="674">
        <f t="shared" si="155"/>
        <v>0</v>
      </c>
      <c r="W831" s="220"/>
      <c r="X831" s="220"/>
      <c r="Y831" s="220"/>
      <c r="Z831" s="220"/>
      <c r="AA831" s="220"/>
      <c r="AB831" s="220"/>
      <c r="AC831" s="132"/>
      <c r="AD831" s="132"/>
      <c r="AE831" s="598"/>
      <c r="AF831" s="360"/>
      <c r="AG831" s="763">
        <v>0</v>
      </c>
      <c r="AH831" s="764">
        <v>0</v>
      </c>
      <c r="AI831" s="75"/>
      <c r="AJ831" s="777"/>
      <c r="AK831" s="75"/>
      <c r="AL831" s="75"/>
      <c r="AM831" s="75"/>
      <c r="AN831" s="788" t="s">
        <v>39</v>
      </c>
      <c r="AO831" s="221"/>
      <c r="AP831" s="221"/>
      <c r="AQ831" s="419"/>
      <c r="AR831" s="221"/>
      <c r="AS831" s="485"/>
      <c r="AT831" s="221"/>
      <c r="AU831" s="654"/>
      <c r="AV831" s="451"/>
    </row>
    <row r="832" spans="1:48" s="153" customFormat="1" ht="43.5" customHeight="1" outlineLevel="1" x14ac:dyDescent="0.25">
      <c r="A832" s="744" t="str">
        <f t="shared" si="120"/>
        <v>1.6.1.3.0.0</v>
      </c>
      <c r="B832" s="82">
        <v>1</v>
      </c>
      <c r="C832" s="82">
        <v>6</v>
      </c>
      <c r="D832" s="82">
        <v>1</v>
      </c>
      <c r="E832" s="82">
        <v>3</v>
      </c>
      <c r="F832" s="82">
        <v>0</v>
      </c>
      <c r="G832" s="82">
        <v>0</v>
      </c>
      <c r="H832" s="749"/>
      <c r="I832" s="749"/>
      <c r="J832" s="1326" t="s">
        <v>885</v>
      </c>
      <c r="K832" s="1327"/>
      <c r="L832" s="82">
        <v>0</v>
      </c>
      <c r="M832" s="82">
        <v>0</v>
      </c>
      <c r="N832" s="82" t="s">
        <v>818</v>
      </c>
      <c r="O832" s="82" t="s">
        <v>737</v>
      </c>
      <c r="P832" s="82"/>
      <c r="Q832" s="82"/>
      <c r="R832" s="82"/>
      <c r="S832" s="149"/>
      <c r="T832" s="82"/>
      <c r="U832" s="379">
        <f t="shared" ref="U832:AG832" si="159">+SUM(U833:U835)</f>
        <v>0</v>
      </c>
      <c r="V832" s="682">
        <f t="shared" si="159"/>
        <v>0</v>
      </c>
      <c r="W832" s="379">
        <f t="shared" si="159"/>
        <v>0</v>
      </c>
      <c r="X832" s="379">
        <f t="shared" si="159"/>
        <v>0</v>
      </c>
      <c r="Y832" s="379">
        <f t="shared" si="159"/>
        <v>0</v>
      </c>
      <c r="Z832" s="379">
        <f t="shared" si="159"/>
        <v>0</v>
      </c>
      <c r="AA832" s="379">
        <f t="shared" si="159"/>
        <v>0</v>
      </c>
      <c r="AB832" s="379">
        <f t="shared" si="159"/>
        <v>0</v>
      </c>
      <c r="AC832" s="379">
        <f t="shared" si="159"/>
        <v>0</v>
      </c>
      <c r="AD832" s="379">
        <f t="shared" si="159"/>
        <v>0</v>
      </c>
      <c r="AE832" s="379">
        <f t="shared" si="159"/>
        <v>0</v>
      </c>
      <c r="AF832" s="379">
        <f t="shared" si="159"/>
        <v>0</v>
      </c>
      <c r="AG832" s="766">
        <f t="shared" si="159"/>
        <v>0</v>
      </c>
      <c r="AH832" s="766">
        <f t="shared" ref="AH832:AM832" si="160">+SUM(AH833:AH835)</f>
        <v>0</v>
      </c>
      <c r="AI832" s="512">
        <f t="shared" si="160"/>
        <v>0</v>
      </c>
      <c r="AJ832" s="772">
        <f t="shared" si="160"/>
        <v>0</v>
      </c>
      <c r="AK832" s="512">
        <f t="shared" si="160"/>
        <v>0</v>
      </c>
      <c r="AL832" s="512">
        <f t="shared" si="160"/>
        <v>0</v>
      </c>
      <c r="AM832" s="512">
        <f t="shared" si="160"/>
        <v>0</v>
      </c>
      <c r="AN832" s="786" t="s">
        <v>39</v>
      </c>
      <c r="AO832" s="82"/>
      <c r="AP832" s="82"/>
      <c r="AQ832" s="365"/>
      <c r="AR832" s="82"/>
      <c r="AS832" s="483"/>
      <c r="AT832" s="82"/>
      <c r="AU832" s="666"/>
      <c r="AV832" s="444"/>
    </row>
    <row r="833" spans="1:48" s="212" customFormat="1" ht="15" customHeight="1" outlineLevel="3" x14ac:dyDescent="0.25">
      <c r="A833" s="746" t="str">
        <f t="shared" si="120"/>
        <v>1.6.1.3.1.58-64</v>
      </c>
      <c r="B833" s="136">
        <v>1</v>
      </c>
      <c r="C833" s="136">
        <v>6</v>
      </c>
      <c r="D833" s="136">
        <v>1</v>
      </c>
      <c r="E833" s="136">
        <v>3</v>
      </c>
      <c r="F833" s="136">
        <v>1</v>
      </c>
      <c r="G833" s="136" t="s">
        <v>64</v>
      </c>
      <c r="H833" s="753"/>
      <c r="I833" s="753"/>
      <c r="J833" s="755"/>
      <c r="K833" s="753" t="s">
        <v>886</v>
      </c>
      <c r="L833" s="136" t="s">
        <v>209</v>
      </c>
      <c r="M833" s="136" t="s">
        <v>887</v>
      </c>
      <c r="N833" s="136" t="s">
        <v>818</v>
      </c>
      <c r="O833" s="136" t="s">
        <v>737</v>
      </c>
      <c r="P833" s="214">
        <v>44531</v>
      </c>
      <c r="Q833" s="214">
        <v>44199</v>
      </c>
      <c r="R833" s="136"/>
      <c r="S833" s="125"/>
      <c r="T833" s="136"/>
      <c r="U833" s="132"/>
      <c r="V833" s="674">
        <f t="shared" si="155"/>
        <v>0</v>
      </c>
      <c r="W833" s="132"/>
      <c r="X833" s="132"/>
      <c r="Y833" s="132"/>
      <c r="Z833" s="132"/>
      <c r="AA833" s="132"/>
      <c r="AB833" s="132"/>
      <c r="AC833" s="132"/>
      <c r="AD833" s="132"/>
      <c r="AE833" s="598"/>
      <c r="AF833" s="349" t="s">
        <v>1796</v>
      </c>
      <c r="AG833" s="763">
        <v>0</v>
      </c>
      <c r="AH833" s="764">
        <v>0</v>
      </c>
      <c r="AI833" s="75"/>
      <c r="AJ833" s="777"/>
      <c r="AK833" s="75"/>
      <c r="AL833" s="75"/>
      <c r="AM833" s="75"/>
      <c r="AN833" s="789" t="s">
        <v>39</v>
      </c>
      <c r="AO833" s="136"/>
      <c r="AP833" s="136"/>
      <c r="AQ833" s="414"/>
      <c r="AR833" s="136"/>
      <c r="AS833" s="477"/>
      <c r="AT833" s="136"/>
      <c r="AU833" s="646"/>
      <c r="AV833" s="448"/>
    </row>
    <row r="834" spans="1:48" s="212" customFormat="1" ht="30" customHeight="1" outlineLevel="3" x14ac:dyDescent="0.25">
      <c r="A834" s="746" t="str">
        <f t="shared" si="120"/>
        <v>1.6.1.3.2.58-64</v>
      </c>
      <c r="B834" s="136">
        <v>1</v>
      </c>
      <c r="C834" s="136">
        <v>6</v>
      </c>
      <c r="D834" s="136">
        <v>1</v>
      </c>
      <c r="E834" s="136">
        <v>3</v>
      </c>
      <c r="F834" s="136">
        <v>2</v>
      </c>
      <c r="G834" s="136" t="s">
        <v>64</v>
      </c>
      <c r="H834" s="753"/>
      <c r="I834" s="753"/>
      <c r="J834" s="755"/>
      <c r="K834" s="754" t="s">
        <v>888</v>
      </c>
      <c r="L834" s="136" t="s">
        <v>209</v>
      </c>
      <c r="M834" s="136" t="s">
        <v>73</v>
      </c>
      <c r="N834" s="136" t="s">
        <v>74</v>
      </c>
      <c r="O834" s="136" t="s">
        <v>737</v>
      </c>
      <c r="P834" s="214">
        <v>44197</v>
      </c>
      <c r="Q834" s="214">
        <v>44560</v>
      </c>
      <c r="R834" s="136"/>
      <c r="S834" s="125"/>
      <c r="T834" s="136"/>
      <c r="U834" s="132"/>
      <c r="V834" s="674">
        <f t="shared" si="155"/>
        <v>0</v>
      </c>
      <c r="W834" s="132"/>
      <c r="X834" s="132"/>
      <c r="Y834" s="132"/>
      <c r="Z834" s="132"/>
      <c r="AA834" s="132"/>
      <c r="AB834" s="132"/>
      <c r="AC834" s="132"/>
      <c r="AD834" s="132"/>
      <c r="AE834" s="598"/>
      <c r="AF834" s="350" t="s">
        <v>1797</v>
      </c>
      <c r="AG834" s="763">
        <v>0</v>
      </c>
      <c r="AH834" s="764">
        <v>0</v>
      </c>
      <c r="AI834" s="75"/>
      <c r="AJ834" s="777"/>
      <c r="AK834" s="75"/>
      <c r="AL834" s="75"/>
      <c r="AM834" s="75"/>
      <c r="AN834" s="789" t="s">
        <v>39</v>
      </c>
      <c r="AO834" s="136"/>
      <c r="AP834" s="136"/>
      <c r="AQ834" s="414"/>
      <c r="AR834" s="136"/>
      <c r="AS834" s="477"/>
      <c r="AT834" s="136"/>
      <c r="AU834" s="646"/>
      <c r="AV834" s="448"/>
    </row>
    <row r="835" spans="1:48" s="212" customFormat="1" ht="15" customHeight="1" outlineLevel="3" x14ac:dyDescent="0.25">
      <c r="A835" s="746" t="str">
        <f t="shared" si="120"/>
        <v>1.6.1.3.3.58-64</v>
      </c>
      <c r="B835" s="136">
        <v>1</v>
      </c>
      <c r="C835" s="136">
        <v>6</v>
      </c>
      <c r="D835" s="136">
        <v>1</v>
      </c>
      <c r="E835" s="136">
        <v>3</v>
      </c>
      <c r="F835" s="136">
        <v>3</v>
      </c>
      <c r="G835" s="136" t="s">
        <v>64</v>
      </c>
      <c r="H835" s="753"/>
      <c r="I835" s="753"/>
      <c r="J835" s="755"/>
      <c r="K835" s="753" t="s">
        <v>889</v>
      </c>
      <c r="L835" s="136" t="s">
        <v>209</v>
      </c>
      <c r="M835" s="136" t="s">
        <v>817</v>
      </c>
      <c r="N835" s="136" t="s">
        <v>818</v>
      </c>
      <c r="O835" s="136" t="s">
        <v>737</v>
      </c>
      <c r="P835" s="214">
        <v>44197</v>
      </c>
      <c r="Q835" s="214">
        <v>44560</v>
      </c>
      <c r="R835" s="136"/>
      <c r="S835" s="125"/>
      <c r="T835" s="136"/>
      <c r="U835" s="132"/>
      <c r="V835" s="674">
        <f t="shared" ref="V835:V848" si="161">+AJ835</f>
        <v>0</v>
      </c>
      <c r="W835" s="132"/>
      <c r="X835" s="132"/>
      <c r="Y835" s="132"/>
      <c r="Z835" s="132"/>
      <c r="AA835" s="132"/>
      <c r="AB835" s="132"/>
      <c r="AC835" s="132"/>
      <c r="AD835" s="132"/>
      <c r="AE835" s="598"/>
      <c r="AF835" s="349" t="s">
        <v>890</v>
      </c>
      <c r="AG835" s="763">
        <v>0</v>
      </c>
      <c r="AH835" s="764">
        <v>0</v>
      </c>
      <c r="AI835" s="75"/>
      <c r="AJ835" s="777"/>
      <c r="AK835" s="75"/>
      <c r="AL835" s="75"/>
      <c r="AM835" s="75"/>
      <c r="AN835" s="789" t="s">
        <v>39</v>
      </c>
      <c r="AO835" s="136"/>
      <c r="AP835" s="136"/>
      <c r="AQ835" s="414"/>
      <c r="AR835" s="136"/>
      <c r="AS835" s="477"/>
      <c r="AT835" s="136"/>
      <c r="AU835" s="646"/>
      <c r="AV835" s="448"/>
    </row>
    <row r="836" spans="1:48" s="153" customFormat="1" ht="43.5" customHeight="1" outlineLevel="1" x14ac:dyDescent="0.25">
      <c r="A836" s="744" t="str">
        <f t="shared" si="120"/>
        <v>1.6.1.4.0.0</v>
      </c>
      <c r="B836" s="82">
        <v>1</v>
      </c>
      <c r="C836" s="82">
        <v>6</v>
      </c>
      <c r="D836" s="82">
        <v>1</v>
      </c>
      <c r="E836" s="82">
        <v>4</v>
      </c>
      <c r="F836" s="82">
        <v>0</v>
      </c>
      <c r="G836" s="82">
        <v>0</v>
      </c>
      <c r="H836" s="749"/>
      <c r="I836" s="749"/>
      <c r="J836" s="1304" t="s">
        <v>891</v>
      </c>
      <c r="K836" s="1303"/>
      <c r="L836" s="82" t="s">
        <v>202</v>
      </c>
      <c r="M836" s="82" t="s">
        <v>76</v>
      </c>
      <c r="N836" s="82" t="s">
        <v>180</v>
      </c>
      <c r="O836" s="82" t="s">
        <v>737</v>
      </c>
      <c r="P836" s="82"/>
      <c r="Q836" s="82"/>
      <c r="R836" s="82"/>
      <c r="S836" s="149"/>
      <c r="T836" s="82"/>
      <c r="U836" s="209">
        <f>SUM(U837:U840)</f>
        <v>5592600</v>
      </c>
      <c r="V836" s="683">
        <f t="shared" ref="V836:AG836" si="162">SUM(V837:V840)</f>
        <v>0</v>
      </c>
      <c r="W836" s="209">
        <f t="shared" si="162"/>
        <v>0</v>
      </c>
      <c r="X836" s="209">
        <f t="shared" si="162"/>
        <v>5592600</v>
      </c>
      <c r="Y836" s="209">
        <f t="shared" si="162"/>
        <v>0</v>
      </c>
      <c r="Z836" s="209">
        <f t="shared" si="162"/>
        <v>0</v>
      </c>
      <c r="AA836" s="209">
        <f t="shared" si="162"/>
        <v>5592600</v>
      </c>
      <c r="AB836" s="209">
        <f t="shared" si="162"/>
        <v>0</v>
      </c>
      <c r="AC836" s="209">
        <f t="shared" si="162"/>
        <v>0</v>
      </c>
      <c r="AD836" s="209">
        <f t="shared" si="162"/>
        <v>5592600</v>
      </c>
      <c r="AE836" s="209">
        <f t="shared" si="162"/>
        <v>0</v>
      </c>
      <c r="AF836" s="209">
        <f t="shared" si="162"/>
        <v>0</v>
      </c>
      <c r="AG836" s="767">
        <f t="shared" si="162"/>
        <v>5598544.6060591321</v>
      </c>
      <c r="AH836" s="766">
        <f>+SUM(AH837:AH840)</f>
        <v>22370400</v>
      </c>
      <c r="AI836" s="512">
        <f>+SUM(AI837:AI840)</f>
        <v>0</v>
      </c>
      <c r="AJ836" s="772">
        <f>+SUM(AJ837:AJ840)</f>
        <v>0</v>
      </c>
      <c r="AK836" s="152"/>
      <c r="AL836" s="152"/>
      <c r="AM836" s="152"/>
      <c r="AN836" s="786" t="s">
        <v>39</v>
      </c>
      <c r="AO836" s="82"/>
      <c r="AP836" s="82"/>
      <c r="AQ836" s="365"/>
      <c r="AR836" s="82"/>
      <c r="AS836" s="483"/>
      <c r="AT836" s="82"/>
      <c r="AU836" s="666"/>
      <c r="AV836" s="449" t="s">
        <v>1798</v>
      </c>
    </row>
    <row r="837" spans="1:48" ht="15" customHeight="1" outlineLevel="3" x14ac:dyDescent="0.25">
      <c r="A837" s="745" t="str">
        <f t="shared" si="120"/>
        <v>1.6.1.4.1.58-64</v>
      </c>
      <c r="B837" s="64">
        <v>1</v>
      </c>
      <c r="C837" s="64">
        <v>6</v>
      </c>
      <c r="D837" s="64">
        <v>1</v>
      </c>
      <c r="E837" s="64">
        <v>4</v>
      </c>
      <c r="F837" s="64">
        <v>1</v>
      </c>
      <c r="G837" s="64" t="s">
        <v>64</v>
      </c>
      <c r="H837" s="750"/>
      <c r="I837" s="750"/>
      <c r="J837" s="750"/>
      <c r="K837" s="750" t="s">
        <v>892</v>
      </c>
      <c r="L837" s="64" t="s">
        <v>209</v>
      </c>
      <c r="M837" s="64" t="s">
        <v>73</v>
      </c>
      <c r="N837" s="64" t="s">
        <v>818</v>
      </c>
      <c r="O837" s="64" t="s">
        <v>737</v>
      </c>
      <c r="P837" s="64"/>
      <c r="Q837" s="64"/>
      <c r="R837" s="64"/>
      <c r="S837" s="65"/>
      <c r="T837" s="64"/>
      <c r="U837" s="75"/>
      <c r="V837" s="674">
        <f t="shared" si="161"/>
        <v>0</v>
      </c>
      <c r="W837" s="75"/>
      <c r="X837" s="75"/>
      <c r="Y837" s="75"/>
      <c r="Z837" s="75"/>
      <c r="AA837" s="75"/>
      <c r="AB837" s="75"/>
      <c r="AC837" s="75"/>
      <c r="AD837" s="75"/>
      <c r="AE837" s="592"/>
      <c r="AF837" s="259"/>
      <c r="AG837" s="763">
        <v>0</v>
      </c>
      <c r="AH837" s="764">
        <v>0</v>
      </c>
      <c r="AI837" s="75"/>
      <c r="AJ837" s="777"/>
      <c r="AK837" s="75"/>
      <c r="AL837" s="75"/>
      <c r="AM837" s="75"/>
      <c r="AN837" s="787" t="s">
        <v>39</v>
      </c>
      <c r="AO837" s="64"/>
      <c r="AP837" s="64"/>
      <c r="AQ837" s="189"/>
      <c r="AR837" s="64"/>
      <c r="AS837" s="476"/>
      <c r="AT837" s="64"/>
      <c r="AU837" s="646"/>
      <c r="AV837" s="185" t="s">
        <v>127</v>
      </c>
    </row>
    <row r="838" spans="1:48" ht="34.5" customHeight="1" outlineLevel="3" x14ac:dyDescent="0.25">
      <c r="A838" s="745" t="str">
        <f t="shared" si="120"/>
        <v>1.6.1.4.2.58-64</v>
      </c>
      <c r="B838" s="64">
        <v>1</v>
      </c>
      <c r="C838" s="64">
        <v>6</v>
      </c>
      <c r="D838" s="64">
        <v>1</v>
      </c>
      <c r="E838" s="64">
        <v>4</v>
      </c>
      <c r="F838" s="64">
        <v>2</v>
      </c>
      <c r="G838" s="64" t="s">
        <v>64</v>
      </c>
      <c r="H838" s="750"/>
      <c r="I838" s="750"/>
      <c r="J838" s="750"/>
      <c r="K838" s="756" t="s">
        <v>1864</v>
      </c>
      <c r="L838" s="631" t="s">
        <v>209</v>
      </c>
      <c r="M838" s="229" t="s">
        <v>893</v>
      </c>
      <c r="N838" s="228" t="s">
        <v>382</v>
      </c>
      <c r="O838" s="228" t="s">
        <v>737</v>
      </c>
      <c r="P838" s="230">
        <v>44197</v>
      </c>
      <c r="Q838" s="230">
        <v>44560</v>
      </c>
      <c r="R838" s="228"/>
      <c r="S838" s="231"/>
      <c r="T838" s="228"/>
      <c r="U838" s="232">
        <f>+AH838/4</f>
        <v>5592600</v>
      </c>
      <c r="V838" s="674">
        <f t="shared" si="161"/>
        <v>0</v>
      </c>
      <c r="W838" s="233"/>
      <c r="X838" s="232">
        <f>+AH838/4</f>
        <v>5592600</v>
      </c>
      <c r="Y838" s="232"/>
      <c r="Z838" s="233"/>
      <c r="AA838" s="232">
        <f>+AH838/4</f>
        <v>5592600</v>
      </c>
      <c r="AB838" s="232"/>
      <c r="AC838" s="233"/>
      <c r="AD838" s="232">
        <f>+AH838/4</f>
        <v>5592600</v>
      </c>
      <c r="AE838" s="604"/>
      <c r="AF838" s="362"/>
      <c r="AG838" s="768">
        <v>5598544.6060591321</v>
      </c>
      <c r="AH838" s="769">
        <v>22370400</v>
      </c>
      <c r="AI838" s="232"/>
      <c r="AJ838" s="781"/>
      <c r="AK838" s="232"/>
      <c r="AL838" s="232"/>
      <c r="AM838" s="232"/>
      <c r="AN838" s="787" t="s">
        <v>39</v>
      </c>
      <c r="AO838" s="64"/>
      <c r="AP838" s="64"/>
      <c r="AQ838" s="64"/>
      <c r="AR838" s="64"/>
      <c r="AS838" s="64"/>
      <c r="AT838" s="64"/>
      <c r="AU838" s="646"/>
      <c r="AV838" s="335" t="s">
        <v>894</v>
      </c>
    </row>
    <row r="839" spans="1:48" ht="15" customHeight="1" outlineLevel="3" x14ac:dyDescent="0.25">
      <c r="A839" s="745" t="str">
        <f t="shared" si="120"/>
        <v>1.6.1.4.3.58-64</v>
      </c>
      <c r="B839" s="64">
        <v>1</v>
      </c>
      <c r="C839" s="64">
        <v>6</v>
      </c>
      <c r="D839" s="64">
        <v>1</v>
      </c>
      <c r="E839" s="64">
        <v>4</v>
      </c>
      <c r="F839" s="64">
        <v>3</v>
      </c>
      <c r="G839" s="64" t="s">
        <v>64</v>
      </c>
      <c r="H839" s="750"/>
      <c r="I839" s="750"/>
      <c r="J839" s="751"/>
      <c r="K839" s="750" t="s">
        <v>1865</v>
      </c>
      <c r="L839" s="64" t="s">
        <v>209</v>
      </c>
      <c r="M839" s="64" t="s">
        <v>73</v>
      </c>
      <c r="N839" s="64" t="s">
        <v>818</v>
      </c>
      <c r="O839" s="64" t="s">
        <v>737</v>
      </c>
      <c r="P839" s="69">
        <v>44197</v>
      </c>
      <c r="Q839" s="69">
        <v>44560</v>
      </c>
      <c r="R839" s="64"/>
      <c r="S839" s="65"/>
      <c r="T839" s="64"/>
      <c r="U839" s="75"/>
      <c r="V839" s="674">
        <f t="shared" si="161"/>
        <v>0</v>
      </c>
      <c r="W839" s="75"/>
      <c r="X839" s="75"/>
      <c r="Y839" s="75"/>
      <c r="Z839" s="75"/>
      <c r="AA839" s="75"/>
      <c r="AB839" s="75"/>
      <c r="AC839" s="75"/>
      <c r="AD839" s="75"/>
      <c r="AE839" s="592"/>
      <c r="AF839" s="259"/>
      <c r="AG839" s="763">
        <v>0</v>
      </c>
      <c r="AH839" s="764">
        <v>0</v>
      </c>
      <c r="AI839" s="75"/>
      <c r="AJ839" s="777"/>
      <c r="AK839" s="75"/>
      <c r="AL839" s="75"/>
      <c r="AM839" s="75"/>
      <c r="AN839" s="787" t="s">
        <v>39</v>
      </c>
      <c r="AO839" s="64"/>
      <c r="AP839" s="64"/>
      <c r="AQ839" s="189"/>
      <c r="AR839" s="64"/>
      <c r="AS839" s="476"/>
      <c r="AT839" s="64"/>
      <c r="AU839" s="646"/>
      <c r="AV839" s="185"/>
    </row>
    <row r="840" spans="1:48" ht="15" customHeight="1" outlineLevel="3" x14ac:dyDescent="0.25">
      <c r="A840" s="745" t="str">
        <f t="shared" si="120"/>
        <v>1.6.1.4.4.58-64</v>
      </c>
      <c r="B840" s="64">
        <v>1</v>
      </c>
      <c r="C840" s="64">
        <v>6</v>
      </c>
      <c r="D840" s="64">
        <v>1</v>
      </c>
      <c r="E840" s="64">
        <v>4</v>
      </c>
      <c r="F840" s="64">
        <v>4</v>
      </c>
      <c r="G840" s="64" t="s">
        <v>64</v>
      </c>
      <c r="H840" s="750"/>
      <c r="I840" s="750"/>
      <c r="J840" s="751"/>
      <c r="K840" s="750" t="s">
        <v>1866</v>
      </c>
      <c r="L840" s="64" t="s">
        <v>209</v>
      </c>
      <c r="M840" s="64" t="s">
        <v>73</v>
      </c>
      <c r="N840" s="64" t="s">
        <v>818</v>
      </c>
      <c r="O840" s="64" t="s">
        <v>737</v>
      </c>
      <c r="P840" s="69">
        <v>44531</v>
      </c>
      <c r="Q840" s="69">
        <v>44560</v>
      </c>
      <c r="R840" s="64"/>
      <c r="S840" s="65"/>
      <c r="T840" s="64"/>
      <c r="U840" s="75"/>
      <c r="V840" s="674">
        <f t="shared" si="161"/>
        <v>0</v>
      </c>
      <c r="W840" s="75"/>
      <c r="X840" s="75"/>
      <c r="Y840" s="75"/>
      <c r="Z840" s="75"/>
      <c r="AA840" s="75"/>
      <c r="AB840" s="75"/>
      <c r="AC840" s="75"/>
      <c r="AD840" s="75"/>
      <c r="AE840" s="592"/>
      <c r="AF840" s="259"/>
      <c r="AG840" s="763">
        <v>0</v>
      </c>
      <c r="AH840" s="764">
        <v>0</v>
      </c>
      <c r="AI840" s="75"/>
      <c r="AJ840" s="777"/>
      <c r="AK840" s="75"/>
      <c r="AL840" s="75"/>
      <c r="AM840" s="75"/>
      <c r="AN840" s="787" t="s">
        <v>39</v>
      </c>
      <c r="AO840" s="64"/>
      <c r="AP840" s="64"/>
      <c r="AQ840" s="189"/>
      <c r="AR840" s="64"/>
      <c r="AS840" s="476"/>
      <c r="AT840" s="64"/>
      <c r="AU840" s="646"/>
      <c r="AV840" s="185"/>
    </row>
    <row r="841" spans="1:48" s="153" customFormat="1" ht="43.5" customHeight="1" outlineLevel="1" x14ac:dyDescent="0.25">
      <c r="A841" s="744" t="str">
        <f t="shared" si="120"/>
        <v>1.6.1.5.0.0</v>
      </c>
      <c r="B841" s="82">
        <v>1</v>
      </c>
      <c r="C841" s="82">
        <v>6</v>
      </c>
      <c r="D841" s="82">
        <v>1</v>
      </c>
      <c r="E841" s="82">
        <v>5</v>
      </c>
      <c r="F841" s="82">
        <v>0</v>
      </c>
      <c r="G841" s="82">
        <v>0</v>
      </c>
      <c r="H841" s="749"/>
      <c r="I841" s="749"/>
      <c r="J841" s="1304" t="s">
        <v>895</v>
      </c>
      <c r="K841" s="1303"/>
      <c r="L841" s="82" t="s">
        <v>236</v>
      </c>
      <c r="M841" s="82" t="s">
        <v>73</v>
      </c>
      <c r="N841" s="82" t="s">
        <v>74</v>
      </c>
      <c r="O841" s="82" t="s">
        <v>359</v>
      </c>
      <c r="P841" s="82"/>
      <c r="Q841" s="82"/>
      <c r="R841" s="82"/>
      <c r="S841" s="149"/>
      <c r="T841" s="82"/>
      <c r="U841" s="379">
        <f>SUM(U842:U855)</f>
        <v>436600</v>
      </c>
      <c r="V841" s="682">
        <f t="shared" ref="V841:AG841" si="163">SUM(V842:V855)</f>
        <v>349280</v>
      </c>
      <c r="W841" s="379">
        <f t="shared" si="163"/>
        <v>0</v>
      </c>
      <c r="X841" s="379">
        <f t="shared" si="163"/>
        <v>436600</v>
      </c>
      <c r="Y841" s="379">
        <f t="shared" si="163"/>
        <v>0</v>
      </c>
      <c r="Z841" s="379">
        <f t="shared" si="163"/>
        <v>0</v>
      </c>
      <c r="AA841" s="379">
        <f t="shared" si="163"/>
        <v>349280</v>
      </c>
      <c r="AB841" s="379">
        <f t="shared" si="163"/>
        <v>0</v>
      </c>
      <c r="AC841" s="379">
        <f t="shared" si="163"/>
        <v>0</v>
      </c>
      <c r="AD841" s="379">
        <f t="shared" si="163"/>
        <v>349280</v>
      </c>
      <c r="AE841" s="379">
        <f t="shared" si="163"/>
        <v>0</v>
      </c>
      <c r="AF841" s="379">
        <f t="shared" si="163"/>
        <v>0</v>
      </c>
      <c r="AG841" s="766">
        <f t="shared" si="163"/>
        <v>0</v>
      </c>
      <c r="AH841" s="766">
        <f>SUM(AH842:AH855)</f>
        <v>1746400</v>
      </c>
      <c r="AI841" s="512">
        <f>SUM(AI842:AI855)</f>
        <v>0</v>
      </c>
      <c r="AJ841" s="772">
        <f>SUM(AJ842:AJ855)</f>
        <v>349280</v>
      </c>
      <c r="AK841" s="152"/>
      <c r="AL841" s="152"/>
      <c r="AM841" s="152"/>
      <c r="AN841" s="786" t="s">
        <v>39</v>
      </c>
      <c r="AO841" s="82"/>
      <c r="AP841" s="82"/>
      <c r="AQ841" s="365"/>
      <c r="AR841" s="82"/>
      <c r="AS841" s="483"/>
      <c r="AT841" s="82"/>
      <c r="AU841" s="666"/>
      <c r="AV841" s="444" t="s">
        <v>896</v>
      </c>
    </row>
    <row r="842" spans="1:48" ht="30" customHeight="1" outlineLevel="2" x14ac:dyDescent="0.25">
      <c r="A842" s="745" t="str">
        <f t="shared" si="120"/>
        <v>1.6.1.5.1.58</v>
      </c>
      <c r="B842" s="64">
        <v>1</v>
      </c>
      <c r="C842" s="64">
        <v>6</v>
      </c>
      <c r="D842" s="64">
        <v>1</v>
      </c>
      <c r="E842" s="64">
        <v>5</v>
      </c>
      <c r="F842" s="64">
        <v>1</v>
      </c>
      <c r="G842" s="64">
        <v>58</v>
      </c>
      <c r="H842" s="750"/>
      <c r="I842" s="750"/>
      <c r="J842" s="750"/>
      <c r="K842" s="752" t="s">
        <v>897</v>
      </c>
      <c r="L842" s="64" t="s">
        <v>236</v>
      </c>
      <c r="M842" s="64" t="s">
        <v>73</v>
      </c>
      <c r="N842" s="68" t="s">
        <v>898</v>
      </c>
      <c r="O842" s="64" t="s">
        <v>359</v>
      </c>
      <c r="P842" s="170"/>
      <c r="Q842" s="170"/>
      <c r="R842" s="68"/>
      <c r="S842" s="65"/>
      <c r="T842" s="64"/>
      <c r="U842" s="75"/>
      <c r="V842" s="674">
        <f t="shared" si="161"/>
        <v>0</v>
      </c>
      <c r="W842" s="75"/>
      <c r="X842" s="75"/>
      <c r="Y842" s="75"/>
      <c r="Z842" s="75"/>
      <c r="AA842" s="75"/>
      <c r="AB842" s="75"/>
      <c r="AC842" s="75"/>
      <c r="AD842" s="75"/>
      <c r="AE842" s="592"/>
      <c r="AF842" s="259"/>
      <c r="AG842" s="763">
        <v>0</v>
      </c>
      <c r="AH842" s="764">
        <v>0</v>
      </c>
      <c r="AI842" s="75"/>
      <c r="AJ842" s="777"/>
      <c r="AK842" s="75"/>
      <c r="AL842" s="75"/>
      <c r="AM842" s="75"/>
      <c r="AN842" s="787" t="s">
        <v>39</v>
      </c>
      <c r="AO842" s="64"/>
      <c r="AP842" s="64"/>
      <c r="AQ842" s="189"/>
      <c r="AR842" s="64"/>
      <c r="AS842" s="476"/>
      <c r="AT842" s="64"/>
      <c r="AU842" s="646"/>
      <c r="AV842" s="335"/>
    </row>
    <row r="843" spans="1:48" ht="30" customHeight="1" outlineLevel="2" x14ac:dyDescent="0.25">
      <c r="A843" s="745" t="str">
        <f t="shared" si="120"/>
        <v>1.6.1.5.1.59</v>
      </c>
      <c r="B843" s="64">
        <v>1</v>
      </c>
      <c r="C843" s="64">
        <v>6</v>
      </c>
      <c r="D843" s="64">
        <v>1</v>
      </c>
      <c r="E843" s="64">
        <v>5</v>
      </c>
      <c r="F843" s="64">
        <v>1</v>
      </c>
      <c r="G843" s="64">
        <v>59</v>
      </c>
      <c r="H843" s="750"/>
      <c r="I843" s="750"/>
      <c r="J843" s="750"/>
      <c r="K843" s="752" t="s">
        <v>897</v>
      </c>
      <c r="L843" s="64" t="s">
        <v>236</v>
      </c>
      <c r="M843" s="64" t="s">
        <v>73</v>
      </c>
      <c r="N843" s="68" t="s">
        <v>898</v>
      </c>
      <c r="O843" s="64" t="s">
        <v>359</v>
      </c>
      <c r="P843" s="170"/>
      <c r="Q843" s="170"/>
      <c r="R843" s="68"/>
      <c r="S843" s="65"/>
      <c r="T843" s="64"/>
      <c r="U843" s="75"/>
      <c r="V843" s="674">
        <f t="shared" si="161"/>
        <v>0</v>
      </c>
      <c r="W843" s="75"/>
      <c r="X843" s="75"/>
      <c r="Y843" s="75"/>
      <c r="Z843" s="75"/>
      <c r="AA843" s="75"/>
      <c r="AB843" s="75"/>
      <c r="AC843" s="75"/>
      <c r="AD843" s="75"/>
      <c r="AE843" s="592"/>
      <c r="AF843" s="259"/>
      <c r="AG843" s="763">
        <v>0</v>
      </c>
      <c r="AH843" s="764">
        <v>0</v>
      </c>
      <c r="AI843" s="75"/>
      <c r="AJ843" s="777"/>
      <c r="AK843" s="75"/>
      <c r="AL843" s="75"/>
      <c r="AM843" s="75"/>
      <c r="AN843" s="787" t="s">
        <v>39</v>
      </c>
      <c r="AO843" s="64"/>
      <c r="AP843" s="64"/>
      <c r="AQ843" s="189"/>
      <c r="AR843" s="64"/>
      <c r="AS843" s="476"/>
      <c r="AT843" s="64"/>
      <c r="AU843" s="646"/>
      <c r="AV843" s="185"/>
    </row>
    <row r="844" spans="1:48" ht="30" customHeight="1" outlineLevel="2" x14ac:dyDescent="0.25">
      <c r="A844" s="745" t="str">
        <f t="shared" si="120"/>
        <v>1.6.1.5.1.60</v>
      </c>
      <c r="B844" s="64">
        <v>1</v>
      </c>
      <c r="C844" s="64">
        <v>6</v>
      </c>
      <c r="D844" s="64">
        <v>1</v>
      </c>
      <c r="E844" s="64">
        <v>5</v>
      </c>
      <c r="F844" s="64">
        <v>1</v>
      </c>
      <c r="G844" s="64">
        <v>60</v>
      </c>
      <c r="H844" s="750"/>
      <c r="I844" s="750"/>
      <c r="J844" s="750"/>
      <c r="K844" s="752" t="s">
        <v>897</v>
      </c>
      <c r="L844" s="64" t="s">
        <v>236</v>
      </c>
      <c r="M844" s="64" t="s">
        <v>73</v>
      </c>
      <c r="N844" s="68" t="s">
        <v>898</v>
      </c>
      <c r="O844" s="64" t="s">
        <v>359</v>
      </c>
      <c r="P844" s="170"/>
      <c r="Q844" s="170"/>
      <c r="R844" s="68"/>
      <c r="S844" s="65"/>
      <c r="T844" s="64"/>
      <c r="U844" s="75"/>
      <c r="V844" s="674">
        <f t="shared" si="161"/>
        <v>0</v>
      </c>
      <c r="W844" s="75"/>
      <c r="X844" s="75"/>
      <c r="Y844" s="75"/>
      <c r="Z844" s="75"/>
      <c r="AA844" s="75"/>
      <c r="AB844" s="75"/>
      <c r="AC844" s="75"/>
      <c r="AD844" s="75"/>
      <c r="AE844" s="592"/>
      <c r="AF844" s="259"/>
      <c r="AG844" s="763">
        <v>0</v>
      </c>
      <c r="AH844" s="764">
        <v>0</v>
      </c>
      <c r="AI844" s="75"/>
      <c r="AJ844" s="777"/>
      <c r="AK844" s="75"/>
      <c r="AL844" s="75"/>
      <c r="AM844" s="75"/>
      <c r="AN844" s="787" t="s">
        <v>39</v>
      </c>
      <c r="AO844" s="64"/>
      <c r="AP844" s="64"/>
      <c r="AQ844" s="189"/>
      <c r="AR844" s="64"/>
      <c r="AS844" s="476"/>
      <c r="AT844" s="64"/>
      <c r="AU844" s="646"/>
      <c r="AV844" s="185"/>
    </row>
    <row r="845" spans="1:48" ht="30" customHeight="1" outlineLevel="2" x14ac:dyDescent="0.25">
      <c r="A845" s="745" t="str">
        <f t="shared" si="120"/>
        <v>1.6.1.5.1.61</v>
      </c>
      <c r="B845" s="64">
        <v>1</v>
      </c>
      <c r="C845" s="64">
        <v>6</v>
      </c>
      <c r="D845" s="64">
        <v>1</v>
      </c>
      <c r="E845" s="64">
        <v>5</v>
      </c>
      <c r="F845" s="64">
        <v>1</v>
      </c>
      <c r="G845" s="64">
        <v>61</v>
      </c>
      <c r="H845" s="750"/>
      <c r="I845" s="750"/>
      <c r="J845" s="750"/>
      <c r="K845" s="752" t="s">
        <v>897</v>
      </c>
      <c r="L845" s="64" t="s">
        <v>236</v>
      </c>
      <c r="M845" s="64" t="s">
        <v>73</v>
      </c>
      <c r="N845" s="68" t="s">
        <v>898</v>
      </c>
      <c r="O845" s="64" t="s">
        <v>359</v>
      </c>
      <c r="P845" s="170"/>
      <c r="Q845" s="170"/>
      <c r="R845" s="68"/>
      <c r="S845" s="65"/>
      <c r="T845" s="64"/>
      <c r="U845" s="75"/>
      <c r="V845" s="674">
        <f t="shared" si="161"/>
        <v>0</v>
      </c>
      <c r="W845" s="75"/>
      <c r="X845" s="75"/>
      <c r="Y845" s="75"/>
      <c r="Z845" s="75"/>
      <c r="AA845" s="75"/>
      <c r="AB845" s="75"/>
      <c r="AC845" s="75"/>
      <c r="AD845" s="75"/>
      <c r="AE845" s="592"/>
      <c r="AF845" s="259"/>
      <c r="AG845" s="763">
        <v>0</v>
      </c>
      <c r="AH845" s="764">
        <v>0</v>
      </c>
      <c r="AI845" s="75"/>
      <c r="AJ845" s="777"/>
      <c r="AK845" s="75"/>
      <c r="AL845" s="75"/>
      <c r="AM845" s="75"/>
      <c r="AN845" s="787" t="s">
        <v>39</v>
      </c>
      <c r="AO845" s="64"/>
      <c r="AP845" s="64"/>
      <c r="AQ845" s="189"/>
      <c r="AR845" s="64"/>
      <c r="AS845" s="476"/>
      <c r="AT845" s="64"/>
      <c r="AU845" s="646"/>
      <c r="AV845" s="185"/>
    </row>
    <row r="846" spans="1:48" ht="30" customHeight="1" outlineLevel="2" x14ac:dyDescent="0.25">
      <c r="A846" s="745" t="str">
        <f t="shared" si="120"/>
        <v>1.6.1.5.1.62</v>
      </c>
      <c r="B846" s="64">
        <v>1</v>
      </c>
      <c r="C846" s="64">
        <v>6</v>
      </c>
      <c r="D846" s="64">
        <v>1</v>
      </c>
      <c r="E846" s="64">
        <v>5</v>
      </c>
      <c r="F846" s="64">
        <v>1</v>
      </c>
      <c r="G846" s="64">
        <v>62</v>
      </c>
      <c r="H846" s="750"/>
      <c r="I846" s="750"/>
      <c r="J846" s="750"/>
      <c r="K846" s="752" t="s">
        <v>897</v>
      </c>
      <c r="L846" s="64" t="s">
        <v>236</v>
      </c>
      <c r="M846" s="64" t="s">
        <v>73</v>
      </c>
      <c r="N846" s="68" t="s">
        <v>898</v>
      </c>
      <c r="O846" s="64" t="s">
        <v>359</v>
      </c>
      <c r="P846" s="170"/>
      <c r="Q846" s="170"/>
      <c r="R846" s="68"/>
      <c r="S846" s="65"/>
      <c r="T846" s="64"/>
      <c r="U846" s="75"/>
      <c r="V846" s="674">
        <f t="shared" si="161"/>
        <v>0</v>
      </c>
      <c r="W846" s="75"/>
      <c r="X846" s="75"/>
      <c r="Y846" s="75"/>
      <c r="Z846" s="75"/>
      <c r="AA846" s="75"/>
      <c r="AB846" s="75"/>
      <c r="AC846" s="75"/>
      <c r="AD846" s="75"/>
      <c r="AE846" s="592"/>
      <c r="AF846" s="259"/>
      <c r="AG846" s="763">
        <v>0</v>
      </c>
      <c r="AH846" s="764">
        <v>0</v>
      </c>
      <c r="AI846" s="75"/>
      <c r="AJ846" s="777"/>
      <c r="AK846" s="75"/>
      <c r="AL846" s="75"/>
      <c r="AM846" s="75"/>
      <c r="AN846" s="787" t="s">
        <v>39</v>
      </c>
      <c r="AO846" s="64"/>
      <c r="AP846" s="64"/>
      <c r="AQ846" s="189"/>
      <c r="AR846" s="64"/>
      <c r="AS846" s="476"/>
      <c r="AT846" s="64"/>
      <c r="AU846" s="646"/>
      <c r="AV846" s="185"/>
    </row>
    <row r="847" spans="1:48" ht="30" customHeight="1" outlineLevel="2" x14ac:dyDescent="0.25">
      <c r="A847" s="745" t="str">
        <f t="shared" si="120"/>
        <v>1.6.1.5.1.63</v>
      </c>
      <c r="B847" s="64">
        <v>1</v>
      </c>
      <c r="C847" s="64">
        <v>6</v>
      </c>
      <c r="D847" s="64">
        <v>1</v>
      </c>
      <c r="E847" s="64">
        <v>5</v>
      </c>
      <c r="F847" s="64">
        <v>1</v>
      </c>
      <c r="G847" s="64">
        <v>63</v>
      </c>
      <c r="H847" s="750"/>
      <c r="I847" s="750"/>
      <c r="J847" s="750"/>
      <c r="K847" s="752" t="s">
        <v>897</v>
      </c>
      <c r="L847" s="64" t="s">
        <v>236</v>
      </c>
      <c r="M847" s="64" t="s">
        <v>73</v>
      </c>
      <c r="N847" s="68" t="s">
        <v>898</v>
      </c>
      <c r="O847" s="64" t="s">
        <v>359</v>
      </c>
      <c r="P847" s="170"/>
      <c r="Q847" s="170"/>
      <c r="R847" s="68"/>
      <c r="S847" s="65"/>
      <c r="T847" s="64"/>
      <c r="U847" s="75"/>
      <c r="V847" s="674">
        <f t="shared" si="161"/>
        <v>0</v>
      </c>
      <c r="W847" s="75"/>
      <c r="X847" s="75"/>
      <c r="Y847" s="75"/>
      <c r="Z847" s="75"/>
      <c r="AA847" s="75"/>
      <c r="AB847" s="75"/>
      <c r="AC847" s="75"/>
      <c r="AD847" s="75"/>
      <c r="AE847" s="592"/>
      <c r="AF847" s="259"/>
      <c r="AG847" s="763">
        <v>0</v>
      </c>
      <c r="AH847" s="764">
        <v>0</v>
      </c>
      <c r="AI847" s="75"/>
      <c r="AJ847" s="777"/>
      <c r="AK847" s="75"/>
      <c r="AL847" s="75"/>
      <c r="AM847" s="75"/>
      <c r="AN847" s="787" t="s">
        <v>39</v>
      </c>
      <c r="AO847" s="64"/>
      <c r="AP847" s="64"/>
      <c r="AQ847" s="189"/>
      <c r="AR847" s="64"/>
      <c r="AS847" s="476"/>
      <c r="AT847" s="64"/>
      <c r="AU847" s="646"/>
      <c r="AV847" s="185"/>
    </row>
    <row r="848" spans="1:48" ht="30" customHeight="1" outlineLevel="2" x14ac:dyDescent="0.25">
      <c r="A848" s="745" t="str">
        <f t="shared" si="120"/>
        <v>1.6.1.5.1.64</v>
      </c>
      <c r="B848" s="64">
        <v>1</v>
      </c>
      <c r="C848" s="64">
        <v>6</v>
      </c>
      <c r="D848" s="64">
        <v>1</v>
      </c>
      <c r="E848" s="64">
        <v>5</v>
      </c>
      <c r="F848" s="64">
        <v>1</v>
      </c>
      <c r="G848" s="64">
        <v>64</v>
      </c>
      <c r="H848" s="750"/>
      <c r="I848" s="750"/>
      <c r="J848" s="750"/>
      <c r="K848" s="752" t="s">
        <v>897</v>
      </c>
      <c r="L848" s="64" t="s">
        <v>236</v>
      </c>
      <c r="M848" s="64" t="s">
        <v>73</v>
      </c>
      <c r="N848" s="68" t="s">
        <v>898</v>
      </c>
      <c r="O848" s="64" t="s">
        <v>359</v>
      </c>
      <c r="P848" s="170"/>
      <c r="Q848" s="170"/>
      <c r="R848" s="68"/>
      <c r="S848" s="65"/>
      <c r="T848" s="64"/>
      <c r="U848" s="75"/>
      <c r="V848" s="674">
        <f t="shared" si="161"/>
        <v>0</v>
      </c>
      <c r="W848" s="75"/>
      <c r="X848" s="75"/>
      <c r="Y848" s="75"/>
      <c r="Z848" s="75"/>
      <c r="AA848" s="75"/>
      <c r="AB848" s="75"/>
      <c r="AC848" s="75"/>
      <c r="AD848" s="75"/>
      <c r="AE848" s="592"/>
      <c r="AF848" s="259"/>
      <c r="AG848" s="763">
        <v>0</v>
      </c>
      <c r="AH848" s="764">
        <v>0</v>
      </c>
      <c r="AI848" s="75"/>
      <c r="AJ848" s="777"/>
      <c r="AK848" s="75"/>
      <c r="AL848" s="75"/>
      <c r="AM848" s="75"/>
      <c r="AN848" s="787" t="s">
        <v>39</v>
      </c>
      <c r="AO848" s="64"/>
      <c r="AP848" s="64"/>
      <c r="AQ848" s="189"/>
      <c r="AR848" s="64"/>
      <c r="AS848" s="476"/>
      <c r="AT848" s="64"/>
      <c r="AU848" s="646"/>
      <c r="AV848" s="185"/>
    </row>
    <row r="849" spans="1:48" ht="45" customHeight="1" outlineLevel="2" x14ac:dyDescent="0.25">
      <c r="A849" s="745" t="str">
        <f t="shared" si="120"/>
        <v>1.6.1.5.2.58</v>
      </c>
      <c r="B849" s="64">
        <v>1</v>
      </c>
      <c r="C849" s="64">
        <v>6</v>
      </c>
      <c r="D849" s="64">
        <v>1</v>
      </c>
      <c r="E849" s="64">
        <v>5</v>
      </c>
      <c r="F849" s="64">
        <v>2</v>
      </c>
      <c r="G849" s="64">
        <v>58</v>
      </c>
      <c r="H849" s="750"/>
      <c r="I849" s="750"/>
      <c r="J849" s="750"/>
      <c r="K849" s="752" t="s">
        <v>899</v>
      </c>
      <c r="L849" s="64" t="s">
        <v>236</v>
      </c>
      <c r="M849" s="64" t="s">
        <v>73</v>
      </c>
      <c r="N849" s="64" t="s">
        <v>900</v>
      </c>
      <c r="O849" s="64" t="s">
        <v>359</v>
      </c>
      <c r="P849" s="234"/>
      <c r="Q849" s="234"/>
      <c r="R849" s="90" t="s">
        <v>901</v>
      </c>
      <c r="S849" s="67" t="s">
        <v>902</v>
      </c>
      <c r="T849" s="64"/>
      <c r="U849" s="1382">
        <f>+AH849/4</f>
        <v>436600</v>
      </c>
      <c r="V849" s="1388">
        <v>349280</v>
      </c>
      <c r="W849" s="75"/>
      <c r="X849" s="1382">
        <f>+AH849/4</f>
        <v>436600</v>
      </c>
      <c r="Y849" s="577"/>
      <c r="Z849" s="75"/>
      <c r="AA849" s="1382">
        <v>349280</v>
      </c>
      <c r="AB849" s="577"/>
      <c r="AC849" s="75"/>
      <c r="AD849" s="1382">
        <v>349280</v>
      </c>
      <c r="AE849" s="605"/>
      <c r="AF849" s="1311"/>
      <c r="AG849" s="763">
        <v>0</v>
      </c>
      <c r="AH849" s="1385">
        <v>1746400</v>
      </c>
      <c r="AI849" s="325"/>
      <c r="AJ849" s="1391">
        <v>349280</v>
      </c>
      <c r="AK849" s="325"/>
      <c r="AL849" s="325"/>
      <c r="AM849" s="325"/>
      <c r="AN849" s="1314" t="s">
        <v>39</v>
      </c>
      <c r="AO849" s="186"/>
      <c r="AP849" s="186"/>
      <c r="AQ849" s="186"/>
      <c r="AR849" s="186"/>
      <c r="AS849" s="186"/>
      <c r="AT849" s="186"/>
      <c r="AU849" s="1308">
        <v>551</v>
      </c>
      <c r="AV849" s="1274" t="s">
        <v>1981</v>
      </c>
    </row>
    <row r="850" spans="1:48" ht="30" customHeight="1" outlineLevel="2" x14ac:dyDescent="0.25">
      <c r="A850" s="745" t="str">
        <f t="shared" si="120"/>
        <v>1.6.1.5.2.59</v>
      </c>
      <c r="B850" s="64">
        <v>1</v>
      </c>
      <c r="C850" s="64">
        <v>6</v>
      </c>
      <c r="D850" s="64">
        <v>1</v>
      </c>
      <c r="E850" s="64">
        <v>5</v>
      </c>
      <c r="F850" s="64">
        <v>2</v>
      </c>
      <c r="G850" s="64">
        <v>59</v>
      </c>
      <c r="H850" s="750"/>
      <c r="I850" s="750"/>
      <c r="J850" s="750"/>
      <c r="K850" s="752" t="s">
        <v>899</v>
      </c>
      <c r="L850" s="64" t="s">
        <v>236</v>
      </c>
      <c r="M850" s="64" t="s">
        <v>73</v>
      </c>
      <c r="N850" s="64" t="s">
        <v>900</v>
      </c>
      <c r="O850" s="64" t="s">
        <v>359</v>
      </c>
      <c r="P850" s="170"/>
      <c r="Q850" s="170"/>
      <c r="R850" s="170"/>
      <c r="S850" s="67"/>
      <c r="T850" s="64"/>
      <c r="U850" s="1383"/>
      <c r="V850" s="1389"/>
      <c r="W850" s="75"/>
      <c r="X850" s="1383"/>
      <c r="Y850" s="578"/>
      <c r="Z850" s="75"/>
      <c r="AA850" s="1383"/>
      <c r="AB850" s="578"/>
      <c r="AC850" s="75"/>
      <c r="AD850" s="1383"/>
      <c r="AE850" s="606"/>
      <c r="AF850" s="1312"/>
      <c r="AG850" s="763">
        <v>0</v>
      </c>
      <c r="AH850" s="1386"/>
      <c r="AI850" s="326"/>
      <c r="AJ850" s="1392"/>
      <c r="AK850" s="326"/>
      <c r="AL850" s="326"/>
      <c r="AM850" s="326"/>
      <c r="AN850" s="1315"/>
      <c r="AO850" s="186"/>
      <c r="AP850" s="186"/>
      <c r="AQ850" s="186"/>
      <c r="AR850" s="186"/>
      <c r="AS850" s="186"/>
      <c r="AT850" s="186"/>
      <c r="AU850" s="1309"/>
      <c r="AV850" s="1275"/>
    </row>
    <row r="851" spans="1:48" ht="30" customHeight="1" outlineLevel="2" x14ac:dyDescent="0.25">
      <c r="A851" s="745" t="str">
        <f t="shared" si="120"/>
        <v>1.6.1.5.2.60</v>
      </c>
      <c r="B851" s="64">
        <v>1</v>
      </c>
      <c r="C851" s="64">
        <v>6</v>
      </c>
      <c r="D851" s="64">
        <v>1</v>
      </c>
      <c r="E851" s="64">
        <v>5</v>
      </c>
      <c r="F851" s="64">
        <v>2</v>
      </c>
      <c r="G851" s="64">
        <v>60</v>
      </c>
      <c r="H851" s="750"/>
      <c r="I851" s="750"/>
      <c r="J851" s="750"/>
      <c r="K851" s="752" t="s">
        <v>899</v>
      </c>
      <c r="L851" s="64" t="s">
        <v>236</v>
      </c>
      <c r="M851" s="64" t="s">
        <v>73</v>
      </c>
      <c r="N851" s="64" t="s">
        <v>900</v>
      </c>
      <c r="O851" s="64" t="s">
        <v>359</v>
      </c>
      <c r="P851" s="170"/>
      <c r="Q851" s="170"/>
      <c r="R851" s="170"/>
      <c r="S851" s="67"/>
      <c r="T851" s="64"/>
      <c r="U851" s="1383"/>
      <c r="V851" s="1389"/>
      <c r="W851" s="75"/>
      <c r="X851" s="1383"/>
      <c r="Y851" s="578"/>
      <c r="Z851" s="75"/>
      <c r="AA851" s="1383"/>
      <c r="AB851" s="578"/>
      <c r="AC851" s="75"/>
      <c r="AD851" s="1383"/>
      <c r="AE851" s="606"/>
      <c r="AF851" s="1312"/>
      <c r="AG851" s="763">
        <v>0</v>
      </c>
      <c r="AH851" s="1386"/>
      <c r="AI851" s="326"/>
      <c r="AJ851" s="1392"/>
      <c r="AK851" s="326"/>
      <c r="AL851" s="326"/>
      <c r="AM851" s="326"/>
      <c r="AN851" s="1315"/>
      <c r="AO851" s="186"/>
      <c r="AP851" s="186"/>
      <c r="AQ851" s="186"/>
      <c r="AR851" s="186"/>
      <c r="AS851" s="186"/>
      <c r="AT851" s="186"/>
      <c r="AU851" s="1309"/>
      <c r="AV851" s="1275"/>
    </row>
    <row r="852" spans="1:48" ht="30" customHeight="1" outlineLevel="2" x14ac:dyDescent="0.25">
      <c r="A852" s="745" t="str">
        <f t="shared" si="120"/>
        <v>1.6.1.5.2.61</v>
      </c>
      <c r="B852" s="64">
        <v>1</v>
      </c>
      <c r="C852" s="64">
        <v>6</v>
      </c>
      <c r="D852" s="64">
        <v>1</v>
      </c>
      <c r="E852" s="64">
        <v>5</v>
      </c>
      <c r="F852" s="64">
        <v>2</v>
      </c>
      <c r="G852" s="64">
        <v>61</v>
      </c>
      <c r="H852" s="750"/>
      <c r="I852" s="750"/>
      <c r="J852" s="750"/>
      <c r="K852" s="752" t="s">
        <v>899</v>
      </c>
      <c r="L852" s="64" t="s">
        <v>236</v>
      </c>
      <c r="M852" s="64" t="s">
        <v>73</v>
      </c>
      <c r="N852" s="64" t="s">
        <v>900</v>
      </c>
      <c r="O852" s="64" t="s">
        <v>359</v>
      </c>
      <c r="P852" s="170"/>
      <c r="Q852" s="170"/>
      <c r="R852" s="170"/>
      <c r="S852" s="67"/>
      <c r="T852" s="64"/>
      <c r="U852" s="1383"/>
      <c r="V852" s="1389"/>
      <c r="W852" s="75"/>
      <c r="X852" s="1383"/>
      <c r="Y852" s="578"/>
      <c r="Z852" s="75"/>
      <c r="AA852" s="1383"/>
      <c r="AB852" s="578"/>
      <c r="AC852" s="75"/>
      <c r="AD852" s="1383"/>
      <c r="AE852" s="606"/>
      <c r="AF852" s="1312"/>
      <c r="AG852" s="763">
        <v>0</v>
      </c>
      <c r="AH852" s="1386"/>
      <c r="AI852" s="326"/>
      <c r="AJ852" s="1392"/>
      <c r="AK852" s="326"/>
      <c r="AL852" s="326"/>
      <c r="AM852" s="326"/>
      <c r="AN852" s="1315"/>
      <c r="AO852" s="186"/>
      <c r="AP852" s="186"/>
      <c r="AQ852" s="186"/>
      <c r="AR852" s="186"/>
      <c r="AS852" s="186"/>
      <c r="AT852" s="186"/>
      <c r="AU852" s="1309"/>
      <c r="AV852" s="1275"/>
    </row>
    <row r="853" spans="1:48" ht="30" customHeight="1" outlineLevel="2" x14ac:dyDescent="0.25">
      <c r="A853" s="745" t="str">
        <f t="shared" si="120"/>
        <v>1.6.1.5.2.62</v>
      </c>
      <c r="B853" s="64">
        <v>1</v>
      </c>
      <c r="C853" s="64">
        <v>6</v>
      </c>
      <c r="D853" s="64">
        <v>1</v>
      </c>
      <c r="E853" s="64">
        <v>5</v>
      </c>
      <c r="F853" s="64">
        <v>2</v>
      </c>
      <c r="G853" s="64">
        <v>62</v>
      </c>
      <c r="H853" s="750"/>
      <c r="I853" s="750"/>
      <c r="J853" s="750"/>
      <c r="K853" s="752" t="s">
        <v>899</v>
      </c>
      <c r="L853" s="64" t="s">
        <v>236</v>
      </c>
      <c r="M853" s="64" t="s">
        <v>73</v>
      </c>
      <c r="N853" s="64" t="s">
        <v>900</v>
      </c>
      <c r="O853" s="64" t="s">
        <v>359</v>
      </c>
      <c r="P853" s="170"/>
      <c r="Q853" s="170"/>
      <c r="R853" s="170"/>
      <c r="S853" s="67"/>
      <c r="T853" s="64"/>
      <c r="U853" s="1383"/>
      <c r="V853" s="1389"/>
      <c r="W853" s="75"/>
      <c r="X853" s="1383"/>
      <c r="Y853" s="578"/>
      <c r="Z853" s="75"/>
      <c r="AA853" s="1383"/>
      <c r="AB853" s="578"/>
      <c r="AC853" s="75"/>
      <c r="AD853" s="1383"/>
      <c r="AE853" s="606"/>
      <c r="AF853" s="1312"/>
      <c r="AG853" s="763">
        <v>0</v>
      </c>
      <c r="AH853" s="1386"/>
      <c r="AI853" s="326"/>
      <c r="AJ853" s="1392"/>
      <c r="AK853" s="326"/>
      <c r="AL853" s="326"/>
      <c r="AM853" s="326"/>
      <c r="AN853" s="1315"/>
      <c r="AO853" s="186"/>
      <c r="AP853" s="186"/>
      <c r="AQ853" s="186"/>
      <c r="AR853" s="186"/>
      <c r="AS853" s="186"/>
      <c r="AT853" s="186"/>
      <c r="AU853" s="1309"/>
      <c r="AV853" s="1275"/>
    </row>
    <row r="854" spans="1:48" ht="30" customHeight="1" outlineLevel="2" x14ac:dyDescent="0.25">
      <c r="A854" s="745" t="str">
        <f t="shared" si="120"/>
        <v>1.6.1.5.2.63</v>
      </c>
      <c r="B854" s="64">
        <v>1</v>
      </c>
      <c r="C854" s="64">
        <v>6</v>
      </c>
      <c r="D854" s="64">
        <v>1</v>
      </c>
      <c r="E854" s="64">
        <v>5</v>
      </c>
      <c r="F854" s="64">
        <v>2</v>
      </c>
      <c r="G854" s="64">
        <v>63</v>
      </c>
      <c r="H854" s="750"/>
      <c r="I854" s="750"/>
      <c r="J854" s="750"/>
      <c r="K854" s="752" t="s">
        <v>899</v>
      </c>
      <c r="L854" s="64" t="s">
        <v>236</v>
      </c>
      <c r="M854" s="64" t="s">
        <v>73</v>
      </c>
      <c r="N854" s="64" t="s">
        <v>900</v>
      </c>
      <c r="O854" s="64" t="s">
        <v>359</v>
      </c>
      <c r="P854" s="170"/>
      <c r="Q854" s="170"/>
      <c r="R854" s="170"/>
      <c r="S854" s="67"/>
      <c r="T854" s="64"/>
      <c r="U854" s="1383"/>
      <c r="V854" s="1389"/>
      <c r="W854" s="75"/>
      <c r="X854" s="1383"/>
      <c r="Y854" s="578"/>
      <c r="Z854" s="75"/>
      <c r="AA854" s="1383"/>
      <c r="AB854" s="578"/>
      <c r="AC854" s="75"/>
      <c r="AD854" s="1383"/>
      <c r="AE854" s="606"/>
      <c r="AF854" s="1312"/>
      <c r="AG854" s="763">
        <v>0</v>
      </c>
      <c r="AH854" s="1386"/>
      <c r="AI854" s="326"/>
      <c r="AJ854" s="1392"/>
      <c r="AK854" s="326"/>
      <c r="AL854" s="326"/>
      <c r="AM854" s="326"/>
      <c r="AN854" s="1315"/>
      <c r="AO854" s="186"/>
      <c r="AP854" s="186"/>
      <c r="AQ854" s="186"/>
      <c r="AR854" s="186"/>
      <c r="AS854" s="186"/>
      <c r="AT854" s="186"/>
      <c r="AU854" s="1309"/>
      <c r="AV854" s="1275"/>
    </row>
    <row r="855" spans="1:48" ht="31.5" outlineLevel="2" x14ac:dyDescent="0.25">
      <c r="A855" s="745" t="str">
        <f t="shared" si="120"/>
        <v>1.6.1.5.2.64</v>
      </c>
      <c r="B855" s="64">
        <v>1</v>
      </c>
      <c r="C855" s="64">
        <v>6</v>
      </c>
      <c r="D855" s="64">
        <v>1</v>
      </c>
      <c r="E855" s="64">
        <v>5</v>
      </c>
      <c r="F855" s="64">
        <v>2</v>
      </c>
      <c r="G855" s="64">
        <v>64</v>
      </c>
      <c r="H855" s="750"/>
      <c r="I855" s="750"/>
      <c r="J855" s="750"/>
      <c r="K855" s="752" t="s">
        <v>899</v>
      </c>
      <c r="L855" s="64" t="s">
        <v>236</v>
      </c>
      <c r="M855" s="64" t="s">
        <v>73</v>
      </c>
      <c r="N855" s="64" t="s">
        <v>900</v>
      </c>
      <c r="O855" s="64" t="s">
        <v>359</v>
      </c>
      <c r="P855" s="170"/>
      <c r="Q855" s="170"/>
      <c r="R855" s="170"/>
      <c r="S855" s="67"/>
      <c r="T855" s="64"/>
      <c r="U855" s="1384"/>
      <c r="V855" s="1390"/>
      <c r="W855" s="75"/>
      <c r="X855" s="1384"/>
      <c r="Y855" s="579"/>
      <c r="Z855" s="75"/>
      <c r="AA855" s="1384"/>
      <c r="AB855" s="579"/>
      <c r="AC855" s="75"/>
      <c r="AD855" s="1384"/>
      <c r="AE855" s="607"/>
      <c r="AF855" s="1313"/>
      <c r="AG855" s="763">
        <v>0</v>
      </c>
      <c r="AH855" s="1387"/>
      <c r="AI855" s="327"/>
      <c r="AJ855" s="1393"/>
      <c r="AK855" s="327"/>
      <c r="AL855" s="327"/>
      <c r="AM855" s="327"/>
      <c r="AN855" s="1316"/>
      <c r="AO855" s="186"/>
      <c r="AP855" s="186"/>
      <c r="AQ855" s="186"/>
      <c r="AR855" s="186"/>
      <c r="AS855" s="186"/>
      <c r="AT855" s="186"/>
      <c r="AU855" s="1310"/>
      <c r="AV855" s="1276"/>
    </row>
    <row r="856" spans="1:48" s="153" customFormat="1" ht="30" outlineLevel="1" x14ac:dyDescent="0.25">
      <c r="A856" s="743" t="str">
        <f t="shared" si="120"/>
        <v>1.7.1.0.0.0</v>
      </c>
      <c r="B856" s="109">
        <v>1</v>
      </c>
      <c r="C856" s="109">
        <v>7</v>
      </c>
      <c r="D856" s="109">
        <v>1</v>
      </c>
      <c r="E856" s="109">
        <v>0</v>
      </c>
      <c r="F856" s="109">
        <v>0</v>
      </c>
      <c r="G856" s="109">
        <v>0</v>
      </c>
      <c r="H856" s="748"/>
      <c r="I856" s="1302" t="s">
        <v>903</v>
      </c>
      <c r="J856" s="1303"/>
      <c r="K856" s="1303"/>
      <c r="L856" s="109" t="s">
        <v>816</v>
      </c>
      <c r="M856" s="109" t="s">
        <v>904</v>
      </c>
      <c r="N856" s="109" t="s">
        <v>818</v>
      </c>
      <c r="O856" s="109" t="s">
        <v>905</v>
      </c>
      <c r="P856" s="109"/>
      <c r="Q856" s="109"/>
      <c r="R856" s="109">
        <v>1700</v>
      </c>
      <c r="S856" s="110" t="s">
        <v>906</v>
      </c>
      <c r="T856" s="109"/>
      <c r="U856" s="112">
        <f>+U857+U876+U881+U883+U893</f>
        <v>5328988.83</v>
      </c>
      <c r="V856" s="680">
        <f>+V857+V876+V881+V883+V893</f>
        <v>0</v>
      </c>
      <c r="W856" s="112">
        <f>+W857+W876+W881+W883+W893</f>
        <v>0</v>
      </c>
      <c r="X856" s="112">
        <f>+X857+X876+X881+X883+X893</f>
        <v>5328988.83</v>
      </c>
      <c r="Y856" s="112"/>
      <c r="Z856" s="112"/>
      <c r="AA856" s="112">
        <f>+AA857+AA876+AA881+AA883+AA893</f>
        <v>129409.125</v>
      </c>
      <c r="AB856" s="112"/>
      <c r="AC856" s="112">
        <f>+AC857+AC876+AC881+AC883+AC893</f>
        <v>0</v>
      </c>
      <c r="AD856" s="112">
        <f>+AD857+AD876+AD881+AD883+AD893</f>
        <v>129409.125</v>
      </c>
      <c r="AE856" s="574"/>
      <c r="AF856" s="333"/>
      <c r="AG856" s="770">
        <f t="shared" ref="AG856:AM856" si="164">+SUM(AG881+AG876+AG857+AG883+AG893)</f>
        <v>6211216.5</v>
      </c>
      <c r="AH856" s="771">
        <f t="shared" si="164"/>
        <v>12644795.949999999</v>
      </c>
      <c r="AI856" s="514">
        <f t="shared" si="164"/>
        <v>0</v>
      </c>
      <c r="AJ856" s="770">
        <f t="shared" si="164"/>
        <v>0</v>
      </c>
      <c r="AK856" s="514">
        <f t="shared" si="164"/>
        <v>0</v>
      </c>
      <c r="AL856" s="514">
        <f t="shared" si="164"/>
        <v>0</v>
      </c>
      <c r="AM856" s="514">
        <f t="shared" si="164"/>
        <v>0</v>
      </c>
      <c r="AN856" s="785" t="s">
        <v>39</v>
      </c>
      <c r="AO856" s="109"/>
      <c r="AP856" s="109"/>
      <c r="AQ856" s="411"/>
      <c r="AR856" s="109"/>
      <c r="AS856" s="473"/>
      <c r="AT856" s="109"/>
      <c r="AU856" s="659"/>
      <c r="AV856" s="429" t="s">
        <v>907</v>
      </c>
    </row>
    <row r="857" spans="1:48" s="153" customFormat="1" ht="24.75" customHeight="1" outlineLevel="1" x14ac:dyDescent="0.25">
      <c r="A857" s="744" t="str">
        <f t="shared" si="120"/>
        <v>1.7.1.1.0.0</v>
      </c>
      <c r="B857" s="82">
        <v>1</v>
      </c>
      <c r="C857" s="82">
        <v>7</v>
      </c>
      <c r="D857" s="82">
        <v>1</v>
      </c>
      <c r="E857" s="82">
        <v>1</v>
      </c>
      <c r="F857" s="82">
        <v>0</v>
      </c>
      <c r="G857" s="82">
        <v>0</v>
      </c>
      <c r="H857" s="749"/>
      <c r="I857" s="749"/>
      <c r="J857" s="1304" t="s">
        <v>908</v>
      </c>
      <c r="K857" s="1303"/>
      <c r="L857" s="82" t="s">
        <v>209</v>
      </c>
      <c r="M857" s="82">
        <v>0</v>
      </c>
      <c r="N857" s="82" t="s">
        <v>818</v>
      </c>
      <c r="O857" s="82">
        <v>0</v>
      </c>
      <c r="P857" s="82"/>
      <c r="Q857" s="82"/>
      <c r="R857" s="82"/>
      <c r="S857" s="149"/>
      <c r="T857" s="82"/>
      <c r="U857" s="209">
        <f>SUM(U858:U875)</f>
        <v>3221909.125</v>
      </c>
      <c r="V857" s="683">
        <f>SUM(V858:V875)</f>
        <v>0</v>
      </c>
      <c r="W857" s="152"/>
      <c r="X857" s="209">
        <f>SUM(X858:X875)</f>
        <v>3221909.125</v>
      </c>
      <c r="Y857" s="209"/>
      <c r="Z857" s="152"/>
      <c r="AA857" s="209">
        <f>SUM(AA858:AA875)</f>
        <v>129409.125</v>
      </c>
      <c r="AB857" s="209"/>
      <c r="AC857" s="152"/>
      <c r="AD857" s="209">
        <f>SUM(AD858:AD875)</f>
        <v>129409.125</v>
      </c>
      <c r="AE857" s="603"/>
      <c r="AF857" s="358"/>
      <c r="AG857" s="772">
        <f>+SUM(AG858:AG875)</f>
        <v>3551216.5</v>
      </c>
      <c r="AH857" s="766">
        <f>+SUM(AH858:AH875)</f>
        <v>6702636.5</v>
      </c>
      <c r="AI857" s="512">
        <f>+SUM(AI858:AI875)</f>
        <v>0</v>
      </c>
      <c r="AJ857" s="772">
        <f>+SUM(AJ858:AJ875)</f>
        <v>0</v>
      </c>
      <c r="AK857" s="152"/>
      <c r="AL857" s="152"/>
      <c r="AM857" s="152"/>
      <c r="AN857" s="786" t="s">
        <v>39</v>
      </c>
      <c r="AO857" s="82"/>
      <c r="AP857" s="82"/>
      <c r="AQ857" s="365"/>
      <c r="AR857" s="82"/>
      <c r="AS857" s="483"/>
      <c r="AT857" s="82"/>
      <c r="AU857" s="666"/>
      <c r="AV857" s="444"/>
    </row>
    <row r="858" spans="1:48" ht="19.5" customHeight="1" outlineLevel="3" x14ac:dyDescent="0.25">
      <c r="A858" s="745" t="str">
        <f t="shared" si="120"/>
        <v>1.7.1.1.1.58-64</v>
      </c>
      <c r="B858" s="64">
        <v>1</v>
      </c>
      <c r="C858" s="64">
        <v>7</v>
      </c>
      <c r="D858" s="64">
        <v>1</v>
      </c>
      <c r="E858" s="64">
        <v>1</v>
      </c>
      <c r="F858" s="64">
        <v>1</v>
      </c>
      <c r="G858" s="64" t="s">
        <v>64</v>
      </c>
      <c r="H858" s="750"/>
      <c r="I858" s="750"/>
      <c r="J858" s="751"/>
      <c r="K858" s="750" t="s">
        <v>909</v>
      </c>
      <c r="L858" s="64" t="s">
        <v>910</v>
      </c>
      <c r="M858" s="64" t="s">
        <v>911</v>
      </c>
      <c r="N858" s="64" t="s">
        <v>910</v>
      </c>
      <c r="O858" s="64" t="s">
        <v>819</v>
      </c>
      <c r="P858" s="69">
        <v>44197</v>
      </c>
      <c r="Q858" s="69">
        <v>44348</v>
      </c>
      <c r="R858" s="64">
        <v>7</v>
      </c>
      <c r="S858" s="65" t="s">
        <v>912</v>
      </c>
      <c r="T858" s="64">
        <v>2</v>
      </c>
      <c r="U858" s="75"/>
      <c r="V858" s="674">
        <v>0</v>
      </c>
      <c r="W858" s="75">
        <v>5</v>
      </c>
      <c r="X858" s="75"/>
      <c r="Y858" s="75"/>
      <c r="Z858" s="75"/>
      <c r="AA858" s="75"/>
      <c r="AB858" s="75"/>
      <c r="AC858" s="75"/>
      <c r="AD858" s="75"/>
      <c r="AE858" s="592"/>
      <c r="AF858" s="259" t="s">
        <v>913</v>
      </c>
      <c r="AG858" s="763">
        <v>0</v>
      </c>
      <c r="AH858" s="764">
        <v>0</v>
      </c>
      <c r="AI858" s="75"/>
      <c r="AJ858" s="777"/>
      <c r="AK858" s="75"/>
      <c r="AL858" s="75"/>
      <c r="AM858" s="75"/>
      <c r="AN858" s="787" t="s">
        <v>39</v>
      </c>
      <c r="AO858" s="64"/>
      <c r="AP858" s="64"/>
      <c r="AQ858" s="189"/>
      <c r="AR858" s="64"/>
      <c r="AS858" s="476"/>
      <c r="AT858" s="64"/>
      <c r="AU858" s="646"/>
      <c r="AV858" s="185"/>
    </row>
    <row r="859" spans="1:48" ht="51" customHeight="1" outlineLevel="3" x14ac:dyDescent="0.25">
      <c r="A859" s="745" t="str">
        <f t="shared" si="120"/>
        <v>1.7.1.1.2.58</v>
      </c>
      <c r="B859" s="64">
        <v>1</v>
      </c>
      <c r="C859" s="64">
        <v>7</v>
      </c>
      <c r="D859" s="64">
        <v>1</v>
      </c>
      <c r="E859" s="64">
        <v>1</v>
      </c>
      <c r="F859" s="64">
        <v>2</v>
      </c>
      <c r="G859" s="64">
        <v>58</v>
      </c>
      <c r="H859" s="750"/>
      <c r="I859" s="750"/>
      <c r="J859" s="751"/>
      <c r="K859" s="752" t="s">
        <v>914</v>
      </c>
      <c r="L859" s="64" t="s">
        <v>915</v>
      </c>
      <c r="M859" s="64" t="s">
        <v>916</v>
      </c>
      <c r="N859" s="64" t="s">
        <v>917</v>
      </c>
      <c r="O859" s="64" t="s">
        <v>918</v>
      </c>
      <c r="P859" s="69">
        <v>44197</v>
      </c>
      <c r="Q859" s="69">
        <v>44560</v>
      </c>
      <c r="R859" s="64">
        <v>1</v>
      </c>
      <c r="S859" s="65" t="s">
        <v>919</v>
      </c>
      <c r="T859" s="64"/>
      <c r="U859" s="75"/>
      <c r="V859" s="674">
        <v>0</v>
      </c>
      <c r="W859" s="75"/>
      <c r="X859" s="75"/>
      <c r="Y859" s="75"/>
      <c r="Z859" s="75"/>
      <c r="AA859" s="75"/>
      <c r="AB859" s="75"/>
      <c r="AC859" s="75"/>
      <c r="AD859" s="75"/>
      <c r="AE859" s="592"/>
      <c r="AF859" s="343" t="s">
        <v>1799</v>
      </c>
      <c r="AG859" s="763">
        <v>0</v>
      </c>
      <c r="AH859" s="764">
        <v>0</v>
      </c>
      <c r="AI859" s="75"/>
      <c r="AJ859" s="777"/>
      <c r="AK859" s="75"/>
      <c r="AL859" s="75"/>
      <c r="AM859" s="75"/>
      <c r="AN859" s="787" t="s">
        <v>39</v>
      </c>
      <c r="AO859" s="64"/>
      <c r="AP859" s="64"/>
      <c r="AQ859" s="189"/>
      <c r="AR859" s="64"/>
      <c r="AS859" s="476"/>
      <c r="AT859" s="64"/>
      <c r="AU859" s="646"/>
      <c r="AV859" s="185"/>
    </row>
    <row r="860" spans="1:48" ht="51" customHeight="1" outlineLevel="3" x14ac:dyDescent="0.25">
      <c r="A860" s="745" t="str">
        <f t="shared" si="120"/>
        <v>1.7.1.1.2.59</v>
      </c>
      <c r="B860" s="64">
        <v>1</v>
      </c>
      <c r="C860" s="64">
        <v>7</v>
      </c>
      <c r="D860" s="64">
        <v>1</v>
      </c>
      <c r="E860" s="64">
        <v>1</v>
      </c>
      <c r="F860" s="64">
        <v>2</v>
      </c>
      <c r="G860" s="64">
        <v>59</v>
      </c>
      <c r="H860" s="750"/>
      <c r="I860" s="750"/>
      <c r="J860" s="751"/>
      <c r="K860" s="752" t="s">
        <v>920</v>
      </c>
      <c r="L860" s="64" t="s">
        <v>915</v>
      </c>
      <c r="M860" s="64" t="s">
        <v>916</v>
      </c>
      <c r="N860" s="64" t="s">
        <v>917</v>
      </c>
      <c r="O860" s="64" t="s">
        <v>918</v>
      </c>
      <c r="P860" s="69"/>
      <c r="Q860" s="69"/>
      <c r="R860" s="64"/>
      <c r="S860" s="65"/>
      <c r="T860" s="64"/>
      <c r="U860" s="75"/>
      <c r="V860" s="674">
        <v>0</v>
      </c>
      <c r="W860" s="75"/>
      <c r="X860" s="75"/>
      <c r="Y860" s="75"/>
      <c r="Z860" s="75"/>
      <c r="AA860" s="75"/>
      <c r="AB860" s="75"/>
      <c r="AC860" s="75"/>
      <c r="AD860" s="75"/>
      <c r="AE860" s="592"/>
      <c r="AF860" s="343"/>
      <c r="AG860" s="763">
        <v>0</v>
      </c>
      <c r="AH860" s="764">
        <v>0</v>
      </c>
      <c r="AI860" s="75"/>
      <c r="AJ860" s="777"/>
      <c r="AK860" s="75"/>
      <c r="AL860" s="75"/>
      <c r="AM860" s="75"/>
      <c r="AN860" s="787" t="s">
        <v>39</v>
      </c>
      <c r="AO860" s="64"/>
      <c r="AP860" s="64"/>
      <c r="AQ860" s="189"/>
      <c r="AR860" s="64"/>
      <c r="AS860" s="476"/>
      <c r="AT860" s="64"/>
      <c r="AU860" s="646"/>
      <c r="AV860" s="185"/>
    </row>
    <row r="861" spans="1:48" ht="51" customHeight="1" outlineLevel="3" x14ac:dyDescent="0.25">
      <c r="A861" s="745" t="str">
        <f t="shared" si="120"/>
        <v>1.7.1.1.2.60</v>
      </c>
      <c r="B861" s="64">
        <v>1</v>
      </c>
      <c r="C861" s="64">
        <v>7</v>
      </c>
      <c r="D861" s="64">
        <v>1</v>
      </c>
      <c r="E861" s="64">
        <v>1</v>
      </c>
      <c r="F861" s="64">
        <v>2</v>
      </c>
      <c r="G861" s="64">
        <v>60</v>
      </c>
      <c r="H861" s="750"/>
      <c r="I861" s="750"/>
      <c r="J861" s="751"/>
      <c r="K861" s="752" t="s">
        <v>921</v>
      </c>
      <c r="L861" s="64" t="s">
        <v>915</v>
      </c>
      <c r="M861" s="64" t="s">
        <v>916</v>
      </c>
      <c r="N861" s="64" t="s">
        <v>917</v>
      </c>
      <c r="O861" s="64" t="s">
        <v>918</v>
      </c>
      <c r="P861" s="69"/>
      <c r="Q861" s="69"/>
      <c r="R861" s="64"/>
      <c r="S861" s="65"/>
      <c r="T861" s="64"/>
      <c r="U861" s="75"/>
      <c r="V861" s="674">
        <v>0</v>
      </c>
      <c r="W861" s="75"/>
      <c r="X861" s="75"/>
      <c r="Y861" s="75"/>
      <c r="Z861" s="75"/>
      <c r="AA861" s="75"/>
      <c r="AB861" s="75"/>
      <c r="AC861" s="75"/>
      <c r="AD861" s="75"/>
      <c r="AE861" s="592"/>
      <c r="AF861" s="343"/>
      <c r="AG861" s="763">
        <v>0</v>
      </c>
      <c r="AH861" s="764">
        <v>0</v>
      </c>
      <c r="AI861" s="75"/>
      <c r="AJ861" s="777"/>
      <c r="AK861" s="75"/>
      <c r="AL861" s="75"/>
      <c r="AM861" s="75"/>
      <c r="AN861" s="787" t="s">
        <v>39</v>
      </c>
      <c r="AO861" s="64"/>
      <c r="AP861" s="64"/>
      <c r="AQ861" s="189"/>
      <c r="AR861" s="64"/>
      <c r="AS861" s="476"/>
      <c r="AT861" s="64"/>
      <c r="AU861" s="646"/>
      <c r="AV861" s="185"/>
    </row>
    <row r="862" spans="1:48" ht="51" customHeight="1" outlineLevel="3" x14ac:dyDescent="0.25">
      <c r="A862" s="745" t="str">
        <f t="shared" si="120"/>
        <v>1.7.1.1.2.61</v>
      </c>
      <c r="B862" s="64">
        <v>1</v>
      </c>
      <c r="C862" s="64">
        <v>7</v>
      </c>
      <c r="D862" s="64">
        <v>1</v>
      </c>
      <c r="E862" s="64">
        <v>1</v>
      </c>
      <c r="F862" s="64">
        <v>2</v>
      </c>
      <c r="G862" s="64">
        <v>61</v>
      </c>
      <c r="H862" s="750"/>
      <c r="I862" s="750"/>
      <c r="J862" s="751"/>
      <c r="K862" s="752" t="s">
        <v>922</v>
      </c>
      <c r="L862" s="64" t="s">
        <v>915</v>
      </c>
      <c r="M862" s="64" t="s">
        <v>916</v>
      </c>
      <c r="N862" s="64" t="s">
        <v>917</v>
      </c>
      <c r="O862" s="64" t="s">
        <v>918</v>
      </c>
      <c r="P862" s="69"/>
      <c r="Q862" s="69"/>
      <c r="R862" s="64"/>
      <c r="S862" s="65"/>
      <c r="T862" s="64"/>
      <c r="U862" s="75"/>
      <c r="V862" s="674">
        <v>0</v>
      </c>
      <c r="W862" s="75"/>
      <c r="X862" s="75"/>
      <c r="Y862" s="75"/>
      <c r="Z862" s="75"/>
      <c r="AA862" s="75"/>
      <c r="AB862" s="75"/>
      <c r="AC862" s="75"/>
      <c r="AD862" s="75"/>
      <c r="AE862" s="592"/>
      <c r="AF862" s="343"/>
      <c r="AG862" s="763">
        <v>0</v>
      </c>
      <c r="AH862" s="764">
        <v>0</v>
      </c>
      <c r="AI862" s="75"/>
      <c r="AJ862" s="777"/>
      <c r="AK862" s="75"/>
      <c r="AL862" s="75"/>
      <c r="AM862" s="75"/>
      <c r="AN862" s="787" t="s">
        <v>39</v>
      </c>
      <c r="AO862" s="64"/>
      <c r="AP862" s="64"/>
      <c r="AQ862" s="189"/>
      <c r="AR862" s="64"/>
      <c r="AS862" s="476"/>
      <c r="AT862" s="64"/>
      <c r="AU862" s="646"/>
      <c r="AV862" s="185"/>
    </row>
    <row r="863" spans="1:48" ht="51" customHeight="1" outlineLevel="3" x14ac:dyDescent="0.25">
      <c r="A863" s="745" t="str">
        <f t="shared" si="120"/>
        <v>1.7.1.1.2.62</v>
      </c>
      <c r="B863" s="64">
        <v>1</v>
      </c>
      <c r="C863" s="64">
        <v>7</v>
      </c>
      <c r="D863" s="64">
        <v>1</v>
      </c>
      <c r="E863" s="64">
        <v>1</v>
      </c>
      <c r="F863" s="64">
        <v>2</v>
      </c>
      <c r="G863" s="64">
        <v>62</v>
      </c>
      <c r="H863" s="750"/>
      <c r="I863" s="750"/>
      <c r="J863" s="751"/>
      <c r="K863" s="752" t="s">
        <v>923</v>
      </c>
      <c r="L863" s="64" t="s">
        <v>915</v>
      </c>
      <c r="M863" s="64" t="s">
        <v>916</v>
      </c>
      <c r="N863" s="64" t="s">
        <v>917</v>
      </c>
      <c r="O863" s="64" t="s">
        <v>918</v>
      </c>
      <c r="P863" s="69"/>
      <c r="Q863" s="69"/>
      <c r="R863" s="64"/>
      <c r="S863" s="65"/>
      <c r="T863" s="64"/>
      <c r="U863" s="75"/>
      <c r="V863" s="674">
        <v>0</v>
      </c>
      <c r="W863" s="75"/>
      <c r="X863" s="75"/>
      <c r="Y863" s="75"/>
      <c r="Z863" s="75"/>
      <c r="AA863" s="75"/>
      <c r="AB863" s="75"/>
      <c r="AC863" s="75"/>
      <c r="AD863" s="75"/>
      <c r="AE863" s="592"/>
      <c r="AF863" s="343"/>
      <c r="AG863" s="763">
        <v>0</v>
      </c>
      <c r="AH863" s="764">
        <v>0</v>
      </c>
      <c r="AI863" s="75"/>
      <c r="AJ863" s="777"/>
      <c r="AK863" s="75"/>
      <c r="AL863" s="75"/>
      <c r="AM863" s="75"/>
      <c r="AN863" s="787" t="s">
        <v>39</v>
      </c>
      <c r="AO863" s="64"/>
      <c r="AP863" s="64"/>
      <c r="AQ863" s="189"/>
      <c r="AR863" s="64"/>
      <c r="AS863" s="476"/>
      <c r="AT863" s="64"/>
      <c r="AU863" s="646"/>
      <c r="AV863" s="185"/>
    </row>
    <row r="864" spans="1:48" ht="51" customHeight="1" outlineLevel="3" x14ac:dyDescent="0.25">
      <c r="A864" s="745" t="str">
        <f t="shared" ref="A864:A927" si="165">CONCATENATE(B864,".",C864,".",D864,".",E864,".",F864,".",G864)</f>
        <v>1.7.1.1.2.63</v>
      </c>
      <c r="B864" s="64">
        <v>1</v>
      </c>
      <c r="C864" s="64">
        <v>7</v>
      </c>
      <c r="D864" s="64">
        <v>1</v>
      </c>
      <c r="E864" s="64">
        <v>1</v>
      </c>
      <c r="F864" s="64">
        <v>2</v>
      </c>
      <c r="G864" s="64">
        <v>63</v>
      </c>
      <c r="H864" s="750"/>
      <c r="I864" s="750"/>
      <c r="J864" s="751"/>
      <c r="K864" s="752" t="s">
        <v>1765</v>
      </c>
      <c r="L864" s="64" t="s">
        <v>915</v>
      </c>
      <c r="M864" s="64" t="s">
        <v>916</v>
      </c>
      <c r="N864" s="64" t="s">
        <v>917</v>
      </c>
      <c r="O864" s="64" t="s">
        <v>918</v>
      </c>
      <c r="P864" s="69"/>
      <c r="Q864" s="69"/>
      <c r="R864" s="64"/>
      <c r="S864" s="65"/>
      <c r="T864" s="64"/>
      <c r="U864" s="75"/>
      <c r="V864" s="674">
        <v>0</v>
      </c>
      <c r="W864" s="75"/>
      <c r="X864" s="75"/>
      <c r="Y864" s="75"/>
      <c r="Z864" s="75"/>
      <c r="AA864" s="75"/>
      <c r="AB864" s="75"/>
      <c r="AC864" s="75"/>
      <c r="AD864" s="75"/>
      <c r="AE864" s="592"/>
      <c r="AF864" s="343"/>
      <c r="AG864" s="763">
        <v>0</v>
      </c>
      <c r="AH864" s="764">
        <v>0</v>
      </c>
      <c r="AI864" s="75"/>
      <c r="AJ864" s="777"/>
      <c r="AK864" s="75"/>
      <c r="AL864" s="75"/>
      <c r="AM864" s="75"/>
      <c r="AN864" s="787" t="s">
        <v>39</v>
      </c>
      <c r="AO864" s="64"/>
      <c r="AP864" s="64"/>
      <c r="AQ864" s="189"/>
      <c r="AR864" s="64"/>
      <c r="AS864" s="476"/>
      <c r="AT864" s="64"/>
      <c r="AU864" s="646"/>
      <c r="AV864" s="185"/>
    </row>
    <row r="865" spans="1:48" ht="51" customHeight="1" outlineLevel="3" x14ac:dyDescent="0.25">
      <c r="A865" s="745" t="str">
        <f t="shared" si="165"/>
        <v>1.7.1.1.2.64</v>
      </c>
      <c r="B865" s="64">
        <v>1</v>
      </c>
      <c r="C865" s="64">
        <v>7</v>
      </c>
      <c r="D865" s="64">
        <v>1</v>
      </c>
      <c r="E865" s="64">
        <v>1</v>
      </c>
      <c r="F865" s="64">
        <v>2</v>
      </c>
      <c r="G865" s="64">
        <v>64</v>
      </c>
      <c r="H865" s="750"/>
      <c r="I865" s="750"/>
      <c r="J865" s="751"/>
      <c r="K865" s="752" t="s">
        <v>924</v>
      </c>
      <c r="L865" s="64" t="s">
        <v>915</v>
      </c>
      <c r="M865" s="64" t="s">
        <v>916</v>
      </c>
      <c r="N865" s="64" t="s">
        <v>917</v>
      </c>
      <c r="O865" s="64" t="s">
        <v>918</v>
      </c>
      <c r="P865" s="69"/>
      <c r="Q865" s="69"/>
      <c r="R865" s="64"/>
      <c r="S865" s="65"/>
      <c r="T865" s="64"/>
      <c r="U865" s="75"/>
      <c r="V865" s="674">
        <v>0</v>
      </c>
      <c r="W865" s="75"/>
      <c r="X865" s="75"/>
      <c r="Y865" s="75"/>
      <c r="Z865" s="75"/>
      <c r="AA865" s="75"/>
      <c r="AB865" s="75"/>
      <c r="AC865" s="75"/>
      <c r="AD865" s="75"/>
      <c r="AE865" s="592"/>
      <c r="AF865" s="343"/>
      <c r="AG865" s="763">
        <v>0</v>
      </c>
      <c r="AH865" s="764">
        <v>0</v>
      </c>
      <c r="AI865" s="75"/>
      <c r="AJ865" s="777"/>
      <c r="AK865" s="75"/>
      <c r="AL865" s="75"/>
      <c r="AM865" s="75"/>
      <c r="AN865" s="787" t="s">
        <v>39</v>
      </c>
      <c r="AO865" s="64"/>
      <c r="AP865" s="64"/>
      <c r="AQ865" s="189"/>
      <c r="AR865" s="64"/>
      <c r="AS865" s="476"/>
      <c r="AT865" s="64"/>
      <c r="AU865" s="646"/>
      <c r="AV865" s="185"/>
    </row>
    <row r="866" spans="1:48" ht="27.75" customHeight="1" outlineLevel="3" x14ac:dyDescent="0.25">
      <c r="A866" s="745" t="str">
        <f t="shared" si="165"/>
        <v>1.7.1.1.3.58-64</v>
      </c>
      <c r="B866" s="64">
        <v>1</v>
      </c>
      <c r="C866" s="64">
        <v>7</v>
      </c>
      <c r="D866" s="64">
        <v>1</v>
      </c>
      <c r="E866" s="64">
        <v>1</v>
      </c>
      <c r="F866" s="64">
        <v>3</v>
      </c>
      <c r="G866" s="64" t="s">
        <v>64</v>
      </c>
      <c r="H866" s="750"/>
      <c r="I866" s="750"/>
      <c r="J866" s="751"/>
      <c r="K866" s="750" t="s">
        <v>925</v>
      </c>
      <c r="L866" s="64" t="s">
        <v>209</v>
      </c>
      <c r="M866" s="64" t="s">
        <v>926</v>
      </c>
      <c r="N866" s="64" t="s">
        <v>818</v>
      </c>
      <c r="O866" s="64" t="s">
        <v>819</v>
      </c>
      <c r="P866" s="69">
        <v>44197</v>
      </c>
      <c r="Q866" s="69">
        <v>44560</v>
      </c>
      <c r="R866" s="64" t="s">
        <v>887</v>
      </c>
      <c r="S866" s="65" t="s">
        <v>299</v>
      </c>
      <c r="T866" s="64"/>
      <c r="U866" s="75"/>
      <c r="V866" s="674">
        <v>0</v>
      </c>
      <c r="W866" s="75"/>
      <c r="X866" s="75"/>
      <c r="Y866" s="75"/>
      <c r="Z866" s="75"/>
      <c r="AA866" s="75"/>
      <c r="AB866" s="75"/>
      <c r="AC866" s="75"/>
      <c r="AD866" s="75"/>
      <c r="AE866" s="592"/>
      <c r="AF866" s="343" t="s">
        <v>1799</v>
      </c>
      <c r="AG866" s="763">
        <v>0</v>
      </c>
      <c r="AH866" s="764">
        <v>0</v>
      </c>
      <c r="AI866" s="75"/>
      <c r="AJ866" s="777"/>
      <c r="AK866" s="75"/>
      <c r="AL866" s="75"/>
      <c r="AM866" s="75"/>
      <c r="AN866" s="787" t="s">
        <v>39</v>
      </c>
      <c r="AO866" s="64"/>
      <c r="AP866" s="64"/>
      <c r="AQ866" s="189"/>
      <c r="AR866" s="64"/>
      <c r="AS866" s="476"/>
      <c r="AT866" s="64"/>
      <c r="AU866" s="646"/>
      <c r="AV866" s="185"/>
    </row>
    <row r="867" spans="1:48" ht="47.25" customHeight="1" outlineLevel="3" x14ac:dyDescent="0.25">
      <c r="A867" s="745" t="str">
        <f t="shared" si="165"/>
        <v>1.7.1.1.4.58-64</v>
      </c>
      <c r="B867" s="64">
        <v>1</v>
      </c>
      <c r="C867" s="64">
        <v>7</v>
      </c>
      <c r="D867" s="64">
        <v>1</v>
      </c>
      <c r="E867" s="64">
        <v>1</v>
      </c>
      <c r="F867" s="64">
        <v>4</v>
      </c>
      <c r="G867" s="64" t="s">
        <v>64</v>
      </c>
      <c r="H867" s="750"/>
      <c r="I867" s="750"/>
      <c r="J867" s="750"/>
      <c r="K867" s="750" t="s">
        <v>927</v>
      </c>
      <c r="L867" s="64" t="s">
        <v>209</v>
      </c>
      <c r="M867" s="68" t="s">
        <v>928</v>
      </c>
      <c r="N867" s="64" t="s">
        <v>818</v>
      </c>
      <c r="O867" s="64" t="s">
        <v>819</v>
      </c>
      <c r="P867" s="69">
        <v>44197</v>
      </c>
      <c r="Q867" s="69">
        <v>44560</v>
      </c>
      <c r="R867" s="64">
        <v>1700</v>
      </c>
      <c r="S867" s="65" t="s">
        <v>646</v>
      </c>
      <c r="T867" s="64"/>
      <c r="U867" s="75"/>
      <c r="V867" s="674">
        <v>0</v>
      </c>
      <c r="W867" s="75">
        <v>700</v>
      </c>
      <c r="X867" s="75"/>
      <c r="Y867" s="75"/>
      <c r="Z867" s="75">
        <v>500</v>
      </c>
      <c r="AA867" s="75"/>
      <c r="AB867" s="75"/>
      <c r="AC867" s="75">
        <v>500</v>
      </c>
      <c r="AD867" s="75"/>
      <c r="AE867" s="592"/>
      <c r="AF867" s="343" t="s">
        <v>1799</v>
      </c>
      <c r="AG867" s="763">
        <v>0</v>
      </c>
      <c r="AH867" s="764">
        <v>0</v>
      </c>
      <c r="AI867" s="75"/>
      <c r="AJ867" s="777"/>
      <c r="AK867" s="75"/>
      <c r="AL867" s="75"/>
      <c r="AM867" s="75"/>
      <c r="AN867" s="787" t="s">
        <v>39</v>
      </c>
      <c r="AO867" s="64"/>
      <c r="AP867" s="64"/>
      <c r="AQ867" s="189"/>
      <c r="AR867" s="64"/>
      <c r="AS867" s="476"/>
      <c r="AT867" s="64"/>
      <c r="AU867" s="646"/>
      <c r="AV867" s="185"/>
    </row>
    <row r="868" spans="1:48" ht="28.5" customHeight="1" outlineLevel="3" x14ac:dyDescent="0.25">
      <c r="A868" s="745" t="str">
        <f t="shared" si="165"/>
        <v>1.7.1.1.5.58-64</v>
      </c>
      <c r="B868" s="64">
        <v>1</v>
      </c>
      <c r="C868" s="64">
        <v>7</v>
      </c>
      <c r="D868" s="64">
        <v>1</v>
      </c>
      <c r="E868" s="64">
        <v>1</v>
      </c>
      <c r="F868" s="64">
        <v>5</v>
      </c>
      <c r="G868" s="64" t="s">
        <v>64</v>
      </c>
      <c r="H868" s="750"/>
      <c r="I868" s="750"/>
      <c r="J868" s="751"/>
      <c r="K868" s="750" t="s">
        <v>929</v>
      </c>
      <c r="L868" s="64" t="s">
        <v>209</v>
      </c>
      <c r="M868" s="64" t="s">
        <v>930</v>
      </c>
      <c r="N868" s="64" t="s">
        <v>818</v>
      </c>
      <c r="O868" s="64" t="s">
        <v>819</v>
      </c>
      <c r="P868" s="69">
        <v>44197</v>
      </c>
      <c r="Q868" s="69">
        <v>44560</v>
      </c>
      <c r="R868" s="64" t="s">
        <v>887</v>
      </c>
      <c r="S868" s="65"/>
      <c r="T868" s="64"/>
      <c r="U868" s="75"/>
      <c r="V868" s="674">
        <v>0</v>
      </c>
      <c r="W868" s="75"/>
      <c r="X868" s="75"/>
      <c r="Y868" s="75"/>
      <c r="Z868" s="75"/>
      <c r="AA868" s="75"/>
      <c r="AB868" s="75"/>
      <c r="AC868" s="75"/>
      <c r="AD868" s="75"/>
      <c r="AE868" s="592"/>
      <c r="AF868" s="343" t="s">
        <v>1799</v>
      </c>
      <c r="AG868" s="763">
        <v>0</v>
      </c>
      <c r="AH868" s="764">
        <v>0</v>
      </c>
      <c r="AI868" s="75"/>
      <c r="AJ868" s="777"/>
      <c r="AK868" s="75"/>
      <c r="AL868" s="75"/>
      <c r="AM868" s="75"/>
      <c r="AN868" s="787" t="s">
        <v>39</v>
      </c>
      <c r="AO868" s="64"/>
      <c r="AP868" s="64"/>
      <c r="AQ868" s="189"/>
      <c r="AR868" s="64"/>
      <c r="AS868" s="476"/>
      <c r="AT868" s="64"/>
      <c r="AU868" s="646"/>
      <c r="AV868" s="185"/>
    </row>
    <row r="869" spans="1:48" ht="48.75" customHeight="1" outlineLevel="3" x14ac:dyDescent="0.25">
      <c r="A869" s="745" t="str">
        <f t="shared" si="165"/>
        <v>1.7.1.1.6.58-64</v>
      </c>
      <c r="B869" s="64">
        <v>1</v>
      </c>
      <c r="C869" s="64">
        <v>7</v>
      </c>
      <c r="D869" s="64">
        <v>1</v>
      </c>
      <c r="E869" s="64">
        <v>1</v>
      </c>
      <c r="F869" s="64">
        <v>6</v>
      </c>
      <c r="G869" s="64" t="s">
        <v>64</v>
      </c>
      <c r="H869" s="750"/>
      <c r="I869" s="750"/>
      <c r="J869" s="751"/>
      <c r="K869" s="750" t="s">
        <v>931</v>
      </c>
      <c r="L869" s="64" t="s">
        <v>209</v>
      </c>
      <c r="M869" s="68" t="s">
        <v>932</v>
      </c>
      <c r="N869" s="64" t="s">
        <v>818</v>
      </c>
      <c r="O869" s="64" t="s">
        <v>819</v>
      </c>
      <c r="P869" s="69">
        <v>44197</v>
      </c>
      <c r="Q869" s="69">
        <v>44560</v>
      </c>
      <c r="R869" s="64">
        <v>1700</v>
      </c>
      <c r="S869" s="65" t="s">
        <v>933</v>
      </c>
      <c r="T869" s="64"/>
      <c r="U869" s="75"/>
      <c r="V869" s="674">
        <v>0</v>
      </c>
      <c r="W869" s="75"/>
      <c r="X869" s="75"/>
      <c r="Y869" s="75"/>
      <c r="Z869" s="75"/>
      <c r="AA869" s="75"/>
      <c r="AB869" s="75"/>
      <c r="AC869" s="75"/>
      <c r="AD869" s="75"/>
      <c r="AE869" s="592"/>
      <c r="AF869" s="343" t="s">
        <v>1799</v>
      </c>
      <c r="AG869" s="763">
        <v>0</v>
      </c>
      <c r="AH869" s="764">
        <v>0</v>
      </c>
      <c r="AI869" s="75"/>
      <c r="AJ869" s="777"/>
      <c r="AK869" s="75"/>
      <c r="AL869" s="75"/>
      <c r="AM869" s="75"/>
      <c r="AN869" s="787" t="s">
        <v>39</v>
      </c>
      <c r="AO869" s="64"/>
      <c r="AP869" s="64"/>
      <c r="AQ869" s="189"/>
      <c r="AR869" s="64"/>
      <c r="AS869" s="476"/>
      <c r="AT869" s="64"/>
      <c r="AU869" s="646"/>
      <c r="AV869" s="185"/>
    </row>
    <row r="870" spans="1:48" ht="37.5" customHeight="1" outlineLevel="3" x14ac:dyDescent="0.25">
      <c r="A870" s="745" t="str">
        <f t="shared" si="165"/>
        <v>1.7.1.1.7.58-64</v>
      </c>
      <c r="B870" s="64">
        <v>1</v>
      </c>
      <c r="C870" s="64">
        <v>7</v>
      </c>
      <c r="D870" s="64">
        <v>1</v>
      </c>
      <c r="E870" s="64">
        <v>1</v>
      </c>
      <c r="F870" s="64">
        <v>7</v>
      </c>
      <c r="G870" s="64" t="s">
        <v>64</v>
      </c>
      <c r="H870" s="750"/>
      <c r="I870" s="750"/>
      <c r="J870" s="751"/>
      <c r="K870" s="750" t="s">
        <v>934</v>
      </c>
      <c r="L870" s="64" t="s">
        <v>209</v>
      </c>
      <c r="M870" s="68" t="s">
        <v>935</v>
      </c>
      <c r="N870" s="64" t="s">
        <v>818</v>
      </c>
      <c r="O870" s="64" t="s">
        <v>819</v>
      </c>
      <c r="P870" s="69">
        <v>44197</v>
      </c>
      <c r="Q870" s="69">
        <v>44560</v>
      </c>
      <c r="R870" s="64" t="s">
        <v>887</v>
      </c>
      <c r="S870" s="65"/>
      <c r="T870" s="64"/>
      <c r="U870" s="155">
        <f>+AH870/2</f>
        <v>1150000</v>
      </c>
      <c r="V870" s="674">
        <v>0</v>
      </c>
      <c r="W870" s="155"/>
      <c r="X870" s="155">
        <f>+AH870/2</f>
        <v>1150000</v>
      </c>
      <c r="Y870" s="155"/>
      <c r="Z870" s="75"/>
      <c r="AA870" s="75"/>
      <c r="AB870" s="75"/>
      <c r="AC870" s="75"/>
      <c r="AD870" s="75"/>
      <c r="AE870" s="592"/>
      <c r="AF870" s="343" t="s">
        <v>936</v>
      </c>
      <c r="AG870" s="763">
        <v>1150000</v>
      </c>
      <c r="AH870" s="764">
        <f>2300000</f>
        <v>2300000</v>
      </c>
      <c r="AI870" s="75"/>
      <c r="AJ870" s="777"/>
      <c r="AK870" s="75"/>
      <c r="AL870" s="75"/>
      <c r="AM870" s="75"/>
      <c r="AN870" s="787" t="s">
        <v>39</v>
      </c>
      <c r="AO870" s="64"/>
      <c r="AP870" s="64"/>
      <c r="AQ870" s="189"/>
      <c r="AR870" s="64"/>
      <c r="AS870" s="476"/>
      <c r="AT870" s="64"/>
      <c r="AU870" s="646"/>
      <c r="AV870" s="185" t="s">
        <v>589</v>
      </c>
    </row>
    <row r="871" spans="1:48" ht="23.25" customHeight="1" outlineLevel="3" x14ac:dyDescent="0.25">
      <c r="A871" s="745" t="str">
        <f t="shared" si="165"/>
        <v>1.7.1.1.8.58-64</v>
      </c>
      <c r="B871" s="64">
        <v>1</v>
      </c>
      <c r="C871" s="64">
        <v>7</v>
      </c>
      <c r="D871" s="64">
        <v>1</v>
      </c>
      <c r="E871" s="64">
        <v>1</v>
      </c>
      <c r="F871" s="64">
        <v>8</v>
      </c>
      <c r="G871" s="64" t="s">
        <v>64</v>
      </c>
      <c r="H871" s="750"/>
      <c r="I871" s="750"/>
      <c r="J871" s="750"/>
      <c r="K871" s="750" t="s">
        <v>937</v>
      </c>
      <c r="L871" s="64" t="s">
        <v>209</v>
      </c>
      <c r="M871" s="64" t="s">
        <v>73</v>
      </c>
      <c r="N871" s="64" t="s">
        <v>74</v>
      </c>
      <c r="O871" s="64" t="s">
        <v>819</v>
      </c>
      <c r="P871" s="69">
        <v>44197</v>
      </c>
      <c r="Q871" s="69">
        <v>44560</v>
      </c>
      <c r="R871" s="64">
        <v>1700</v>
      </c>
      <c r="S871" s="65" t="s">
        <v>938</v>
      </c>
      <c r="T871" s="64"/>
      <c r="U871" s="155">
        <f>+AH871/2</f>
        <v>1620000</v>
      </c>
      <c r="V871" s="674">
        <v>0</v>
      </c>
      <c r="W871" s="155"/>
      <c r="X871" s="155">
        <f>+AH871/2</f>
        <v>1620000</v>
      </c>
      <c r="Y871" s="155"/>
      <c r="Z871" s="75"/>
      <c r="AA871" s="75"/>
      <c r="AB871" s="75"/>
      <c r="AC871" s="75"/>
      <c r="AD871" s="75"/>
      <c r="AE871" s="592"/>
      <c r="AF871" s="259" t="s">
        <v>939</v>
      </c>
      <c r="AG871" s="763">
        <v>1620000</v>
      </c>
      <c r="AH871" s="764">
        <f>135000*24</f>
        <v>3240000</v>
      </c>
      <c r="AI871" s="75"/>
      <c r="AJ871" s="777"/>
      <c r="AK871" s="75"/>
      <c r="AL871" s="75"/>
      <c r="AM871" s="75"/>
      <c r="AN871" s="787" t="s">
        <v>39</v>
      </c>
      <c r="AO871" s="64"/>
      <c r="AP871" s="64"/>
      <c r="AQ871" s="189"/>
      <c r="AR871" s="64"/>
      <c r="AS871" s="476"/>
      <c r="AT871" s="64"/>
      <c r="AU871" s="646"/>
      <c r="AV871" s="185" t="s">
        <v>589</v>
      </c>
    </row>
    <row r="872" spans="1:48" ht="28.5" customHeight="1" outlineLevel="3" x14ac:dyDescent="0.25">
      <c r="A872" s="745" t="str">
        <f t="shared" si="165"/>
        <v>1.7.1.1.9.58-64</v>
      </c>
      <c r="B872" s="64">
        <v>1</v>
      </c>
      <c r="C872" s="64">
        <v>7</v>
      </c>
      <c r="D872" s="64">
        <v>1</v>
      </c>
      <c r="E872" s="64">
        <v>1</v>
      </c>
      <c r="F872" s="64">
        <v>9</v>
      </c>
      <c r="G872" s="64" t="s">
        <v>64</v>
      </c>
      <c r="H872" s="750"/>
      <c r="I872" s="750"/>
      <c r="J872" s="751"/>
      <c r="K872" s="752" t="s">
        <v>940</v>
      </c>
      <c r="L872" s="64" t="s">
        <v>209</v>
      </c>
      <c r="M872" s="64" t="s">
        <v>941</v>
      </c>
      <c r="N872" s="64" t="s">
        <v>818</v>
      </c>
      <c r="O872" s="64" t="s">
        <v>819</v>
      </c>
      <c r="P872" s="69">
        <v>44197</v>
      </c>
      <c r="Q872" s="69">
        <v>44560</v>
      </c>
      <c r="R872" s="64">
        <v>1700</v>
      </c>
      <c r="S872" s="65" t="s">
        <v>942</v>
      </c>
      <c r="T872" s="64"/>
      <c r="U872" s="75"/>
      <c r="V872" s="674">
        <v>0</v>
      </c>
      <c r="W872" s="75">
        <v>700</v>
      </c>
      <c r="X872" s="75"/>
      <c r="Y872" s="75"/>
      <c r="Z872" s="75">
        <v>500</v>
      </c>
      <c r="AA872" s="75"/>
      <c r="AB872" s="75"/>
      <c r="AC872" s="75">
        <v>500</v>
      </c>
      <c r="AD872" s="75"/>
      <c r="AE872" s="592"/>
      <c r="AF872" s="343" t="s">
        <v>1799</v>
      </c>
      <c r="AG872" s="763">
        <v>0</v>
      </c>
      <c r="AH872" s="764">
        <v>0</v>
      </c>
      <c r="AI872" s="75"/>
      <c r="AJ872" s="777"/>
      <c r="AK872" s="75"/>
      <c r="AL872" s="75"/>
      <c r="AM872" s="75"/>
      <c r="AN872" s="787" t="s">
        <v>39</v>
      </c>
      <c r="AO872" s="64"/>
      <c r="AP872" s="64"/>
      <c r="AQ872" s="189"/>
      <c r="AR872" s="64"/>
      <c r="AS872" s="476"/>
      <c r="AT872" s="64"/>
      <c r="AU872" s="646"/>
      <c r="AV872" s="185"/>
    </row>
    <row r="873" spans="1:48" ht="28.5" customHeight="1" outlineLevel="3" x14ac:dyDescent="0.25">
      <c r="A873" s="745" t="str">
        <f t="shared" si="165"/>
        <v>1.7.1.1.10.58-64</v>
      </c>
      <c r="B873" s="64">
        <v>1</v>
      </c>
      <c r="C873" s="64">
        <v>7</v>
      </c>
      <c r="D873" s="64">
        <v>1</v>
      </c>
      <c r="E873" s="64">
        <v>1</v>
      </c>
      <c r="F873" s="64">
        <v>10</v>
      </c>
      <c r="G873" s="64" t="s">
        <v>64</v>
      </c>
      <c r="H873" s="750"/>
      <c r="I873" s="750"/>
      <c r="J873" s="751"/>
      <c r="K873" s="752" t="s">
        <v>943</v>
      </c>
      <c r="L873" s="64"/>
      <c r="M873" s="64"/>
      <c r="N873" s="64"/>
      <c r="O873" s="64"/>
      <c r="P873" s="69"/>
      <c r="Q873" s="69"/>
      <c r="R873" s="64"/>
      <c r="S873" s="65"/>
      <c r="T873" s="64"/>
      <c r="U873" s="75">
        <f>+AH873/2</f>
        <v>322500</v>
      </c>
      <c r="V873" s="674">
        <v>0</v>
      </c>
      <c r="W873" s="75"/>
      <c r="X873" s="75">
        <f>+AH873/2</f>
        <v>322500</v>
      </c>
      <c r="Y873" s="75"/>
      <c r="Z873" s="75"/>
      <c r="AA873" s="75"/>
      <c r="AB873" s="75"/>
      <c r="AC873" s="75"/>
      <c r="AD873" s="75"/>
      <c r="AE873" s="592"/>
      <c r="AF873" s="343" t="s">
        <v>944</v>
      </c>
      <c r="AG873" s="763">
        <v>264735</v>
      </c>
      <c r="AH873" s="764">
        <f>683000-38000</f>
        <v>645000</v>
      </c>
      <c r="AI873" s="75"/>
      <c r="AJ873" s="777"/>
      <c r="AK873" s="75"/>
      <c r="AL873" s="75"/>
      <c r="AM873" s="75"/>
      <c r="AN873" s="787" t="s">
        <v>39</v>
      </c>
      <c r="AO873" s="64"/>
      <c r="AP873" s="64"/>
      <c r="AQ873" s="189"/>
      <c r="AR873" s="64"/>
      <c r="AS873" s="476"/>
      <c r="AT873" s="64"/>
      <c r="AU873" s="646"/>
      <c r="AV873" s="185" t="s">
        <v>589</v>
      </c>
    </row>
    <row r="874" spans="1:48" ht="28.5" customHeight="1" outlineLevel="3" x14ac:dyDescent="0.25">
      <c r="A874" s="745" t="str">
        <f t="shared" si="165"/>
        <v>1.7.1.1.11.58-64</v>
      </c>
      <c r="B874" s="64">
        <v>1</v>
      </c>
      <c r="C874" s="64">
        <v>7</v>
      </c>
      <c r="D874" s="64">
        <v>1</v>
      </c>
      <c r="E874" s="64">
        <v>1</v>
      </c>
      <c r="F874" s="64">
        <v>11</v>
      </c>
      <c r="G874" s="64" t="s">
        <v>64</v>
      </c>
      <c r="H874" s="750"/>
      <c r="I874" s="750"/>
      <c r="J874" s="751"/>
      <c r="K874" s="752" t="s">
        <v>1867</v>
      </c>
      <c r="L874" s="64"/>
      <c r="M874" s="64"/>
      <c r="N874" s="64"/>
      <c r="O874" s="64"/>
      <c r="P874" s="69"/>
      <c r="Q874" s="69"/>
      <c r="R874" s="64"/>
      <c r="S874" s="65"/>
      <c r="T874" s="64"/>
      <c r="U874" s="75">
        <f>$AH$874/4</f>
        <v>129409.125</v>
      </c>
      <c r="V874" s="674">
        <v>0</v>
      </c>
      <c r="W874" s="75"/>
      <c r="X874" s="75">
        <f>$AH$874/4</f>
        <v>129409.125</v>
      </c>
      <c r="Y874" s="75"/>
      <c r="Z874" s="75"/>
      <c r="AA874" s="75">
        <f>$AH$874/4</f>
        <v>129409.125</v>
      </c>
      <c r="AB874" s="75"/>
      <c r="AC874" s="75"/>
      <c r="AD874" s="75">
        <f>$AH$874/4</f>
        <v>129409.125</v>
      </c>
      <c r="AE874" s="592"/>
      <c r="AF874" s="343" t="s">
        <v>945</v>
      </c>
      <c r="AG874" s="763">
        <v>516481.5</v>
      </c>
      <c r="AH874" s="764">
        <f>43200+432000+1900+18590+3322.5+1500+2070+744+12000+2310</f>
        <v>517636.5</v>
      </c>
      <c r="AI874" s="75"/>
      <c r="AJ874" s="777"/>
      <c r="AK874" s="75"/>
      <c r="AL874" s="75"/>
      <c r="AM874" s="75"/>
      <c r="AN874" s="787" t="s">
        <v>39</v>
      </c>
      <c r="AO874" s="64"/>
      <c r="AP874" s="64"/>
      <c r="AQ874" s="189"/>
      <c r="AR874" s="64"/>
      <c r="AS874" s="476"/>
      <c r="AT874" s="64"/>
      <c r="AU874" s="646"/>
      <c r="AV874" s="185" t="s">
        <v>589</v>
      </c>
    </row>
    <row r="875" spans="1:48" ht="28.5" customHeight="1" outlineLevel="3" x14ac:dyDescent="0.25">
      <c r="A875" s="745" t="str">
        <f t="shared" si="165"/>
        <v>1.7.1.1.12.58-64</v>
      </c>
      <c r="B875" s="64">
        <v>1</v>
      </c>
      <c r="C875" s="64">
        <v>7</v>
      </c>
      <c r="D875" s="64">
        <v>1</v>
      </c>
      <c r="E875" s="64">
        <v>1</v>
      </c>
      <c r="F875" s="64">
        <v>12</v>
      </c>
      <c r="G875" s="64" t="s">
        <v>64</v>
      </c>
      <c r="H875" s="750"/>
      <c r="I875" s="750"/>
      <c r="J875" s="751"/>
      <c r="K875" s="752" t="s">
        <v>947</v>
      </c>
      <c r="L875" s="64"/>
      <c r="M875" s="64"/>
      <c r="N875" s="64"/>
      <c r="O875" s="64"/>
      <c r="P875" s="69"/>
      <c r="Q875" s="69"/>
      <c r="R875" s="64"/>
      <c r="S875" s="65"/>
      <c r="T875" s="64"/>
      <c r="U875" s="75"/>
      <c r="V875" s="674">
        <v>0</v>
      </c>
      <c r="W875" s="75"/>
      <c r="X875" s="75"/>
      <c r="Y875" s="75"/>
      <c r="Z875" s="75"/>
      <c r="AA875" s="75"/>
      <c r="AB875" s="75"/>
      <c r="AC875" s="75"/>
      <c r="AD875" s="75"/>
      <c r="AE875" s="592"/>
      <c r="AF875" s="343" t="s">
        <v>948</v>
      </c>
      <c r="AG875" s="763">
        <v>0</v>
      </c>
      <c r="AH875" s="764">
        <v>0</v>
      </c>
      <c r="AI875" s="75"/>
      <c r="AJ875" s="777"/>
      <c r="AK875" s="75"/>
      <c r="AL875" s="75"/>
      <c r="AM875" s="75"/>
      <c r="AN875" s="787" t="s">
        <v>39</v>
      </c>
      <c r="AO875" s="64"/>
      <c r="AP875" s="64"/>
      <c r="AQ875" s="189"/>
      <c r="AR875" s="64"/>
      <c r="AS875" s="476"/>
      <c r="AT875" s="64"/>
      <c r="AU875" s="646"/>
      <c r="AV875" s="335" t="s">
        <v>949</v>
      </c>
    </row>
    <row r="876" spans="1:48" s="153" customFormat="1" ht="31.5" customHeight="1" outlineLevel="1" x14ac:dyDescent="0.25">
      <c r="A876" s="744" t="str">
        <f t="shared" si="165"/>
        <v>1.7.1.2.0.0</v>
      </c>
      <c r="B876" s="82">
        <v>1</v>
      </c>
      <c r="C876" s="82">
        <v>7</v>
      </c>
      <c r="D876" s="82">
        <v>1</v>
      </c>
      <c r="E876" s="82">
        <v>2</v>
      </c>
      <c r="F876" s="82">
        <v>0</v>
      </c>
      <c r="G876" s="82">
        <v>0</v>
      </c>
      <c r="H876" s="749"/>
      <c r="I876" s="749"/>
      <c r="J876" s="1304" t="s">
        <v>950</v>
      </c>
      <c r="K876" s="1303"/>
      <c r="L876" s="82" t="s">
        <v>209</v>
      </c>
      <c r="M876" s="83" t="s">
        <v>951</v>
      </c>
      <c r="N876" s="82" t="s">
        <v>818</v>
      </c>
      <c r="O876" s="82" t="s">
        <v>819</v>
      </c>
      <c r="P876" s="82"/>
      <c r="Q876" s="82"/>
      <c r="R876" s="82"/>
      <c r="S876" s="149"/>
      <c r="T876" s="82"/>
      <c r="U876" s="209">
        <f>SUM(U877:U880)</f>
        <v>1632079.7050000001</v>
      </c>
      <c r="V876" s="685">
        <f t="shared" ref="V876:AG876" si="166">+SUM(V877:V880)</f>
        <v>0</v>
      </c>
      <c r="W876" s="685">
        <f t="shared" si="166"/>
        <v>0</v>
      </c>
      <c r="X876" s="685">
        <f t="shared" si="166"/>
        <v>1632079.7050000001</v>
      </c>
      <c r="Y876" s="685">
        <f t="shared" si="166"/>
        <v>0</v>
      </c>
      <c r="Z876" s="685">
        <f t="shared" si="166"/>
        <v>1</v>
      </c>
      <c r="AA876" s="685">
        <f t="shared" si="166"/>
        <v>0</v>
      </c>
      <c r="AB876" s="685">
        <f t="shared" si="166"/>
        <v>0</v>
      </c>
      <c r="AC876" s="685">
        <f t="shared" si="166"/>
        <v>0</v>
      </c>
      <c r="AD876" s="685">
        <f t="shared" si="166"/>
        <v>0</v>
      </c>
      <c r="AE876" s="685">
        <f t="shared" si="166"/>
        <v>0</v>
      </c>
      <c r="AF876" s="685">
        <f t="shared" si="166"/>
        <v>0</v>
      </c>
      <c r="AG876" s="773">
        <f t="shared" si="166"/>
        <v>1710000</v>
      </c>
      <c r="AH876" s="773">
        <f>+SUM(AH877:AH880)</f>
        <v>3264159.41</v>
      </c>
      <c r="AI876" s="522">
        <f>+SUM(AI877:AI880)</f>
        <v>0</v>
      </c>
      <c r="AJ876" s="765">
        <f>+SUM(AJ877:AJ880)</f>
        <v>0</v>
      </c>
      <c r="AK876" s="218"/>
      <c r="AL876" s="218"/>
      <c r="AM876" s="218"/>
      <c r="AN876" s="786" t="s">
        <v>39</v>
      </c>
      <c r="AO876" s="82"/>
      <c r="AP876" s="82"/>
      <c r="AQ876" s="365"/>
      <c r="AR876" s="82"/>
      <c r="AS876" s="483"/>
      <c r="AT876" s="82"/>
      <c r="AU876" s="666"/>
      <c r="AV876" s="444" t="s">
        <v>952</v>
      </c>
    </row>
    <row r="877" spans="1:48" ht="36" customHeight="1" outlineLevel="3" x14ac:dyDescent="0.25">
      <c r="A877" s="745" t="str">
        <f t="shared" si="165"/>
        <v>1.7.1.2.1.58-64</v>
      </c>
      <c r="B877" s="64">
        <v>1</v>
      </c>
      <c r="C877" s="64">
        <v>7</v>
      </c>
      <c r="D877" s="64">
        <v>1</v>
      </c>
      <c r="E877" s="64">
        <v>2</v>
      </c>
      <c r="F877" s="64">
        <v>1</v>
      </c>
      <c r="G877" s="64" t="s">
        <v>64</v>
      </c>
      <c r="H877" s="750"/>
      <c r="I877" s="750"/>
      <c r="J877" s="751"/>
      <c r="K877" s="750" t="s">
        <v>953</v>
      </c>
      <c r="L877" s="64" t="s">
        <v>209</v>
      </c>
      <c r="M877" s="64" t="s">
        <v>954</v>
      </c>
      <c r="N877" s="64" t="s">
        <v>818</v>
      </c>
      <c r="O877" s="64" t="s">
        <v>819</v>
      </c>
      <c r="P877" s="69">
        <v>44197</v>
      </c>
      <c r="Q877" s="69">
        <v>44560</v>
      </c>
      <c r="R877" s="64">
        <v>1700</v>
      </c>
      <c r="S877" s="65" t="s">
        <v>955</v>
      </c>
      <c r="T877" s="64"/>
      <c r="U877" s="127">
        <f>+AH877/2</f>
        <v>1632079.7050000001</v>
      </c>
      <c r="V877" s="674">
        <v>0</v>
      </c>
      <c r="W877" s="75"/>
      <c r="X877" s="127">
        <f>+AH877/2</f>
        <v>1632079.7050000001</v>
      </c>
      <c r="Y877" s="75"/>
      <c r="Z877" s="75"/>
      <c r="AA877" s="127"/>
      <c r="AB877" s="75"/>
      <c r="AC877" s="75"/>
      <c r="AD877" s="127"/>
      <c r="AE877" s="592"/>
      <c r="AF877" s="343" t="s">
        <v>956</v>
      </c>
      <c r="AG877" s="763">
        <v>1710000</v>
      </c>
      <c r="AH877" s="774">
        <v>3264159.41</v>
      </c>
      <c r="AI877" s="75"/>
      <c r="AJ877" s="777"/>
      <c r="AK877" s="75"/>
      <c r="AL877" s="75"/>
      <c r="AM877" s="75"/>
      <c r="AN877" s="787" t="s">
        <v>39</v>
      </c>
      <c r="AO877" s="64"/>
      <c r="AP877" s="64"/>
      <c r="AQ877" s="189"/>
      <c r="AR877" s="64"/>
      <c r="AS877" s="476"/>
      <c r="AT877" s="64"/>
      <c r="AU877" s="646"/>
      <c r="AV877" s="185" t="s">
        <v>589</v>
      </c>
    </row>
    <row r="878" spans="1:48" ht="30" customHeight="1" outlineLevel="3" x14ac:dyDescent="0.25">
      <c r="A878" s="745" t="str">
        <f t="shared" si="165"/>
        <v>1.7.1.2.2.58-64</v>
      </c>
      <c r="B878" s="64">
        <v>1</v>
      </c>
      <c r="C878" s="64">
        <v>7</v>
      </c>
      <c r="D878" s="64">
        <v>1</v>
      </c>
      <c r="E878" s="64">
        <v>2</v>
      </c>
      <c r="F878" s="64">
        <v>2</v>
      </c>
      <c r="G878" s="64" t="s">
        <v>64</v>
      </c>
      <c r="H878" s="750"/>
      <c r="I878" s="750"/>
      <c r="J878" s="751"/>
      <c r="K878" s="750" t="s">
        <v>957</v>
      </c>
      <c r="L878" s="64" t="s">
        <v>209</v>
      </c>
      <c r="M878" s="64" t="s">
        <v>958</v>
      </c>
      <c r="N878" s="64" t="s">
        <v>818</v>
      </c>
      <c r="O878" s="64" t="s">
        <v>819</v>
      </c>
      <c r="P878" s="69">
        <v>44197</v>
      </c>
      <c r="Q878" s="69">
        <v>44560</v>
      </c>
      <c r="R878" s="64">
        <v>2</v>
      </c>
      <c r="S878" s="65" t="s">
        <v>959</v>
      </c>
      <c r="T878" s="64">
        <v>1</v>
      </c>
      <c r="U878" s="75"/>
      <c r="V878" s="674">
        <v>0</v>
      </c>
      <c r="W878" s="75"/>
      <c r="X878" s="75"/>
      <c r="Y878" s="75"/>
      <c r="Z878" s="75">
        <v>1</v>
      </c>
      <c r="AA878" s="75"/>
      <c r="AB878" s="75"/>
      <c r="AC878" s="75"/>
      <c r="AD878" s="75"/>
      <c r="AE878" s="592"/>
      <c r="AF878" s="343" t="s">
        <v>1799</v>
      </c>
      <c r="AG878" s="763">
        <v>0</v>
      </c>
      <c r="AH878" s="764">
        <v>0</v>
      </c>
      <c r="AI878" s="75"/>
      <c r="AJ878" s="777"/>
      <c r="AK878" s="75"/>
      <c r="AL878" s="75"/>
      <c r="AM878" s="75"/>
      <c r="AN878" s="787" t="s">
        <v>39</v>
      </c>
      <c r="AO878" s="64"/>
      <c r="AP878" s="64"/>
      <c r="AQ878" s="189"/>
      <c r="AR878" s="64"/>
      <c r="AS878" s="476"/>
      <c r="AT878" s="64"/>
      <c r="AU878" s="646"/>
      <c r="AV878" s="185"/>
    </row>
    <row r="879" spans="1:48" ht="30.75" customHeight="1" outlineLevel="3" x14ac:dyDescent="0.25">
      <c r="A879" s="745" t="str">
        <f t="shared" si="165"/>
        <v>1.7.1.2.3.58-64</v>
      </c>
      <c r="B879" s="64">
        <v>1</v>
      </c>
      <c r="C879" s="64">
        <v>7</v>
      </c>
      <c r="D879" s="64">
        <v>1</v>
      </c>
      <c r="E879" s="64">
        <v>2</v>
      </c>
      <c r="F879" s="64">
        <v>3</v>
      </c>
      <c r="G879" s="64" t="s">
        <v>64</v>
      </c>
      <c r="H879" s="750"/>
      <c r="I879" s="750"/>
      <c r="J879" s="751"/>
      <c r="K879" s="750" t="s">
        <v>960</v>
      </c>
      <c r="L879" s="64" t="s">
        <v>209</v>
      </c>
      <c r="M879" s="64" t="s">
        <v>961</v>
      </c>
      <c r="N879" s="64" t="s">
        <v>818</v>
      </c>
      <c r="O879" s="64" t="s">
        <v>819</v>
      </c>
      <c r="P879" s="69">
        <v>44197</v>
      </c>
      <c r="Q879" s="69">
        <v>44560</v>
      </c>
      <c r="R879" s="64"/>
      <c r="S879" s="65"/>
      <c r="T879" s="64"/>
      <c r="U879" s="75"/>
      <c r="V879" s="674">
        <v>0</v>
      </c>
      <c r="W879" s="75"/>
      <c r="X879" s="75"/>
      <c r="Y879" s="75"/>
      <c r="Z879" s="75"/>
      <c r="AA879" s="75"/>
      <c r="AB879" s="75"/>
      <c r="AC879" s="75"/>
      <c r="AD879" s="75"/>
      <c r="AE879" s="592"/>
      <c r="AF879" s="343" t="s">
        <v>1799</v>
      </c>
      <c r="AG879" s="763">
        <v>0</v>
      </c>
      <c r="AH879" s="764">
        <v>0</v>
      </c>
      <c r="AI879" s="75"/>
      <c r="AJ879" s="777"/>
      <c r="AK879" s="75"/>
      <c r="AL879" s="75"/>
      <c r="AM879" s="75"/>
      <c r="AN879" s="787" t="s">
        <v>39</v>
      </c>
      <c r="AO879" s="64"/>
      <c r="AP879" s="64"/>
      <c r="AQ879" s="189"/>
      <c r="AR879" s="64"/>
      <c r="AS879" s="476"/>
      <c r="AT879" s="64"/>
      <c r="AU879" s="646"/>
      <c r="AV879" s="185"/>
    </row>
    <row r="880" spans="1:48" ht="31.5" customHeight="1" outlineLevel="3" x14ac:dyDescent="0.25">
      <c r="A880" s="745" t="str">
        <f t="shared" si="165"/>
        <v>1.7.1.2.4.58-64</v>
      </c>
      <c r="B880" s="64">
        <v>1</v>
      </c>
      <c r="C880" s="64">
        <v>7</v>
      </c>
      <c r="D880" s="64">
        <v>1</v>
      </c>
      <c r="E880" s="64">
        <v>2</v>
      </c>
      <c r="F880" s="64">
        <v>4</v>
      </c>
      <c r="G880" s="64" t="s">
        <v>64</v>
      </c>
      <c r="H880" s="750"/>
      <c r="I880" s="750"/>
      <c r="J880" s="751"/>
      <c r="K880" s="752" t="s">
        <v>962</v>
      </c>
      <c r="L880" s="64"/>
      <c r="M880" s="64"/>
      <c r="N880" s="64"/>
      <c r="O880" s="64"/>
      <c r="P880" s="69">
        <v>44197</v>
      </c>
      <c r="Q880" s="69">
        <v>44560</v>
      </c>
      <c r="R880" s="64"/>
      <c r="S880" s="65"/>
      <c r="T880" s="64"/>
      <c r="U880" s="75"/>
      <c r="V880" s="674">
        <v>0</v>
      </c>
      <c r="W880" s="75"/>
      <c r="X880" s="75"/>
      <c r="Y880" s="75"/>
      <c r="Z880" s="75"/>
      <c r="AA880" s="75"/>
      <c r="AB880" s="75"/>
      <c r="AC880" s="75"/>
      <c r="AD880" s="75"/>
      <c r="AE880" s="592"/>
      <c r="AF880" s="343" t="s">
        <v>963</v>
      </c>
      <c r="AG880" s="763">
        <v>0</v>
      </c>
      <c r="AH880" s="764">
        <v>0</v>
      </c>
      <c r="AI880" s="75"/>
      <c r="AJ880" s="777"/>
      <c r="AK880" s="75"/>
      <c r="AL880" s="75"/>
      <c r="AM880" s="75"/>
      <c r="AN880" s="787" t="s">
        <v>39</v>
      </c>
      <c r="AO880" s="64"/>
      <c r="AP880" s="64"/>
      <c r="AQ880" s="189"/>
      <c r="AR880" s="64"/>
      <c r="AS880" s="476"/>
      <c r="AT880" s="64"/>
      <c r="AU880" s="646"/>
      <c r="AV880" s="185"/>
    </row>
    <row r="881" spans="1:48" s="153" customFormat="1" ht="37.5" customHeight="1" outlineLevel="1" x14ac:dyDescent="0.25">
      <c r="A881" s="744" t="str">
        <f t="shared" si="165"/>
        <v>1.7.1.3.0.0</v>
      </c>
      <c r="B881" s="82">
        <v>1</v>
      </c>
      <c r="C881" s="82">
        <v>7</v>
      </c>
      <c r="D881" s="82">
        <v>1</v>
      </c>
      <c r="E881" s="82">
        <v>3</v>
      </c>
      <c r="F881" s="82">
        <v>0</v>
      </c>
      <c r="G881" s="82">
        <v>0</v>
      </c>
      <c r="H881" s="749"/>
      <c r="I881" s="749"/>
      <c r="J881" s="1304" t="s">
        <v>964</v>
      </c>
      <c r="K881" s="1303"/>
      <c r="L881" s="82" t="s">
        <v>209</v>
      </c>
      <c r="M881" s="83" t="s">
        <v>965</v>
      </c>
      <c r="N881" s="82" t="s">
        <v>818</v>
      </c>
      <c r="O881" s="82" t="s">
        <v>819</v>
      </c>
      <c r="P881" s="82"/>
      <c r="Q881" s="82"/>
      <c r="R881" s="82">
        <v>3</v>
      </c>
      <c r="S881" s="149" t="s">
        <v>966</v>
      </c>
      <c r="T881" s="82"/>
      <c r="U881" s="209">
        <f>SUM(U882)</f>
        <v>475000</v>
      </c>
      <c r="V881" s="683">
        <f t="shared" ref="V881:AG881" si="167">SUM(V882)</f>
        <v>0</v>
      </c>
      <c r="W881" s="209">
        <f t="shared" si="167"/>
        <v>0</v>
      </c>
      <c r="X881" s="209">
        <f t="shared" si="167"/>
        <v>475000</v>
      </c>
      <c r="Y881" s="209">
        <f t="shared" si="167"/>
        <v>0</v>
      </c>
      <c r="Z881" s="209">
        <f t="shared" si="167"/>
        <v>0</v>
      </c>
      <c r="AA881" s="209">
        <f t="shared" si="167"/>
        <v>0</v>
      </c>
      <c r="AB881" s="209">
        <f t="shared" si="167"/>
        <v>0</v>
      </c>
      <c r="AC881" s="209">
        <f t="shared" si="167"/>
        <v>0</v>
      </c>
      <c r="AD881" s="209">
        <f t="shared" si="167"/>
        <v>0</v>
      </c>
      <c r="AE881" s="209">
        <f t="shared" si="167"/>
        <v>0</v>
      </c>
      <c r="AF881" s="209">
        <f t="shared" si="167"/>
        <v>0</v>
      </c>
      <c r="AG881" s="767">
        <f t="shared" si="167"/>
        <v>950000</v>
      </c>
      <c r="AH881" s="762">
        <f>+SUM(AH882)</f>
        <v>950000</v>
      </c>
      <c r="AI881" s="522">
        <f>+SUM(AI882)</f>
        <v>0</v>
      </c>
      <c r="AJ881" s="765">
        <f>+SUM(AJ882)</f>
        <v>0</v>
      </c>
      <c r="AK881" s="218"/>
      <c r="AL881" s="218"/>
      <c r="AM881" s="218"/>
      <c r="AN881" s="786" t="s">
        <v>39</v>
      </c>
      <c r="AO881" s="82"/>
      <c r="AP881" s="82"/>
      <c r="AQ881" s="365"/>
      <c r="AR881" s="82"/>
      <c r="AS881" s="483"/>
      <c r="AT881" s="82"/>
      <c r="AU881" s="666"/>
      <c r="AV881" s="444" t="s">
        <v>967</v>
      </c>
    </row>
    <row r="882" spans="1:48" ht="49.5" customHeight="1" outlineLevel="2" x14ac:dyDescent="0.25">
      <c r="A882" s="745" t="str">
        <f t="shared" si="165"/>
        <v>1.7.1.3.1.58-64</v>
      </c>
      <c r="B882" s="64">
        <v>1</v>
      </c>
      <c r="C882" s="64">
        <v>7</v>
      </c>
      <c r="D882" s="64">
        <v>1</v>
      </c>
      <c r="E882" s="64">
        <v>3</v>
      </c>
      <c r="F882" s="64">
        <v>1</v>
      </c>
      <c r="G882" s="64" t="s">
        <v>64</v>
      </c>
      <c r="H882" s="750"/>
      <c r="I882" s="750"/>
      <c r="J882" s="750"/>
      <c r="K882" s="750" t="s">
        <v>968</v>
      </c>
      <c r="L882" s="64" t="s">
        <v>209</v>
      </c>
      <c r="M882" s="68" t="s">
        <v>969</v>
      </c>
      <c r="N882" s="64" t="s">
        <v>818</v>
      </c>
      <c r="O882" s="64" t="s">
        <v>819</v>
      </c>
      <c r="P882" s="69">
        <v>44256</v>
      </c>
      <c r="Q882" s="69">
        <v>44560</v>
      </c>
      <c r="R882" s="64"/>
      <c r="S882" s="65"/>
      <c r="T882" s="64"/>
      <c r="U882" s="75">
        <f>+AH882/2</f>
        <v>475000</v>
      </c>
      <c r="V882" s="674">
        <v>0</v>
      </c>
      <c r="W882" s="75"/>
      <c r="X882" s="75">
        <f>+AH882/2</f>
        <v>475000</v>
      </c>
      <c r="Y882" s="75"/>
      <c r="Z882" s="75"/>
      <c r="AA882" s="75"/>
      <c r="AB882" s="75"/>
      <c r="AC882" s="75"/>
      <c r="AD882" s="75"/>
      <c r="AE882" s="592"/>
      <c r="AF882" s="259"/>
      <c r="AG882" s="763">
        <f>1900000/2</f>
        <v>950000</v>
      </c>
      <c r="AH882" s="764">
        <f>1900000/2</f>
        <v>950000</v>
      </c>
      <c r="AI882" s="75"/>
      <c r="AJ882" s="777"/>
      <c r="AK882" s="75"/>
      <c r="AL882" s="75"/>
      <c r="AM882" s="75"/>
      <c r="AN882" s="787"/>
      <c r="AO882" s="64"/>
      <c r="AP882" s="64"/>
      <c r="AQ882" s="189"/>
      <c r="AR882" s="64"/>
      <c r="AS882" s="476"/>
      <c r="AT882" s="64"/>
      <c r="AU882" s="646"/>
      <c r="AV882" s="185" t="s">
        <v>589</v>
      </c>
    </row>
    <row r="883" spans="1:48" s="153" customFormat="1" ht="30.75" customHeight="1" outlineLevel="1" x14ac:dyDescent="0.25">
      <c r="A883" s="744" t="str">
        <f t="shared" si="165"/>
        <v>1.7.1.4.0.0</v>
      </c>
      <c r="B883" s="82">
        <v>1</v>
      </c>
      <c r="C883" s="82">
        <v>7</v>
      </c>
      <c r="D883" s="82">
        <v>1</v>
      </c>
      <c r="E883" s="82">
        <v>4</v>
      </c>
      <c r="F883" s="82">
        <v>0</v>
      </c>
      <c r="G883" s="82">
        <v>0</v>
      </c>
      <c r="H883" s="749"/>
      <c r="I883" s="749"/>
      <c r="J883" s="1304" t="s">
        <v>891</v>
      </c>
      <c r="K883" s="1303"/>
      <c r="L883" s="82" t="s">
        <v>209</v>
      </c>
      <c r="M883" s="82" t="s">
        <v>73</v>
      </c>
      <c r="N883" s="83" t="s">
        <v>970</v>
      </c>
      <c r="O883" s="82" t="s">
        <v>737</v>
      </c>
      <c r="P883" s="82"/>
      <c r="Q883" s="82"/>
      <c r="R883" s="82"/>
      <c r="S883" s="149"/>
      <c r="T883" s="82"/>
      <c r="U883" s="379">
        <f t="shared" ref="U883:AG883" si="168">+SUM(U884:U892)</f>
        <v>0</v>
      </c>
      <c r="V883" s="682">
        <f t="shared" si="168"/>
        <v>0</v>
      </c>
      <c r="W883" s="379">
        <f t="shared" si="168"/>
        <v>0</v>
      </c>
      <c r="X883" s="379">
        <f t="shared" si="168"/>
        <v>0</v>
      </c>
      <c r="Y883" s="379">
        <f t="shared" si="168"/>
        <v>0</v>
      </c>
      <c r="Z883" s="379">
        <f t="shared" si="168"/>
        <v>0</v>
      </c>
      <c r="AA883" s="379">
        <f t="shared" si="168"/>
        <v>0</v>
      </c>
      <c r="AB883" s="379">
        <f t="shared" si="168"/>
        <v>0</v>
      </c>
      <c r="AC883" s="379">
        <f t="shared" si="168"/>
        <v>0</v>
      </c>
      <c r="AD883" s="379">
        <f t="shared" si="168"/>
        <v>0</v>
      </c>
      <c r="AE883" s="379">
        <f t="shared" si="168"/>
        <v>0</v>
      </c>
      <c r="AF883" s="379">
        <f t="shared" si="168"/>
        <v>0</v>
      </c>
      <c r="AG883" s="766">
        <f t="shared" si="168"/>
        <v>0</v>
      </c>
      <c r="AH883" s="766">
        <f>+SUM(AH884:AH892)</f>
        <v>0</v>
      </c>
      <c r="AI883" s="512">
        <f>+SUM(AI884:AI892)</f>
        <v>0</v>
      </c>
      <c r="AJ883" s="772">
        <f>+SUM(AJ884:AJ892)</f>
        <v>0</v>
      </c>
      <c r="AK883" s="152"/>
      <c r="AL883" s="152"/>
      <c r="AM883" s="152"/>
      <c r="AN883" s="786" t="s">
        <v>39</v>
      </c>
      <c r="AO883" s="82"/>
      <c r="AP883" s="82"/>
      <c r="AQ883" s="365"/>
      <c r="AR883" s="82"/>
      <c r="AS883" s="483"/>
      <c r="AT883" s="82"/>
      <c r="AU883" s="666"/>
      <c r="AV883" s="444"/>
    </row>
    <row r="884" spans="1:48" s="212" customFormat="1" ht="21" customHeight="1" outlineLevel="2" x14ac:dyDescent="0.25">
      <c r="A884" s="746" t="str">
        <f t="shared" si="165"/>
        <v>1.7.1.4.1.58-64</v>
      </c>
      <c r="B884" s="136">
        <v>1</v>
      </c>
      <c r="C884" s="136">
        <v>7</v>
      </c>
      <c r="D884" s="136">
        <v>1</v>
      </c>
      <c r="E884" s="136">
        <v>4</v>
      </c>
      <c r="F884" s="136">
        <v>1</v>
      </c>
      <c r="G884" s="136" t="s">
        <v>64</v>
      </c>
      <c r="H884" s="753"/>
      <c r="I884" s="753"/>
      <c r="J884" s="755"/>
      <c r="K884" s="753" t="s">
        <v>892</v>
      </c>
      <c r="L884" s="136" t="s">
        <v>209</v>
      </c>
      <c r="M884" s="136" t="s">
        <v>73</v>
      </c>
      <c r="N884" s="136" t="s">
        <v>818</v>
      </c>
      <c r="O884" s="136" t="s">
        <v>737</v>
      </c>
      <c r="P884" s="136"/>
      <c r="Q884" s="136"/>
      <c r="R884" s="136"/>
      <c r="S884" s="125"/>
      <c r="T884" s="136"/>
      <c r="U884" s="132"/>
      <c r="V884" s="674">
        <v>0</v>
      </c>
      <c r="W884" s="132"/>
      <c r="X884" s="132"/>
      <c r="Y884" s="132"/>
      <c r="Z884" s="132"/>
      <c r="AA884" s="132"/>
      <c r="AB884" s="132"/>
      <c r="AC884" s="132"/>
      <c r="AD884" s="132"/>
      <c r="AE884" s="598"/>
      <c r="AF884" s="349"/>
      <c r="AG884" s="763">
        <v>0</v>
      </c>
      <c r="AH884" s="764">
        <v>0</v>
      </c>
      <c r="AI884" s="154"/>
      <c r="AJ884" s="782"/>
      <c r="AK884" s="154"/>
      <c r="AL884" s="154"/>
      <c r="AM884" s="154"/>
      <c r="AN884" s="789"/>
      <c r="AO884" s="136"/>
      <c r="AP884" s="136"/>
      <c r="AQ884" s="414"/>
      <c r="AR884" s="136"/>
      <c r="AS884" s="477"/>
      <c r="AT884" s="136"/>
      <c r="AU884" s="646"/>
      <c r="AV884" s="448"/>
    </row>
    <row r="885" spans="1:48" s="212" customFormat="1" ht="21" customHeight="1" outlineLevel="2" x14ac:dyDescent="0.25">
      <c r="A885" s="746" t="str">
        <f t="shared" si="165"/>
        <v>1.7.1.4.3.58</v>
      </c>
      <c r="B885" s="136">
        <v>1</v>
      </c>
      <c r="C885" s="136">
        <v>7</v>
      </c>
      <c r="D885" s="136">
        <v>1</v>
      </c>
      <c r="E885" s="136">
        <v>4</v>
      </c>
      <c r="F885" s="136">
        <v>3</v>
      </c>
      <c r="G885" s="136">
        <v>58</v>
      </c>
      <c r="H885" s="753"/>
      <c r="I885" s="753"/>
      <c r="J885" s="753"/>
      <c r="K885" s="753" t="s">
        <v>971</v>
      </c>
      <c r="L885" s="136" t="s">
        <v>209</v>
      </c>
      <c r="M885" s="136" t="s">
        <v>73</v>
      </c>
      <c r="N885" s="136" t="s">
        <v>818</v>
      </c>
      <c r="O885" s="136" t="s">
        <v>737</v>
      </c>
      <c r="P885" s="136"/>
      <c r="Q885" s="136"/>
      <c r="R885" s="136"/>
      <c r="S885" s="125"/>
      <c r="T885" s="136"/>
      <c r="U885" s="132"/>
      <c r="V885" s="674">
        <v>0</v>
      </c>
      <c r="W885" s="132"/>
      <c r="X885" s="132"/>
      <c r="Y885" s="132"/>
      <c r="Z885" s="132"/>
      <c r="AA885" s="132"/>
      <c r="AB885" s="132"/>
      <c r="AC885" s="132"/>
      <c r="AD885" s="132"/>
      <c r="AE885" s="598"/>
      <c r="AF885" s="349"/>
      <c r="AG885" s="763">
        <v>0</v>
      </c>
      <c r="AH885" s="764">
        <v>0</v>
      </c>
      <c r="AI885" s="154"/>
      <c r="AJ885" s="782"/>
      <c r="AK885" s="154"/>
      <c r="AL885" s="154"/>
      <c r="AM885" s="154"/>
      <c r="AN885" s="789"/>
      <c r="AO885" s="136"/>
      <c r="AP885" s="136"/>
      <c r="AQ885" s="414"/>
      <c r="AR885" s="136"/>
      <c r="AS885" s="477"/>
      <c r="AT885" s="136"/>
      <c r="AU885" s="646"/>
      <c r="AV885" s="448"/>
    </row>
    <row r="886" spans="1:48" s="212" customFormat="1" ht="21" customHeight="1" outlineLevel="2" x14ac:dyDescent="0.25">
      <c r="A886" s="746" t="str">
        <f t="shared" si="165"/>
        <v>1.7.1.4.3.59</v>
      </c>
      <c r="B886" s="136">
        <v>1</v>
      </c>
      <c r="C886" s="136">
        <v>7</v>
      </c>
      <c r="D886" s="136">
        <v>1</v>
      </c>
      <c r="E886" s="136">
        <v>4</v>
      </c>
      <c r="F886" s="136">
        <v>3</v>
      </c>
      <c r="G886" s="136">
        <v>59</v>
      </c>
      <c r="H886" s="753"/>
      <c r="I886" s="753"/>
      <c r="J886" s="753"/>
      <c r="K886" s="753" t="s">
        <v>972</v>
      </c>
      <c r="L886" s="136" t="s">
        <v>209</v>
      </c>
      <c r="M886" s="136" t="s">
        <v>73</v>
      </c>
      <c r="N886" s="136" t="s">
        <v>818</v>
      </c>
      <c r="O886" s="136" t="s">
        <v>737</v>
      </c>
      <c r="P886" s="136"/>
      <c r="Q886" s="136"/>
      <c r="R886" s="136"/>
      <c r="S886" s="125"/>
      <c r="T886" s="136"/>
      <c r="U886" s="132"/>
      <c r="V886" s="674">
        <v>0</v>
      </c>
      <c r="W886" s="132"/>
      <c r="X886" s="132"/>
      <c r="Y886" s="132"/>
      <c r="Z886" s="132"/>
      <c r="AA886" s="132"/>
      <c r="AB886" s="132"/>
      <c r="AC886" s="132"/>
      <c r="AD886" s="132"/>
      <c r="AE886" s="598"/>
      <c r="AF886" s="349"/>
      <c r="AG886" s="763">
        <v>0</v>
      </c>
      <c r="AH886" s="764">
        <v>0</v>
      </c>
      <c r="AI886" s="154"/>
      <c r="AJ886" s="782"/>
      <c r="AK886" s="154"/>
      <c r="AL886" s="154"/>
      <c r="AM886" s="154"/>
      <c r="AN886" s="789"/>
      <c r="AO886" s="136"/>
      <c r="AP886" s="136"/>
      <c r="AQ886" s="414"/>
      <c r="AR886" s="136"/>
      <c r="AS886" s="477"/>
      <c r="AT886" s="136"/>
      <c r="AU886" s="646"/>
      <c r="AV886" s="448"/>
    </row>
    <row r="887" spans="1:48" s="212" customFormat="1" ht="21" customHeight="1" outlineLevel="2" x14ac:dyDescent="0.25">
      <c r="A887" s="746" t="str">
        <f t="shared" si="165"/>
        <v>1.7.1.4.3.60</v>
      </c>
      <c r="B887" s="136">
        <v>1</v>
      </c>
      <c r="C887" s="136">
        <v>7</v>
      </c>
      <c r="D887" s="136">
        <v>1</v>
      </c>
      <c r="E887" s="136">
        <v>4</v>
      </c>
      <c r="F887" s="136">
        <v>3</v>
      </c>
      <c r="G887" s="136">
        <v>60</v>
      </c>
      <c r="H887" s="753"/>
      <c r="I887" s="753"/>
      <c r="J887" s="753"/>
      <c r="K887" s="753" t="s">
        <v>973</v>
      </c>
      <c r="L887" s="136" t="s">
        <v>209</v>
      </c>
      <c r="M887" s="136" t="s">
        <v>73</v>
      </c>
      <c r="N887" s="136" t="s">
        <v>818</v>
      </c>
      <c r="O887" s="136" t="s">
        <v>737</v>
      </c>
      <c r="P887" s="136"/>
      <c r="Q887" s="136"/>
      <c r="R887" s="136"/>
      <c r="S887" s="125"/>
      <c r="T887" s="136"/>
      <c r="U887" s="132"/>
      <c r="V887" s="674">
        <v>0</v>
      </c>
      <c r="W887" s="132"/>
      <c r="X887" s="132"/>
      <c r="Y887" s="132"/>
      <c r="Z887" s="132"/>
      <c r="AA887" s="132"/>
      <c r="AB887" s="132"/>
      <c r="AC887" s="132"/>
      <c r="AD887" s="132"/>
      <c r="AE887" s="598"/>
      <c r="AF887" s="349"/>
      <c r="AG887" s="763">
        <v>0</v>
      </c>
      <c r="AH887" s="764">
        <v>0</v>
      </c>
      <c r="AI887" s="154"/>
      <c r="AJ887" s="782"/>
      <c r="AK887" s="154"/>
      <c r="AL887" s="154"/>
      <c r="AM887" s="154"/>
      <c r="AN887" s="789"/>
      <c r="AO887" s="136"/>
      <c r="AP887" s="136"/>
      <c r="AQ887" s="414"/>
      <c r="AR887" s="136"/>
      <c r="AS887" s="477"/>
      <c r="AT887" s="136"/>
      <c r="AU887" s="646"/>
      <c r="AV887" s="448"/>
    </row>
    <row r="888" spans="1:48" s="212" customFormat="1" ht="21" customHeight="1" outlineLevel="2" x14ac:dyDescent="0.25">
      <c r="A888" s="746" t="str">
        <f t="shared" si="165"/>
        <v>1.7.1.4.3.61</v>
      </c>
      <c r="B888" s="136">
        <v>1</v>
      </c>
      <c r="C888" s="136">
        <v>7</v>
      </c>
      <c r="D888" s="136">
        <v>1</v>
      </c>
      <c r="E888" s="136">
        <v>4</v>
      </c>
      <c r="F888" s="136">
        <v>3</v>
      </c>
      <c r="G888" s="136">
        <v>61</v>
      </c>
      <c r="H888" s="753"/>
      <c r="I888" s="753"/>
      <c r="J888" s="753"/>
      <c r="K888" s="753" t="s">
        <v>974</v>
      </c>
      <c r="L888" s="136" t="s">
        <v>209</v>
      </c>
      <c r="M888" s="136" t="s">
        <v>73</v>
      </c>
      <c r="N888" s="136" t="s">
        <v>818</v>
      </c>
      <c r="O888" s="136" t="s">
        <v>737</v>
      </c>
      <c r="P888" s="136"/>
      <c r="Q888" s="136"/>
      <c r="R888" s="136"/>
      <c r="S888" s="125"/>
      <c r="T888" s="136"/>
      <c r="U888" s="132"/>
      <c r="V888" s="674">
        <v>0</v>
      </c>
      <c r="W888" s="132"/>
      <c r="X888" s="132"/>
      <c r="Y888" s="132"/>
      <c r="Z888" s="132"/>
      <c r="AA888" s="132"/>
      <c r="AB888" s="132"/>
      <c r="AC888" s="132"/>
      <c r="AD888" s="132"/>
      <c r="AE888" s="598"/>
      <c r="AF888" s="349"/>
      <c r="AG888" s="763">
        <v>0</v>
      </c>
      <c r="AH888" s="764">
        <v>0</v>
      </c>
      <c r="AI888" s="154"/>
      <c r="AJ888" s="782"/>
      <c r="AK888" s="154"/>
      <c r="AL888" s="154"/>
      <c r="AM888" s="154"/>
      <c r="AN888" s="789"/>
      <c r="AO888" s="136"/>
      <c r="AP888" s="136"/>
      <c r="AQ888" s="414"/>
      <c r="AR888" s="136"/>
      <c r="AS888" s="477"/>
      <c r="AT888" s="136"/>
      <c r="AU888" s="646"/>
      <c r="AV888" s="448"/>
    </row>
    <row r="889" spans="1:48" s="212" customFormat="1" ht="21" customHeight="1" outlineLevel="2" x14ac:dyDescent="0.25">
      <c r="A889" s="746" t="str">
        <f t="shared" si="165"/>
        <v>1.7.1.4.3.62</v>
      </c>
      <c r="B889" s="136">
        <v>1</v>
      </c>
      <c r="C889" s="136">
        <v>7</v>
      </c>
      <c r="D889" s="136">
        <v>1</v>
      </c>
      <c r="E889" s="136">
        <v>4</v>
      </c>
      <c r="F889" s="136">
        <v>3</v>
      </c>
      <c r="G889" s="136">
        <v>62</v>
      </c>
      <c r="H889" s="753"/>
      <c r="I889" s="753"/>
      <c r="J889" s="753"/>
      <c r="K889" s="753" t="s">
        <v>975</v>
      </c>
      <c r="L889" s="136" t="s">
        <v>209</v>
      </c>
      <c r="M889" s="136" t="s">
        <v>73</v>
      </c>
      <c r="N889" s="136" t="s">
        <v>818</v>
      </c>
      <c r="O889" s="136" t="s">
        <v>737</v>
      </c>
      <c r="P889" s="136"/>
      <c r="Q889" s="136"/>
      <c r="R889" s="136"/>
      <c r="S889" s="125"/>
      <c r="T889" s="136"/>
      <c r="U889" s="132"/>
      <c r="V889" s="674">
        <v>0</v>
      </c>
      <c r="W889" s="132"/>
      <c r="X889" s="132"/>
      <c r="Y889" s="132"/>
      <c r="Z889" s="132"/>
      <c r="AA889" s="132"/>
      <c r="AB889" s="132"/>
      <c r="AC889" s="132"/>
      <c r="AD889" s="132"/>
      <c r="AE889" s="598"/>
      <c r="AF889" s="349"/>
      <c r="AG889" s="763">
        <v>0</v>
      </c>
      <c r="AH889" s="764">
        <v>0</v>
      </c>
      <c r="AI889" s="154"/>
      <c r="AJ889" s="782"/>
      <c r="AK889" s="154"/>
      <c r="AL889" s="154"/>
      <c r="AM889" s="154"/>
      <c r="AN889" s="789"/>
      <c r="AO889" s="136"/>
      <c r="AP889" s="136"/>
      <c r="AQ889" s="414"/>
      <c r="AR889" s="136"/>
      <c r="AS889" s="477"/>
      <c r="AT889" s="136"/>
      <c r="AU889" s="646"/>
      <c r="AV889" s="448"/>
    </row>
    <row r="890" spans="1:48" s="212" customFormat="1" ht="21" customHeight="1" outlineLevel="2" x14ac:dyDescent="0.25">
      <c r="A890" s="746" t="str">
        <f t="shared" si="165"/>
        <v>1.7.1.4.3.63</v>
      </c>
      <c r="B890" s="136">
        <v>1</v>
      </c>
      <c r="C890" s="136">
        <v>7</v>
      </c>
      <c r="D890" s="136">
        <v>1</v>
      </c>
      <c r="E890" s="136">
        <v>4</v>
      </c>
      <c r="F890" s="136">
        <v>3</v>
      </c>
      <c r="G890" s="136">
        <v>63</v>
      </c>
      <c r="H890" s="753"/>
      <c r="I890" s="753"/>
      <c r="J890" s="753"/>
      <c r="K890" s="753" t="s">
        <v>1766</v>
      </c>
      <c r="L890" s="136" t="s">
        <v>209</v>
      </c>
      <c r="M890" s="136" t="s">
        <v>73</v>
      </c>
      <c r="N890" s="136" t="s">
        <v>818</v>
      </c>
      <c r="O890" s="136" t="s">
        <v>737</v>
      </c>
      <c r="P890" s="136"/>
      <c r="Q890" s="136"/>
      <c r="R890" s="136"/>
      <c r="S890" s="125"/>
      <c r="T890" s="136"/>
      <c r="U890" s="132"/>
      <c r="V890" s="674">
        <v>0</v>
      </c>
      <c r="W890" s="132"/>
      <c r="X890" s="132"/>
      <c r="Y890" s="132"/>
      <c r="Z890" s="132"/>
      <c r="AA890" s="132"/>
      <c r="AB890" s="132"/>
      <c r="AC890" s="132"/>
      <c r="AD890" s="132"/>
      <c r="AE890" s="598"/>
      <c r="AF890" s="349"/>
      <c r="AG890" s="763">
        <v>0</v>
      </c>
      <c r="AH890" s="764">
        <v>0</v>
      </c>
      <c r="AI890" s="154"/>
      <c r="AJ890" s="782"/>
      <c r="AK890" s="154"/>
      <c r="AL890" s="154"/>
      <c r="AM890" s="154"/>
      <c r="AN890" s="789"/>
      <c r="AO890" s="136"/>
      <c r="AP890" s="136"/>
      <c r="AQ890" s="414"/>
      <c r="AR890" s="136"/>
      <c r="AS890" s="477"/>
      <c r="AT890" s="136"/>
      <c r="AU890" s="646"/>
      <c r="AV890" s="448"/>
    </row>
    <row r="891" spans="1:48" s="212" customFormat="1" ht="21" customHeight="1" outlineLevel="2" x14ac:dyDescent="0.25">
      <c r="A891" s="746" t="str">
        <f t="shared" si="165"/>
        <v>1.7.1.4.3.64</v>
      </c>
      <c r="B891" s="136">
        <v>1</v>
      </c>
      <c r="C891" s="136">
        <v>7</v>
      </c>
      <c r="D891" s="136">
        <v>1</v>
      </c>
      <c r="E891" s="136">
        <v>4</v>
      </c>
      <c r="F891" s="136">
        <v>3</v>
      </c>
      <c r="G891" s="136">
        <v>64</v>
      </c>
      <c r="H891" s="753"/>
      <c r="I891" s="753"/>
      <c r="J891" s="753"/>
      <c r="K891" s="753" t="s">
        <v>976</v>
      </c>
      <c r="L891" s="136" t="s">
        <v>209</v>
      </c>
      <c r="M891" s="136" t="s">
        <v>73</v>
      </c>
      <c r="N891" s="136" t="s">
        <v>818</v>
      </c>
      <c r="O891" s="136" t="s">
        <v>737</v>
      </c>
      <c r="P891" s="136"/>
      <c r="Q891" s="136"/>
      <c r="R891" s="136"/>
      <c r="S891" s="125"/>
      <c r="T891" s="136"/>
      <c r="U891" s="132"/>
      <c r="V891" s="674">
        <v>0</v>
      </c>
      <c r="W891" s="132"/>
      <c r="X891" s="132"/>
      <c r="Y891" s="132"/>
      <c r="Z891" s="132"/>
      <c r="AA891" s="132"/>
      <c r="AB891" s="132"/>
      <c r="AC891" s="132"/>
      <c r="AD891" s="132"/>
      <c r="AE891" s="598"/>
      <c r="AF891" s="349"/>
      <c r="AG891" s="763">
        <v>0</v>
      </c>
      <c r="AH891" s="764">
        <v>0</v>
      </c>
      <c r="AI891" s="154"/>
      <c r="AJ891" s="782"/>
      <c r="AK891" s="154"/>
      <c r="AL891" s="154"/>
      <c r="AM891" s="154"/>
      <c r="AN891" s="789"/>
      <c r="AO891" s="136"/>
      <c r="AP891" s="136"/>
      <c r="AQ891" s="414"/>
      <c r="AR891" s="136"/>
      <c r="AS891" s="477"/>
      <c r="AT891" s="136"/>
      <c r="AU891" s="646"/>
      <c r="AV891" s="448"/>
    </row>
    <row r="892" spans="1:48" s="212" customFormat="1" ht="15" customHeight="1" outlineLevel="2" x14ac:dyDescent="0.25">
      <c r="A892" s="747" t="str">
        <f t="shared" si="165"/>
        <v>1.7.1.4.4.58-64</v>
      </c>
      <c r="B892" s="235">
        <v>1</v>
      </c>
      <c r="C892" s="235">
        <v>7</v>
      </c>
      <c r="D892" s="235">
        <v>1</v>
      </c>
      <c r="E892" s="235">
        <v>4</v>
      </c>
      <c r="F892" s="235">
        <v>4</v>
      </c>
      <c r="G892" s="235" t="s">
        <v>64</v>
      </c>
      <c r="H892" s="757"/>
      <c r="I892" s="758"/>
      <c r="J892" s="753"/>
      <c r="K892" s="759" t="s">
        <v>263</v>
      </c>
      <c r="L892" s="235" t="s">
        <v>209</v>
      </c>
      <c r="M892" s="235" t="s">
        <v>73</v>
      </c>
      <c r="N892" s="235" t="s">
        <v>818</v>
      </c>
      <c r="O892" s="235" t="s">
        <v>737</v>
      </c>
      <c r="P892" s="236"/>
      <c r="Q892" s="236"/>
      <c r="R892" s="236"/>
      <c r="S892" s="236"/>
      <c r="T892" s="236"/>
      <c r="U892" s="237"/>
      <c r="V892" s="674">
        <v>0</v>
      </c>
      <c r="W892" s="237"/>
      <c r="X892" s="237"/>
      <c r="Y892" s="237"/>
      <c r="Z892" s="237"/>
      <c r="AA892" s="238"/>
      <c r="AB892" s="238"/>
      <c r="AC892" s="132"/>
      <c r="AD892" s="239"/>
      <c r="AE892" s="239"/>
      <c r="AF892" s="363"/>
      <c r="AG892" s="763">
        <v>0</v>
      </c>
      <c r="AH892" s="764">
        <v>0</v>
      </c>
      <c r="AI892" s="328"/>
      <c r="AJ892" s="783"/>
      <c r="AK892" s="328"/>
      <c r="AL892" s="328"/>
      <c r="AM892" s="328"/>
      <c r="AN892" s="790"/>
      <c r="AO892" s="221"/>
      <c r="AP892" s="221"/>
      <c r="AQ892" s="221"/>
      <c r="AR892" s="221"/>
      <c r="AS892" s="240"/>
      <c r="AT892" s="221"/>
      <c r="AU892" s="654"/>
    </row>
    <row r="893" spans="1:48" s="153" customFormat="1" ht="27" customHeight="1" outlineLevel="1" x14ac:dyDescent="0.25">
      <c r="A893" s="744" t="str">
        <f t="shared" si="165"/>
        <v>1.7.1.5.0.0</v>
      </c>
      <c r="B893" s="82">
        <v>1</v>
      </c>
      <c r="C893" s="82">
        <v>7</v>
      </c>
      <c r="D893" s="82">
        <v>1</v>
      </c>
      <c r="E893" s="82">
        <v>5</v>
      </c>
      <c r="F893" s="82">
        <v>0</v>
      </c>
      <c r="G893" s="82">
        <v>0</v>
      </c>
      <c r="H893" s="749"/>
      <c r="I893" s="749"/>
      <c r="J893" s="1304" t="s">
        <v>687</v>
      </c>
      <c r="K893" s="1303"/>
      <c r="L893" s="82" t="s">
        <v>72</v>
      </c>
      <c r="M893" s="82" t="s">
        <v>977</v>
      </c>
      <c r="N893" s="83" t="s">
        <v>978</v>
      </c>
      <c r="O893" s="82" t="s">
        <v>737</v>
      </c>
      <c r="P893" s="82"/>
      <c r="Q893" s="82"/>
      <c r="R893" s="82"/>
      <c r="S893" s="149"/>
      <c r="T893" s="82"/>
      <c r="U893" s="379">
        <f t="shared" ref="U893:AG893" si="169">+SUM(U894:U896)</f>
        <v>0</v>
      </c>
      <c r="V893" s="682">
        <f t="shared" si="169"/>
        <v>0</v>
      </c>
      <c r="W893" s="379">
        <f t="shared" si="169"/>
        <v>0</v>
      </c>
      <c r="X893" s="379">
        <f t="shared" si="169"/>
        <v>0</v>
      </c>
      <c r="Y893" s="379">
        <f t="shared" si="169"/>
        <v>0</v>
      </c>
      <c r="Z893" s="379">
        <f t="shared" si="169"/>
        <v>0</v>
      </c>
      <c r="AA893" s="379">
        <f t="shared" si="169"/>
        <v>0</v>
      </c>
      <c r="AB893" s="379">
        <f t="shared" si="169"/>
        <v>0</v>
      </c>
      <c r="AC893" s="379">
        <f t="shared" si="169"/>
        <v>0</v>
      </c>
      <c r="AD893" s="379">
        <f t="shared" si="169"/>
        <v>0</v>
      </c>
      <c r="AE893" s="379">
        <f t="shared" si="169"/>
        <v>0</v>
      </c>
      <c r="AF893" s="379">
        <f t="shared" si="169"/>
        <v>0</v>
      </c>
      <c r="AG893" s="766">
        <f t="shared" si="169"/>
        <v>0</v>
      </c>
      <c r="AH893" s="766">
        <f>+SUM(AH894:AH896)</f>
        <v>1728000.04</v>
      </c>
      <c r="AI893" s="512">
        <f>+SUM(AI894:AI896)</f>
        <v>0</v>
      </c>
      <c r="AJ893" s="772">
        <f>+SUM(AJ894:AJ896)</f>
        <v>0</v>
      </c>
      <c r="AK893" s="152"/>
      <c r="AL893" s="152"/>
      <c r="AM893" s="152"/>
      <c r="AN893" s="786" t="s">
        <v>39</v>
      </c>
      <c r="AO893" s="82"/>
      <c r="AP893" s="82"/>
      <c r="AQ893" s="365"/>
      <c r="AR893" s="82"/>
      <c r="AS893" s="483"/>
      <c r="AT893" s="82"/>
      <c r="AU893" s="666"/>
      <c r="AV893" s="444"/>
    </row>
    <row r="894" spans="1:48" ht="33" customHeight="1" outlineLevel="2" x14ac:dyDescent="0.25">
      <c r="A894" s="745" t="str">
        <f t="shared" si="165"/>
        <v>1.7.1.5.1.58-64</v>
      </c>
      <c r="B894" s="64">
        <v>1</v>
      </c>
      <c r="C894" s="64">
        <v>7</v>
      </c>
      <c r="D894" s="64">
        <v>1</v>
      </c>
      <c r="E894" s="64">
        <v>5</v>
      </c>
      <c r="F894" s="64">
        <v>1</v>
      </c>
      <c r="G894" s="64" t="s">
        <v>64</v>
      </c>
      <c r="H894" s="750"/>
      <c r="I894" s="750"/>
      <c r="J894" s="751"/>
      <c r="K894" s="750" t="s">
        <v>869</v>
      </c>
      <c r="L894" s="64" t="s">
        <v>72</v>
      </c>
      <c r="M894" s="64" t="s">
        <v>73</v>
      </c>
      <c r="N894" s="64" t="s">
        <v>74</v>
      </c>
      <c r="O894" s="64" t="s">
        <v>737</v>
      </c>
      <c r="P894" s="64"/>
      <c r="Q894" s="64"/>
      <c r="R894" s="64"/>
      <c r="S894" s="65"/>
      <c r="T894" s="64"/>
      <c r="U894" s="75"/>
      <c r="V894" s="674">
        <v>0</v>
      </c>
      <c r="W894" s="75"/>
      <c r="X894" s="75"/>
      <c r="Y894" s="75"/>
      <c r="Z894" s="75"/>
      <c r="AA894" s="75"/>
      <c r="AB894" s="75"/>
      <c r="AC894" s="75"/>
      <c r="AD894" s="75"/>
      <c r="AE894" s="592"/>
      <c r="AF894" s="259"/>
      <c r="AG894" s="763">
        <v>0</v>
      </c>
      <c r="AH894" s="764">
        <f>500000+1228000+0.04</f>
        <v>1728000.04</v>
      </c>
      <c r="AI894" s="75"/>
      <c r="AJ894" s="777"/>
      <c r="AK894" s="75"/>
      <c r="AL894" s="75"/>
      <c r="AM894" s="75"/>
      <c r="AN894" s="787"/>
      <c r="AO894" s="64"/>
      <c r="AP894" s="64"/>
      <c r="AQ894" s="189"/>
      <c r="AR894" s="64"/>
      <c r="AS894" s="476"/>
      <c r="AT894" s="64"/>
      <c r="AU894" s="646"/>
      <c r="AV894" s="335" t="s">
        <v>979</v>
      </c>
    </row>
    <row r="895" spans="1:48" s="212" customFormat="1" ht="26.25" customHeight="1" outlineLevel="2" x14ac:dyDescent="0.25">
      <c r="A895" s="746" t="str">
        <f t="shared" si="165"/>
        <v>1.7.1.5.2.58-64</v>
      </c>
      <c r="B895" s="136">
        <v>1</v>
      </c>
      <c r="C895" s="136">
        <v>7</v>
      </c>
      <c r="D895" s="136">
        <v>1</v>
      </c>
      <c r="E895" s="136">
        <v>5</v>
      </c>
      <c r="F895" s="136">
        <v>2</v>
      </c>
      <c r="G895" s="136" t="s">
        <v>64</v>
      </c>
      <c r="H895" s="753"/>
      <c r="I895" s="753"/>
      <c r="J895" s="753"/>
      <c r="K895" s="753" t="s">
        <v>628</v>
      </c>
      <c r="L895" s="136" t="s">
        <v>72</v>
      </c>
      <c r="M895" s="64" t="s">
        <v>73</v>
      </c>
      <c r="N895" s="64" t="s">
        <v>834</v>
      </c>
      <c r="O895" s="64" t="s">
        <v>737</v>
      </c>
      <c r="P895" s="64"/>
      <c r="Q895" s="64"/>
      <c r="R895" s="136"/>
      <c r="S895" s="65"/>
      <c r="T895" s="64"/>
      <c r="U895" s="132"/>
      <c r="V895" s="674">
        <v>0</v>
      </c>
      <c r="W895" s="75"/>
      <c r="X895" s="132"/>
      <c r="Y895" s="75"/>
      <c r="Z895" s="75"/>
      <c r="AA895" s="132"/>
      <c r="AB895" s="75"/>
      <c r="AC895" s="75"/>
      <c r="AD895" s="132"/>
      <c r="AE895" s="592"/>
      <c r="AF895" s="259"/>
      <c r="AG895" s="763">
        <v>0</v>
      </c>
      <c r="AH895" s="775">
        <v>0</v>
      </c>
      <c r="AI895" s="132"/>
      <c r="AJ895" s="784"/>
      <c r="AK895" s="132"/>
      <c r="AL895" s="132"/>
      <c r="AM895" s="132"/>
      <c r="AN895" s="789"/>
      <c r="AO895" s="136"/>
      <c r="AP895" s="136"/>
      <c r="AQ895" s="136"/>
      <c r="AR895" s="136"/>
      <c r="AS895" s="136"/>
      <c r="AT895" s="136"/>
      <c r="AU895" s="646"/>
      <c r="AV895" s="448"/>
    </row>
    <row r="896" spans="1:48" ht="21.75" customHeight="1" outlineLevel="2" x14ac:dyDescent="0.25">
      <c r="A896" s="745" t="str">
        <f t="shared" si="165"/>
        <v>1.7.1.5.3.58-64</v>
      </c>
      <c r="B896" s="64">
        <v>1</v>
      </c>
      <c r="C896" s="64">
        <v>7</v>
      </c>
      <c r="D896" s="64">
        <v>1</v>
      </c>
      <c r="E896" s="64">
        <v>5</v>
      </c>
      <c r="F896" s="64">
        <v>3</v>
      </c>
      <c r="G896" s="64" t="s">
        <v>64</v>
      </c>
      <c r="H896" s="750"/>
      <c r="I896" s="750"/>
      <c r="J896" s="751"/>
      <c r="K896" s="750" t="s">
        <v>980</v>
      </c>
      <c r="L896" s="64" t="s">
        <v>72</v>
      </c>
      <c r="M896" s="64" t="s">
        <v>73</v>
      </c>
      <c r="N896" s="64" t="s">
        <v>74</v>
      </c>
      <c r="O896" s="64" t="s">
        <v>737</v>
      </c>
      <c r="P896" s="64"/>
      <c r="Q896" s="64"/>
      <c r="R896" s="64"/>
      <c r="S896" s="65"/>
      <c r="T896" s="64"/>
      <c r="U896" s="75"/>
      <c r="V896" s="674">
        <v>0</v>
      </c>
      <c r="W896" s="75"/>
      <c r="X896" s="75"/>
      <c r="Y896" s="75"/>
      <c r="Z896" s="75"/>
      <c r="AA896" s="75"/>
      <c r="AB896" s="75"/>
      <c r="AC896" s="75"/>
      <c r="AD896" s="75"/>
      <c r="AE896" s="592"/>
      <c r="AF896" s="259"/>
      <c r="AG896" s="763">
        <v>0</v>
      </c>
      <c r="AH896" s="764">
        <v>0</v>
      </c>
      <c r="AI896" s="75"/>
      <c r="AJ896" s="777"/>
      <c r="AK896" s="75"/>
      <c r="AL896" s="75"/>
      <c r="AM896" s="75"/>
      <c r="AN896" s="787"/>
      <c r="AO896" s="64"/>
      <c r="AP896" s="64"/>
      <c r="AQ896" s="189"/>
      <c r="AR896" s="64"/>
      <c r="AS896" s="476"/>
      <c r="AT896" s="64"/>
      <c r="AU896" s="646"/>
      <c r="AV896" s="185"/>
    </row>
    <row r="897" spans="1:48" s="153" customFormat="1" ht="33.75" customHeight="1" outlineLevel="1" x14ac:dyDescent="0.25">
      <c r="A897" s="108" t="str">
        <f t="shared" si="165"/>
        <v>1.8.1.0.0.0</v>
      </c>
      <c r="B897" s="109">
        <v>1</v>
      </c>
      <c r="C897" s="109">
        <v>8</v>
      </c>
      <c r="D897" s="109">
        <v>1</v>
      </c>
      <c r="E897" s="109">
        <v>0</v>
      </c>
      <c r="F897" s="109">
        <v>0</v>
      </c>
      <c r="G897" s="109">
        <v>0</v>
      </c>
      <c r="H897" s="110"/>
      <c r="I897" s="1258" t="s">
        <v>981</v>
      </c>
      <c r="J897" s="1259"/>
      <c r="K897" s="1259"/>
      <c r="L897" s="109" t="s">
        <v>982</v>
      </c>
      <c r="M897" s="113" t="s">
        <v>983</v>
      </c>
      <c r="N897" s="109" t="s">
        <v>226</v>
      </c>
      <c r="O897" s="109" t="s">
        <v>984</v>
      </c>
      <c r="P897" s="109"/>
      <c r="Q897" s="109"/>
      <c r="R897" s="109"/>
      <c r="S897" s="110"/>
      <c r="T897" s="109"/>
      <c r="U897" s="374">
        <f t="shared" ref="U897:AG897" si="170">+U898+U907+U924</f>
        <v>0</v>
      </c>
      <c r="V897" s="686">
        <f t="shared" si="170"/>
        <v>0</v>
      </c>
      <c r="W897" s="374">
        <f t="shared" si="170"/>
        <v>4000</v>
      </c>
      <c r="X897" s="374">
        <f t="shared" si="170"/>
        <v>0</v>
      </c>
      <c r="Y897" s="374">
        <f t="shared" si="170"/>
        <v>0</v>
      </c>
      <c r="Z897" s="374">
        <f t="shared" si="170"/>
        <v>4000</v>
      </c>
      <c r="AA897" s="374">
        <f t="shared" si="170"/>
        <v>0</v>
      </c>
      <c r="AB897" s="374">
        <f t="shared" si="170"/>
        <v>0</v>
      </c>
      <c r="AC897" s="374">
        <f t="shared" si="170"/>
        <v>4000</v>
      </c>
      <c r="AD897" s="374">
        <f t="shared" si="170"/>
        <v>0</v>
      </c>
      <c r="AE897" s="374">
        <f t="shared" si="170"/>
        <v>0</v>
      </c>
      <c r="AF897" s="374">
        <f t="shared" si="170"/>
        <v>0</v>
      </c>
      <c r="AG897" s="374">
        <f t="shared" si="170"/>
        <v>0</v>
      </c>
      <c r="AH897" s="374">
        <f>+AH898+AH907+AH924</f>
        <v>0</v>
      </c>
      <c r="AI897" s="514">
        <f>+AI898+AI907+AI924</f>
        <v>0</v>
      </c>
      <c r="AJ897" s="514">
        <f>+AJ898+AJ907+AJ924</f>
        <v>0</v>
      </c>
      <c r="AK897" s="112"/>
      <c r="AL897" s="112"/>
      <c r="AM897" s="112"/>
      <c r="AN897" s="109" t="s">
        <v>39</v>
      </c>
      <c r="AO897" s="109"/>
      <c r="AP897" s="109"/>
      <c r="AQ897" s="411"/>
      <c r="AR897" s="109"/>
      <c r="AS897" s="473"/>
      <c r="AT897" s="109"/>
      <c r="AU897" s="659"/>
      <c r="AV897" s="445"/>
    </row>
    <row r="898" spans="1:48" s="153" customFormat="1" ht="24.75" customHeight="1" outlineLevel="1" x14ac:dyDescent="0.25">
      <c r="A898" s="148" t="str">
        <f t="shared" si="165"/>
        <v>1.8.1.1.0.0</v>
      </c>
      <c r="B898" s="82">
        <v>1</v>
      </c>
      <c r="C898" s="82">
        <v>8</v>
      </c>
      <c r="D898" s="82">
        <v>1</v>
      </c>
      <c r="E898" s="82">
        <v>1</v>
      </c>
      <c r="F898" s="82">
        <v>0</v>
      </c>
      <c r="G898" s="82">
        <v>0</v>
      </c>
      <c r="H898" s="149"/>
      <c r="I898" s="149"/>
      <c r="J898" s="1260" t="s">
        <v>985</v>
      </c>
      <c r="K898" s="1259"/>
      <c r="L898" s="82" t="s">
        <v>986</v>
      </c>
      <c r="M898" s="83" t="s">
        <v>987</v>
      </c>
      <c r="N898" s="82" t="s">
        <v>988</v>
      </c>
      <c r="O898" s="82" t="s">
        <v>359</v>
      </c>
      <c r="P898" s="82"/>
      <c r="Q898" s="82"/>
      <c r="R898" s="82"/>
      <c r="S898" s="149"/>
      <c r="T898" s="82"/>
      <c r="U898" s="379">
        <f t="shared" ref="U898:AG898" si="171">SUM(U899:U906)</f>
        <v>0</v>
      </c>
      <c r="V898" s="682">
        <f t="shared" si="171"/>
        <v>0</v>
      </c>
      <c r="W898" s="379">
        <f t="shared" si="171"/>
        <v>0</v>
      </c>
      <c r="X898" s="379">
        <f t="shared" si="171"/>
        <v>0</v>
      </c>
      <c r="Y898" s="379">
        <f t="shared" si="171"/>
        <v>0</v>
      </c>
      <c r="Z898" s="379">
        <f t="shared" si="171"/>
        <v>0</v>
      </c>
      <c r="AA898" s="379">
        <f t="shared" si="171"/>
        <v>0</v>
      </c>
      <c r="AB898" s="379">
        <f t="shared" si="171"/>
        <v>0</v>
      </c>
      <c r="AC898" s="379">
        <f t="shared" si="171"/>
        <v>0</v>
      </c>
      <c r="AD898" s="379">
        <f t="shared" si="171"/>
        <v>0</v>
      </c>
      <c r="AE898" s="379">
        <f t="shared" si="171"/>
        <v>0</v>
      </c>
      <c r="AF898" s="379">
        <f t="shared" si="171"/>
        <v>0</v>
      </c>
      <c r="AG898" s="379">
        <f t="shared" si="171"/>
        <v>0</v>
      </c>
      <c r="AH898" s="379">
        <f>SUM(AH899:AH906)</f>
        <v>0</v>
      </c>
      <c r="AI898" s="512">
        <f>SUM(AI899:AI906)</f>
        <v>0</v>
      </c>
      <c r="AJ898" s="512">
        <f>SUM(AJ899:AJ906)</f>
        <v>0</v>
      </c>
      <c r="AK898" s="152"/>
      <c r="AL898" s="152"/>
      <c r="AM898" s="152"/>
      <c r="AN898" s="82" t="s">
        <v>39</v>
      </c>
      <c r="AO898" s="82"/>
      <c r="AP898" s="82"/>
      <c r="AQ898" s="365"/>
      <c r="AR898" s="82"/>
      <c r="AS898" s="483"/>
      <c r="AT898" s="82"/>
      <c r="AU898" s="666"/>
      <c r="AV898" s="444"/>
    </row>
    <row r="899" spans="1:48" ht="40.5" customHeight="1" outlineLevel="3" x14ac:dyDescent="0.25">
      <c r="A899" s="63" t="str">
        <f t="shared" si="165"/>
        <v>1.8.1.1.1.58-64</v>
      </c>
      <c r="B899" s="64">
        <v>1</v>
      </c>
      <c r="C899" s="64">
        <v>8</v>
      </c>
      <c r="D899" s="64">
        <v>1</v>
      </c>
      <c r="E899" s="64">
        <v>1</v>
      </c>
      <c r="F899" s="64">
        <v>1</v>
      </c>
      <c r="G899" s="64" t="s">
        <v>64</v>
      </c>
      <c r="H899" s="65"/>
      <c r="I899" s="65"/>
      <c r="J899" s="66"/>
      <c r="K899" s="67" t="s">
        <v>989</v>
      </c>
      <c r="L899" s="64" t="s">
        <v>986</v>
      </c>
      <c r="M899" s="64" t="s">
        <v>990</v>
      </c>
      <c r="N899" s="64" t="s">
        <v>988</v>
      </c>
      <c r="O899" s="64" t="s">
        <v>359</v>
      </c>
      <c r="P899" s="69">
        <v>44197</v>
      </c>
      <c r="Q899" s="69">
        <v>44285</v>
      </c>
      <c r="R899" s="64">
        <v>7</v>
      </c>
      <c r="S899" s="65"/>
      <c r="T899" s="64"/>
      <c r="U899" s="75"/>
      <c r="V899" s="674">
        <v>0</v>
      </c>
      <c r="W899" s="75"/>
      <c r="X899" s="75"/>
      <c r="Y899" s="75"/>
      <c r="Z899" s="75"/>
      <c r="AA899" s="75"/>
      <c r="AB899" s="75"/>
      <c r="AC899" s="75"/>
      <c r="AD899" s="75"/>
      <c r="AE899" s="592"/>
      <c r="AF899" s="259"/>
      <c r="AG899" s="510">
        <v>0</v>
      </c>
      <c r="AH899" s="370">
        <v>0</v>
      </c>
      <c r="AI899" s="154"/>
      <c r="AJ899" s="154"/>
      <c r="AK899" s="154"/>
      <c r="AL899" s="154"/>
      <c r="AM899" s="154"/>
      <c r="AN899" s="64" t="s">
        <v>39</v>
      </c>
      <c r="AO899" s="64"/>
      <c r="AP899" s="64"/>
      <c r="AQ899" s="189"/>
      <c r="AR899" s="64"/>
      <c r="AS899" s="476"/>
      <c r="AT899" s="64"/>
      <c r="AU899" s="646"/>
      <c r="AV899" s="185"/>
    </row>
    <row r="900" spans="1:48" ht="39" customHeight="1" outlineLevel="3" x14ac:dyDescent="0.25">
      <c r="A900" s="63" t="str">
        <f t="shared" si="165"/>
        <v>1.8.1.1.2.58</v>
      </c>
      <c r="B900" s="64">
        <v>1</v>
      </c>
      <c r="C900" s="64">
        <v>8</v>
      </c>
      <c r="D900" s="64">
        <v>1</v>
      </c>
      <c r="E900" s="64">
        <v>1</v>
      </c>
      <c r="F900" s="64">
        <v>2</v>
      </c>
      <c r="G900" s="64">
        <v>58</v>
      </c>
      <c r="H900" s="65"/>
      <c r="I900" s="65"/>
      <c r="J900" s="65"/>
      <c r="K900" s="67" t="s">
        <v>991</v>
      </c>
      <c r="L900" s="64" t="s">
        <v>986</v>
      </c>
      <c r="M900" s="64" t="s">
        <v>992</v>
      </c>
      <c r="N900" s="64" t="s">
        <v>993</v>
      </c>
      <c r="O900" s="64" t="s">
        <v>994</v>
      </c>
      <c r="P900" s="69">
        <v>44197</v>
      </c>
      <c r="Q900" s="69">
        <v>44285</v>
      </c>
      <c r="R900" s="64"/>
      <c r="S900" s="65"/>
      <c r="T900" s="64"/>
      <c r="U900" s="75"/>
      <c r="V900" s="674">
        <v>0</v>
      </c>
      <c r="W900" s="75"/>
      <c r="X900" s="75"/>
      <c r="Y900" s="75"/>
      <c r="Z900" s="75"/>
      <c r="AA900" s="75"/>
      <c r="AB900" s="75"/>
      <c r="AC900" s="75"/>
      <c r="AD900" s="75"/>
      <c r="AE900" s="592"/>
      <c r="AF900" s="259"/>
      <c r="AG900" s="510">
        <v>0</v>
      </c>
      <c r="AH900" s="370">
        <v>0</v>
      </c>
      <c r="AI900" s="154"/>
      <c r="AJ900" s="154"/>
      <c r="AK900" s="154"/>
      <c r="AL900" s="154"/>
      <c r="AM900" s="154"/>
      <c r="AN900" s="64" t="s">
        <v>39</v>
      </c>
      <c r="AO900" s="64"/>
      <c r="AP900" s="64"/>
      <c r="AQ900" s="189"/>
      <c r="AR900" s="64"/>
      <c r="AS900" s="476"/>
      <c r="AT900" s="64"/>
      <c r="AU900" s="646"/>
      <c r="AV900" s="185"/>
    </row>
    <row r="901" spans="1:48" ht="39" customHeight="1" outlineLevel="3" x14ac:dyDescent="0.25">
      <c r="A901" s="63" t="str">
        <f t="shared" si="165"/>
        <v>1.8.1.1.2.59</v>
      </c>
      <c r="B901" s="64">
        <v>1</v>
      </c>
      <c r="C901" s="64">
        <v>8</v>
      </c>
      <c r="D901" s="64">
        <v>1</v>
      </c>
      <c r="E901" s="64">
        <v>1</v>
      </c>
      <c r="F901" s="64">
        <v>2</v>
      </c>
      <c r="G901" s="64">
        <v>59</v>
      </c>
      <c r="H901" s="65"/>
      <c r="I901" s="65"/>
      <c r="J901" s="65"/>
      <c r="K901" s="67" t="s">
        <v>995</v>
      </c>
      <c r="L901" s="64" t="s">
        <v>986</v>
      </c>
      <c r="M901" s="64" t="s">
        <v>992</v>
      </c>
      <c r="N901" s="64" t="s">
        <v>993</v>
      </c>
      <c r="O901" s="64" t="s">
        <v>994</v>
      </c>
      <c r="P901" s="69"/>
      <c r="Q901" s="69"/>
      <c r="R901" s="64"/>
      <c r="S901" s="65"/>
      <c r="T901" s="64"/>
      <c r="U901" s="75"/>
      <c r="V901" s="674">
        <v>0</v>
      </c>
      <c r="W901" s="75"/>
      <c r="X901" s="75"/>
      <c r="Y901" s="75"/>
      <c r="Z901" s="75"/>
      <c r="AA901" s="75"/>
      <c r="AB901" s="75"/>
      <c r="AC901" s="75"/>
      <c r="AD901" s="75"/>
      <c r="AE901" s="592"/>
      <c r="AF901" s="259"/>
      <c r="AG901" s="510">
        <v>0</v>
      </c>
      <c r="AH901" s="370">
        <v>0</v>
      </c>
      <c r="AI901" s="154"/>
      <c r="AJ901" s="154"/>
      <c r="AK901" s="154"/>
      <c r="AL901" s="154"/>
      <c r="AM901" s="154"/>
      <c r="AN901" s="64" t="s">
        <v>39</v>
      </c>
      <c r="AO901" s="64"/>
      <c r="AP901" s="64"/>
      <c r="AQ901" s="189"/>
      <c r="AR901" s="64"/>
      <c r="AS901" s="476"/>
      <c r="AT901" s="64"/>
      <c r="AU901" s="646"/>
      <c r="AV901" s="185"/>
    </row>
    <row r="902" spans="1:48" ht="39" customHeight="1" outlineLevel="3" x14ac:dyDescent="0.25">
      <c r="A902" s="63" t="str">
        <f t="shared" si="165"/>
        <v>1.8.1.1.2.60</v>
      </c>
      <c r="B902" s="64">
        <v>1</v>
      </c>
      <c r="C902" s="64">
        <v>8</v>
      </c>
      <c r="D902" s="64">
        <v>1</v>
      </c>
      <c r="E902" s="64">
        <v>1</v>
      </c>
      <c r="F902" s="64">
        <v>2</v>
      </c>
      <c r="G902" s="64">
        <v>60</v>
      </c>
      <c r="H902" s="65"/>
      <c r="I902" s="65"/>
      <c r="J902" s="65"/>
      <c r="K902" s="67" t="s">
        <v>996</v>
      </c>
      <c r="L902" s="64" t="s">
        <v>986</v>
      </c>
      <c r="M902" s="64" t="s">
        <v>992</v>
      </c>
      <c r="N902" s="64" t="s">
        <v>993</v>
      </c>
      <c r="O902" s="64" t="s">
        <v>994</v>
      </c>
      <c r="P902" s="69"/>
      <c r="Q902" s="69"/>
      <c r="R902" s="64"/>
      <c r="S902" s="65"/>
      <c r="T902" s="64"/>
      <c r="U902" s="75"/>
      <c r="V902" s="674">
        <v>0</v>
      </c>
      <c r="W902" s="75"/>
      <c r="X902" s="75"/>
      <c r="Y902" s="75"/>
      <c r="Z902" s="75"/>
      <c r="AA902" s="75"/>
      <c r="AB902" s="75"/>
      <c r="AC902" s="75"/>
      <c r="AD902" s="75"/>
      <c r="AE902" s="592"/>
      <c r="AF902" s="259"/>
      <c r="AG902" s="510">
        <v>0</v>
      </c>
      <c r="AH902" s="370">
        <v>0</v>
      </c>
      <c r="AI902" s="154"/>
      <c r="AJ902" s="154"/>
      <c r="AK902" s="154"/>
      <c r="AL902" s="154"/>
      <c r="AM902" s="154"/>
      <c r="AN902" s="64" t="s">
        <v>39</v>
      </c>
      <c r="AO902" s="64"/>
      <c r="AP902" s="64"/>
      <c r="AQ902" s="189"/>
      <c r="AR902" s="64"/>
      <c r="AS902" s="476"/>
      <c r="AT902" s="64"/>
      <c r="AU902" s="646"/>
      <c r="AV902" s="185"/>
    </row>
    <row r="903" spans="1:48" ht="39" customHeight="1" outlineLevel="3" x14ac:dyDescent="0.25">
      <c r="A903" s="63" t="str">
        <f t="shared" si="165"/>
        <v>1.8.1.1.2.61</v>
      </c>
      <c r="B903" s="64">
        <v>1</v>
      </c>
      <c r="C903" s="64">
        <v>8</v>
      </c>
      <c r="D903" s="64">
        <v>1</v>
      </c>
      <c r="E903" s="64">
        <v>1</v>
      </c>
      <c r="F903" s="64">
        <v>2</v>
      </c>
      <c r="G903" s="64">
        <v>61</v>
      </c>
      <c r="H903" s="65"/>
      <c r="I903" s="65"/>
      <c r="J903" s="65"/>
      <c r="K903" s="67" t="s">
        <v>997</v>
      </c>
      <c r="L903" s="64" t="s">
        <v>986</v>
      </c>
      <c r="M903" s="64" t="s">
        <v>992</v>
      </c>
      <c r="N903" s="64" t="s">
        <v>993</v>
      </c>
      <c r="O903" s="64" t="s">
        <v>994</v>
      </c>
      <c r="P903" s="69"/>
      <c r="Q903" s="69"/>
      <c r="R903" s="64"/>
      <c r="S903" s="65"/>
      <c r="T903" s="64"/>
      <c r="U903" s="75"/>
      <c r="V903" s="674">
        <v>0</v>
      </c>
      <c r="W903" s="75"/>
      <c r="X903" s="75"/>
      <c r="Y903" s="75"/>
      <c r="Z903" s="75"/>
      <c r="AA903" s="75"/>
      <c r="AB903" s="75"/>
      <c r="AC903" s="75"/>
      <c r="AD903" s="75"/>
      <c r="AE903" s="592"/>
      <c r="AF903" s="259"/>
      <c r="AG903" s="510">
        <v>0</v>
      </c>
      <c r="AH903" s="370">
        <v>0</v>
      </c>
      <c r="AI903" s="154"/>
      <c r="AJ903" s="154"/>
      <c r="AK903" s="154"/>
      <c r="AL903" s="154"/>
      <c r="AM903" s="154"/>
      <c r="AN903" s="64" t="s">
        <v>39</v>
      </c>
      <c r="AO903" s="64"/>
      <c r="AP903" s="64"/>
      <c r="AQ903" s="189"/>
      <c r="AR903" s="64"/>
      <c r="AS903" s="476"/>
      <c r="AT903" s="64"/>
      <c r="AU903" s="646"/>
      <c r="AV903" s="185"/>
    </row>
    <row r="904" spans="1:48" ht="39" customHeight="1" outlineLevel="3" x14ac:dyDescent="0.25">
      <c r="A904" s="63" t="str">
        <f t="shared" si="165"/>
        <v>1.8.1.1.2.62</v>
      </c>
      <c r="B904" s="64">
        <v>1</v>
      </c>
      <c r="C904" s="64">
        <v>8</v>
      </c>
      <c r="D904" s="64">
        <v>1</v>
      </c>
      <c r="E904" s="64">
        <v>1</v>
      </c>
      <c r="F904" s="64">
        <v>2</v>
      </c>
      <c r="G904" s="64">
        <v>62</v>
      </c>
      <c r="H904" s="65"/>
      <c r="I904" s="65"/>
      <c r="J904" s="65"/>
      <c r="K904" s="67" t="s">
        <v>998</v>
      </c>
      <c r="L904" s="64" t="s">
        <v>986</v>
      </c>
      <c r="M904" s="64" t="s">
        <v>992</v>
      </c>
      <c r="N904" s="64" t="s">
        <v>993</v>
      </c>
      <c r="O904" s="64" t="s">
        <v>994</v>
      </c>
      <c r="P904" s="69"/>
      <c r="Q904" s="69"/>
      <c r="R904" s="64"/>
      <c r="S904" s="65"/>
      <c r="T904" s="64"/>
      <c r="U904" s="75"/>
      <c r="V904" s="674">
        <v>0</v>
      </c>
      <c r="W904" s="75"/>
      <c r="X904" s="75"/>
      <c r="Y904" s="75"/>
      <c r="Z904" s="75"/>
      <c r="AA904" s="75"/>
      <c r="AB904" s="75"/>
      <c r="AC904" s="75"/>
      <c r="AD904" s="75"/>
      <c r="AE904" s="592"/>
      <c r="AF904" s="259"/>
      <c r="AG904" s="510">
        <v>0</v>
      </c>
      <c r="AH904" s="370">
        <v>0</v>
      </c>
      <c r="AI904" s="154"/>
      <c r="AJ904" s="154"/>
      <c r="AK904" s="154"/>
      <c r="AL904" s="154"/>
      <c r="AM904" s="154"/>
      <c r="AN904" s="64" t="s">
        <v>39</v>
      </c>
      <c r="AO904" s="64"/>
      <c r="AP904" s="64"/>
      <c r="AQ904" s="189"/>
      <c r="AR904" s="64"/>
      <c r="AS904" s="476"/>
      <c r="AT904" s="64"/>
      <c r="AU904" s="646"/>
      <c r="AV904" s="185"/>
    </row>
    <row r="905" spans="1:48" ht="39" customHeight="1" outlineLevel="3" x14ac:dyDescent="0.25">
      <c r="A905" s="63" t="str">
        <f t="shared" si="165"/>
        <v>1.8.1.1.2.63</v>
      </c>
      <c r="B905" s="64">
        <v>1</v>
      </c>
      <c r="C905" s="64">
        <v>8</v>
      </c>
      <c r="D905" s="64">
        <v>1</v>
      </c>
      <c r="E905" s="64">
        <v>1</v>
      </c>
      <c r="F905" s="64">
        <v>2</v>
      </c>
      <c r="G905" s="64">
        <v>63</v>
      </c>
      <c r="H905" s="65"/>
      <c r="I905" s="65"/>
      <c r="J905" s="65"/>
      <c r="K905" s="67" t="s">
        <v>1767</v>
      </c>
      <c r="L905" s="64" t="s">
        <v>986</v>
      </c>
      <c r="M905" s="64" t="s">
        <v>992</v>
      </c>
      <c r="N905" s="64" t="s">
        <v>993</v>
      </c>
      <c r="O905" s="64" t="s">
        <v>994</v>
      </c>
      <c r="P905" s="69"/>
      <c r="Q905" s="69"/>
      <c r="R905" s="64"/>
      <c r="S905" s="65"/>
      <c r="T905" s="64"/>
      <c r="U905" s="75"/>
      <c r="V905" s="674">
        <v>0</v>
      </c>
      <c r="W905" s="75"/>
      <c r="X905" s="75"/>
      <c r="Y905" s="75"/>
      <c r="Z905" s="75"/>
      <c r="AA905" s="75"/>
      <c r="AB905" s="75"/>
      <c r="AC905" s="75"/>
      <c r="AD905" s="75"/>
      <c r="AE905" s="592"/>
      <c r="AF905" s="259"/>
      <c r="AG905" s="510">
        <v>0</v>
      </c>
      <c r="AH905" s="370">
        <v>0</v>
      </c>
      <c r="AI905" s="154"/>
      <c r="AJ905" s="154"/>
      <c r="AK905" s="154"/>
      <c r="AL905" s="154"/>
      <c r="AM905" s="154"/>
      <c r="AN905" s="64" t="s">
        <v>39</v>
      </c>
      <c r="AO905" s="64"/>
      <c r="AP905" s="64"/>
      <c r="AQ905" s="189"/>
      <c r="AR905" s="64"/>
      <c r="AS905" s="476"/>
      <c r="AT905" s="64"/>
      <c r="AU905" s="646"/>
      <c r="AV905" s="185"/>
    </row>
    <row r="906" spans="1:48" ht="39" customHeight="1" outlineLevel="3" x14ac:dyDescent="0.25">
      <c r="A906" s="63" t="str">
        <f t="shared" si="165"/>
        <v>1.8.1.1.2.64</v>
      </c>
      <c r="B906" s="64">
        <v>1</v>
      </c>
      <c r="C906" s="64">
        <v>8</v>
      </c>
      <c r="D906" s="64">
        <v>1</v>
      </c>
      <c r="E906" s="64">
        <v>1</v>
      </c>
      <c r="F906" s="64">
        <v>2</v>
      </c>
      <c r="G906" s="64">
        <v>64</v>
      </c>
      <c r="H906" s="65"/>
      <c r="I906" s="65"/>
      <c r="J906" s="65"/>
      <c r="K906" s="67" t="s">
        <v>999</v>
      </c>
      <c r="L906" s="64" t="s">
        <v>986</v>
      </c>
      <c r="M906" s="64" t="s">
        <v>992</v>
      </c>
      <c r="N906" s="64" t="s">
        <v>993</v>
      </c>
      <c r="O906" s="64" t="s">
        <v>994</v>
      </c>
      <c r="P906" s="69"/>
      <c r="Q906" s="69"/>
      <c r="R906" s="64"/>
      <c r="S906" s="65"/>
      <c r="T906" s="64"/>
      <c r="U906" s="75"/>
      <c r="V906" s="674">
        <v>0</v>
      </c>
      <c r="W906" s="75"/>
      <c r="X906" s="75"/>
      <c r="Y906" s="75"/>
      <c r="Z906" s="75"/>
      <c r="AA906" s="75"/>
      <c r="AB906" s="75"/>
      <c r="AC906" s="75"/>
      <c r="AD906" s="75"/>
      <c r="AE906" s="592"/>
      <c r="AF906" s="259"/>
      <c r="AG906" s="510">
        <v>0</v>
      </c>
      <c r="AH906" s="370">
        <v>0</v>
      </c>
      <c r="AI906" s="154"/>
      <c r="AJ906" s="154"/>
      <c r="AK906" s="154"/>
      <c r="AL906" s="154"/>
      <c r="AM906" s="154"/>
      <c r="AN906" s="64" t="s">
        <v>39</v>
      </c>
      <c r="AO906" s="64"/>
      <c r="AP906" s="64"/>
      <c r="AQ906" s="189"/>
      <c r="AR906" s="64"/>
      <c r="AS906" s="476"/>
      <c r="AT906" s="64"/>
      <c r="AU906" s="646"/>
      <c r="AV906" s="185"/>
    </row>
    <row r="907" spans="1:48" s="153" customFormat="1" ht="29.25" customHeight="1" outlineLevel="1" x14ac:dyDescent="0.25">
      <c r="A907" s="148" t="str">
        <f t="shared" si="165"/>
        <v>1.8.1.2.0.0</v>
      </c>
      <c r="B907" s="82">
        <v>1</v>
      </c>
      <c r="C907" s="82">
        <v>8</v>
      </c>
      <c r="D907" s="82">
        <v>1</v>
      </c>
      <c r="E907" s="82">
        <v>2</v>
      </c>
      <c r="F907" s="82">
        <v>0</v>
      </c>
      <c r="G907" s="82">
        <v>0</v>
      </c>
      <c r="H907" s="149"/>
      <c r="I907" s="149"/>
      <c r="J907" s="1260" t="s">
        <v>1000</v>
      </c>
      <c r="K907" s="1259"/>
      <c r="L907" s="82" t="s">
        <v>1001</v>
      </c>
      <c r="M907" s="83" t="s">
        <v>1002</v>
      </c>
      <c r="N907" s="83" t="s">
        <v>1003</v>
      </c>
      <c r="O907" s="82" t="s">
        <v>1004</v>
      </c>
      <c r="P907" s="82"/>
      <c r="Q907" s="82"/>
      <c r="R907" s="82"/>
      <c r="S907" s="149"/>
      <c r="T907" s="82"/>
      <c r="U907" s="379">
        <f t="shared" ref="U907:AG907" si="172">+SUM(U908:U923)</f>
        <v>0</v>
      </c>
      <c r="V907" s="682">
        <f t="shared" si="172"/>
        <v>0</v>
      </c>
      <c r="W907" s="379">
        <f t="shared" si="172"/>
        <v>4000</v>
      </c>
      <c r="X907" s="379">
        <f t="shared" si="172"/>
        <v>0</v>
      </c>
      <c r="Y907" s="379">
        <f t="shared" si="172"/>
        <v>0</v>
      </c>
      <c r="Z907" s="379">
        <f t="shared" si="172"/>
        <v>4000</v>
      </c>
      <c r="AA907" s="379">
        <f t="shared" si="172"/>
        <v>0</v>
      </c>
      <c r="AB907" s="379">
        <f t="shared" si="172"/>
        <v>0</v>
      </c>
      <c r="AC907" s="379">
        <f t="shared" si="172"/>
        <v>4000</v>
      </c>
      <c r="AD907" s="379">
        <f t="shared" si="172"/>
        <v>0</v>
      </c>
      <c r="AE907" s="379">
        <f t="shared" si="172"/>
        <v>0</v>
      </c>
      <c r="AF907" s="379">
        <f t="shared" si="172"/>
        <v>0</v>
      </c>
      <c r="AG907" s="379">
        <f t="shared" si="172"/>
        <v>0</v>
      </c>
      <c r="AH907" s="379">
        <f>+SUM(AH908:AH923)</f>
        <v>0</v>
      </c>
      <c r="AI907" s="512">
        <f>+SUM(AI908:AI923)</f>
        <v>0</v>
      </c>
      <c r="AJ907" s="512">
        <f>+SUM(AJ908:AJ923)</f>
        <v>0</v>
      </c>
      <c r="AK907" s="152"/>
      <c r="AL907" s="152"/>
      <c r="AM907" s="152"/>
      <c r="AN907" s="82" t="s">
        <v>39</v>
      </c>
      <c r="AO907" s="82"/>
      <c r="AP907" s="82"/>
      <c r="AQ907" s="365"/>
      <c r="AR907" s="82"/>
      <c r="AS907" s="483"/>
      <c r="AT907" s="82"/>
      <c r="AU907" s="666"/>
      <c r="AV907" s="444"/>
    </row>
    <row r="908" spans="1:48" ht="33.75" customHeight="1" outlineLevel="2" x14ac:dyDescent="0.25">
      <c r="A908" s="63" t="str">
        <f t="shared" si="165"/>
        <v>1.8.1.2.1.58</v>
      </c>
      <c r="B908" s="64">
        <v>1</v>
      </c>
      <c r="C908" s="64">
        <v>8</v>
      </c>
      <c r="D908" s="64">
        <v>1</v>
      </c>
      <c r="E908" s="64">
        <v>2</v>
      </c>
      <c r="F908" s="64">
        <v>1</v>
      </c>
      <c r="G908" s="64">
        <v>58</v>
      </c>
      <c r="H908" s="65"/>
      <c r="I908" s="65"/>
      <c r="J908" s="66"/>
      <c r="K908" s="67" t="s">
        <v>1005</v>
      </c>
      <c r="L908" s="64" t="s">
        <v>75</v>
      </c>
      <c r="M908" s="68" t="s">
        <v>1006</v>
      </c>
      <c r="N908" s="64" t="s">
        <v>47</v>
      </c>
      <c r="O908" s="64" t="s">
        <v>1007</v>
      </c>
      <c r="P908" s="69">
        <v>44228</v>
      </c>
      <c r="Q908" s="69">
        <v>44560</v>
      </c>
      <c r="R908" s="124">
        <v>15000</v>
      </c>
      <c r="S908" s="170" t="s">
        <v>1008</v>
      </c>
      <c r="T908" s="64">
        <v>5000</v>
      </c>
      <c r="U908" s="75"/>
      <c r="V908" s="674">
        <v>0</v>
      </c>
      <c r="W908" s="75">
        <v>4000</v>
      </c>
      <c r="X908" s="75"/>
      <c r="Y908" s="75"/>
      <c r="Z908" s="75">
        <v>4000</v>
      </c>
      <c r="AA908" s="75"/>
      <c r="AB908" s="75"/>
      <c r="AC908" s="75">
        <v>4000</v>
      </c>
      <c r="AD908" s="75"/>
      <c r="AE908" s="592"/>
      <c r="AF908" s="259"/>
      <c r="AG908" s="510">
        <v>0</v>
      </c>
      <c r="AH908" s="370">
        <v>0</v>
      </c>
      <c r="AI908" s="154"/>
      <c r="AJ908" s="154"/>
      <c r="AK908" s="154"/>
      <c r="AL908" s="154"/>
      <c r="AM908" s="154"/>
      <c r="AN908" s="64" t="s">
        <v>39</v>
      </c>
      <c r="AO908" s="64"/>
      <c r="AP908" s="64"/>
      <c r="AQ908" s="189"/>
      <c r="AR908" s="64"/>
      <c r="AS908" s="476"/>
      <c r="AT908" s="64"/>
      <c r="AU908" s="646"/>
      <c r="AV908" s="185"/>
    </row>
    <row r="909" spans="1:48" ht="31.5" customHeight="1" outlineLevel="2" x14ac:dyDescent="0.25">
      <c r="A909" s="63" t="str">
        <f t="shared" si="165"/>
        <v>1.8.1.2.1.59</v>
      </c>
      <c r="B909" s="64">
        <v>1</v>
      </c>
      <c r="C909" s="64">
        <v>8</v>
      </c>
      <c r="D909" s="64">
        <v>1</v>
      </c>
      <c r="E909" s="64">
        <v>2</v>
      </c>
      <c r="F909" s="64">
        <v>1</v>
      </c>
      <c r="G909" s="64">
        <v>59</v>
      </c>
      <c r="H909" s="65"/>
      <c r="I909" s="65"/>
      <c r="J909" s="66"/>
      <c r="K909" s="67" t="s">
        <v>1009</v>
      </c>
      <c r="L909" s="64" t="s">
        <v>75</v>
      </c>
      <c r="M909" s="68" t="s">
        <v>1006</v>
      </c>
      <c r="N909" s="64" t="s">
        <v>47</v>
      </c>
      <c r="O909" s="64" t="s">
        <v>1007</v>
      </c>
      <c r="P909" s="69"/>
      <c r="Q909" s="69"/>
      <c r="R909" s="124"/>
      <c r="S909" s="170"/>
      <c r="T909" s="64"/>
      <c r="U909" s="75"/>
      <c r="V909" s="674">
        <v>0</v>
      </c>
      <c r="W909" s="75"/>
      <c r="X909" s="75"/>
      <c r="Y909" s="75"/>
      <c r="Z909" s="75"/>
      <c r="AA909" s="75"/>
      <c r="AB909" s="75"/>
      <c r="AC909" s="75"/>
      <c r="AD909" s="75"/>
      <c r="AE909" s="592"/>
      <c r="AF909" s="259"/>
      <c r="AG909" s="510">
        <v>0</v>
      </c>
      <c r="AH909" s="370">
        <v>0</v>
      </c>
      <c r="AI909" s="154"/>
      <c r="AJ909" s="154"/>
      <c r="AK909" s="154"/>
      <c r="AL909" s="154"/>
      <c r="AM909" s="154"/>
      <c r="AN909" s="64" t="s">
        <v>39</v>
      </c>
      <c r="AO909" s="64"/>
      <c r="AP909" s="64"/>
      <c r="AQ909" s="189"/>
      <c r="AR909" s="64"/>
      <c r="AS909" s="476"/>
      <c r="AT909" s="64"/>
      <c r="AU909" s="646"/>
      <c r="AV909" s="185"/>
    </row>
    <row r="910" spans="1:48" ht="31.5" customHeight="1" outlineLevel="2" x14ac:dyDescent="0.25">
      <c r="A910" s="63" t="str">
        <f t="shared" si="165"/>
        <v>1.8.1.2.1.60</v>
      </c>
      <c r="B910" s="64">
        <v>1</v>
      </c>
      <c r="C910" s="64">
        <v>8</v>
      </c>
      <c r="D910" s="64">
        <v>1</v>
      </c>
      <c r="E910" s="64">
        <v>2</v>
      </c>
      <c r="F910" s="64">
        <v>1</v>
      </c>
      <c r="G910" s="64">
        <v>60</v>
      </c>
      <c r="H910" s="65"/>
      <c r="I910" s="65"/>
      <c r="J910" s="66"/>
      <c r="K910" s="67" t="s">
        <v>1010</v>
      </c>
      <c r="L910" s="64" t="s">
        <v>75</v>
      </c>
      <c r="M910" s="68" t="s">
        <v>1006</v>
      </c>
      <c r="N910" s="64" t="s">
        <v>47</v>
      </c>
      <c r="O910" s="64" t="s">
        <v>1007</v>
      </c>
      <c r="P910" s="69"/>
      <c r="Q910" s="69"/>
      <c r="R910" s="124"/>
      <c r="S910" s="170"/>
      <c r="T910" s="64"/>
      <c r="U910" s="75"/>
      <c r="V910" s="674">
        <v>0</v>
      </c>
      <c r="W910" s="75"/>
      <c r="X910" s="75"/>
      <c r="Y910" s="75"/>
      <c r="Z910" s="75"/>
      <c r="AA910" s="75"/>
      <c r="AB910" s="75"/>
      <c r="AC910" s="75"/>
      <c r="AD910" s="75"/>
      <c r="AE910" s="592"/>
      <c r="AF910" s="259"/>
      <c r="AG910" s="510">
        <v>0</v>
      </c>
      <c r="AH910" s="370">
        <v>0</v>
      </c>
      <c r="AI910" s="154"/>
      <c r="AJ910" s="154"/>
      <c r="AK910" s="154"/>
      <c r="AL910" s="154"/>
      <c r="AM910" s="154"/>
      <c r="AN910" s="64" t="s">
        <v>39</v>
      </c>
      <c r="AO910" s="64"/>
      <c r="AP910" s="64"/>
      <c r="AQ910" s="189"/>
      <c r="AR910" s="64"/>
      <c r="AS910" s="476"/>
      <c r="AT910" s="64"/>
      <c r="AU910" s="646"/>
      <c r="AV910" s="185"/>
    </row>
    <row r="911" spans="1:48" ht="31.5" customHeight="1" outlineLevel="2" x14ac:dyDescent="0.25">
      <c r="A911" s="63" t="str">
        <f t="shared" si="165"/>
        <v>1.8.1.2.1.61</v>
      </c>
      <c r="B911" s="64">
        <v>1</v>
      </c>
      <c r="C911" s="64">
        <v>8</v>
      </c>
      <c r="D911" s="64">
        <v>1</v>
      </c>
      <c r="E911" s="64">
        <v>2</v>
      </c>
      <c r="F911" s="64">
        <v>1</v>
      </c>
      <c r="G911" s="64">
        <v>61</v>
      </c>
      <c r="H911" s="65"/>
      <c r="I911" s="65"/>
      <c r="J911" s="66"/>
      <c r="K911" s="67" t="s">
        <v>1011</v>
      </c>
      <c r="L911" s="64" t="s">
        <v>75</v>
      </c>
      <c r="M911" s="68" t="s">
        <v>1006</v>
      </c>
      <c r="N911" s="64" t="s">
        <v>47</v>
      </c>
      <c r="O911" s="64" t="s">
        <v>1007</v>
      </c>
      <c r="P911" s="69"/>
      <c r="Q911" s="69"/>
      <c r="R911" s="124"/>
      <c r="S911" s="170"/>
      <c r="T911" s="64"/>
      <c r="U911" s="75"/>
      <c r="V911" s="674">
        <v>0</v>
      </c>
      <c r="W911" s="75"/>
      <c r="X911" s="75"/>
      <c r="Y911" s="75"/>
      <c r="Z911" s="75"/>
      <c r="AA911" s="75"/>
      <c r="AB911" s="75"/>
      <c r="AC911" s="75"/>
      <c r="AD911" s="75"/>
      <c r="AE911" s="592"/>
      <c r="AF911" s="259"/>
      <c r="AG911" s="510">
        <v>0</v>
      </c>
      <c r="AH911" s="370">
        <v>0</v>
      </c>
      <c r="AI911" s="154"/>
      <c r="AJ911" s="154"/>
      <c r="AK911" s="154"/>
      <c r="AL911" s="154"/>
      <c r="AM911" s="154"/>
      <c r="AN911" s="64" t="s">
        <v>39</v>
      </c>
      <c r="AO911" s="64"/>
      <c r="AP911" s="64"/>
      <c r="AQ911" s="189"/>
      <c r="AR911" s="64"/>
      <c r="AS911" s="476"/>
      <c r="AT911" s="64"/>
      <c r="AU911" s="646"/>
      <c r="AV911" s="185"/>
    </row>
    <row r="912" spans="1:48" ht="31.5" customHeight="1" outlineLevel="2" x14ac:dyDescent="0.25">
      <c r="A912" s="63" t="str">
        <f t="shared" si="165"/>
        <v>1.8.1.2.1.62</v>
      </c>
      <c r="B912" s="64">
        <v>1</v>
      </c>
      <c r="C912" s="64">
        <v>8</v>
      </c>
      <c r="D912" s="64">
        <v>1</v>
      </c>
      <c r="E912" s="64">
        <v>2</v>
      </c>
      <c r="F912" s="64">
        <v>1</v>
      </c>
      <c r="G912" s="64">
        <v>62</v>
      </c>
      <c r="H912" s="65"/>
      <c r="I912" s="65"/>
      <c r="J912" s="66"/>
      <c r="K912" s="67" t="s">
        <v>1012</v>
      </c>
      <c r="L912" s="64" t="s">
        <v>75</v>
      </c>
      <c r="M912" s="68" t="s">
        <v>1006</v>
      </c>
      <c r="N912" s="64" t="s">
        <v>47</v>
      </c>
      <c r="O912" s="64" t="s">
        <v>1007</v>
      </c>
      <c r="P912" s="69"/>
      <c r="Q912" s="69"/>
      <c r="R912" s="124"/>
      <c r="S912" s="170"/>
      <c r="T912" s="64"/>
      <c r="U912" s="75"/>
      <c r="V912" s="674">
        <v>0</v>
      </c>
      <c r="W912" s="75"/>
      <c r="X912" s="75"/>
      <c r="Y912" s="75"/>
      <c r="Z912" s="75"/>
      <c r="AA912" s="75"/>
      <c r="AB912" s="75"/>
      <c r="AC912" s="75"/>
      <c r="AD912" s="75"/>
      <c r="AE912" s="592"/>
      <c r="AF912" s="259"/>
      <c r="AG912" s="510">
        <v>0</v>
      </c>
      <c r="AH912" s="370">
        <v>0</v>
      </c>
      <c r="AI912" s="154"/>
      <c r="AJ912" s="154"/>
      <c r="AK912" s="154"/>
      <c r="AL912" s="154"/>
      <c r="AM912" s="154"/>
      <c r="AN912" s="64" t="s">
        <v>39</v>
      </c>
      <c r="AO912" s="64"/>
      <c r="AP912" s="64"/>
      <c r="AQ912" s="189"/>
      <c r="AR912" s="64"/>
      <c r="AS912" s="476"/>
      <c r="AT912" s="64"/>
      <c r="AU912" s="646"/>
      <c r="AV912" s="185"/>
    </row>
    <row r="913" spans="1:48" ht="31.5" customHeight="1" outlineLevel="2" x14ac:dyDescent="0.25">
      <c r="A913" s="63" t="str">
        <f t="shared" si="165"/>
        <v>1.8.1.2.1.63</v>
      </c>
      <c r="B913" s="64">
        <v>1</v>
      </c>
      <c r="C913" s="64">
        <v>8</v>
      </c>
      <c r="D913" s="64">
        <v>1</v>
      </c>
      <c r="E913" s="64">
        <v>2</v>
      </c>
      <c r="F913" s="64">
        <v>1</v>
      </c>
      <c r="G913" s="64">
        <v>63</v>
      </c>
      <c r="H913" s="65"/>
      <c r="I913" s="65"/>
      <c r="J913" s="66"/>
      <c r="K913" s="67" t="s">
        <v>1768</v>
      </c>
      <c r="L913" s="64" t="s">
        <v>75</v>
      </c>
      <c r="M913" s="68" t="s">
        <v>1006</v>
      </c>
      <c r="N913" s="64" t="s">
        <v>47</v>
      </c>
      <c r="O913" s="64" t="s">
        <v>1007</v>
      </c>
      <c r="P913" s="69"/>
      <c r="Q913" s="69"/>
      <c r="R913" s="124"/>
      <c r="S913" s="170"/>
      <c r="T913" s="64"/>
      <c r="U913" s="75"/>
      <c r="V913" s="674">
        <v>0</v>
      </c>
      <c r="W913" s="75"/>
      <c r="X913" s="75"/>
      <c r="Y913" s="75"/>
      <c r="Z913" s="75"/>
      <c r="AA913" s="75"/>
      <c r="AB913" s="75"/>
      <c r="AC913" s="75"/>
      <c r="AD913" s="75"/>
      <c r="AE913" s="592"/>
      <c r="AF913" s="259"/>
      <c r="AG913" s="510">
        <v>0</v>
      </c>
      <c r="AH913" s="370">
        <v>0</v>
      </c>
      <c r="AI913" s="154"/>
      <c r="AJ913" s="154"/>
      <c r="AK913" s="154"/>
      <c r="AL913" s="154"/>
      <c r="AM913" s="154"/>
      <c r="AN913" s="64" t="s">
        <v>39</v>
      </c>
      <c r="AO913" s="64"/>
      <c r="AP913" s="64"/>
      <c r="AQ913" s="189"/>
      <c r="AR913" s="64"/>
      <c r="AS913" s="476"/>
      <c r="AT913" s="64"/>
      <c r="AU913" s="646"/>
      <c r="AV913" s="185"/>
    </row>
    <row r="914" spans="1:48" ht="31.5" customHeight="1" outlineLevel="2" x14ac:dyDescent="0.25">
      <c r="A914" s="63" t="str">
        <f t="shared" si="165"/>
        <v>1.8.1.2.1.64</v>
      </c>
      <c r="B914" s="64">
        <v>1</v>
      </c>
      <c r="C914" s="64">
        <v>8</v>
      </c>
      <c r="D914" s="64">
        <v>1</v>
      </c>
      <c r="E914" s="64">
        <v>2</v>
      </c>
      <c r="F914" s="64">
        <v>1</v>
      </c>
      <c r="G914" s="64">
        <v>64</v>
      </c>
      <c r="H914" s="65"/>
      <c r="I914" s="65"/>
      <c r="J914" s="66"/>
      <c r="K914" s="67" t="s">
        <v>1013</v>
      </c>
      <c r="L914" s="64" t="s">
        <v>75</v>
      </c>
      <c r="M914" s="68" t="s">
        <v>1006</v>
      </c>
      <c r="N914" s="64" t="s">
        <v>47</v>
      </c>
      <c r="O914" s="64" t="s">
        <v>1007</v>
      </c>
      <c r="P914" s="69"/>
      <c r="Q914" s="69"/>
      <c r="R914" s="124"/>
      <c r="S914" s="170"/>
      <c r="T914" s="64"/>
      <c r="U914" s="75"/>
      <c r="V914" s="674">
        <v>0</v>
      </c>
      <c r="W914" s="75"/>
      <c r="X914" s="75"/>
      <c r="Y914" s="75"/>
      <c r="Z914" s="75"/>
      <c r="AA914" s="75"/>
      <c r="AB914" s="75"/>
      <c r="AC914" s="75"/>
      <c r="AD914" s="75"/>
      <c r="AE914" s="592"/>
      <c r="AF914" s="259"/>
      <c r="AG914" s="510">
        <v>0</v>
      </c>
      <c r="AH914" s="370">
        <v>0</v>
      </c>
      <c r="AI914" s="154"/>
      <c r="AJ914" s="154"/>
      <c r="AK914" s="154"/>
      <c r="AL914" s="154"/>
      <c r="AM914" s="154"/>
      <c r="AN914" s="64" t="s">
        <v>39</v>
      </c>
      <c r="AO914" s="64"/>
      <c r="AP914" s="64"/>
      <c r="AQ914" s="189"/>
      <c r="AR914" s="64"/>
      <c r="AS914" s="476"/>
      <c r="AT914" s="64"/>
      <c r="AU914" s="646"/>
      <c r="AV914" s="185"/>
    </row>
    <row r="915" spans="1:48" ht="33.75" customHeight="1" outlineLevel="2" x14ac:dyDescent="0.25">
      <c r="A915" s="63" t="str">
        <f t="shared" si="165"/>
        <v>1.8.1.2.2.58-64</v>
      </c>
      <c r="B915" s="64">
        <v>1</v>
      </c>
      <c r="C915" s="64">
        <v>8</v>
      </c>
      <c r="D915" s="64">
        <v>1</v>
      </c>
      <c r="E915" s="64">
        <v>2</v>
      </c>
      <c r="F915" s="64">
        <v>2</v>
      </c>
      <c r="G915" s="64" t="s">
        <v>64</v>
      </c>
      <c r="H915" s="65"/>
      <c r="I915" s="65"/>
      <c r="J915" s="66"/>
      <c r="K915" s="67" t="s">
        <v>1014</v>
      </c>
      <c r="L915" s="64" t="s">
        <v>72</v>
      </c>
      <c r="M915" s="64" t="s">
        <v>73</v>
      </c>
      <c r="N915" s="64" t="s">
        <v>74</v>
      </c>
      <c r="O915" s="64" t="s">
        <v>75</v>
      </c>
      <c r="P915" s="69">
        <v>44228</v>
      </c>
      <c r="Q915" s="69">
        <v>44377</v>
      </c>
      <c r="R915" s="64">
        <v>1</v>
      </c>
      <c r="S915" s="65" t="s">
        <v>73</v>
      </c>
      <c r="T915" s="64">
        <v>1</v>
      </c>
      <c r="U915" s="75"/>
      <c r="V915" s="674">
        <v>0</v>
      </c>
      <c r="W915" s="75"/>
      <c r="X915" s="75"/>
      <c r="Y915" s="75"/>
      <c r="Z915" s="75"/>
      <c r="AA915" s="75"/>
      <c r="AB915" s="75"/>
      <c r="AC915" s="75"/>
      <c r="AD915" s="75"/>
      <c r="AE915" s="592"/>
      <c r="AF915" s="259"/>
      <c r="AG915" s="510">
        <v>0</v>
      </c>
      <c r="AH915" s="370">
        <v>0</v>
      </c>
      <c r="AI915" s="154"/>
      <c r="AJ915" s="154"/>
      <c r="AK915" s="154"/>
      <c r="AL915" s="154"/>
      <c r="AM915" s="154"/>
      <c r="AN915" s="64" t="s">
        <v>39</v>
      </c>
      <c r="AO915" s="64"/>
      <c r="AP915" s="64"/>
      <c r="AQ915" s="189"/>
      <c r="AR915" s="64"/>
      <c r="AS915" s="476"/>
      <c r="AT915" s="64"/>
      <c r="AU915" s="646"/>
      <c r="AV915" s="454" t="s">
        <v>1015</v>
      </c>
    </row>
    <row r="916" spans="1:48" ht="38.25" customHeight="1" outlineLevel="2" x14ac:dyDescent="0.25">
      <c r="A916" s="63" t="str">
        <f t="shared" si="165"/>
        <v>1.8.1.2.3.58</v>
      </c>
      <c r="B916" s="64">
        <v>1</v>
      </c>
      <c r="C916" s="64">
        <v>8</v>
      </c>
      <c r="D916" s="64">
        <v>1</v>
      </c>
      <c r="E916" s="64">
        <v>2</v>
      </c>
      <c r="F916" s="64">
        <v>3</v>
      </c>
      <c r="G916" s="64">
        <v>58</v>
      </c>
      <c r="H916" s="65"/>
      <c r="I916" s="65"/>
      <c r="J916" s="65"/>
      <c r="K916" s="67" t="s">
        <v>1016</v>
      </c>
      <c r="L916" s="64" t="s">
        <v>72</v>
      </c>
      <c r="M916" s="64" t="s">
        <v>73</v>
      </c>
      <c r="N916" s="64" t="s">
        <v>74</v>
      </c>
      <c r="O916" s="64" t="s">
        <v>75</v>
      </c>
      <c r="P916" s="69">
        <v>44228</v>
      </c>
      <c r="Q916" s="69">
        <v>44560</v>
      </c>
      <c r="R916" s="64">
        <v>1</v>
      </c>
      <c r="S916" s="65" t="s">
        <v>73</v>
      </c>
      <c r="T916" s="64">
        <v>1</v>
      </c>
      <c r="U916" s="75"/>
      <c r="V916" s="674">
        <v>0</v>
      </c>
      <c r="W916" s="75"/>
      <c r="X916" s="75"/>
      <c r="Y916" s="75"/>
      <c r="Z916" s="75"/>
      <c r="AA916" s="75"/>
      <c r="AB916" s="75"/>
      <c r="AC916" s="75"/>
      <c r="AD916" s="75"/>
      <c r="AE916" s="592"/>
      <c r="AF916" s="259"/>
      <c r="AG916" s="510">
        <v>0</v>
      </c>
      <c r="AH916" s="370">
        <v>0</v>
      </c>
      <c r="AI916" s="154"/>
      <c r="AJ916" s="154"/>
      <c r="AK916" s="154"/>
      <c r="AL916" s="154"/>
      <c r="AM916" s="154"/>
      <c r="AN916" s="64" t="s">
        <v>39</v>
      </c>
      <c r="AO916" s="64"/>
      <c r="AP916" s="64"/>
      <c r="AQ916" s="189"/>
      <c r="AR916" s="64"/>
      <c r="AS916" s="476"/>
      <c r="AT916" s="64"/>
      <c r="AU916" s="646"/>
      <c r="AV916" s="335" t="s">
        <v>127</v>
      </c>
    </row>
    <row r="917" spans="1:48" ht="38.25" customHeight="1" outlineLevel="2" x14ac:dyDescent="0.25">
      <c r="A917" s="63" t="str">
        <f t="shared" si="165"/>
        <v>1.8.1.2.3.59</v>
      </c>
      <c r="B917" s="64">
        <v>1</v>
      </c>
      <c r="C917" s="64">
        <v>8</v>
      </c>
      <c r="D917" s="64">
        <v>1</v>
      </c>
      <c r="E917" s="64">
        <v>2</v>
      </c>
      <c r="F917" s="64">
        <v>3</v>
      </c>
      <c r="G917" s="64">
        <v>59</v>
      </c>
      <c r="H917" s="65"/>
      <c r="I917" s="65"/>
      <c r="J917" s="65"/>
      <c r="K917" s="67" t="s">
        <v>1017</v>
      </c>
      <c r="L917" s="64" t="s">
        <v>72</v>
      </c>
      <c r="M917" s="64" t="s">
        <v>73</v>
      </c>
      <c r="N917" s="64" t="s">
        <v>74</v>
      </c>
      <c r="O917" s="64" t="s">
        <v>75</v>
      </c>
      <c r="P917" s="69">
        <v>44228</v>
      </c>
      <c r="Q917" s="69">
        <v>44560</v>
      </c>
      <c r="R917" s="64">
        <v>1</v>
      </c>
      <c r="S917" s="65"/>
      <c r="T917" s="64"/>
      <c r="U917" s="75"/>
      <c r="V917" s="674">
        <v>0</v>
      </c>
      <c r="W917" s="75"/>
      <c r="X917" s="75"/>
      <c r="Y917" s="75"/>
      <c r="Z917" s="75"/>
      <c r="AA917" s="75"/>
      <c r="AB917" s="75"/>
      <c r="AC917" s="75"/>
      <c r="AD917" s="75"/>
      <c r="AE917" s="592"/>
      <c r="AF917" s="259"/>
      <c r="AG917" s="510">
        <v>0</v>
      </c>
      <c r="AH917" s="370">
        <v>0</v>
      </c>
      <c r="AI917" s="154"/>
      <c r="AJ917" s="154"/>
      <c r="AK917" s="154"/>
      <c r="AL917" s="154"/>
      <c r="AM917" s="154"/>
      <c r="AN917" s="64" t="s">
        <v>39</v>
      </c>
      <c r="AO917" s="64"/>
      <c r="AP917" s="64"/>
      <c r="AQ917" s="189"/>
      <c r="AR917" s="64"/>
      <c r="AS917" s="476"/>
      <c r="AT917" s="64"/>
      <c r="AU917" s="646"/>
      <c r="AV917" s="335" t="s">
        <v>127</v>
      </c>
    </row>
    <row r="918" spans="1:48" ht="38.25" customHeight="1" outlineLevel="2" x14ac:dyDescent="0.25">
      <c r="A918" s="63" t="str">
        <f t="shared" si="165"/>
        <v>1.8.1.2.3.60</v>
      </c>
      <c r="B918" s="64">
        <v>1</v>
      </c>
      <c r="C918" s="64">
        <v>8</v>
      </c>
      <c r="D918" s="64">
        <v>1</v>
      </c>
      <c r="E918" s="64">
        <v>2</v>
      </c>
      <c r="F918" s="64">
        <v>3</v>
      </c>
      <c r="G918" s="64">
        <v>60</v>
      </c>
      <c r="H918" s="65"/>
      <c r="I918" s="65"/>
      <c r="J918" s="65"/>
      <c r="K918" s="67" t="s">
        <v>1018</v>
      </c>
      <c r="L918" s="64" t="s">
        <v>72</v>
      </c>
      <c r="M918" s="64" t="s">
        <v>73</v>
      </c>
      <c r="N918" s="64" t="s">
        <v>74</v>
      </c>
      <c r="O918" s="64" t="s">
        <v>75</v>
      </c>
      <c r="P918" s="69">
        <v>44228</v>
      </c>
      <c r="Q918" s="69">
        <v>44560</v>
      </c>
      <c r="R918" s="64">
        <v>1</v>
      </c>
      <c r="S918" s="65"/>
      <c r="T918" s="64"/>
      <c r="U918" s="75"/>
      <c r="V918" s="674">
        <v>0</v>
      </c>
      <c r="W918" s="75"/>
      <c r="X918" s="75"/>
      <c r="Y918" s="75"/>
      <c r="Z918" s="75"/>
      <c r="AA918" s="75"/>
      <c r="AB918" s="75"/>
      <c r="AC918" s="75"/>
      <c r="AD918" s="75"/>
      <c r="AE918" s="592"/>
      <c r="AF918" s="259"/>
      <c r="AG918" s="510">
        <v>0</v>
      </c>
      <c r="AH918" s="370">
        <v>0</v>
      </c>
      <c r="AI918" s="154"/>
      <c r="AJ918" s="154"/>
      <c r="AK918" s="154"/>
      <c r="AL918" s="154"/>
      <c r="AM918" s="154"/>
      <c r="AN918" s="64" t="s">
        <v>39</v>
      </c>
      <c r="AO918" s="64"/>
      <c r="AP918" s="64"/>
      <c r="AQ918" s="189"/>
      <c r="AR918" s="64"/>
      <c r="AS918" s="476"/>
      <c r="AT918" s="64"/>
      <c r="AU918" s="646"/>
      <c r="AV918" s="335" t="s">
        <v>127</v>
      </c>
    </row>
    <row r="919" spans="1:48" ht="38.25" customHeight="1" outlineLevel="2" x14ac:dyDescent="0.25">
      <c r="A919" s="63" t="str">
        <f t="shared" si="165"/>
        <v>1.8.1.2.3.61</v>
      </c>
      <c r="B919" s="64">
        <v>1</v>
      </c>
      <c r="C919" s="64">
        <v>8</v>
      </c>
      <c r="D919" s="64">
        <v>1</v>
      </c>
      <c r="E919" s="64">
        <v>2</v>
      </c>
      <c r="F919" s="64">
        <v>3</v>
      </c>
      <c r="G919" s="64">
        <v>61</v>
      </c>
      <c r="H919" s="65"/>
      <c r="I919" s="65"/>
      <c r="J919" s="65"/>
      <c r="K919" s="67" t="s">
        <v>1019</v>
      </c>
      <c r="L919" s="64" t="s">
        <v>72</v>
      </c>
      <c r="M919" s="64" t="s">
        <v>73</v>
      </c>
      <c r="N919" s="64" t="s">
        <v>74</v>
      </c>
      <c r="O919" s="64" t="s">
        <v>75</v>
      </c>
      <c r="P919" s="69">
        <v>44228</v>
      </c>
      <c r="Q919" s="69">
        <v>44560</v>
      </c>
      <c r="R919" s="64">
        <v>1</v>
      </c>
      <c r="S919" s="65"/>
      <c r="T919" s="64"/>
      <c r="U919" s="75"/>
      <c r="V919" s="674">
        <v>0</v>
      </c>
      <c r="W919" s="75"/>
      <c r="X919" s="75"/>
      <c r="Y919" s="75"/>
      <c r="Z919" s="75"/>
      <c r="AA919" s="75"/>
      <c r="AB919" s="75"/>
      <c r="AC919" s="75"/>
      <c r="AD919" s="75"/>
      <c r="AE919" s="592"/>
      <c r="AF919" s="259"/>
      <c r="AG919" s="510">
        <v>0</v>
      </c>
      <c r="AH919" s="370">
        <v>0</v>
      </c>
      <c r="AI919" s="154"/>
      <c r="AJ919" s="154"/>
      <c r="AK919" s="154"/>
      <c r="AL919" s="154"/>
      <c r="AM919" s="154"/>
      <c r="AN919" s="64" t="s">
        <v>39</v>
      </c>
      <c r="AO919" s="64"/>
      <c r="AP919" s="64"/>
      <c r="AQ919" s="189"/>
      <c r="AR919" s="64"/>
      <c r="AS919" s="476"/>
      <c r="AT919" s="64"/>
      <c r="AU919" s="646"/>
      <c r="AV919" s="335" t="s">
        <v>127</v>
      </c>
    </row>
    <row r="920" spans="1:48" ht="38.25" customHeight="1" outlineLevel="2" x14ac:dyDescent="0.25">
      <c r="A920" s="63" t="str">
        <f t="shared" si="165"/>
        <v>1.8.1.2.3.62</v>
      </c>
      <c r="B920" s="64">
        <v>1</v>
      </c>
      <c r="C920" s="64">
        <v>8</v>
      </c>
      <c r="D920" s="64">
        <v>1</v>
      </c>
      <c r="E920" s="64">
        <v>2</v>
      </c>
      <c r="F920" s="64">
        <v>3</v>
      </c>
      <c r="G920" s="64">
        <v>62</v>
      </c>
      <c r="H920" s="65"/>
      <c r="I920" s="65"/>
      <c r="J920" s="65"/>
      <c r="K920" s="67" t="s">
        <v>1020</v>
      </c>
      <c r="L920" s="64" t="s">
        <v>72</v>
      </c>
      <c r="M920" s="64" t="s">
        <v>73</v>
      </c>
      <c r="N920" s="64" t="s">
        <v>74</v>
      </c>
      <c r="O920" s="64" t="s">
        <v>75</v>
      </c>
      <c r="P920" s="69">
        <v>44228</v>
      </c>
      <c r="Q920" s="69">
        <v>44560</v>
      </c>
      <c r="R920" s="64">
        <v>1</v>
      </c>
      <c r="S920" s="65"/>
      <c r="T920" s="64"/>
      <c r="U920" s="75"/>
      <c r="V920" s="674">
        <v>0</v>
      </c>
      <c r="W920" s="75"/>
      <c r="X920" s="75"/>
      <c r="Y920" s="75"/>
      <c r="Z920" s="75"/>
      <c r="AA920" s="75"/>
      <c r="AB920" s="75"/>
      <c r="AC920" s="75"/>
      <c r="AD920" s="75"/>
      <c r="AE920" s="592"/>
      <c r="AF920" s="259"/>
      <c r="AG920" s="510">
        <v>0</v>
      </c>
      <c r="AH920" s="370">
        <v>0</v>
      </c>
      <c r="AI920" s="154"/>
      <c r="AJ920" s="154"/>
      <c r="AK920" s="154"/>
      <c r="AL920" s="154"/>
      <c r="AM920" s="154"/>
      <c r="AN920" s="64" t="s">
        <v>39</v>
      </c>
      <c r="AO920" s="64"/>
      <c r="AP920" s="64"/>
      <c r="AQ920" s="189"/>
      <c r="AR920" s="64"/>
      <c r="AS920" s="476"/>
      <c r="AT920" s="64"/>
      <c r="AU920" s="646"/>
      <c r="AV920" s="335" t="s">
        <v>127</v>
      </c>
    </row>
    <row r="921" spans="1:48" ht="38.25" customHeight="1" outlineLevel="2" x14ac:dyDescent="0.25">
      <c r="A921" s="63" t="str">
        <f t="shared" si="165"/>
        <v>1.8.1.2.3.63</v>
      </c>
      <c r="B921" s="64">
        <v>1</v>
      </c>
      <c r="C921" s="64">
        <v>8</v>
      </c>
      <c r="D921" s="64">
        <v>1</v>
      </c>
      <c r="E921" s="64">
        <v>2</v>
      </c>
      <c r="F921" s="64">
        <v>3</v>
      </c>
      <c r="G921" s="64">
        <v>63</v>
      </c>
      <c r="H921" s="65"/>
      <c r="I921" s="65"/>
      <c r="J921" s="65"/>
      <c r="K921" s="67" t="s">
        <v>1769</v>
      </c>
      <c r="L921" s="64" t="s">
        <v>72</v>
      </c>
      <c r="M921" s="64" t="s">
        <v>73</v>
      </c>
      <c r="N921" s="64" t="s">
        <v>74</v>
      </c>
      <c r="O921" s="64" t="s">
        <v>75</v>
      </c>
      <c r="P921" s="69">
        <v>44228</v>
      </c>
      <c r="Q921" s="69">
        <v>44560</v>
      </c>
      <c r="R921" s="64">
        <v>1</v>
      </c>
      <c r="S921" s="65"/>
      <c r="T921" s="64"/>
      <c r="U921" s="75"/>
      <c r="V921" s="674">
        <v>0</v>
      </c>
      <c r="W921" s="75"/>
      <c r="X921" s="75"/>
      <c r="Y921" s="75"/>
      <c r="Z921" s="75"/>
      <c r="AA921" s="75"/>
      <c r="AB921" s="75"/>
      <c r="AC921" s="75"/>
      <c r="AD921" s="75"/>
      <c r="AE921" s="592"/>
      <c r="AF921" s="259"/>
      <c r="AG921" s="510">
        <v>0</v>
      </c>
      <c r="AH921" s="370">
        <v>0</v>
      </c>
      <c r="AI921" s="154"/>
      <c r="AJ921" s="154"/>
      <c r="AK921" s="154"/>
      <c r="AL921" s="154"/>
      <c r="AM921" s="154"/>
      <c r="AN921" s="64" t="s">
        <v>39</v>
      </c>
      <c r="AO921" s="64"/>
      <c r="AP921" s="64"/>
      <c r="AQ921" s="189"/>
      <c r="AR921" s="64"/>
      <c r="AS921" s="476"/>
      <c r="AT921" s="64"/>
      <c r="AU921" s="646"/>
      <c r="AV921" s="335" t="s">
        <v>127</v>
      </c>
    </row>
    <row r="922" spans="1:48" ht="38.25" customHeight="1" outlineLevel="2" x14ac:dyDescent="0.25">
      <c r="A922" s="63" t="str">
        <f t="shared" si="165"/>
        <v>1.8.1.2.3.64</v>
      </c>
      <c r="B922" s="64">
        <v>1</v>
      </c>
      <c r="C922" s="64">
        <v>8</v>
      </c>
      <c r="D922" s="64">
        <v>1</v>
      </c>
      <c r="E922" s="64">
        <v>2</v>
      </c>
      <c r="F922" s="64">
        <v>3</v>
      </c>
      <c r="G922" s="64">
        <v>64</v>
      </c>
      <c r="H922" s="65"/>
      <c r="I922" s="65"/>
      <c r="J922" s="65"/>
      <c r="K922" s="67" t="s">
        <v>1021</v>
      </c>
      <c r="L922" s="64" t="s">
        <v>72</v>
      </c>
      <c r="M922" s="64" t="s">
        <v>73</v>
      </c>
      <c r="N922" s="64" t="s">
        <v>74</v>
      </c>
      <c r="O922" s="64" t="s">
        <v>75</v>
      </c>
      <c r="P922" s="69">
        <v>44228</v>
      </c>
      <c r="Q922" s="69">
        <v>44560</v>
      </c>
      <c r="R922" s="64">
        <v>1</v>
      </c>
      <c r="S922" s="65"/>
      <c r="T922" s="64"/>
      <c r="U922" s="75"/>
      <c r="V922" s="674">
        <v>0</v>
      </c>
      <c r="W922" s="75"/>
      <c r="X922" s="75"/>
      <c r="Y922" s="75"/>
      <c r="Z922" s="75"/>
      <c r="AA922" s="75"/>
      <c r="AB922" s="75"/>
      <c r="AC922" s="75"/>
      <c r="AD922" s="75"/>
      <c r="AE922" s="592"/>
      <c r="AF922" s="259"/>
      <c r="AG922" s="510">
        <v>0</v>
      </c>
      <c r="AH922" s="370">
        <v>0</v>
      </c>
      <c r="AI922" s="154"/>
      <c r="AJ922" s="154"/>
      <c r="AK922" s="154"/>
      <c r="AL922" s="154"/>
      <c r="AM922" s="154"/>
      <c r="AN922" s="64" t="s">
        <v>39</v>
      </c>
      <c r="AO922" s="64"/>
      <c r="AP922" s="64"/>
      <c r="AQ922" s="189"/>
      <c r="AR922" s="64"/>
      <c r="AS922" s="476"/>
      <c r="AT922" s="64"/>
      <c r="AU922" s="646"/>
      <c r="AV922" s="335" t="s">
        <v>127</v>
      </c>
    </row>
    <row r="923" spans="1:48" ht="28.5" customHeight="1" outlineLevel="2" x14ac:dyDescent="0.25">
      <c r="A923" s="63" t="str">
        <f t="shared" si="165"/>
        <v>1.8.1.2.4.58-64</v>
      </c>
      <c r="B923" s="64">
        <v>1</v>
      </c>
      <c r="C923" s="64">
        <v>8</v>
      </c>
      <c r="D923" s="64">
        <v>1</v>
      </c>
      <c r="E923" s="64">
        <v>2</v>
      </c>
      <c r="F923" s="64">
        <v>4</v>
      </c>
      <c r="G923" s="64" t="s">
        <v>64</v>
      </c>
      <c r="H923" s="65"/>
      <c r="I923" s="65"/>
      <c r="J923" s="66"/>
      <c r="K923" s="67" t="s">
        <v>1022</v>
      </c>
      <c r="L923" s="64" t="s">
        <v>72</v>
      </c>
      <c r="M923" s="64" t="s">
        <v>73</v>
      </c>
      <c r="N923" s="64" t="s">
        <v>74</v>
      </c>
      <c r="O923" s="64" t="s">
        <v>75</v>
      </c>
      <c r="P923" s="69">
        <v>44228</v>
      </c>
      <c r="Q923" s="69">
        <v>44377</v>
      </c>
      <c r="R923" s="64">
        <v>1</v>
      </c>
      <c r="S923" s="65" t="s">
        <v>73</v>
      </c>
      <c r="T923" s="64">
        <v>1</v>
      </c>
      <c r="U923" s="75"/>
      <c r="V923" s="674">
        <v>0</v>
      </c>
      <c r="W923" s="75"/>
      <c r="X923" s="75"/>
      <c r="Y923" s="75"/>
      <c r="Z923" s="75"/>
      <c r="AA923" s="75"/>
      <c r="AB923" s="75"/>
      <c r="AC923" s="75"/>
      <c r="AD923" s="75"/>
      <c r="AE923" s="592"/>
      <c r="AF923" s="259"/>
      <c r="AG923" s="510">
        <v>0</v>
      </c>
      <c r="AH923" s="370">
        <v>0</v>
      </c>
      <c r="AI923" s="154"/>
      <c r="AJ923" s="154"/>
      <c r="AK923" s="154"/>
      <c r="AL923" s="154"/>
      <c r="AM923" s="154"/>
      <c r="AN923" s="64" t="s">
        <v>39</v>
      </c>
      <c r="AO923" s="64"/>
      <c r="AP923" s="64"/>
      <c r="AQ923" s="189"/>
      <c r="AR923" s="64"/>
      <c r="AS923" s="476"/>
      <c r="AT923" s="64"/>
      <c r="AU923" s="646"/>
      <c r="AV923" s="185"/>
    </row>
    <row r="924" spans="1:48" s="153" customFormat="1" ht="24" customHeight="1" outlineLevel="1" x14ac:dyDescent="0.25">
      <c r="A924" s="148" t="str">
        <f t="shared" si="165"/>
        <v>1.8.1.3.0.0</v>
      </c>
      <c r="B924" s="82">
        <v>1</v>
      </c>
      <c r="C924" s="82">
        <v>8</v>
      </c>
      <c r="D924" s="82">
        <v>1</v>
      </c>
      <c r="E924" s="82">
        <v>3</v>
      </c>
      <c r="F924" s="82">
        <v>0</v>
      </c>
      <c r="G924" s="82">
        <v>0</v>
      </c>
      <c r="H924" s="149"/>
      <c r="I924" s="149"/>
      <c r="J924" s="1260" t="s">
        <v>1023</v>
      </c>
      <c r="K924" s="1259"/>
      <c r="L924" s="82" t="s">
        <v>359</v>
      </c>
      <c r="M924" s="82" t="s">
        <v>1024</v>
      </c>
      <c r="N924" s="82" t="s">
        <v>1025</v>
      </c>
      <c r="O924" s="82" t="s">
        <v>1026</v>
      </c>
      <c r="P924" s="82"/>
      <c r="Q924" s="82"/>
      <c r="R924" s="82"/>
      <c r="S924" s="149"/>
      <c r="T924" s="82"/>
      <c r="U924" s="379">
        <f t="shared" ref="U924:AG924" si="173">+SUM(U925:U929)</f>
        <v>0</v>
      </c>
      <c r="V924" s="682">
        <f t="shared" si="173"/>
        <v>0</v>
      </c>
      <c r="W924" s="379">
        <f t="shared" si="173"/>
        <v>0</v>
      </c>
      <c r="X924" s="379">
        <f t="shared" si="173"/>
        <v>0</v>
      </c>
      <c r="Y924" s="379">
        <f t="shared" si="173"/>
        <v>0</v>
      </c>
      <c r="Z924" s="379">
        <f t="shared" si="173"/>
        <v>0</v>
      </c>
      <c r="AA924" s="379">
        <f t="shared" si="173"/>
        <v>0</v>
      </c>
      <c r="AB924" s="379">
        <f t="shared" si="173"/>
        <v>0</v>
      </c>
      <c r="AC924" s="379">
        <f t="shared" si="173"/>
        <v>0</v>
      </c>
      <c r="AD924" s="379">
        <f t="shared" si="173"/>
        <v>0</v>
      </c>
      <c r="AE924" s="379">
        <f t="shared" si="173"/>
        <v>0</v>
      </c>
      <c r="AF924" s="379">
        <f t="shared" si="173"/>
        <v>0</v>
      </c>
      <c r="AG924" s="379">
        <f t="shared" si="173"/>
        <v>0</v>
      </c>
      <c r="AH924" s="379">
        <f>+SUM(AH925:AH929)</f>
        <v>0</v>
      </c>
      <c r="AI924" s="512">
        <f>+SUM(AI925:AI929)</f>
        <v>0</v>
      </c>
      <c r="AJ924" s="512">
        <f>+SUM(AJ925:AJ929)</f>
        <v>0</v>
      </c>
      <c r="AK924" s="152"/>
      <c r="AL924" s="152"/>
      <c r="AM924" s="152"/>
      <c r="AN924" s="82" t="s">
        <v>39</v>
      </c>
      <c r="AO924" s="82"/>
      <c r="AP924" s="82"/>
      <c r="AQ924" s="365"/>
      <c r="AR924" s="82"/>
      <c r="AS924" s="483"/>
      <c r="AT924" s="82"/>
      <c r="AU924" s="666"/>
      <c r="AV924" s="444"/>
    </row>
    <row r="925" spans="1:48" ht="24.75" customHeight="1" outlineLevel="3" x14ac:dyDescent="0.25">
      <c r="A925" s="63" t="str">
        <f t="shared" si="165"/>
        <v>1.8.1.3.1.0</v>
      </c>
      <c r="B925" s="64">
        <v>1</v>
      </c>
      <c r="C925" s="64">
        <v>8</v>
      </c>
      <c r="D925" s="64">
        <v>1</v>
      </c>
      <c r="E925" s="64">
        <v>3</v>
      </c>
      <c r="F925" s="64">
        <v>1</v>
      </c>
      <c r="G925" s="64">
        <v>0</v>
      </c>
      <c r="H925" s="65"/>
      <c r="I925" s="65"/>
      <c r="J925" s="65"/>
      <c r="K925" s="65" t="s">
        <v>1027</v>
      </c>
      <c r="L925" s="64" t="s">
        <v>359</v>
      </c>
      <c r="M925" s="64" t="s">
        <v>1028</v>
      </c>
      <c r="N925" s="64" t="s">
        <v>1025</v>
      </c>
      <c r="O925" s="64" t="s">
        <v>1026</v>
      </c>
      <c r="P925" s="64"/>
      <c r="Q925" s="64"/>
      <c r="R925" s="64"/>
      <c r="S925" s="65"/>
      <c r="T925" s="64"/>
      <c r="U925" s="75"/>
      <c r="V925" s="674">
        <v>0</v>
      </c>
      <c r="W925" s="75"/>
      <c r="X925" s="75"/>
      <c r="Y925" s="75"/>
      <c r="Z925" s="75"/>
      <c r="AA925" s="75"/>
      <c r="AB925" s="75"/>
      <c r="AC925" s="75"/>
      <c r="AD925" s="75"/>
      <c r="AE925" s="592"/>
      <c r="AF925" s="259"/>
      <c r="AG925" s="510">
        <v>0</v>
      </c>
      <c r="AH925" s="370">
        <v>0</v>
      </c>
      <c r="AI925" s="75"/>
      <c r="AJ925" s="75"/>
      <c r="AK925" s="75"/>
      <c r="AL925" s="75"/>
      <c r="AM925" s="75"/>
      <c r="AN925" s="64" t="s">
        <v>39</v>
      </c>
      <c r="AO925" s="64"/>
      <c r="AP925" s="64"/>
      <c r="AQ925" s="189"/>
      <c r="AR925" s="64"/>
      <c r="AS925" s="476"/>
      <c r="AT925" s="64"/>
      <c r="AU925" s="646"/>
      <c r="AV925" s="185" t="s">
        <v>1029</v>
      </c>
    </row>
    <row r="926" spans="1:48" ht="27" customHeight="1" outlineLevel="3" x14ac:dyDescent="0.25">
      <c r="A926" s="63" t="str">
        <f t="shared" si="165"/>
        <v>1.8.1.3.2.58-64</v>
      </c>
      <c r="B926" s="64">
        <v>1</v>
      </c>
      <c r="C926" s="64">
        <v>8</v>
      </c>
      <c r="D926" s="64">
        <v>1</v>
      </c>
      <c r="E926" s="64">
        <v>3</v>
      </c>
      <c r="F926" s="64">
        <v>2</v>
      </c>
      <c r="G926" s="64" t="s">
        <v>64</v>
      </c>
      <c r="H926" s="65"/>
      <c r="I926" s="65"/>
      <c r="J926" s="66"/>
      <c r="K926" s="65" t="s">
        <v>1030</v>
      </c>
      <c r="L926" s="64" t="s">
        <v>359</v>
      </c>
      <c r="M926" s="64" t="s">
        <v>1031</v>
      </c>
      <c r="N926" s="64" t="s">
        <v>1025</v>
      </c>
      <c r="O926" s="64" t="s">
        <v>1026</v>
      </c>
      <c r="P926" s="64"/>
      <c r="Q926" s="64"/>
      <c r="R926" s="64"/>
      <c r="S926" s="65"/>
      <c r="T926" s="64"/>
      <c r="U926" s="75"/>
      <c r="V926" s="674">
        <v>0</v>
      </c>
      <c r="W926" s="75"/>
      <c r="X926" s="75"/>
      <c r="Y926" s="75"/>
      <c r="Z926" s="75"/>
      <c r="AA926" s="75"/>
      <c r="AB926" s="75"/>
      <c r="AC926" s="75"/>
      <c r="AD926" s="75"/>
      <c r="AE926" s="592"/>
      <c r="AF926" s="259"/>
      <c r="AG926" s="510">
        <v>0</v>
      </c>
      <c r="AH926" s="370">
        <v>0</v>
      </c>
      <c r="AI926" s="75"/>
      <c r="AJ926" s="75"/>
      <c r="AK926" s="75"/>
      <c r="AL926" s="75"/>
      <c r="AM926" s="75"/>
      <c r="AN926" s="64" t="s">
        <v>39</v>
      </c>
      <c r="AO926" s="64"/>
      <c r="AP926" s="64"/>
      <c r="AQ926" s="189"/>
      <c r="AR926" s="64"/>
      <c r="AS926" s="476"/>
      <c r="AT926" s="64"/>
      <c r="AU926" s="646"/>
      <c r="AV926" s="185" t="s">
        <v>1029</v>
      </c>
    </row>
    <row r="927" spans="1:48" ht="27" customHeight="1" outlineLevel="3" x14ac:dyDescent="0.25">
      <c r="A927" s="63" t="str">
        <f t="shared" si="165"/>
        <v>1.8.1.3.3.58-64</v>
      </c>
      <c r="B927" s="64">
        <v>1</v>
      </c>
      <c r="C927" s="64">
        <v>8</v>
      </c>
      <c r="D927" s="64">
        <v>1</v>
      </c>
      <c r="E927" s="64">
        <v>3</v>
      </c>
      <c r="F927" s="64">
        <v>3</v>
      </c>
      <c r="G927" s="64" t="s">
        <v>64</v>
      </c>
      <c r="H927" s="65"/>
      <c r="I927" s="65"/>
      <c r="J927" s="66"/>
      <c r="K927" s="65" t="s">
        <v>1032</v>
      </c>
      <c r="L927" s="64" t="s">
        <v>359</v>
      </c>
      <c r="M927" s="64" t="s">
        <v>1033</v>
      </c>
      <c r="N927" s="64" t="s">
        <v>1025</v>
      </c>
      <c r="O927" s="64" t="s">
        <v>1026</v>
      </c>
      <c r="P927" s="64"/>
      <c r="Q927" s="64"/>
      <c r="R927" s="64"/>
      <c r="S927" s="65"/>
      <c r="T927" s="64"/>
      <c r="U927" s="75"/>
      <c r="V927" s="674">
        <v>0</v>
      </c>
      <c r="W927" s="75"/>
      <c r="X927" s="75"/>
      <c r="Y927" s="75"/>
      <c r="Z927" s="75"/>
      <c r="AA927" s="75"/>
      <c r="AB927" s="75"/>
      <c r="AC927" s="75"/>
      <c r="AD927" s="75"/>
      <c r="AE927" s="592"/>
      <c r="AF927" s="259"/>
      <c r="AG927" s="510">
        <v>0</v>
      </c>
      <c r="AH927" s="370">
        <v>0</v>
      </c>
      <c r="AI927" s="75"/>
      <c r="AJ927" s="75"/>
      <c r="AK927" s="75"/>
      <c r="AL927" s="75"/>
      <c r="AM927" s="75"/>
      <c r="AN927" s="64" t="s">
        <v>39</v>
      </c>
      <c r="AO927" s="64"/>
      <c r="AP927" s="64"/>
      <c r="AQ927" s="189"/>
      <c r="AR927" s="64"/>
      <c r="AS927" s="476"/>
      <c r="AT927" s="64"/>
      <c r="AU927" s="646"/>
      <c r="AV927" s="185" t="s">
        <v>1029</v>
      </c>
    </row>
    <row r="928" spans="1:48" ht="39" customHeight="1" outlineLevel="3" x14ac:dyDescent="0.25">
      <c r="A928" s="63" t="str">
        <f t="shared" ref="A928:A991" si="174">CONCATENATE(B928,".",C928,".",D928,".",E928,".",F928,".",G928)</f>
        <v>1.8.1.3.4.58-64</v>
      </c>
      <c r="B928" s="64">
        <v>1</v>
      </c>
      <c r="C928" s="64">
        <v>8</v>
      </c>
      <c r="D928" s="64">
        <v>1</v>
      </c>
      <c r="E928" s="64">
        <v>3</v>
      </c>
      <c r="F928" s="64">
        <v>4</v>
      </c>
      <c r="G928" s="64" t="s">
        <v>64</v>
      </c>
      <c r="H928" s="65"/>
      <c r="I928" s="65"/>
      <c r="J928" s="65"/>
      <c r="K928" s="67" t="s">
        <v>1034</v>
      </c>
      <c r="L928" s="64" t="s">
        <v>359</v>
      </c>
      <c r="M928" s="64" t="s">
        <v>930</v>
      </c>
      <c r="N928" s="64" t="s">
        <v>1025</v>
      </c>
      <c r="O928" s="64" t="s">
        <v>1026</v>
      </c>
      <c r="P928" s="64"/>
      <c r="Q928" s="64"/>
      <c r="R928" s="64"/>
      <c r="S928" s="65"/>
      <c r="T928" s="64"/>
      <c r="U928" s="75"/>
      <c r="V928" s="674">
        <v>0</v>
      </c>
      <c r="W928" s="75"/>
      <c r="X928" s="75"/>
      <c r="Y928" s="75"/>
      <c r="Z928" s="75"/>
      <c r="AA928" s="75"/>
      <c r="AB928" s="75"/>
      <c r="AC928" s="75"/>
      <c r="AD928" s="75"/>
      <c r="AE928" s="592"/>
      <c r="AF928" s="259"/>
      <c r="AG928" s="510">
        <v>0</v>
      </c>
      <c r="AH928" s="370">
        <v>0</v>
      </c>
      <c r="AI928" s="75"/>
      <c r="AJ928" s="75"/>
      <c r="AK928" s="75"/>
      <c r="AL928" s="75"/>
      <c r="AM928" s="75"/>
      <c r="AN928" s="64" t="s">
        <v>39</v>
      </c>
      <c r="AO928" s="64"/>
      <c r="AP928" s="64"/>
      <c r="AQ928" s="189"/>
      <c r="AR928" s="64"/>
      <c r="AS928" s="476"/>
      <c r="AT928" s="64"/>
      <c r="AU928" s="646"/>
      <c r="AV928" s="185" t="s">
        <v>1029</v>
      </c>
    </row>
    <row r="929" spans="1:48" ht="29.25" customHeight="1" outlineLevel="3" x14ac:dyDescent="0.25">
      <c r="A929" s="63" t="str">
        <f t="shared" si="174"/>
        <v>1.8.1.3.5.58-64</v>
      </c>
      <c r="B929" s="64">
        <v>1</v>
      </c>
      <c r="C929" s="64">
        <v>8</v>
      </c>
      <c r="D929" s="64">
        <v>1</v>
      </c>
      <c r="E929" s="64">
        <v>3</v>
      </c>
      <c r="F929" s="64">
        <v>5</v>
      </c>
      <c r="G929" s="64" t="s">
        <v>64</v>
      </c>
      <c r="H929" s="65"/>
      <c r="I929" s="65"/>
      <c r="J929" s="65"/>
      <c r="K929" s="65" t="s">
        <v>1035</v>
      </c>
      <c r="L929" s="64" t="s">
        <v>359</v>
      </c>
      <c r="M929" s="64" t="s">
        <v>1036</v>
      </c>
      <c r="N929" s="64" t="s">
        <v>1025</v>
      </c>
      <c r="O929" s="64" t="s">
        <v>1026</v>
      </c>
      <c r="P929" s="64"/>
      <c r="Q929" s="64"/>
      <c r="R929" s="64"/>
      <c r="S929" s="65"/>
      <c r="T929" s="64"/>
      <c r="U929" s="75"/>
      <c r="V929" s="674">
        <v>0</v>
      </c>
      <c r="W929" s="75"/>
      <c r="X929" s="75"/>
      <c r="Y929" s="75"/>
      <c r="Z929" s="75"/>
      <c r="AA929" s="75"/>
      <c r="AB929" s="75"/>
      <c r="AC929" s="75"/>
      <c r="AD929" s="75"/>
      <c r="AE929" s="592"/>
      <c r="AF929" s="259"/>
      <c r="AG929" s="510">
        <v>0</v>
      </c>
      <c r="AH929" s="370">
        <v>0</v>
      </c>
      <c r="AI929" s="75"/>
      <c r="AJ929" s="75"/>
      <c r="AK929" s="75"/>
      <c r="AL929" s="75"/>
      <c r="AM929" s="75"/>
      <c r="AN929" s="64" t="s">
        <v>39</v>
      </c>
      <c r="AO929" s="64"/>
      <c r="AP929" s="64"/>
      <c r="AQ929" s="189"/>
      <c r="AR929" s="64"/>
      <c r="AS929" s="476"/>
      <c r="AT929" s="64"/>
      <c r="AU929" s="646"/>
      <c r="AV929" s="185" t="s">
        <v>1029</v>
      </c>
    </row>
    <row r="930" spans="1:48" s="153" customFormat="1" ht="36" customHeight="1" outlineLevel="1" x14ac:dyDescent="0.25">
      <c r="A930" s="108" t="str">
        <f t="shared" si="174"/>
        <v>1.9.1.0.0.0</v>
      </c>
      <c r="B930" s="109">
        <v>1</v>
      </c>
      <c r="C930" s="109">
        <v>9</v>
      </c>
      <c r="D930" s="109">
        <v>1</v>
      </c>
      <c r="E930" s="109">
        <v>0</v>
      </c>
      <c r="F930" s="109">
        <v>0</v>
      </c>
      <c r="G930" s="109">
        <v>0</v>
      </c>
      <c r="H930" s="110"/>
      <c r="I930" s="1258" t="s">
        <v>1037</v>
      </c>
      <c r="J930" s="1259"/>
      <c r="K930" s="1259"/>
      <c r="L930" s="109" t="s">
        <v>359</v>
      </c>
      <c r="M930" s="113" t="s">
        <v>1038</v>
      </c>
      <c r="N930" s="109" t="s">
        <v>226</v>
      </c>
      <c r="O930" s="109" t="s">
        <v>1039</v>
      </c>
      <c r="P930" s="109"/>
      <c r="Q930" s="109"/>
      <c r="R930" s="109"/>
      <c r="S930" s="110"/>
      <c r="T930" s="109"/>
      <c r="U930" s="374">
        <f t="shared" ref="U930:AG930" si="175">+U931</f>
        <v>0</v>
      </c>
      <c r="V930" s="686">
        <f t="shared" si="175"/>
        <v>0</v>
      </c>
      <c r="W930" s="374">
        <f t="shared" si="175"/>
        <v>0</v>
      </c>
      <c r="X930" s="374">
        <f t="shared" si="175"/>
        <v>0</v>
      </c>
      <c r="Y930" s="374">
        <f t="shared" si="175"/>
        <v>0</v>
      </c>
      <c r="Z930" s="374">
        <f t="shared" si="175"/>
        <v>0</v>
      </c>
      <c r="AA930" s="374">
        <f t="shared" si="175"/>
        <v>0</v>
      </c>
      <c r="AB930" s="374">
        <f t="shared" si="175"/>
        <v>0</v>
      </c>
      <c r="AC930" s="374">
        <f t="shared" si="175"/>
        <v>0</v>
      </c>
      <c r="AD930" s="374">
        <f t="shared" si="175"/>
        <v>0</v>
      </c>
      <c r="AE930" s="374">
        <f t="shared" si="175"/>
        <v>0</v>
      </c>
      <c r="AF930" s="374">
        <f t="shared" si="175"/>
        <v>0</v>
      </c>
      <c r="AG930" s="374">
        <f t="shared" si="175"/>
        <v>0</v>
      </c>
      <c r="AH930" s="374">
        <f>+AH931</f>
        <v>0</v>
      </c>
      <c r="AI930" s="514">
        <f>+AI931</f>
        <v>0</v>
      </c>
      <c r="AJ930" s="514">
        <f>+AJ931</f>
        <v>0</v>
      </c>
      <c r="AK930" s="112"/>
      <c r="AL930" s="112"/>
      <c r="AM930" s="112"/>
      <c r="AN930" s="109" t="s">
        <v>39</v>
      </c>
      <c r="AO930" s="109"/>
      <c r="AP930" s="109"/>
      <c r="AQ930" s="411"/>
      <c r="AR930" s="109"/>
      <c r="AS930" s="473"/>
      <c r="AT930" s="109"/>
      <c r="AU930" s="659"/>
      <c r="AV930" s="445"/>
    </row>
    <row r="931" spans="1:48" s="153" customFormat="1" ht="31.5" customHeight="1" outlineLevel="1" x14ac:dyDescent="0.25">
      <c r="A931" s="148" t="str">
        <f t="shared" si="174"/>
        <v>1.9.1.1.0.0</v>
      </c>
      <c r="B931" s="82">
        <v>1</v>
      </c>
      <c r="C931" s="82">
        <v>9</v>
      </c>
      <c r="D931" s="82">
        <v>1</v>
      </c>
      <c r="E931" s="82">
        <v>1</v>
      </c>
      <c r="F931" s="82">
        <v>0</v>
      </c>
      <c r="G931" s="82">
        <v>0</v>
      </c>
      <c r="H931" s="149"/>
      <c r="I931" s="149"/>
      <c r="J931" s="1260" t="s">
        <v>1038</v>
      </c>
      <c r="K931" s="1259"/>
      <c r="L931" s="82">
        <v>0</v>
      </c>
      <c r="M931" s="83" t="s">
        <v>1038</v>
      </c>
      <c r="N931" s="82" t="s">
        <v>226</v>
      </c>
      <c r="O931" s="82" t="s">
        <v>1039</v>
      </c>
      <c r="P931" s="82"/>
      <c r="Q931" s="82"/>
      <c r="R931" s="82"/>
      <c r="S931" s="149"/>
      <c r="T931" s="82"/>
      <c r="U931" s="379">
        <f t="shared" ref="U931:AG931" si="176">SUM(U932:U933)</f>
        <v>0</v>
      </c>
      <c r="V931" s="682">
        <f t="shared" si="176"/>
        <v>0</v>
      </c>
      <c r="W931" s="379">
        <f t="shared" si="176"/>
        <v>0</v>
      </c>
      <c r="X931" s="379">
        <f t="shared" si="176"/>
        <v>0</v>
      </c>
      <c r="Y931" s="379">
        <f t="shared" si="176"/>
        <v>0</v>
      </c>
      <c r="Z931" s="379">
        <f t="shared" si="176"/>
        <v>0</v>
      </c>
      <c r="AA931" s="379">
        <f t="shared" si="176"/>
        <v>0</v>
      </c>
      <c r="AB931" s="379">
        <f t="shared" si="176"/>
        <v>0</v>
      </c>
      <c r="AC931" s="379">
        <f t="shared" si="176"/>
        <v>0</v>
      </c>
      <c r="AD931" s="379">
        <f t="shared" si="176"/>
        <v>0</v>
      </c>
      <c r="AE931" s="379">
        <f t="shared" si="176"/>
        <v>0</v>
      </c>
      <c r="AF931" s="379">
        <f t="shared" si="176"/>
        <v>0</v>
      </c>
      <c r="AG931" s="379">
        <f t="shared" si="176"/>
        <v>0</v>
      </c>
      <c r="AH931" s="379">
        <f t="shared" ref="AH931:AM931" si="177">SUM(AH932:AH933)</f>
        <v>0</v>
      </c>
      <c r="AI931" s="512">
        <f t="shared" si="177"/>
        <v>0</v>
      </c>
      <c r="AJ931" s="512">
        <f t="shared" si="177"/>
        <v>0</v>
      </c>
      <c r="AK931" s="512">
        <f t="shared" si="177"/>
        <v>0</v>
      </c>
      <c r="AL931" s="512">
        <f t="shared" si="177"/>
        <v>0</v>
      </c>
      <c r="AM931" s="512">
        <f t="shared" si="177"/>
        <v>0</v>
      </c>
      <c r="AN931" s="82" t="s">
        <v>39</v>
      </c>
      <c r="AO931" s="82"/>
      <c r="AP931" s="82"/>
      <c r="AQ931" s="365"/>
      <c r="AR931" s="82"/>
      <c r="AS931" s="483"/>
      <c r="AT931" s="82"/>
      <c r="AU931" s="666"/>
      <c r="AV931" s="444"/>
    </row>
    <row r="932" spans="1:48" ht="30.75" customHeight="1" outlineLevel="2" x14ac:dyDescent="0.25">
      <c r="A932" s="63" t="str">
        <f t="shared" si="174"/>
        <v>1.9.1.1.1.58-64</v>
      </c>
      <c r="B932" s="64">
        <v>1</v>
      </c>
      <c r="C932" s="64">
        <v>9</v>
      </c>
      <c r="D932" s="64">
        <v>1</v>
      </c>
      <c r="E932" s="64">
        <v>1</v>
      </c>
      <c r="F932" s="64">
        <v>1</v>
      </c>
      <c r="G932" s="64" t="s">
        <v>64</v>
      </c>
      <c r="H932" s="65"/>
      <c r="I932" s="65"/>
      <c r="J932" s="66"/>
      <c r="K932" s="65" t="s">
        <v>1040</v>
      </c>
      <c r="L932" s="64" t="s">
        <v>910</v>
      </c>
      <c r="M932" s="68" t="s">
        <v>1038</v>
      </c>
      <c r="N932" s="64" t="s">
        <v>1041</v>
      </c>
      <c r="O932" s="64" t="s">
        <v>72</v>
      </c>
      <c r="P932" s="64"/>
      <c r="Q932" s="64"/>
      <c r="R932" s="64"/>
      <c r="S932" s="65"/>
      <c r="T932" s="64"/>
      <c r="U932" s="75">
        <v>0</v>
      </c>
      <c r="V932" s="674">
        <v>0</v>
      </c>
      <c r="W932" s="75"/>
      <c r="X932" s="75"/>
      <c r="Y932" s="75"/>
      <c r="Z932" s="75"/>
      <c r="AA932" s="75"/>
      <c r="AB932" s="75"/>
      <c r="AC932" s="75"/>
      <c r="AD932" s="75"/>
      <c r="AE932" s="592"/>
      <c r="AF932" s="259"/>
      <c r="AG932" s="510">
        <v>0</v>
      </c>
      <c r="AH932" s="370">
        <v>0</v>
      </c>
      <c r="AI932" s="75"/>
      <c r="AJ932" s="75"/>
      <c r="AK932" s="75"/>
      <c r="AL932" s="75"/>
      <c r="AM932" s="75"/>
      <c r="AN932" s="64" t="s">
        <v>39</v>
      </c>
      <c r="AO932" s="64"/>
      <c r="AP932" s="64"/>
      <c r="AQ932" s="189"/>
      <c r="AR932" s="64"/>
      <c r="AS932" s="476"/>
      <c r="AT932" s="64"/>
      <c r="AU932" s="646"/>
      <c r="AV932" s="185"/>
    </row>
    <row r="933" spans="1:48" ht="33" customHeight="1" outlineLevel="2" x14ac:dyDescent="0.25">
      <c r="A933" s="63" t="str">
        <f t="shared" si="174"/>
        <v>1.9.1.1.2.58-64</v>
      </c>
      <c r="B933" s="64">
        <v>1</v>
      </c>
      <c r="C933" s="64">
        <v>9</v>
      </c>
      <c r="D933" s="64">
        <v>1</v>
      </c>
      <c r="E933" s="64">
        <v>1</v>
      </c>
      <c r="F933" s="64">
        <v>2</v>
      </c>
      <c r="G933" s="64" t="s">
        <v>64</v>
      </c>
      <c r="H933" s="65"/>
      <c r="I933" s="65"/>
      <c r="J933" s="66"/>
      <c r="K933" s="65" t="s">
        <v>1042</v>
      </c>
      <c r="L933" s="68" t="s">
        <v>622</v>
      </c>
      <c r="M933" s="64" t="s">
        <v>359</v>
      </c>
      <c r="N933" s="64" t="s">
        <v>1043</v>
      </c>
      <c r="O933" s="64" t="s">
        <v>72</v>
      </c>
      <c r="P933" s="64"/>
      <c r="Q933" s="64"/>
      <c r="R933" s="64"/>
      <c r="S933" s="65"/>
      <c r="T933" s="64"/>
      <c r="U933" s="75">
        <v>0</v>
      </c>
      <c r="V933" s="674">
        <v>0</v>
      </c>
      <c r="W933" s="75"/>
      <c r="X933" s="75"/>
      <c r="Y933" s="75"/>
      <c r="Z933" s="75"/>
      <c r="AA933" s="75"/>
      <c r="AB933" s="75"/>
      <c r="AC933" s="75"/>
      <c r="AD933" s="75"/>
      <c r="AE933" s="592"/>
      <c r="AF933" s="259"/>
      <c r="AG933" s="510">
        <v>0</v>
      </c>
      <c r="AH933" s="370">
        <v>0</v>
      </c>
      <c r="AI933" s="75"/>
      <c r="AJ933" s="75"/>
      <c r="AK933" s="75"/>
      <c r="AL933" s="75"/>
      <c r="AM933" s="75"/>
      <c r="AN933" s="64" t="s">
        <v>39</v>
      </c>
      <c r="AO933" s="64"/>
      <c r="AP933" s="64"/>
      <c r="AQ933" s="189"/>
      <c r="AR933" s="64"/>
      <c r="AS933" s="476"/>
      <c r="AT933" s="64"/>
      <c r="AU933" s="646"/>
      <c r="AV933" s="185"/>
    </row>
    <row r="934" spans="1:48" s="153" customFormat="1" ht="69" customHeight="1" outlineLevel="1" x14ac:dyDescent="0.25">
      <c r="A934" s="108" t="str">
        <f t="shared" si="174"/>
        <v>1.10.2.0.0.0</v>
      </c>
      <c r="B934" s="109">
        <v>1</v>
      </c>
      <c r="C934" s="109">
        <v>10</v>
      </c>
      <c r="D934" s="109">
        <v>2</v>
      </c>
      <c r="E934" s="109">
        <v>0</v>
      </c>
      <c r="F934" s="109">
        <v>0</v>
      </c>
      <c r="G934" s="109">
        <v>0</v>
      </c>
      <c r="H934" s="110"/>
      <c r="I934" s="1258" t="s">
        <v>1044</v>
      </c>
      <c r="J934" s="1259"/>
      <c r="K934" s="1259"/>
      <c r="L934" s="699" t="s">
        <v>236</v>
      </c>
      <c r="M934" s="112" t="s">
        <v>1045</v>
      </c>
      <c r="N934" s="112" t="s">
        <v>1046</v>
      </c>
      <c r="O934" s="112" t="s">
        <v>1047</v>
      </c>
      <c r="P934" s="112"/>
      <c r="Q934" s="112"/>
      <c r="R934" s="112"/>
      <c r="S934" s="241"/>
      <c r="T934" s="109"/>
      <c r="U934" s="112">
        <f>+U935+U951+U962</f>
        <v>70999442.549999997</v>
      </c>
      <c r="V934" s="686">
        <f t="shared" ref="V934:AG934" si="178">+V935+V951+V962</f>
        <v>0</v>
      </c>
      <c r="W934" s="374">
        <f t="shared" si="178"/>
        <v>0</v>
      </c>
      <c r="X934" s="374">
        <f t="shared" si="178"/>
        <v>0</v>
      </c>
      <c r="Y934" s="374">
        <f t="shared" si="178"/>
        <v>0</v>
      </c>
      <c r="Z934" s="374">
        <f t="shared" si="178"/>
        <v>0</v>
      </c>
      <c r="AA934" s="374">
        <f t="shared" si="178"/>
        <v>0</v>
      </c>
      <c r="AB934" s="374">
        <f t="shared" si="178"/>
        <v>0</v>
      </c>
      <c r="AC934" s="374">
        <f t="shared" si="178"/>
        <v>0</v>
      </c>
      <c r="AD934" s="374">
        <f t="shared" si="178"/>
        <v>0</v>
      </c>
      <c r="AE934" s="374">
        <f t="shared" si="178"/>
        <v>0</v>
      </c>
      <c r="AF934" s="374">
        <f t="shared" si="178"/>
        <v>0</v>
      </c>
      <c r="AG934" s="374">
        <f t="shared" si="178"/>
        <v>81827665.019999996</v>
      </c>
      <c r="AH934" s="374">
        <f>+AH935+AH951+AH962</f>
        <v>70999442.549999997</v>
      </c>
      <c r="AI934" s="514">
        <f>+AI935+AI951+AI962</f>
        <v>0</v>
      </c>
      <c r="AJ934" s="514">
        <f>+AJ935+AJ951+AJ962</f>
        <v>0</v>
      </c>
      <c r="AK934" s="112"/>
      <c r="AL934" s="112"/>
      <c r="AM934" s="112"/>
      <c r="AN934" s="109" t="s">
        <v>39</v>
      </c>
      <c r="AO934" s="109"/>
      <c r="AP934" s="109"/>
      <c r="AQ934" s="411"/>
      <c r="AR934" s="109"/>
      <c r="AS934" s="473"/>
      <c r="AT934" s="109"/>
      <c r="AU934" s="659"/>
      <c r="AV934" s="429" t="s">
        <v>1048</v>
      </c>
    </row>
    <row r="935" spans="1:48" s="153" customFormat="1" ht="30" outlineLevel="1" x14ac:dyDescent="0.25">
      <c r="A935" s="148" t="str">
        <f t="shared" si="174"/>
        <v>1.10.2.1.0.0</v>
      </c>
      <c r="B935" s="82">
        <v>1</v>
      </c>
      <c r="C935" s="82">
        <v>10</v>
      </c>
      <c r="D935" s="82">
        <v>2</v>
      </c>
      <c r="E935" s="82">
        <v>1</v>
      </c>
      <c r="F935" s="82">
        <v>0</v>
      </c>
      <c r="G935" s="82">
        <v>0</v>
      </c>
      <c r="H935" s="149"/>
      <c r="I935" s="149"/>
      <c r="J935" s="1260" t="s">
        <v>1049</v>
      </c>
      <c r="K935" s="1259"/>
      <c r="L935" s="82" t="s">
        <v>1050</v>
      </c>
      <c r="M935" s="83" t="s">
        <v>1051</v>
      </c>
      <c r="N935" s="82" t="s">
        <v>1046</v>
      </c>
      <c r="O935" s="82" t="s">
        <v>1052</v>
      </c>
      <c r="P935" s="82"/>
      <c r="Q935" s="82"/>
      <c r="R935" s="82"/>
      <c r="S935" s="149"/>
      <c r="T935" s="82"/>
      <c r="U935" s="209">
        <f t="shared" ref="U935" si="179">SUM(U936:U950)</f>
        <v>70999442.549999997</v>
      </c>
      <c r="V935" s="682">
        <f t="shared" ref="V935:AG935" si="180">+SUM(V936:V950)</f>
        <v>0</v>
      </c>
      <c r="W935" s="379">
        <f t="shared" si="180"/>
        <v>0</v>
      </c>
      <c r="X935" s="379">
        <f t="shared" si="180"/>
        <v>0</v>
      </c>
      <c r="Y935" s="379">
        <f t="shared" si="180"/>
        <v>0</v>
      </c>
      <c r="Z935" s="379">
        <f t="shared" si="180"/>
        <v>0</v>
      </c>
      <c r="AA935" s="379">
        <f t="shared" si="180"/>
        <v>0</v>
      </c>
      <c r="AB935" s="379">
        <f t="shared" si="180"/>
        <v>0</v>
      </c>
      <c r="AC935" s="379">
        <f t="shared" si="180"/>
        <v>0</v>
      </c>
      <c r="AD935" s="379">
        <f t="shared" si="180"/>
        <v>0</v>
      </c>
      <c r="AE935" s="379">
        <f t="shared" si="180"/>
        <v>0</v>
      </c>
      <c r="AF935" s="379">
        <f t="shared" si="180"/>
        <v>0</v>
      </c>
      <c r="AG935" s="379">
        <f t="shared" si="180"/>
        <v>81827665.019999996</v>
      </c>
      <c r="AH935" s="379">
        <f>+SUM(AH936:AH950)</f>
        <v>70999442.549999997</v>
      </c>
      <c r="AI935" s="512">
        <f>+SUM(AI936:AI950)</f>
        <v>0</v>
      </c>
      <c r="AJ935" s="512">
        <f>+SUM(AJ936:AJ950)</f>
        <v>0</v>
      </c>
      <c r="AK935" s="152"/>
      <c r="AL935" s="152"/>
      <c r="AM935" s="152"/>
      <c r="AN935" s="82" t="s">
        <v>39</v>
      </c>
      <c r="AO935" s="82"/>
      <c r="AP935" s="82"/>
      <c r="AQ935" s="365"/>
      <c r="AR935" s="82"/>
      <c r="AS935" s="483"/>
      <c r="AT935" s="82"/>
      <c r="AU935" s="666"/>
      <c r="AV935" s="449" t="s">
        <v>1053</v>
      </c>
    </row>
    <row r="936" spans="1:48" ht="48" customHeight="1" outlineLevel="2" x14ac:dyDescent="0.25">
      <c r="A936" s="63" t="str">
        <f t="shared" si="174"/>
        <v>1.10.2.1.1.58</v>
      </c>
      <c r="B936" s="64">
        <v>1</v>
      </c>
      <c r="C936" s="64">
        <v>10</v>
      </c>
      <c r="D936" s="64">
        <v>2</v>
      </c>
      <c r="E936" s="64">
        <v>1</v>
      </c>
      <c r="F936" s="64">
        <v>1</v>
      </c>
      <c r="G936" s="64">
        <v>58</v>
      </c>
      <c r="H936" s="65"/>
      <c r="I936" s="65"/>
      <c r="J936" s="65"/>
      <c r="K936" s="67" t="s">
        <v>1054</v>
      </c>
      <c r="L936" s="64" t="s">
        <v>1050</v>
      </c>
      <c r="M936" s="64" t="s">
        <v>1051</v>
      </c>
      <c r="N936" s="64" t="s">
        <v>1046</v>
      </c>
      <c r="O936" s="64" t="s">
        <v>1047</v>
      </c>
      <c r="P936" s="170" t="s">
        <v>1055</v>
      </c>
      <c r="Q936" s="170"/>
      <c r="R936" s="170"/>
      <c r="S936" s="170"/>
      <c r="T936" s="170"/>
      <c r="U936" s="97">
        <v>0</v>
      </c>
      <c r="V936" s="684">
        <v>0</v>
      </c>
      <c r="W936" s="97"/>
      <c r="X936" s="97"/>
      <c r="Y936" s="97"/>
      <c r="Z936" s="97"/>
      <c r="AA936" s="97"/>
      <c r="AB936" s="97"/>
      <c r="AC936" s="75"/>
      <c r="AD936" s="75"/>
      <c r="AE936" s="592"/>
      <c r="AF936" s="353"/>
      <c r="AG936" s="510">
        <v>0</v>
      </c>
      <c r="AH936" s="370">
        <v>0</v>
      </c>
      <c r="AI936" s="75"/>
      <c r="AJ936" s="75"/>
      <c r="AK936" s="75"/>
      <c r="AL936" s="75"/>
      <c r="AM936" s="75"/>
      <c r="AN936" s="171" t="s">
        <v>39</v>
      </c>
      <c r="AO936" s="171"/>
      <c r="AP936" s="171"/>
      <c r="AQ936" s="418"/>
      <c r="AS936" s="484"/>
      <c r="AV936" s="185"/>
    </row>
    <row r="937" spans="1:48" ht="48" customHeight="1" outlineLevel="2" x14ac:dyDescent="0.25">
      <c r="A937" s="63" t="str">
        <f t="shared" si="174"/>
        <v>1.10.2.1.1.62</v>
      </c>
      <c r="B937" s="64">
        <v>1</v>
      </c>
      <c r="C937" s="64">
        <v>10</v>
      </c>
      <c r="D937" s="64">
        <v>2</v>
      </c>
      <c r="E937" s="64">
        <v>1</v>
      </c>
      <c r="F937" s="64">
        <v>1</v>
      </c>
      <c r="G937" s="64">
        <v>62</v>
      </c>
      <c r="H937" s="65"/>
      <c r="I937" s="65"/>
      <c r="J937" s="65"/>
      <c r="K937" s="67" t="s">
        <v>1056</v>
      </c>
      <c r="L937" s="64" t="s">
        <v>1050</v>
      </c>
      <c r="M937" s="64" t="s">
        <v>1051</v>
      </c>
      <c r="N937" s="64" t="s">
        <v>1046</v>
      </c>
      <c r="O937" s="64" t="s">
        <v>1047</v>
      </c>
      <c r="P937" s="170"/>
      <c r="Q937" s="170"/>
      <c r="R937" s="170"/>
      <c r="S937" s="170"/>
      <c r="T937" s="170"/>
      <c r="U937" s="97">
        <v>0</v>
      </c>
      <c r="V937" s="684">
        <v>0</v>
      </c>
      <c r="W937" s="97"/>
      <c r="X937" s="97"/>
      <c r="Y937" s="97"/>
      <c r="Z937" s="97"/>
      <c r="AA937" s="97"/>
      <c r="AB937" s="97"/>
      <c r="AC937" s="75"/>
      <c r="AD937" s="75"/>
      <c r="AE937" s="592"/>
      <c r="AF937" s="353"/>
      <c r="AG937" s="510">
        <v>0</v>
      </c>
      <c r="AH937" s="370">
        <v>0</v>
      </c>
      <c r="AI937" s="75"/>
      <c r="AJ937" s="75"/>
      <c r="AK937" s="75"/>
      <c r="AL937" s="75"/>
      <c r="AM937" s="75"/>
      <c r="AN937" s="171" t="s">
        <v>39</v>
      </c>
      <c r="AO937" s="171"/>
      <c r="AP937" s="171"/>
      <c r="AQ937" s="418"/>
      <c r="AS937" s="484"/>
      <c r="AV937" s="185"/>
    </row>
    <row r="938" spans="1:48" ht="48" customHeight="1" outlineLevel="2" x14ac:dyDescent="0.25">
      <c r="A938" s="63" t="str">
        <f t="shared" si="174"/>
        <v>1.10.2.1.1.63</v>
      </c>
      <c r="B938" s="64">
        <v>1</v>
      </c>
      <c r="C938" s="64">
        <v>10</v>
      </c>
      <c r="D938" s="64">
        <v>2</v>
      </c>
      <c r="E938" s="64">
        <v>1</v>
      </c>
      <c r="F938" s="64">
        <v>1</v>
      </c>
      <c r="G938" s="64">
        <v>63</v>
      </c>
      <c r="H938" s="65"/>
      <c r="I938" s="65"/>
      <c r="J938" s="65"/>
      <c r="K938" s="67" t="s">
        <v>1770</v>
      </c>
      <c r="L938" s="64" t="s">
        <v>1050</v>
      </c>
      <c r="M938" s="64" t="s">
        <v>1051</v>
      </c>
      <c r="N938" s="64" t="s">
        <v>1046</v>
      </c>
      <c r="O938" s="64" t="s">
        <v>1047</v>
      </c>
      <c r="P938" s="170"/>
      <c r="Q938" s="170"/>
      <c r="R938" s="170"/>
      <c r="S938" s="170"/>
      <c r="T938" s="170"/>
      <c r="U938" s="97">
        <v>0</v>
      </c>
      <c r="V938" s="684">
        <v>0</v>
      </c>
      <c r="W938" s="97"/>
      <c r="X938" s="97"/>
      <c r="Y938" s="97"/>
      <c r="Z938" s="97"/>
      <c r="AA938" s="97"/>
      <c r="AB938" s="97"/>
      <c r="AC938" s="75"/>
      <c r="AD938" s="75"/>
      <c r="AE938" s="592"/>
      <c r="AF938" s="353"/>
      <c r="AG938" s="510">
        <v>0</v>
      </c>
      <c r="AH938" s="370">
        <v>0</v>
      </c>
      <c r="AI938" s="75"/>
      <c r="AJ938" s="75"/>
      <c r="AK938" s="75"/>
      <c r="AL938" s="75"/>
      <c r="AM938" s="75"/>
      <c r="AN938" s="171" t="s">
        <v>39</v>
      </c>
      <c r="AO938" s="171"/>
      <c r="AP938" s="171"/>
      <c r="AQ938" s="418"/>
      <c r="AS938" s="484"/>
      <c r="AV938" s="185"/>
    </row>
    <row r="939" spans="1:48" ht="48" customHeight="1" outlineLevel="2" x14ac:dyDescent="0.25">
      <c r="A939" s="63" t="str">
        <f t="shared" si="174"/>
        <v>1.10.2.1.1.64</v>
      </c>
      <c r="B939" s="64">
        <v>1</v>
      </c>
      <c r="C939" s="64">
        <v>10</v>
      </c>
      <c r="D939" s="64">
        <v>2</v>
      </c>
      <c r="E939" s="64">
        <v>1</v>
      </c>
      <c r="F939" s="64">
        <v>1</v>
      </c>
      <c r="G939" s="100">
        <v>64</v>
      </c>
      <c r="H939" s="65"/>
      <c r="I939" s="65"/>
      <c r="J939" s="65"/>
      <c r="K939" s="67" t="s">
        <v>1057</v>
      </c>
      <c r="L939" s="64" t="s">
        <v>1050</v>
      </c>
      <c r="M939" s="64" t="s">
        <v>1051</v>
      </c>
      <c r="N939" s="64" t="s">
        <v>1046</v>
      </c>
      <c r="O939" s="64" t="s">
        <v>1047</v>
      </c>
      <c r="P939" s="170"/>
      <c r="Q939" s="197">
        <v>44630</v>
      </c>
      <c r="R939" s="170"/>
      <c r="S939" s="170"/>
      <c r="T939" s="170"/>
      <c r="U939" s="97">
        <v>0</v>
      </c>
      <c r="V939" s="684">
        <v>0</v>
      </c>
      <c r="W939" s="97"/>
      <c r="X939" s="97"/>
      <c r="Y939" s="97"/>
      <c r="Z939" s="97"/>
      <c r="AA939" s="97"/>
      <c r="AB939" s="97"/>
      <c r="AC939" s="75"/>
      <c r="AD939" s="75"/>
      <c r="AE939" s="592"/>
      <c r="AF939" s="353"/>
      <c r="AG939" s="510">
        <v>3940410.1</v>
      </c>
      <c r="AH939" s="370">
        <v>0</v>
      </c>
      <c r="AI939" s="75"/>
      <c r="AJ939" s="75"/>
      <c r="AK939" s="75"/>
      <c r="AL939" s="75"/>
      <c r="AM939" s="75"/>
      <c r="AN939" s="171" t="s">
        <v>39</v>
      </c>
      <c r="AO939" s="171"/>
      <c r="AP939" s="171"/>
      <c r="AQ939" s="418"/>
      <c r="AS939" s="484"/>
      <c r="AV939" s="335" t="s">
        <v>1058</v>
      </c>
    </row>
    <row r="940" spans="1:48" ht="48" customHeight="1" outlineLevel="2" x14ac:dyDescent="0.25">
      <c r="A940" s="63" t="str">
        <f t="shared" si="174"/>
        <v>1.10.2.1.2.58</v>
      </c>
      <c r="B940" s="64">
        <v>1</v>
      </c>
      <c r="C940" s="64">
        <v>10</v>
      </c>
      <c r="D940" s="64">
        <v>2</v>
      </c>
      <c r="E940" s="64">
        <v>1</v>
      </c>
      <c r="F940" s="64">
        <v>2</v>
      </c>
      <c r="G940" s="64">
        <v>58</v>
      </c>
      <c r="H940" s="65"/>
      <c r="I940" s="65"/>
      <c r="J940" s="66"/>
      <c r="K940" s="67" t="s">
        <v>1059</v>
      </c>
      <c r="L940" s="64" t="s">
        <v>1050</v>
      </c>
      <c r="M940" s="64" t="s">
        <v>758</v>
      </c>
      <c r="N940" s="64" t="s">
        <v>1046</v>
      </c>
      <c r="O940" s="64" t="s">
        <v>1047</v>
      </c>
      <c r="P940" s="170" t="s">
        <v>1055</v>
      </c>
      <c r="Q940" s="170"/>
      <c r="R940" s="170"/>
      <c r="S940" s="170"/>
      <c r="T940" s="170"/>
      <c r="U940" s="97">
        <v>0</v>
      </c>
      <c r="V940" s="684">
        <v>0</v>
      </c>
      <c r="W940" s="97"/>
      <c r="X940" s="97"/>
      <c r="Y940" s="97"/>
      <c r="Z940" s="97"/>
      <c r="AA940" s="97"/>
      <c r="AB940" s="97"/>
      <c r="AC940" s="75"/>
      <c r="AD940" s="75"/>
      <c r="AE940" s="592"/>
      <c r="AF940" s="353"/>
      <c r="AG940" s="510">
        <v>0</v>
      </c>
      <c r="AH940" s="370">
        <v>0</v>
      </c>
      <c r="AI940" s="75"/>
      <c r="AJ940" s="75"/>
      <c r="AK940" s="75"/>
      <c r="AL940" s="75"/>
      <c r="AM940" s="75"/>
      <c r="AN940" s="171" t="s">
        <v>39</v>
      </c>
      <c r="AO940" s="171"/>
      <c r="AP940" s="171"/>
      <c r="AQ940" s="418"/>
      <c r="AS940" s="484"/>
      <c r="AV940" s="185"/>
    </row>
    <row r="941" spans="1:48" ht="48" customHeight="1" outlineLevel="2" x14ac:dyDescent="0.25">
      <c r="A941" s="63" t="str">
        <f t="shared" si="174"/>
        <v>1.10.2.1.2.62</v>
      </c>
      <c r="B941" s="64">
        <v>1</v>
      </c>
      <c r="C941" s="64">
        <v>10</v>
      </c>
      <c r="D941" s="64">
        <v>2</v>
      </c>
      <c r="E941" s="64">
        <v>1</v>
      </c>
      <c r="F941" s="64">
        <v>2</v>
      </c>
      <c r="G941" s="64">
        <v>62</v>
      </c>
      <c r="H941" s="65"/>
      <c r="I941" s="65"/>
      <c r="J941" s="66"/>
      <c r="K941" s="67" t="s">
        <v>1060</v>
      </c>
      <c r="L941" s="64" t="s">
        <v>1050</v>
      </c>
      <c r="M941" s="64" t="s">
        <v>758</v>
      </c>
      <c r="N941" s="64" t="s">
        <v>1046</v>
      </c>
      <c r="O941" s="64" t="s">
        <v>1047</v>
      </c>
      <c r="P941" s="170"/>
      <c r="Q941" s="170"/>
      <c r="R941" s="170"/>
      <c r="S941" s="170"/>
      <c r="T941" s="170"/>
      <c r="U941" s="97">
        <v>0</v>
      </c>
      <c r="V941" s="684">
        <v>0</v>
      </c>
      <c r="W941" s="97"/>
      <c r="X941" s="97"/>
      <c r="Y941" s="97"/>
      <c r="Z941" s="97"/>
      <c r="AA941" s="97"/>
      <c r="AB941" s="97"/>
      <c r="AC941" s="75"/>
      <c r="AD941" s="75"/>
      <c r="AE941" s="592"/>
      <c r="AF941" s="353"/>
      <c r="AG941" s="510">
        <v>0</v>
      </c>
      <c r="AH941" s="370">
        <v>0</v>
      </c>
      <c r="AI941" s="75"/>
      <c r="AJ941" s="75"/>
      <c r="AK941" s="75"/>
      <c r="AL941" s="75"/>
      <c r="AM941" s="75"/>
      <c r="AN941" s="171" t="s">
        <v>39</v>
      </c>
      <c r="AO941" s="171"/>
      <c r="AP941" s="171"/>
      <c r="AQ941" s="418"/>
      <c r="AS941" s="484"/>
      <c r="AV941" s="185"/>
    </row>
    <row r="942" spans="1:48" ht="48" customHeight="1" outlineLevel="2" x14ac:dyDescent="0.25">
      <c r="A942" s="63" t="str">
        <f t="shared" si="174"/>
        <v>1.10.2.1.2.63</v>
      </c>
      <c r="B942" s="64">
        <v>1</v>
      </c>
      <c r="C942" s="64">
        <v>10</v>
      </c>
      <c r="D942" s="64">
        <v>2</v>
      </c>
      <c r="E942" s="64">
        <v>1</v>
      </c>
      <c r="F942" s="64">
        <v>2</v>
      </c>
      <c r="G942" s="64">
        <v>63</v>
      </c>
      <c r="H942" s="65"/>
      <c r="I942" s="65"/>
      <c r="J942" s="66"/>
      <c r="K942" s="67" t="s">
        <v>1771</v>
      </c>
      <c r="L942" s="64" t="s">
        <v>1050</v>
      </c>
      <c r="M942" s="64" t="s">
        <v>758</v>
      </c>
      <c r="N942" s="64" t="s">
        <v>1046</v>
      </c>
      <c r="O942" s="64" t="s">
        <v>1047</v>
      </c>
      <c r="P942" s="170"/>
      <c r="Q942" s="170"/>
      <c r="R942" s="170"/>
      <c r="S942" s="170"/>
      <c r="T942" s="170"/>
      <c r="U942" s="97">
        <v>0</v>
      </c>
      <c r="V942" s="684">
        <v>0</v>
      </c>
      <c r="W942" s="97"/>
      <c r="X942" s="97"/>
      <c r="Y942" s="97"/>
      <c r="Z942" s="97"/>
      <c r="AA942" s="97"/>
      <c r="AB942" s="97"/>
      <c r="AC942" s="75"/>
      <c r="AD942" s="75"/>
      <c r="AE942" s="592"/>
      <c r="AF942" s="353"/>
      <c r="AG942" s="510">
        <v>0</v>
      </c>
      <c r="AH942" s="370">
        <v>0</v>
      </c>
      <c r="AI942" s="75"/>
      <c r="AJ942" s="75"/>
      <c r="AK942" s="75"/>
      <c r="AL942" s="75"/>
      <c r="AM942" s="75"/>
      <c r="AN942" s="171" t="s">
        <v>39</v>
      </c>
      <c r="AO942" s="171"/>
      <c r="AP942" s="171"/>
      <c r="AQ942" s="418"/>
      <c r="AS942" s="484"/>
      <c r="AV942" s="185"/>
    </row>
    <row r="943" spans="1:48" ht="48" customHeight="1" outlineLevel="2" x14ac:dyDescent="0.25">
      <c r="A943" s="63" t="str">
        <f t="shared" si="174"/>
        <v>1.10.2.1.2.64</v>
      </c>
      <c r="B943" s="64">
        <v>1</v>
      </c>
      <c r="C943" s="64">
        <v>10</v>
      </c>
      <c r="D943" s="64">
        <v>2</v>
      </c>
      <c r="E943" s="64">
        <v>1</v>
      </c>
      <c r="F943" s="64">
        <v>2</v>
      </c>
      <c r="G943" s="64">
        <v>64</v>
      </c>
      <c r="H943" s="65"/>
      <c r="I943" s="65"/>
      <c r="J943" s="66"/>
      <c r="K943" s="67" t="s">
        <v>1061</v>
      </c>
      <c r="L943" s="64" t="s">
        <v>1050</v>
      </c>
      <c r="M943" s="64" t="s">
        <v>758</v>
      </c>
      <c r="N943" s="64" t="s">
        <v>1046</v>
      </c>
      <c r="O943" s="64" t="s">
        <v>1047</v>
      </c>
      <c r="P943" s="170"/>
      <c r="Q943" s="170"/>
      <c r="R943" s="170"/>
      <c r="S943" s="170"/>
      <c r="T943" s="170"/>
      <c r="U943" s="97">
        <v>0</v>
      </c>
      <c r="V943" s="684">
        <v>0</v>
      </c>
      <c r="W943" s="97"/>
      <c r="X943" s="97"/>
      <c r="Y943" s="97"/>
      <c r="Z943" s="97"/>
      <c r="AA943" s="97"/>
      <c r="AB943" s="97"/>
      <c r="AC943" s="75"/>
      <c r="AD943" s="75"/>
      <c r="AE943" s="592"/>
      <c r="AF943" s="353"/>
      <c r="AG943" s="510">
        <v>0</v>
      </c>
      <c r="AH943" s="370">
        <v>0</v>
      </c>
      <c r="AI943" s="75"/>
      <c r="AJ943" s="75"/>
      <c r="AK943" s="75"/>
      <c r="AL943" s="75"/>
      <c r="AM943" s="75"/>
      <c r="AN943" s="171" t="s">
        <v>39</v>
      </c>
      <c r="AO943" s="171"/>
      <c r="AP943" s="171"/>
      <c r="AQ943" s="418"/>
      <c r="AS943" s="484"/>
      <c r="AV943" s="185"/>
    </row>
    <row r="944" spans="1:48" ht="48" customHeight="1" outlineLevel="2" x14ac:dyDescent="0.25">
      <c r="A944" s="63" t="str">
        <f>CONCATENATE(B944,".",C944,".",D944,".",E944,".",F944,".",G944)</f>
        <v>1.10.2.1.3.60-61-64</v>
      </c>
      <c r="B944" s="64">
        <v>1</v>
      </c>
      <c r="C944" s="64">
        <v>10</v>
      </c>
      <c r="D944" s="64">
        <v>2</v>
      </c>
      <c r="E944" s="64">
        <v>1</v>
      </c>
      <c r="F944" s="64">
        <v>3</v>
      </c>
      <c r="G944" s="64" t="s">
        <v>1062</v>
      </c>
      <c r="H944" s="65"/>
      <c r="I944" s="65"/>
      <c r="J944" s="66"/>
      <c r="K944" s="67" t="s">
        <v>1063</v>
      </c>
      <c r="L944" s="64" t="s">
        <v>1050</v>
      </c>
      <c r="M944" s="68" t="s">
        <v>1064</v>
      </c>
      <c r="N944" s="68" t="s">
        <v>1065</v>
      </c>
      <c r="O944" s="64" t="s">
        <v>1066</v>
      </c>
      <c r="P944" s="63" t="s">
        <v>1067</v>
      </c>
      <c r="Q944" s="170"/>
      <c r="R944" s="170"/>
      <c r="S944" s="170"/>
      <c r="T944" s="170"/>
      <c r="U944" s="97">
        <v>0</v>
      </c>
      <c r="V944" s="684">
        <v>0</v>
      </c>
      <c r="W944" s="97"/>
      <c r="X944" s="97"/>
      <c r="Y944" s="97"/>
      <c r="Z944" s="97"/>
      <c r="AA944" s="97"/>
      <c r="AB944" s="97"/>
      <c r="AC944" s="75"/>
      <c r="AD944" s="75"/>
      <c r="AE944" s="592"/>
      <c r="AF944" s="353"/>
      <c r="AG944" s="510">
        <v>0</v>
      </c>
      <c r="AH944" s="370">
        <v>0</v>
      </c>
      <c r="AI944" s="75"/>
      <c r="AJ944" s="75"/>
      <c r="AK944" s="75"/>
      <c r="AL944" s="75"/>
      <c r="AM944" s="75"/>
      <c r="AN944" s="171" t="s">
        <v>39</v>
      </c>
      <c r="AO944" s="171"/>
      <c r="AP944" s="171"/>
      <c r="AQ944" s="418"/>
      <c r="AS944" s="484"/>
      <c r="AV944" s="185"/>
    </row>
    <row r="945" spans="1:48" ht="101.25" customHeight="1" outlineLevel="2" x14ac:dyDescent="0.25">
      <c r="A945" s="63" t="str">
        <f>CONCATENATE(B945,".",C945,".",D945,".",E945,".",F945,".",G945)</f>
        <v>1.10.2.1.4.60</v>
      </c>
      <c r="B945" s="64">
        <v>1</v>
      </c>
      <c r="C945" s="64">
        <v>10</v>
      </c>
      <c r="D945" s="64">
        <v>2</v>
      </c>
      <c r="E945" s="64">
        <v>1</v>
      </c>
      <c r="F945" s="64">
        <v>4</v>
      </c>
      <c r="G945" s="100">
        <v>60</v>
      </c>
      <c r="H945" s="65"/>
      <c r="I945" s="65"/>
      <c r="J945" s="65"/>
      <c r="K945" s="65" t="s">
        <v>1068</v>
      </c>
      <c r="L945" s="64" t="s">
        <v>1050</v>
      </c>
      <c r="M945" s="64" t="s">
        <v>330</v>
      </c>
      <c r="N945" s="64" t="s">
        <v>1046</v>
      </c>
      <c r="O945" s="64" t="s">
        <v>1047</v>
      </c>
      <c r="P945" s="69">
        <v>44201</v>
      </c>
      <c r="Q945" s="69">
        <v>44560</v>
      </c>
      <c r="R945" s="64">
        <v>48</v>
      </c>
      <c r="S945" s="65" t="s">
        <v>1069</v>
      </c>
      <c r="T945" s="64"/>
      <c r="U945" s="75">
        <f>+AH945</f>
        <v>56848319.810000002</v>
      </c>
      <c r="V945" s="684">
        <v>0</v>
      </c>
      <c r="W945" s="75"/>
      <c r="X945" s="75"/>
      <c r="Y945" s="75"/>
      <c r="Z945" s="75"/>
      <c r="AA945" s="75"/>
      <c r="AB945" s="75"/>
      <c r="AC945" s="75"/>
      <c r="AD945" s="75"/>
      <c r="AE945" s="592"/>
      <c r="AF945" s="343" t="s">
        <v>1070</v>
      </c>
      <c r="AG945" s="510">
        <v>56848319.810000002</v>
      </c>
      <c r="AH945" s="370">
        <v>56848319.810000002</v>
      </c>
      <c r="AI945" s="75"/>
      <c r="AJ945" s="75"/>
      <c r="AK945" s="75"/>
      <c r="AL945" s="75"/>
      <c r="AM945" s="75"/>
      <c r="AN945" s="171" t="s">
        <v>39</v>
      </c>
      <c r="AO945" s="171"/>
      <c r="AP945" s="171"/>
      <c r="AQ945" s="418"/>
      <c r="AS945" s="484"/>
      <c r="AV945" s="335" t="s">
        <v>1071</v>
      </c>
    </row>
    <row r="946" spans="1:48" ht="45" customHeight="1" outlineLevel="2" x14ac:dyDescent="0.25">
      <c r="A946" s="63" t="str">
        <f>CONCATENATE(B946,".",C946,".",D946,".",E946,".",F946,".",G946)</f>
        <v>1.10.2.1.4.61</v>
      </c>
      <c r="B946" s="64">
        <v>1</v>
      </c>
      <c r="C946" s="64">
        <v>10</v>
      </c>
      <c r="D946" s="64">
        <v>2</v>
      </c>
      <c r="E946" s="64">
        <v>1</v>
      </c>
      <c r="F946" s="64">
        <v>4</v>
      </c>
      <c r="G946" s="100">
        <v>61</v>
      </c>
      <c r="H946" s="65"/>
      <c r="I946" s="65"/>
      <c r="J946" s="65"/>
      <c r="K946" s="65" t="s">
        <v>1072</v>
      </c>
      <c r="L946" s="64" t="s">
        <v>1050</v>
      </c>
      <c r="M946" s="64" t="s">
        <v>1051</v>
      </c>
      <c r="N946" s="64" t="s">
        <v>1046</v>
      </c>
      <c r="O946" s="64" t="s">
        <v>1047</v>
      </c>
      <c r="P946" s="69">
        <v>44201</v>
      </c>
      <c r="Q946" s="69">
        <v>44560</v>
      </c>
      <c r="R946" s="64">
        <v>39.4</v>
      </c>
      <c r="S946" s="65" t="s">
        <v>1069</v>
      </c>
      <c r="T946" s="64"/>
      <c r="U946" s="75">
        <f>+AH946</f>
        <v>10210712.640000001</v>
      </c>
      <c r="V946" s="684">
        <v>0</v>
      </c>
      <c r="W946" s="75"/>
      <c r="X946" s="75"/>
      <c r="Y946" s="75"/>
      <c r="Z946" s="75"/>
      <c r="AA946" s="75"/>
      <c r="AB946" s="75"/>
      <c r="AC946" s="75"/>
      <c r="AD946" s="75"/>
      <c r="AE946" s="592"/>
      <c r="AF946" s="259"/>
      <c r="AG946" s="510">
        <v>10004699.66</v>
      </c>
      <c r="AH946" s="370">
        <v>10210712.640000001</v>
      </c>
      <c r="AI946" s="75"/>
      <c r="AJ946" s="75"/>
      <c r="AK946" s="75"/>
      <c r="AL946" s="75"/>
      <c r="AM946" s="75"/>
      <c r="AN946" s="171" t="s">
        <v>39</v>
      </c>
      <c r="AO946" s="171"/>
      <c r="AP946" s="171"/>
      <c r="AQ946" s="418"/>
      <c r="AS946" s="484"/>
      <c r="AV946" s="335" t="s">
        <v>1073</v>
      </c>
    </row>
    <row r="947" spans="1:48" ht="36" customHeight="1" outlineLevel="2" x14ac:dyDescent="0.25">
      <c r="A947" s="63" t="str">
        <f t="shared" si="174"/>
        <v>1.10.2.1.4.64</v>
      </c>
      <c r="B947" s="64">
        <v>1</v>
      </c>
      <c r="C947" s="64">
        <v>10</v>
      </c>
      <c r="D947" s="64">
        <v>2</v>
      </c>
      <c r="E947" s="64">
        <v>1</v>
      </c>
      <c r="F947" s="64">
        <v>4</v>
      </c>
      <c r="G947" s="64">
        <v>64</v>
      </c>
      <c r="H947" s="65"/>
      <c r="I947" s="65"/>
      <c r="J947" s="65"/>
      <c r="K947" s="67" t="s">
        <v>1074</v>
      </c>
      <c r="L947" s="64" t="s">
        <v>1050</v>
      </c>
      <c r="M947" s="64" t="s">
        <v>1051</v>
      </c>
      <c r="N947" s="64" t="s">
        <v>1046</v>
      </c>
      <c r="O947" s="64" t="s">
        <v>1047</v>
      </c>
      <c r="P947" s="171">
        <v>44201</v>
      </c>
      <c r="Q947" s="171">
        <v>44560</v>
      </c>
      <c r="R947" s="171">
        <v>36.6</v>
      </c>
      <c r="S947" s="65" t="s">
        <v>1069</v>
      </c>
      <c r="T947" s="64"/>
      <c r="U947" s="75">
        <f t="shared" ref="U947" si="181">+AH947</f>
        <v>3940410.1</v>
      </c>
      <c r="V947" s="684">
        <v>0</v>
      </c>
      <c r="W947" s="75"/>
      <c r="X947" s="75"/>
      <c r="Y947" s="75"/>
      <c r="Z947" s="75"/>
      <c r="AA947" s="75"/>
      <c r="AB947" s="75"/>
      <c r="AC947" s="75"/>
      <c r="AD947" s="75"/>
      <c r="AE947" s="592"/>
      <c r="AF947" s="259"/>
      <c r="AG947" s="510">
        <v>3940410.1</v>
      </c>
      <c r="AH947" s="370">
        <v>3940410.1</v>
      </c>
      <c r="AI947" s="75"/>
      <c r="AJ947" s="75"/>
      <c r="AK947" s="75"/>
      <c r="AL947" s="75"/>
      <c r="AM947" s="75"/>
      <c r="AN947" s="171" t="s">
        <v>39</v>
      </c>
      <c r="AO947" s="171"/>
      <c r="AP947" s="171"/>
      <c r="AQ947" s="418"/>
      <c r="AS947" s="484"/>
      <c r="AV947" s="185"/>
    </row>
    <row r="948" spans="1:48" ht="92.25" customHeight="1" outlineLevel="2" x14ac:dyDescent="0.25">
      <c r="A948" s="63" t="str">
        <f>CONCATENATE(B948,".",C948,".",D948,".",E948,".",F948,".",G948)</f>
        <v>1.10.2.1.5.60</v>
      </c>
      <c r="B948" s="64">
        <v>1</v>
      </c>
      <c r="C948" s="64">
        <v>10</v>
      </c>
      <c r="D948" s="64">
        <v>2</v>
      </c>
      <c r="E948" s="64">
        <v>1</v>
      </c>
      <c r="F948" s="64">
        <v>5</v>
      </c>
      <c r="G948" s="100">
        <v>60</v>
      </c>
      <c r="H948" s="65"/>
      <c r="I948" s="65"/>
      <c r="J948" s="66"/>
      <c r="K948" s="67" t="s">
        <v>1075</v>
      </c>
      <c r="L948" s="64" t="s">
        <v>1050</v>
      </c>
      <c r="M948" s="64" t="s">
        <v>758</v>
      </c>
      <c r="N948" s="64" t="s">
        <v>1046</v>
      </c>
      <c r="O948" s="64" t="s">
        <v>1047</v>
      </c>
      <c r="P948" s="69">
        <v>44201</v>
      </c>
      <c r="Q948" s="69">
        <v>44560</v>
      </c>
      <c r="R948" s="64">
        <v>1</v>
      </c>
      <c r="S948" s="65" t="s">
        <v>767</v>
      </c>
      <c r="T948" s="64"/>
      <c r="U948" s="75">
        <v>0</v>
      </c>
      <c r="V948" s="684">
        <v>0</v>
      </c>
      <c r="W948" s="75"/>
      <c r="X948" s="75"/>
      <c r="Y948" s="75"/>
      <c r="Z948" s="75"/>
      <c r="AA948" s="75"/>
      <c r="AB948" s="75"/>
      <c r="AC948" s="75"/>
      <c r="AD948" s="75"/>
      <c r="AE948" s="592"/>
      <c r="AF948" s="259" t="s">
        <v>1076</v>
      </c>
      <c r="AG948" s="510">
        <v>3020613.81</v>
      </c>
      <c r="AH948" s="370">
        <v>0</v>
      </c>
      <c r="AI948" s="75"/>
      <c r="AJ948" s="75"/>
      <c r="AK948" s="75"/>
      <c r="AL948" s="75"/>
      <c r="AM948" s="75"/>
      <c r="AN948" s="171" t="s">
        <v>39</v>
      </c>
      <c r="AO948" s="171"/>
      <c r="AP948" s="171"/>
      <c r="AQ948" s="418"/>
      <c r="AS948" s="484"/>
      <c r="AV948" s="335" t="s">
        <v>1077</v>
      </c>
    </row>
    <row r="949" spans="1:48" ht="40.5" customHeight="1" outlineLevel="2" x14ac:dyDescent="0.25">
      <c r="A949" s="63" t="str">
        <f t="shared" si="174"/>
        <v>1.10.2.1.5.61</v>
      </c>
      <c r="B949" s="64">
        <v>1</v>
      </c>
      <c r="C949" s="64">
        <v>10</v>
      </c>
      <c r="D949" s="64">
        <v>2</v>
      </c>
      <c r="E949" s="64">
        <v>1</v>
      </c>
      <c r="F949" s="64">
        <v>5</v>
      </c>
      <c r="G949" s="100">
        <v>61</v>
      </c>
      <c r="H949" s="65"/>
      <c r="I949" s="65"/>
      <c r="J949" s="66"/>
      <c r="K949" s="67" t="s">
        <v>1078</v>
      </c>
      <c r="L949" s="64" t="s">
        <v>1050</v>
      </c>
      <c r="M949" s="64" t="s">
        <v>758</v>
      </c>
      <c r="N949" s="64" t="s">
        <v>1046</v>
      </c>
      <c r="O949" s="64" t="s">
        <v>1047</v>
      </c>
      <c r="P949" s="69">
        <v>44201</v>
      </c>
      <c r="Q949" s="69">
        <v>44560</v>
      </c>
      <c r="R949" s="64">
        <v>1</v>
      </c>
      <c r="S949" s="65" t="s">
        <v>767</v>
      </c>
      <c r="T949" s="64"/>
      <c r="U949" s="75">
        <v>0</v>
      </c>
      <c r="V949" s="684">
        <v>0</v>
      </c>
      <c r="W949" s="75"/>
      <c r="X949" s="75"/>
      <c r="Y949" s="75"/>
      <c r="Z949" s="75"/>
      <c r="AA949" s="75"/>
      <c r="AB949" s="75"/>
      <c r="AC949" s="75"/>
      <c r="AD949" s="75"/>
      <c r="AE949" s="592"/>
      <c r="AF949" s="259" t="s">
        <v>1076</v>
      </c>
      <c r="AG949" s="510">
        <v>2103006.4900000002</v>
      </c>
      <c r="AH949" s="370">
        <v>0</v>
      </c>
      <c r="AI949" s="75"/>
      <c r="AJ949" s="75"/>
      <c r="AK949" s="75"/>
      <c r="AL949" s="75"/>
      <c r="AM949" s="75"/>
      <c r="AN949" s="171" t="s">
        <v>39</v>
      </c>
      <c r="AO949" s="171"/>
      <c r="AP949" s="171"/>
      <c r="AQ949" s="418"/>
      <c r="AS949" s="484"/>
      <c r="AV949" s="335" t="s">
        <v>1079</v>
      </c>
    </row>
    <row r="950" spans="1:48" ht="30" customHeight="1" outlineLevel="2" x14ac:dyDescent="0.25">
      <c r="A950" s="63" t="str">
        <f t="shared" si="174"/>
        <v>1.10.2.1.5.64</v>
      </c>
      <c r="B950" s="64">
        <v>1</v>
      </c>
      <c r="C950" s="64">
        <v>10</v>
      </c>
      <c r="D950" s="64">
        <v>2</v>
      </c>
      <c r="E950" s="64">
        <v>1</v>
      </c>
      <c r="F950" s="64">
        <v>5</v>
      </c>
      <c r="G950" s="100">
        <v>64</v>
      </c>
      <c r="H950" s="65"/>
      <c r="I950" s="65"/>
      <c r="J950" s="66"/>
      <c r="K950" s="137" t="s">
        <v>1080</v>
      </c>
      <c r="L950" s="64" t="s">
        <v>1050</v>
      </c>
      <c r="M950" s="64" t="s">
        <v>758</v>
      </c>
      <c r="N950" s="64" t="s">
        <v>1046</v>
      </c>
      <c r="O950" s="64" t="s">
        <v>1047</v>
      </c>
      <c r="P950" s="69">
        <v>44201</v>
      </c>
      <c r="Q950" s="69">
        <v>44560</v>
      </c>
      <c r="R950" s="64">
        <v>1</v>
      </c>
      <c r="S950" s="65" t="s">
        <v>767</v>
      </c>
      <c r="T950" s="64"/>
      <c r="U950" s="75">
        <v>0</v>
      </c>
      <c r="V950" s="684">
        <v>0</v>
      </c>
      <c r="W950" s="75"/>
      <c r="X950" s="75"/>
      <c r="Y950" s="75"/>
      <c r="Z950" s="75"/>
      <c r="AA950" s="75"/>
      <c r="AB950" s="75"/>
      <c r="AC950" s="75"/>
      <c r="AD950" s="75"/>
      <c r="AE950" s="592"/>
      <c r="AF950" s="259" t="s">
        <v>1076</v>
      </c>
      <c r="AG950" s="510">
        <v>1970205.05</v>
      </c>
      <c r="AH950" s="370">
        <v>0</v>
      </c>
      <c r="AI950" s="75"/>
      <c r="AJ950" s="75"/>
      <c r="AK950" s="75"/>
      <c r="AL950" s="75"/>
      <c r="AM950" s="75"/>
      <c r="AN950" s="171" t="s">
        <v>39</v>
      </c>
      <c r="AO950" s="171"/>
      <c r="AP950" s="171"/>
      <c r="AQ950" s="418"/>
      <c r="AS950" s="484"/>
      <c r="AV950" s="335" t="s">
        <v>1079</v>
      </c>
    </row>
    <row r="951" spans="1:48" s="153" customFormat="1" ht="30.75" customHeight="1" outlineLevel="1" x14ac:dyDescent="0.25">
      <c r="A951" s="148" t="str">
        <f t="shared" si="174"/>
        <v>1.10.2.2.0.0</v>
      </c>
      <c r="B951" s="82">
        <v>1</v>
      </c>
      <c r="C951" s="82">
        <v>10</v>
      </c>
      <c r="D951" s="82">
        <v>2</v>
      </c>
      <c r="E951" s="82">
        <v>2</v>
      </c>
      <c r="F951" s="82">
        <v>0</v>
      </c>
      <c r="G951" s="82">
        <v>0</v>
      </c>
      <c r="H951" s="149"/>
      <c r="I951" s="242"/>
      <c r="J951" s="242" t="s">
        <v>1081</v>
      </c>
      <c r="K951" s="242"/>
      <c r="L951" s="82" t="s">
        <v>1082</v>
      </c>
      <c r="M951" s="83" t="s">
        <v>1083</v>
      </c>
      <c r="N951" s="83" t="s">
        <v>1084</v>
      </c>
      <c r="O951" s="82" t="s">
        <v>1085</v>
      </c>
      <c r="P951" s="149"/>
      <c r="Q951" s="149"/>
      <c r="R951" s="82"/>
      <c r="S951" s="149"/>
      <c r="T951" s="82"/>
      <c r="U951" s="384">
        <f>SUM(U952:U961)</f>
        <v>0</v>
      </c>
      <c r="V951" s="682">
        <f>SUM(V952:V961)</f>
        <v>0</v>
      </c>
      <c r="W951" s="152"/>
      <c r="X951" s="152"/>
      <c r="Y951" s="152"/>
      <c r="Z951" s="152"/>
      <c r="AA951" s="152"/>
      <c r="AB951" s="152"/>
      <c r="AC951" s="152"/>
      <c r="AD951" s="152"/>
      <c r="AE951" s="597"/>
      <c r="AF951" s="358"/>
      <c r="AG951" s="149"/>
      <c r="AH951" s="384">
        <f>SUM(AH952:AH961)</f>
        <v>0</v>
      </c>
      <c r="AI951" s="216"/>
      <c r="AJ951" s="216"/>
      <c r="AK951" s="216"/>
      <c r="AL951" s="216"/>
      <c r="AM951" s="216"/>
      <c r="AN951" s="82" t="s">
        <v>39</v>
      </c>
      <c r="AO951" s="82"/>
      <c r="AP951" s="82"/>
      <c r="AQ951" s="365"/>
      <c r="AR951" s="82"/>
      <c r="AS951" s="483"/>
      <c r="AT951" s="82"/>
      <c r="AU951" s="666"/>
      <c r="AV951" s="449" t="s">
        <v>1086</v>
      </c>
    </row>
    <row r="952" spans="1:48" ht="45" customHeight="1" outlineLevel="2" x14ac:dyDescent="0.25">
      <c r="A952" s="63" t="str">
        <f t="shared" si="174"/>
        <v>1.10.2.2.1.58</v>
      </c>
      <c r="B952" s="64">
        <v>1</v>
      </c>
      <c r="C952" s="64">
        <v>10</v>
      </c>
      <c r="D952" s="64">
        <v>2</v>
      </c>
      <c r="E952" s="64">
        <v>2</v>
      </c>
      <c r="F952" s="64">
        <v>1</v>
      </c>
      <c r="G952" s="64">
        <v>58</v>
      </c>
      <c r="H952" s="65"/>
      <c r="I952" s="65"/>
      <c r="J952" s="65"/>
      <c r="K952" s="67" t="s">
        <v>1087</v>
      </c>
      <c r="L952" s="64" t="s">
        <v>1082</v>
      </c>
      <c r="M952" s="68" t="s">
        <v>1088</v>
      </c>
      <c r="N952" s="68" t="s">
        <v>1089</v>
      </c>
      <c r="O952" s="64" t="s">
        <v>1090</v>
      </c>
      <c r="P952" s="65"/>
      <c r="Q952" s="65"/>
      <c r="R952" s="64"/>
      <c r="S952" s="65"/>
      <c r="T952" s="64"/>
      <c r="U952" s="370">
        <v>0</v>
      </c>
      <c r="V952" s="687">
        <v>0</v>
      </c>
      <c r="W952" s="75"/>
      <c r="X952" s="75"/>
      <c r="Y952" s="75"/>
      <c r="Z952" s="75"/>
      <c r="AA952" s="75"/>
      <c r="AB952" s="75"/>
      <c r="AC952" s="75"/>
      <c r="AD952" s="75"/>
      <c r="AE952" s="592"/>
      <c r="AF952" s="259"/>
      <c r="AG952" s="510">
        <v>0</v>
      </c>
      <c r="AH952" s="370">
        <v>0</v>
      </c>
      <c r="AI952" s="75"/>
      <c r="AJ952" s="75"/>
      <c r="AK952" s="75"/>
      <c r="AL952" s="75"/>
      <c r="AM952" s="75"/>
      <c r="AN952" s="64" t="s">
        <v>39</v>
      </c>
      <c r="AO952" s="64"/>
      <c r="AP952" s="64"/>
      <c r="AQ952" s="189"/>
      <c r="AR952" s="64"/>
      <c r="AS952" s="476"/>
      <c r="AT952" s="64"/>
      <c r="AU952" s="646"/>
      <c r="AV952" s="185"/>
    </row>
    <row r="953" spans="1:48" ht="45" customHeight="1" outlineLevel="2" x14ac:dyDescent="0.25">
      <c r="A953" s="63" t="str">
        <f t="shared" si="174"/>
        <v>1.10.2.2.1.59</v>
      </c>
      <c r="B953" s="64">
        <v>1</v>
      </c>
      <c r="C953" s="64">
        <v>10</v>
      </c>
      <c r="D953" s="64">
        <v>2</v>
      </c>
      <c r="E953" s="64">
        <v>2</v>
      </c>
      <c r="F953" s="64">
        <v>1</v>
      </c>
      <c r="G953" s="64">
        <v>59</v>
      </c>
      <c r="H953" s="65"/>
      <c r="I953" s="65"/>
      <c r="J953" s="65"/>
      <c r="K953" s="67" t="s">
        <v>1091</v>
      </c>
      <c r="L953" s="64" t="s">
        <v>1082</v>
      </c>
      <c r="M953" s="68" t="s">
        <v>1088</v>
      </c>
      <c r="N953" s="68" t="s">
        <v>1089</v>
      </c>
      <c r="O953" s="64" t="s">
        <v>1090</v>
      </c>
      <c r="P953" s="243">
        <v>44562</v>
      </c>
      <c r="Q953" s="243">
        <v>44925</v>
      </c>
      <c r="R953" s="64">
        <v>20</v>
      </c>
      <c r="S953" s="65" t="s">
        <v>1092</v>
      </c>
      <c r="T953" s="64">
        <v>5</v>
      </c>
      <c r="U953" s="370">
        <v>0</v>
      </c>
      <c r="V953" s="687">
        <v>0</v>
      </c>
      <c r="W953" s="75">
        <v>5</v>
      </c>
      <c r="X953" s="75"/>
      <c r="Y953" s="75"/>
      <c r="Z953" s="75">
        <v>5</v>
      </c>
      <c r="AA953" s="75"/>
      <c r="AB953" s="75"/>
      <c r="AC953" s="75">
        <v>5</v>
      </c>
      <c r="AD953" s="75"/>
      <c r="AE953" s="592"/>
      <c r="AF953" s="343" t="s">
        <v>1093</v>
      </c>
      <c r="AG953" s="510">
        <v>0</v>
      </c>
      <c r="AH953" s="370">
        <v>0</v>
      </c>
      <c r="AI953" s="75"/>
      <c r="AJ953" s="75"/>
      <c r="AK953" s="75"/>
      <c r="AL953" s="75"/>
      <c r="AM953" s="75"/>
      <c r="AN953" s="64" t="s">
        <v>39</v>
      </c>
      <c r="AO953" s="64"/>
      <c r="AP953" s="64"/>
      <c r="AQ953" s="189"/>
      <c r="AR953" s="64"/>
      <c r="AS953" s="476"/>
      <c r="AT953" s="64"/>
      <c r="AU953" s="646"/>
      <c r="AV953" s="335" t="s">
        <v>1094</v>
      </c>
    </row>
    <row r="954" spans="1:48" ht="45" customHeight="1" outlineLevel="2" x14ac:dyDescent="0.25">
      <c r="A954" s="63" t="str">
        <f t="shared" si="174"/>
        <v>1.10.2.2.1.60</v>
      </c>
      <c r="B954" s="64">
        <v>1</v>
      </c>
      <c r="C954" s="64">
        <v>10</v>
      </c>
      <c r="D954" s="64">
        <v>2</v>
      </c>
      <c r="E954" s="64">
        <v>2</v>
      </c>
      <c r="F954" s="64">
        <v>1</v>
      </c>
      <c r="G954" s="64">
        <v>60</v>
      </c>
      <c r="H954" s="65"/>
      <c r="I954" s="65"/>
      <c r="J954" s="65"/>
      <c r="K954" s="67" t="s">
        <v>1095</v>
      </c>
      <c r="L954" s="64" t="s">
        <v>1082</v>
      </c>
      <c r="M954" s="68" t="s">
        <v>1088</v>
      </c>
      <c r="N954" s="68" t="s">
        <v>1089</v>
      </c>
      <c r="O954" s="64" t="s">
        <v>1096</v>
      </c>
      <c r="P954" s="170">
        <v>43983</v>
      </c>
      <c r="Q954" s="170">
        <v>43983</v>
      </c>
      <c r="R954" s="64">
        <v>1</v>
      </c>
      <c r="S954" s="65" t="s">
        <v>1097</v>
      </c>
      <c r="T954" s="64"/>
      <c r="U954" s="370">
        <v>0</v>
      </c>
      <c r="V954" s="687">
        <v>0</v>
      </c>
      <c r="W954" s="75"/>
      <c r="X954" s="75"/>
      <c r="Y954" s="75"/>
      <c r="Z954" s="75"/>
      <c r="AA954" s="75"/>
      <c r="AB954" s="75"/>
      <c r="AC954" s="75"/>
      <c r="AD954" s="75"/>
      <c r="AE954" s="592"/>
      <c r="AF954" s="259"/>
      <c r="AG954" s="510">
        <v>0</v>
      </c>
      <c r="AH954" s="370">
        <v>0</v>
      </c>
      <c r="AI954" s="75"/>
      <c r="AJ954" s="75"/>
      <c r="AK954" s="75"/>
      <c r="AL954" s="75"/>
      <c r="AM954" s="75"/>
      <c r="AN954" s="64" t="s">
        <v>39</v>
      </c>
      <c r="AO954" s="64"/>
      <c r="AP954" s="64"/>
      <c r="AQ954" s="189"/>
      <c r="AR954" s="64"/>
      <c r="AS954" s="476"/>
      <c r="AT954" s="64"/>
      <c r="AU954" s="646"/>
      <c r="AV954" s="185"/>
    </row>
    <row r="955" spans="1:48" ht="45" customHeight="1" outlineLevel="2" x14ac:dyDescent="0.25">
      <c r="A955" s="63" t="str">
        <f t="shared" si="174"/>
        <v>1.10.2.2.1.61</v>
      </c>
      <c r="B955" s="64">
        <v>1</v>
      </c>
      <c r="C955" s="64">
        <v>10</v>
      </c>
      <c r="D955" s="64">
        <v>2</v>
      </c>
      <c r="E955" s="64">
        <v>2</v>
      </c>
      <c r="F955" s="64">
        <v>1</v>
      </c>
      <c r="G955" s="64">
        <v>61</v>
      </c>
      <c r="H955" s="65"/>
      <c r="I955" s="65"/>
      <c r="J955" s="65"/>
      <c r="K955" s="67" t="s">
        <v>1098</v>
      </c>
      <c r="L955" s="64" t="s">
        <v>1082</v>
      </c>
      <c r="M955" s="68" t="s">
        <v>1088</v>
      </c>
      <c r="N955" s="68" t="s">
        <v>1089</v>
      </c>
      <c r="O955" s="64" t="s">
        <v>1096</v>
      </c>
      <c r="P955" s="170">
        <v>43983</v>
      </c>
      <c r="Q955" s="170">
        <v>43983</v>
      </c>
      <c r="R955" s="64">
        <v>1</v>
      </c>
      <c r="S955" s="65" t="s">
        <v>1097</v>
      </c>
      <c r="T955" s="64"/>
      <c r="U955" s="370">
        <v>0</v>
      </c>
      <c r="V955" s="687">
        <v>0</v>
      </c>
      <c r="W955" s="75"/>
      <c r="X955" s="75"/>
      <c r="Y955" s="75"/>
      <c r="Z955" s="75"/>
      <c r="AA955" s="75"/>
      <c r="AB955" s="75"/>
      <c r="AC955" s="75"/>
      <c r="AD955" s="75"/>
      <c r="AE955" s="592"/>
      <c r="AF955" s="259"/>
      <c r="AG955" s="510">
        <v>0</v>
      </c>
      <c r="AH955" s="370">
        <v>0</v>
      </c>
      <c r="AI955" s="75"/>
      <c r="AJ955" s="75"/>
      <c r="AK955" s="75"/>
      <c r="AL955" s="75"/>
      <c r="AM955" s="75"/>
      <c r="AN955" s="64" t="s">
        <v>39</v>
      </c>
      <c r="AO955" s="64"/>
      <c r="AP955" s="64"/>
      <c r="AQ955" s="189"/>
      <c r="AR955" s="64"/>
      <c r="AS955" s="476"/>
      <c r="AT955" s="64"/>
      <c r="AU955" s="646"/>
      <c r="AV955" s="185"/>
    </row>
    <row r="956" spans="1:48" ht="45" customHeight="1" outlineLevel="2" x14ac:dyDescent="0.25">
      <c r="A956" s="63" t="str">
        <f t="shared" si="174"/>
        <v>1.10.2.2.1.62</v>
      </c>
      <c r="B956" s="64">
        <v>1</v>
      </c>
      <c r="C956" s="64">
        <v>10</v>
      </c>
      <c r="D956" s="64">
        <v>2</v>
      </c>
      <c r="E956" s="64">
        <v>2</v>
      </c>
      <c r="F956" s="64">
        <v>1</v>
      </c>
      <c r="G956" s="64">
        <v>62</v>
      </c>
      <c r="H956" s="65"/>
      <c r="I956" s="65"/>
      <c r="J956" s="65"/>
      <c r="K956" s="67" t="s">
        <v>1099</v>
      </c>
      <c r="L956" s="64"/>
      <c r="M956" s="68"/>
      <c r="N956" s="68"/>
      <c r="O956" s="64"/>
      <c r="P956" s="65"/>
      <c r="Q956" s="65"/>
      <c r="R956" s="64"/>
      <c r="S956" s="65"/>
      <c r="T956" s="64"/>
      <c r="U956" s="370">
        <v>0</v>
      </c>
      <c r="V956" s="687">
        <v>0</v>
      </c>
      <c r="W956" s="75"/>
      <c r="X956" s="75"/>
      <c r="Y956" s="75"/>
      <c r="Z956" s="75"/>
      <c r="AA956" s="75"/>
      <c r="AB956" s="75"/>
      <c r="AC956" s="75"/>
      <c r="AD956" s="75"/>
      <c r="AE956" s="592"/>
      <c r="AF956" s="259"/>
      <c r="AG956" s="510">
        <v>0</v>
      </c>
      <c r="AH956" s="370">
        <v>0</v>
      </c>
      <c r="AI956" s="75"/>
      <c r="AJ956" s="75"/>
      <c r="AK956" s="75"/>
      <c r="AL956" s="75"/>
      <c r="AM956" s="75"/>
      <c r="AN956" s="64" t="s">
        <v>39</v>
      </c>
      <c r="AO956" s="64"/>
      <c r="AP956" s="64"/>
      <c r="AQ956" s="189"/>
      <c r="AR956" s="64"/>
      <c r="AS956" s="476"/>
      <c r="AT956" s="64"/>
      <c r="AU956" s="646"/>
      <c r="AV956" s="185"/>
    </row>
    <row r="957" spans="1:48" ht="45" customHeight="1" outlineLevel="2" x14ac:dyDescent="0.25">
      <c r="A957" s="63" t="str">
        <f t="shared" si="174"/>
        <v>1.10.2.2.1.63</v>
      </c>
      <c r="B957" s="64">
        <v>1</v>
      </c>
      <c r="C957" s="64">
        <v>10</v>
      </c>
      <c r="D957" s="64">
        <v>2</v>
      </c>
      <c r="E957" s="64">
        <v>2</v>
      </c>
      <c r="F957" s="64">
        <v>1</v>
      </c>
      <c r="G957" s="64">
        <v>63</v>
      </c>
      <c r="H957" s="65"/>
      <c r="I957" s="65"/>
      <c r="J957" s="65"/>
      <c r="K957" s="67" t="s">
        <v>1100</v>
      </c>
      <c r="L957" s="64"/>
      <c r="M957" s="68"/>
      <c r="N957" s="68"/>
      <c r="O957" s="64"/>
      <c r="P957" s="65"/>
      <c r="Q957" s="65"/>
      <c r="R957" s="64"/>
      <c r="S957" s="65"/>
      <c r="T957" s="64"/>
      <c r="U957" s="370">
        <v>0</v>
      </c>
      <c r="V957" s="687">
        <v>0</v>
      </c>
      <c r="W957" s="75"/>
      <c r="X957" s="75"/>
      <c r="Y957" s="75"/>
      <c r="Z957" s="75"/>
      <c r="AA957" s="75"/>
      <c r="AB957" s="75"/>
      <c r="AC957" s="75"/>
      <c r="AD957" s="75"/>
      <c r="AE957" s="592"/>
      <c r="AF957" s="259"/>
      <c r="AG957" s="510">
        <v>0</v>
      </c>
      <c r="AH957" s="370">
        <v>0</v>
      </c>
      <c r="AI957" s="75"/>
      <c r="AJ957" s="75"/>
      <c r="AK957" s="75"/>
      <c r="AL957" s="75"/>
      <c r="AM957" s="75"/>
      <c r="AN957" s="64" t="s">
        <v>39</v>
      </c>
      <c r="AO957" s="64"/>
      <c r="AP957" s="64"/>
      <c r="AQ957" s="189"/>
      <c r="AR957" s="64"/>
      <c r="AS957" s="476"/>
      <c r="AT957" s="64"/>
      <c r="AU957" s="646"/>
      <c r="AV957" s="185"/>
    </row>
    <row r="958" spans="1:48" ht="45" customHeight="1" outlineLevel="2" x14ac:dyDescent="0.25">
      <c r="A958" s="63" t="str">
        <f t="shared" si="174"/>
        <v>1.10.2.2.1.64</v>
      </c>
      <c r="B958" s="64">
        <v>1</v>
      </c>
      <c r="C958" s="64">
        <v>10</v>
      </c>
      <c r="D958" s="64">
        <v>2</v>
      </c>
      <c r="E958" s="64">
        <v>2</v>
      </c>
      <c r="F958" s="64">
        <v>1</v>
      </c>
      <c r="G958" s="64">
        <v>64</v>
      </c>
      <c r="H958" s="65"/>
      <c r="I958" s="65"/>
      <c r="J958" s="65"/>
      <c r="K958" s="67" t="s">
        <v>1101</v>
      </c>
      <c r="L958" s="64" t="s">
        <v>1082</v>
      </c>
      <c r="M958" s="68" t="s">
        <v>1088</v>
      </c>
      <c r="N958" s="68" t="s">
        <v>1089</v>
      </c>
      <c r="O958" s="64" t="s">
        <v>1096</v>
      </c>
      <c r="P958" s="170">
        <v>43983</v>
      </c>
      <c r="Q958" s="170">
        <v>43983</v>
      </c>
      <c r="R958" s="64">
        <v>1</v>
      </c>
      <c r="S958" s="65" t="s">
        <v>1097</v>
      </c>
      <c r="T958" s="64"/>
      <c r="U958" s="370">
        <v>0</v>
      </c>
      <c r="V958" s="687">
        <v>0</v>
      </c>
      <c r="W958" s="75"/>
      <c r="X958" s="75"/>
      <c r="Y958" s="75"/>
      <c r="Z958" s="75"/>
      <c r="AA958" s="75"/>
      <c r="AB958" s="75"/>
      <c r="AC958" s="75"/>
      <c r="AD958" s="75"/>
      <c r="AE958" s="592"/>
      <c r="AF958" s="259"/>
      <c r="AG958" s="510">
        <v>0</v>
      </c>
      <c r="AH958" s="370">
        <v>0</v>
      </c>
      <c r="AI958" s="75"/>
      <c r="AJ958" s="75"/>
      <c r="AK958" s="75"/>
      <c r="AL958" s="75"/>
      <c r="AM958" s="75"/>
      <c r="AN958" s="64" t="s">
        <v>39</v>
      </c>
      <c r="AO958" s="64"/>
      <c r="AP958" s="64"/>
      <c r="AQ958" s="189"/>
      <c r="AR958" s="64"/>
      <c r="AS958" s="476"/>
      <c r="AT958" s="64"/>
      <c r="AU958" s="646"/>
      <c r="AV958" s="185"/>
    </row>
    <row r="959" spans="1:48" ht="30" customHeight="1" outlineLevel="2" x14ac:dyDescent="0.25">
      <c r="A959" s="63" t="str">
        <f t="shared" si="174"/>
        <v>1.10.2.2.3.60</v>
      </c>
      <c r="B959" s="64">
        <v>1</v>
      </c>
      <c r="C959" s="64">
        <v>10</v>
      </c>
      <c r="D959" s="64">
        <v>2</v>
      </c>
      <c r="E959" s="64">
        <v>2</v>
      </c>
      <c r="F959" s="64">
        <v>3</v>
      </c>
      <c r="G959" s="64">
        <v>60</v>
      </c>
      <c r="H959" s="65"/>
      <c r="I959" s="65"/>
      <c r="J959" s="65"/>
      <c r="K959" s="67" t="s">
        <v>1868</v>
      </c>
      <c r="L959" s="165" t="s">
        <v>1082</v>
      </c>
      <c r="M959" s="146" t="s">
        <v>42</v>
      </c>
      <c r="N959" s="146" t="s">
        <v>1089</v>
      </c>
      <c r="O959" s="165" t="s">
        <v>1096</v>
      </c>
      <c r="P959" s="170">
        <v>44197</v>
      </c>
      <c r="Q959" s="170">
        <v>44531</v>
      </c>
      <c r="R959" s="64">
        <v>22</v>
      </c>
      <c r="S959" s="170" t="s">
        <v>46</v>
      </c>
      <c r="T959" s="170">
        <v>22</v>
      </c>
      <c r="U959" s="370">
        <v>0</v>
      </c>
      <c r="V959" s="687">
        <v>0</v>
      </c>
      <c r="W959" s="97"/>
      <c r="X959" s="97"/>
      <c r="Y959" s="97"/>
      <c r="Z959" s="97"/>
      <c r="AA959" s="97"/>
      <c r="AB959" s="97"/>
      <c r="AC959" s="75"/>
      <c r="AD959" s="75"/>
      <c r="AE959" s="592"/>
      <c r="AF959" s="343" t="s">
        <v>1102</v>
      </c>
      <c r="AG959" s="510">
        <v>0</v>
      </c>
      <c r="AH959" s="370">
        <v>0</v>
      </c>
      <c r="AI959" s="75"/>
      <c r="AJ959" s="75"/>
      <c r="AK959" s="75"/>
      <c r="AL959" s="75"/>
      <c r="AM959" s="75"/>
      <c r="AN959" s="64" t="s">
        <v>39</v>
      </c>
      <c r="AO959" s="64"/>
      <c r="AP959" s="64"/>
      <c r="AQ959" s="189"/>
      <c r="AR959" s="64"/>
      <c r="AS959" s="476"/>
      <c r="AT959" s="64"/>
      <c r="AU959" s="646"/>
      <c r="AV959" s="335"/>
    </row>
    <row r="960" spans="1:48" ht="30" customHeight="1" outlineLevel="2" x14ac:dyDescent="0.25">
      <c r="A960" s="63" t="str">
        <f t="shared" si="174"/>
        <v>1.10.2.2.3.61</v>
      </c>
      <c r="B960" s="64">
        <v>1</v>
      </c>
      <c r="C960" s="64">
        <v>10</v>
      </c>
      <c r="D960" s="64">
        <v>2</v>
      </c>
      <c r="E960" s="64">
        <v>2</v>
      </c>
      <c r="F960" s="64">
        <v>3</v>
      </c>
      <c r="G960" s="64">
        <v>61</v>
      </c>
      <c r="H960" s="65"/>
      <c r="I960" s="65"/>
      <c r="J960" s="65"/>
      <c r="K960" s="244" t="s">
        <v>1103</v>
      </c>
      <c r="L960" s="245" t="s">
        <v>1082</v>
      </c>
      <c r="M960" s="145" t="s">
        <v>42</v>
      </c>
      <c r="N960" s="145" t="s">
        <v>1089</v>
      </c>
      <c r="O960" s="245" t="s">
        <v>1096</v>
      </c>
      <c r="P960" s="170"/>
      <c r="Q960" s="170"/>
      <c r="R960" s="170"/>
      <c r="S960" s="170"/>
      <c r="T960" s="170"/>
      <c r="U960" s="370">
        <v>0</v>
      </c>
      <c r="V960" s="687">
        <v>0</v>
      </c>
      <c r="W960" s="97"/>
      <c r="X960" s="97"/>
      <c r="Y960" s="97"/>
      <c r="Z960" s="97"/>
      <c r="AA960" s="97"/>
      <c r="AB960" s="97"/>
      <c r="AC960" s="75"/>
      <c r="AD960" s="75"/>
      <c r="AE960" s="592"/>
      <c r="AF960" s="343"/>
      <c r="AG960" s="510">
        <v>0</v>
      </c>
      <c r="AH960" s="370">
        <v>0</v>
      </c>
      <c r="AI960" s="75"/>
      <c r="AJ960" s="75"/>
      <c r="AK960" s="75"/>
      <c r="AL960" s="75"/>
      <c r="AM960" s="75"/>
      <c r="AN960" s="64" t="s">
        <v>39</v>
      </c>
      <c r="AO960" s="64"/>
      <c r="AP960" s="64"/>
      <c r="AQ960" s="189"/>
      <c r="AR960" s="64"/>
      <c r="AS960" s="476"/>
      <c r="AT960" s="64"/>
      <c r="AU960" s="646"/>
      <c r="AV960" s="185"/>
    </row>
    <row r="961" spans="1:48" ht="30" customHeight="1" outlineLevel="2" x14ac:dyDescent="0.25">
      <c r="A961" s="63" t="str">
        <f t="shared" si="174"/>
        <v>1.10.2.2.3.64</v>
      </c>
      <c r="B961" s="64">
        <v>1</v>
      </c>
      <c r="C961" s="64">
        <v>10</v>
      </c>
      <c r="D961" s="64">
        <v>2</v>
      </c>
      <c r="E961" s="64">
        <v>2</v>
      </c>
      <c r="F961" s="64">
        <v>3</v>
      </c>
      <c r="G961" s="64">
        <v>64</v>
      </c>
      <c r="H961" s="65"/>
      <c r="I961" s="65"/>
      <c r="J961" s="65"/>
      <c r="K961" s="244" t="s">
        <v>1869</v>
      </c>
      <c r="L961" s="245" t="s">
        <v>1082</v>
      </c>
      <c r="M961" s="145" t="s">
        <v>42</v>
      </c>
      <c r="N961" s="145" t="s">
        <v>1089</v>
      </c>
      <c r="O961" s="245" t="s">
        <v>1096</v>
      </c>
      <c r="P961" s="170"/>
      <c r="Q961" s="170"/>
      <c r="R961" s="170"/>
      <c r="S961" s="170"/>
      <c r="T961" s="170"/>
      <c r="U961" s="370">
        <v>0</v>
      </c>
      <c r="V961" s="687">
        <v>0</v>
      </c>
      <c r="W961" s="97"/>
      <c r="X961" s="97"/>
      <c r="Y961" s="97"/>
      <c r="Z961" s="97"/>
      <c r="AA961" s="97"/>
      <c r="AB961" s="97"/>
      <c r="AC961" s="75"/>
      <c r="AD961" s="75"/>
      <c r="AE961" s="592"/>
      <c r="AF961" s="343"/>
      <c r="AG961" s="510">
        <v>0</v>
      </c>
      <c r="AH961" s="370">
        <v>0</v>
      </c>
      <c r="AI961" s="75"/>
      <c r="AJ961" s="75"/>
      <c r="AK961" s="75"/>
      <c r="AL961" s="75"/>
      <c r="AM961" s="75"/>
      <c r="AN961" s="64" t="s">
        <v>39</v>
      </c>
      <c r="AO961" s="64"/>
      <c r="AP961" s="64"/>
      <c r="AQ961" s="189"/>
      <c r="AR961" s="64"/>
      <c r="AS961" s="476"/>
      <c r="AT961" s="64"/>
      <c r="AU961" s="646"/>
      <c r="AV961" s="185"/>
    </row>
    <row r="962" spans="1:48" s="153" customFormat="1" ht="15" customHeight="1" outlineLevel="1" x14ac:dyDescent="0.25">
      <c r="A962" s="148" t="str">
        <f t="shared" si="174"/>
        <v>1.10.2.3.0.0</v>
      </c>
      <c r="B962" s="82">
        <v>1</v>
      </c>
      <c r="C962" s="82">
        <v>10</v>
      </c>
      <c r="D962" s="82">
        <v>2</v>
      </c>
      <c r="E962" s="82">
        <v>3</v>
      </c>
      <c r="F962" s="82">
        <v>0</v>
      </c>
      <c r="G962" s="82">
        <v>0</v>
      </c>
      <c r="H962" s="149"/>
      <c r="I962" s="149"/>
      <c r="J962" s="1260" t="s">
        <v>1104</v>
      </c>
      <c r="K962" s="1259"/>
      <c r="L962" s="82">
        <v>0</v>
      </c>
      <c r="M962" s="82">
        <v>0</v>
      </c>
      <c r="N962" s="82">
        <v>0</v>
      </c>
      <c r="O962" s="82">
        <v>0</v>
      </c>
      <c r="P962" s="82"/>
      <c r="Q962" s="82"/>
      <c r="R962" s="82"/>
      <c r="S962" s="149"/>
      <c r="T962" s="82"/>
      <c r="U962" s="384">
        <f>+SUM(U963:U983)</f>
        <v>0</v>
      </c>
      <c r="V962" s="682">
        <f>+SUM(V963:V983)</f>
        <v>0</v>
      </c>
      <c r="W962" s="152"/>
      <c r="X962" s="152"/>
      <c r="Y962" s="152"/>
      <c r="Z962" s="152"/>
      <c r="AA962" s="152"/>
      <c r="AB962" s="152"/>
      <c r="AC962" s="152"/>
      <c r="AD962" s="152"/>
      <c r="AE962" s="597"/>
      <c r="AF962" s="358"/>
      <c r="AG962" s="520">
        <f>+SUM(AG963:AG983)</f>
        <v>0</v>
      </c>
      <c r="AH962" s="384">
        <f>+SUM(AH963:AH983)</f>
        <v>0</v>
      </c>
      <c r="AI962" s="216"/>
      <c r="AJ962" s="216"/>
      <c r="AK962" s="216"/>
      <c r="AL962" s="216"/>
      <c r="AM962" s="216"/>
      <c r="AN962" s="82" t="s">
        <v>39</v>
      </c>
      <c r="AO962" s="82"/>
      <c r="AP962" s="82"/>
      <c r="AQ962" s="365"/>
      <c r="AR962" s="82"/>
      <c r="AS962" s="483"/>
      <c r="AT962" s="82"/>
      <c r="AU962" s="666"/>
      <c r="AV962" s="444"/>
    </row>
    <row r="963" spans="1:48" s="212" customFormat="1" ht="15" customHeight="1" outlineLevel="4" x14ac:dyDescent="0.25">
      <c r="A963" s="210" t="str">
        <f t="shared" si="174"/>
        <v>1.10.2.3.1.58</v>
      </c>
      <c r="B963" s="136">
        <v>1</v>
      </c>
      <c r="C963" s="136">
        <v>10</v>
      </c>
      <c r="D963" s="136">
        <v>2</v>
      </c>
      <c r="E963" s="136">
        <v>3</v>
      </c>
      <c r="F963" s="136">
        <v>1</v>
      </c>
      <c r="G963" s="136">
        <v>58</v>
      </c>
      <c r="H963" s="125"/>
      <c r="I963" s="125"/>
      <c r="J963" s="213"/>
      <c r="K963" s="125" t="s">
        <v>1105</v>
      </c>
      <c r="L963" s="136">
        <v>0</v>
      </c>
      <c r="M963" s="136">
        <v>0</v>
      </c>
      <c r="N963" s="136">
        <v>0</v>
      </c>
      <c r="O963" s="136">
        <v>0</v>
      </c>
      <c r="P963" s="136"/>
      <c r="Q963" s="136"/>
      <c r="R963" s="136"/>
      <c r="S963" s="125"/>
      <c r="T963" s="136"/>
      <c r="U963" s="370">
        <v>0</v>
      </c>
      <c r="V963" s="687">
        <v>0</v>
      </c>
      <c r="W963" s="132"/>
      <c r="X963" s="132"/>
      <c r="Y963" s="132"/>
      <c r="Z963" s="132"/>
      <c r="AA963" s="132"/>
      <c r="AB963" s="132"/>
      <c r="AC963" s="132"/>
      <c r="AD963" s="132"/>
      <c r="AE963" s="598"/>
      <c r="AF963" s="349"/>
      <c r="AG963" s="510">
        <v>0</v>
      </c>
      <c r="AH963" s="370">
        <v>0</v>
      </c>
      <c r="AI963" s="75"/>
      <c r="AJ963" s="75"/>
      <c r="AK963" s="75"/>
      <c r="AL963" s="75"/>
      <c r="AM963" s="75"/>
      <c r="AN963" s="136" t="s">
        <v>39</v>
      </c>
      <c r="AO963" s="136"/>
      <c r="AP963" s="136"/>
      <c r="AQ963" s="414"/>
      <c r="AR963" s="136"/>
      <c r="AS963" s="477"/>
      <c r="AT963" s="136"/>
      <c r="AU963" s="646"/>
      <c r="AV963" s="453"/>
    </row>
    <row r="964" spans="1:48" s="212" customFormat="1" ht="15" customHeight="1" outlineLevel="4" x14ac:dyDescent="0.25">
      <c r="A964" s="210" t="str">
        <f t="shared" si="174"/>
        <v>1.10.2.3.1.59</v>
      </c>
      <c r="B964" s="136">
        <v>1</v>
      </c>
      <c r="C964" s="136">
        <v>10</v>
      </c>
      <c r="D964" s="136">
        <v>2</v>
      </c>
      <c r="E964" s="136">
        <v>3</v>
      </c>
      <c r="F964" s="136">
        <v>1</v>
      </c>
      <c r="G964" s="136">
        <v>59</v>
      </c>
      <c r="H964" s="125"/>
      <c r="I964" s="125"/>
      <c r="J964" s="213"/>
      <c r="K964" s="125" t="s">
        <v>1106</v>
      </c>
      <c r="L964" s="136">
        <v>0</v>
      </c>
      <c r="M964" s="136">
        <v>0</v>
      </c>
      <c r="N964" s="136">
        <v>0</v>
      </c>
      <c r="O964" s="136">
        <v>0</v>
      </c>
      <c r="P964" s="136"/>
      <c r="Q964" s="136"/>
      <c r="R964" s="136"/>
      <c r="S964" s="125"/>
      <c r="T964" s="136"/>
      <c r="U964" s="370">
        <v>0</v>
      </c>
      <c r="V964" s="687">
        <v>0</v>
      </c>
      <c r="W964" s="132"/>
      <c r="X964" s="132"/>
      <c r="Y964" s="132"/>
      <c r="Z964" s="132"/>
      <c r="AA964" s="132"/>
      <c r="AB964" s="132"/>
      <c r="AC964" s="132"/>
      <c r="AD964" s="132"/>
      <c r="AE964" s="598"/>
      <c r="AF964" s="349"/>
      <c r="AG964" s="510">
        <v>0</v>
      </c>
      <c r="AH964" s="370">
        <v>0</v>
      </c>
      <c r="AI964" s="75"/>
      <c r="AJ964" s="75"/>
      <c r="AK964" s="75"/>
      <c r="AL964" s="75"/>
      <c r="AM964" s="75"/>
      <c r="AN964" s="136" t="s">
        <v>39</v>
      </c>
      <c r="AO964" s="136"/>
      <c r="AP964" s="136"/>
      <c r="AQ964" s="414"/>
      <c r="AR964" s="136"/>
      <c r="AS964" s="477"/>
      <c r="AT964" s="136"/>
      <c r="AU964" s="646"/>
      <c r="AV964" s="453"/>
    </row>
    <row r="965" spans="1:48" s="212" customFormat="1" ht="15" customHeight="1" outlineLevel="4" x14ac:dyDescent="0.25">
      <c r="A965" s="210" t="str">
        <f t="shared" si="174"/>
        <v>1.10.2.3.1.60</v>
      </c>
      <c r="B965" s="136">
        <v>1</v>
      </c>
      <c r="C965" s="136">
        <v>10</v>
      </c>
      <c r="D965" s="136">
        <v>2</v>
      </c>
      <c r="E965" s="136">
        <v>3</v>
      </c>
      <c r="F965" s="136">
        <v>1</v>
      </c>
      <c r="G965" s="136">
        <v>60</v>
      </c>
      <c r="H965" s="125"/>
      <c r="I965" s="125"/>
      <c r="J965" s="213"/>
      <c r="K965" s="125" t="s">
        <v>1107</v>
      </c>
      <c r="L965" s="136">
        <v>0</v>
      </c>
      <c r="M965" s="136">
        <v>0</v>
      </c>
      <c r="N965" s="136">
        <v>0</v>
      </c>
      <c r="O965" s="136">
        <v>0</v>
      </c>
      <c r="P965" s="136"/>
      <c r="Q965" s="136"/>
      <c r="R965" s="136"/>
      <c r="S965" s="125"/>
      <c r="T965" s="136"/>
      <c r="U965" s="370">
        <v>0</v>
      </c>
      <c r="V965" s="687">
        <v>0</v>
      </c>
      <c r="W965" s="132"/>
      <c r="X965" s="132"/>
      <c r="Y965" s="132"/>
      <c r="Z965" s="132"/>
      <c r="AA965" s="132"/>
      <c r="AB965" s="132"/>
      <c r="AC965" s="132"/>
      <c r="AD965" s="132"/>
      <c r="AE965" s="598"/>
      <c r="AF965" s="349"/>
      <c r="AG965" s="510">
        <v>0</v>
      </c>
      <c r="AH965" s="370">
        <v>0</v>
      </c>
      <c r="AI965" s="75"/>
      <c r="AJ965" s="75"/>
      <c r="AK965" s="75"/>
      <c r="AL965" s="75"/>
      <c r="AM965" s="75"/>
      <c r="AN965" s="136" t="s">
        <v>39</v>
      </c>
      <c r="AO965" s="136"/>
      <c r="AP965" s="136"/>
      <c r="AQ965" s="414"/>
      <c r="AR965" s="136"/>
      <c r="AS965" s="477"/>
      <c r="AT965" s="136"/>
      <c r="AU965" s="646"/>
      <c r="AV965" s="453"/>
    </row>
    <row r="966" spans="1:48" s="212" customFormat="1" ht="15" customHeight="1" outlineLevel="4" x14ac:dyDescent="0.25">
      <c r="A966" s="210" t="str">
        <f t="shared" si="174"/>
        <v>1.10.2.3.1.61</v>
      </c>
      <c r="B966" s="136">
        <v>1</v>
      </c>
      <c r="C966" s="136">
        <v>10</v>
      </c>
      <c r="D966" s="136">
        <v>2</v>
      </c>
      <c r="E966" s="136">
        <v>3</v>
      </c>
      <c r="F966" s="136">
        <v>1</v>
      </c>
      <c r="G966" s="136">
        <v>61</v>
      </c>
      <c r="H966" s="125"/>
      <c r="I966" s="125"/>
      <c r="J966" s="213"/>
      <c r="K966" s="125" t="s">
        <v>1108</v>
      </c>
      <c r="L966" s="136">
        <v>0</v>
      </c>
      <c r="M966" s="136">
        <v>0</v>
      </c>
      <c r="N966" s="136">
        <v>0</v>
      </c>
      <c r="O966" s="136">
        <v>0</v>
      </c>
      <c r="P966" s="136"/>
      <c r="Q966" s="136"/>
      <c r="R966" s="136"/>
      <c r="S966" s="125"/>
      <c r="T966" s="136"/>
      <c r="U966" s="370">
        <v>0</v>
      </c>
      <c r="V966" s="687">
        <v>0</v>
      </c>
      <c r="W966" s="132"/>
      <c r="X966" s="132"/>
      <c r="Y966" s="132"/>
      <c r="Z966" s="132"/>
      <c r="AA966" s="132"/>
      <c r="AB966" s="132"/>
      <c r="AC966" s="132"/>
      <c r="AD966" s="132"/>
      <c r="AE966" s="598"/>
      <c r="AF966" s="349"/>
      <c r="AG966" s="510">
        <v>0</v>
      </c>
      <c r="AH966" s="370">
        <v>0</v>
      </c>
      <c r="AI966" s="75"/>
      <c r="AJ966" s="75"/>
      <c r="AK966" s="75"/>
      <c r="AL966" s="75"/>
      <c r="AM966" s="75"/>
      <c r="AN966" s="136" t="s">
        <v>39</v>
      </c>
      <c r="AO966" s="136"/>
      <c r="AP966" s="136"/>
      <c r="AQ966" s="414"/>
      <c r="AR966" s="136"/>
      <c r="AS966" s="477"/>
      <c r="AT966" s="136"/>
      <c r="AU966" s="646"/>
      <c r="AV966" s="453"/>
    </row>
    <row r="967" spans="1:48" s="212" customFormat="1" ht="15" customHeight="1" outlineLevel="4" x14ac:dyDescent="0.25">
      <c r="A967" s="210" t="str">
        <f t="shared" si="174"/>
        <v>1.10.2.3.1.62</v>
      </c>
      <c r="B967" s="136">
        <v>1</v>
      </c>
      <c r="C967" s="136">
        <v>10</v>
      </c>
      <c r="D967" s="136">
        <v>2</v>
      </c>
      <c r="E967" s="136">
        <v>3</v>
      </c>
      <c r="F967" s="136">
        <v>1</v>
      </c>
      <c r="G967" s="136">
        <v>62</v>
      </c>
      <c r="H967" s="125"/>
      <c r="I967" s="125"/>
      <c r="J967" s="213"/>
      <c r="K967" s="125" t="s">
        <v>1109</v>
      </c>
      <c r="L967" s="136">
        <v>0</v>
      </c>
      <c r="M967" s="136">
        <v>0</v>
      </c>
      <c r="N967" s="136">
        <v>0</v>
      </c>
      <c r="O967" s="136">
        <v>0</v>
      </c>
      <c r="P967" s="136"/>
      <c r="Q967" s="136"/>
      <c r="R967" s="136"/>
      <c r="S967" s="125"/>
      <c r="T967" s="136"/>
      <c r="U967" s="370">
        <v>0</v>
      </c>
      <c r="V967" s="687">
        <v>0</v>
      </c>
      <c r="W967" s="132"/>
      <c r="X967" s="132"/>
      <c r="Y967" s="132"/>
      <c r="Z967" s="132"/>
      <c r="AA967" s="132"/>
      <c r="AB967" s="132"/>
      <c r="AC967" s="132"/>
      <c r="AD967" s="132"/>
      <c r="AE967" s="598"/>
      <c r="AF967" s="349"/>
      <c r="AG967" s="510">
        <v>0</v>
      </c>
      <c r="AH967" s="370">
        <v>0</v>
      </c>
      <c r="AI967" s="75"/>
      <c r="AJ967" s="75"/>
      <c r="AK967" s="75"/>
      <c r="AL967" s="75"/>
      <c r="AM967" s="75"/>
      <c r="AN967" s="136" t="s">
        <v>39</v>
      </c>
      <c r="AO967" s="136"/>
      <c r="AP967" s="136"/>
      <c r="AQ967" s="414"/>
      <c r="AR967" s="136"/>
      <c r="AS967" s="477"/>
      <c r="AT967" s="136"/>
      <c r="AU967" s="646"/>
      <c r="AV967" s="453"/>
    </row>
    <row r="968" spans="1:48" s="212" customFormat="1" ht="15" customHeight="1" outlineLevel="4" x14ac:dyDescent="0.25">
      <c r="A968" s="210" t="str">
        <f t="shared" si="174"/>
        <v>1.10.2.3.1.63</v>
      </c>
      <c r="B968" s="136">
        <v>1</v>
      </c>
      <c r="C968" s="136">
        <v>10</v>
      </c>
      <c r="D968" s="136">
        <v>2</v>
      </c>
      <c r="E968" s="136">
        <v>3</v>
      </c>
      <c r="F968" s="136">
        <v>1</v>
      </c>
      <c r="G968" s="136">
        <v>63</v>
      </c>
      <c r="H968" s="125"/>
      <c r="I968" s="125"/>
      <c r="J968" s="213"/>
      <c r="K968" s="125" t="s">
        <v>1772</v>
      </c>
      <c r="L968" s="136">
        <v>0</v>
      </c>
      <c r="M968" s="136">
        <v>0</v>
      </c>
      <c r="N968" s="136">
        <v>0</v>
      </c>
      <c r="O968" s="136">
        <v>0</v>
      </c>
      <c r="P968" s="136"/>
      <c r="Q968" s="136"/>
      <c r="R968" s="136"/>
      <c r="S968" s="125"/>
      <c r="T968" s="136"/>
      <c r="U968" s="370">
        <v>0</v>
      </c>
      <c r="V968" s="687">
        <v>0</v>
      </c>
      <c r="W968" s="132"/>
      <c r="X968" s="132"/>
      <c r="Y968" s="132"/>
      <c r="Z968" s="132"/>
      <c r="AA968" s="132"/>
      <c r="AB968" s="132"/>
      <c r="AC968" s="132"/>
      <c r="AD968" s="132"/>
      <c r="AE968" s="598"/>
      <c r="AF968" s="349"/>
      <c r="AG968" s="510">
        <v>0</v>
      </c>
      <c r="AH968" s="370">
        <v>0</v>
      </c>
      <c r="AI968" s="75"/>
      <c r="AJ968" s="75"/>
      <c r="AK968" s="75"/>
      <c r="AL968" s="75"/>
      <c r="AM968" s="75"/>
      <c r="AN968" s="136" t="s">
        <v>39</v>
      </c>
      <c r="AO968" s="136"/>
      <c r="AP968" s="136"/>
      <c r="AQ968" s="414"/>
      <c r="AR968" s="136"/>
      <c r="AS968" s="477"/>
      <c r="AT968" s="136"/>
      <c r="AU968" s="646"/>
      <c r="AV968" s="453"/>
    </row>
    <row r="969" spans="1:48" s="212" customFormat="1" ht="15" customHeight="1" outlineLevel="4" x14ac:dyDescent="0.25">
      <c r="A969" s="210" t="str">
        <f t="shared" si="174"/>
        <v>1.10.2.3.1.64</v>
      </c>
      <c r="B969" s="136">
        <v>1</v>
      </c>
      <c r="C969" s="136">
        <v>10</v>
      </c>
      <c r="D969" s="136">
        <v>2</v>
      </c>
      <c r="E969" s="136">
        <v>3</v>
      </c>
      <c r="F969" s="136">
        <v>1</v>
      </c>
      <c r="G969" s="136">
        <v>64</v>
      </c>
      <c r="H969" s="125"/>
      <c r="I969" s="125"/>
      <c r="J969" s="213"/>
      <c r="K969" s="125" t="s">
        <v>1110</v>
      </c>
      <c r="L969" s="136">
        <v>0</v>
      </c>
      <c r="M969" s="136">
        <v>0</v>
      </c>
      <c r="N969" s="136">
        <v>0</v>
      </c>
      <c r="O969" s="136">
        <v>0</v>
      </c>
      <c r="P969" s="136"/>
      <c r="Q969" s="136"/>
      <c r="R969" s="136"/>
      <c r="S969" s="125"/>
      <c r="T969" s="136"/>
      <c r="U969" s="370">
        <v>0</v>
      </c>
      <c r="V969" s="687">
        <v>0</v>
      </c>
      <c r="W969" s="132"/>
      <c r="X969" s="132"/>
      <c r="Y969" s="132"/>
      <c r="Z969" s="132"/>
      <c r="AA969" s="132"/>
      <c r="AB969" s="132"/>
      <c r="AC969" s="132"/>
      <c r="AD969" s="132"/>
      <c r="AE969" s="598"/>
      <c r="AF969" s="349"/>
      <c r="AG969" s="510">
        <v>0</v>
      </c>
      <c r="AH969" s="370">
        <v>0</v>
      </c>
      <c r="AI969" s="75"/>
      <c r="AJ969" s="75"/>
      <c r="AK969" s="75"/>
      <c r="AL969" s="75"/>
      <c r="AM969" s="75"/>
      <c r="AN969" s="136" t="s">
        <v>39</v>
      </c>
      <c r="AO969" s="136"/>
      <c r="AP969" s="136"/>
      <c r="AQ969" s="414"/>
      <c r="AR969" s="136"/>
      <c r="AS969" s="477"/>
      <c r="AT969" s="136"/>
      <c r="AU969" s="646"/>
      <c r="AV969" s="453"/>
    </row>
    <row r="970" spans="1:48" s="212" customFormat="1" ht="15" customHeight="1" outlineLevel="4" x14ac:dyDescent="0.25">
      <c r="A970" s="210" t="str">
        <f t="shared" si="174"/>
        <v>1.10.2.3.2.58</v>
      </c>
      <c r="B970" s="136">
        <v>1</v>
      </c>
      <c r="C970" s="136">
        <v>10</v>
      </c>
      <c r="D970" s="136">
        <v>2</v>
      </c>
      <c r="E970" s="136">
        <v>3</v>
      </c>
      <c r="F970" s="136">
        <v>2</v>
      </c>
      <c r="G970" s="136">
        <v>58</v>
      </c>
      <c r="H970" s="125"/>
      <c r="I970" s="125"/>
      <c r="J970" s="213"/>
      <c r="K970" s="125" t="s">
        <v>1111</v>
      </c>
      <c r="L970" s="136">
        <v>0</v>
      </c>
      <c r="M970" s="136">
        <v>0</v>
      </c>
      <c r="N970" s="136">
        <v>0</v>
      </c>
      <c r="O970" s="136">
        <v>0</v>
      </c>
      <c r="P970" s="136"/>
      <c r="Q970" s="136"/>
      <c r="R970" s="136"/>
      <c r="S970" s="125"/>
      <c r="T970" s="136"/>
      <c r="U970" s="370">
        <v>0</v>
      </c>
      <c r="V970" s="687">
        <v>0</v>
      </c>
      <c r="W970" s="132"/>
      <c r="X970" s="132"/>
      <c r="Y970" s="132"/>
      <c r="Z970" s="132"/>
      <c r="AA970" s="132"/>
      <c r="AB970" s="132"/>
      <c r="AC970" s="132"/>
      <c r="AD970" s="132"/>
      <c r="AE970" s="598"/>
      <c r="AF970" s="349"/>
      <c r="AG970" s="510">
        <v>0</v>
      </c>
      <c r="AH970" s="370">
        <v>0</v>
      </c>
      <c r="AI970" s="75"/>
      <c r="AJ970" s="75"/>
      <c r="AK970" s="75"/>
      <c r="AL970" s="75"/>
      <c r="AM970" s="75"/>
      <c r="AN970" s="136" t="s">
        <v>39</v>
      </c>
      <c r="AO970" s="136"/>
      <c r="AP970" s="136"/>
      <c r="AQ970" s="414"/>
      <c r="AR970" s="136"/>
      <c r="AS970" s="477"/>
      <c r="AT970" s="136"/>
      <c r="AU970" s="646"/>
      <c r="AV970" s="448"/>
    </row>
    <row r="971" spans="1:48" s="212" customFormat="1" ht="15" customHeight="1" outlineLevel="4" x14ac:dyDescent="0.25">
      <c r="A971" s="210" t="str">
        <f t="shared" si="174"/>
        <v>1.10.2.3.2.59</v>
      </c>
      <c r="B971" s="136">
        <v>1</v>
      </c>
      <c r="C971" s="136">
        <v>10</v>
      </c>
      <c r="D971" s="136">
        <v>2</v>
      </c>
      <c r="E971" s="136">
        <v>3</v>
      </c>
      <c r="F971" s="136">
        <v>2</v>
      </c>
      <c r="G971" s="136">
        <v>59</v>
      </c>
      <c r="H971" s="125"/>
      <c r="I971" s="125"/>
      <c r="J971" s="213"/>
      <c r="K971" s="125" t="s">
        <v>1112</v>
      </c>
      <c r="L971" s="136">
        <v>0</v>
      </c>
      <c r="M971" s="136">
        <v>0</v>
      </c>
      <c r="N971" s="136">
        <v>0</v>
      </c>
      <c r="O971" s="136">
        <v>0</v>
      </c>
      <c r="P971" s="136"/>
      <c r="Q971" s="136"/>
      <c r="R971" s="136"/>
      <c r="S971" s="125"/>
      <c r="T971" s="136"/>
      <c r="U971" s="370">
        <v>0</v>
      </c>
      <c r="V971" s="687">
        <v>0</v>
      </c>
      <c r="W971" s="132"/>
      <c r="X971" s="132"/>
      <c r="Y971" s="132"/>
      <c r="Z971" s="132"/>
      <c r="AA971" s="132"/>
      <c r="AB971" s="132"/>
      <c r="AC971" s="132"/>
      <c r="AD971" s="132"/>
      <c r="AE971" s="598"/>
      <c r="AF971" s="349"/>
      <c r="AG971" s="510">
        <v>0</v>
      </c>
      <c r="AH971" s="370">
        <v>0</v>
      </c>
      <c r="AI971" s="75"/>
      <c r="AJ971" s="75"/>
      <c r="AK971" s="75"/>
      <c r="AL971" s="75"/>
      <c r="AM971" s="75"/>
      <c r="AN971" s="136" t="s">
        <v>39</v>
      </c>
      <c r="AO971" s="136"/>
      <c r="AP971" s="136"/>
      <c r="AQ971" s="414"/>
      <c r="AR971" s="136"/>
      <c r="AS971" s="477"/>
      <c r="AT971" s="136"/>
      <c r="AU971" s="646"/>
      <c r="AV971" s="448"/>
    </row>
    <row r="972" spans="1:48" s="212" customFormat="1" ht="15" customHeight="1" outlineLevel="4" x14ac:dyDescent="0.25">
      <c r="A972" s="210" t="str">
        <f t="shared" si="174"/>
        <v>1.10.2.3.2.60</v>
      </c>
      <c r="B972" s="136">
        <v>1</v>
      </c>
      <c r="C972" s="136">
        <v>10</v>
      </c>
      <c r="D972" s="136">
        <v>2</v>
      </c>
      <c r="E972" s="136">
        <v>3</v>
      </c>
      <c r="F972" s="136">
        <v>2</v>
      </c>
      <c r="G972" s="136">
        <v>60</v>
      </c>
      <c r="H972" s="125"/>
      <c r="I972" s="125"/>
      <c r="J972" s="213"/>
      <c r="K972" s="125" t="s">
        <v>1113</v>
      </c>
      <c r="L972" s="136">
        <v>0</v>
      </c>
      <c r="M972" s="136">
        <v>0</v>
      </c>
      <c r="N972" s="136">
        <v>0</v>
      </c>
      <c r="O972" s="136">
        <v>0</v>
      </c>
      <c r="P972" s="136"/>
      <c r="Q972" s="136"/>
      <c r="R972" s="136"/>
      <c r="S972" s="125"/>
      <c r="T972" s="136"/>
      <c r="U972" s="370">
        <v>0</v>
      </c>
      <c r="V972" s="687">
        <v>0</v>
      </c>
      <c r="W972" s="132"/>
      <c r="X972" s="132"/>
      <c r="Y972" s="132"/>
      <c r="Z972" s="132"/>
      <c r="AA972" s="132"/>
      <c r="AB972" s="132"/>
      <c r="AC972" s="132"/>
      <c r="AD972" s="132"/>
      <c r="AE972" s="598"/>
      <c r="AF972" s="349"/>
      <c r="AG972" s="510">
        <v>0</v>
      </c>
      <c r="AH972" s="370">
        <v>0</v>
      </c>
      <c r="AI972" s="75"/>
      <c r="AJ972" s="75"/>
      <c r="AK972" s="75"/>
      <c r="AL972" s="75"/>
      <c r="AM972" s="75"/>
      <c r="AN972" s="136" t="s">
        <v>39</v>
      </c>
      <c r="AO972" s="136"/>
      <c r="AP972" s="136"/>
      <c r="AQ972" s="414"/>
      <c r="AR972" s="136"/>
      <c r="AS972" s="477"/>
      <c r="AT972" s="136"/>
      <c r="AU972" s="646"/>
      <c r="AV972" s="448"/>
    </row>
    <row r="973" spans="1:48" s="212" customFormat="1" ht="15" customHeight="1" outlineLevel="4" x14ac:dyDescent="0.25">
      <c r="A973" s="210" t="str">
        <f t="shared" si="174"/>
        <v>1.10.2.3.2.61</v>
      </c>
      <c r="B973" s="136">
        <v>1</v>
      </c>
      <c r="C973" s="136">
        <v>10</v>
      </c>
      <c r="D973" s="136">
        <v>2</v>
      </c>
      <c r="E973" s="136">
        <v>3</v>
      </c>
      <c r="F973" s="136">
        <v>2</v>
      </c>
      <c r="G973" s="136">
        <v>61</v>
      </c>
      <c r="H973" s="125"/>
      <c r="I973" s="125"/>
      <c r="J973" s="213"/>
      <c r="K973" s="125" t="s">
        <v>1114</v>
      </c>
      <c r="L973" s="136">
        <v>0</v>
      </c>
      <c r="M973" s="136">
        <v>0</v>
      </c>
      <c r="N973" s="136">
        <v>0</v>
      </c>
      <c r="O973" s="136">
        <v>0</v>
      </c>
      <c r="P973" s="136"/>
      <c r="Q973" s="136"/>
      <c r="R973" s="136"/>
      <c r="S973" s="125"/>
      <c r="T973" s="136"/>
      <c r="U973" s="370">
        <v>0</v>
      </c>
      <c r="V973" s="687">
        <v>0</v>
      </c>
      <c r="W973" s="132"/>
      <c r="X973" s="132"/>
      <c r="Y973" s="132"/>
      <c r="Z973" s="132"/>
      <c r="AA973" s="132"/>
      <c r="AB973" s="132"/>
      <c r="AC973" s="132"/>
      <c r="AD973" s="132"/>
      <c r="AE973" s="598"/>
      <c r="AF973" s="349"/>
      <c r="AG973" s="510">
        <v>0</v>
      </c>
      <c r="AH973" s="370">
        <v>0</v>
      </c>
      <c r="AI973" s="75"/>
      <c r="AJ973" s="75"/>
      <c r="AK973" s="75"/>
      <c r="AL973" s="75"/>
      <c r="AM973" s="75"/>
      <c r="AN973" s="136" t="s">
        <v>39</v>
      </c>
      <c r="AO973" s="136"/>
      <c r="AP973" s="136"/>
      <c r="AQ973" s="414"/>
      <c r="AR973" s="136"/>
      <c r="AS973" s="477"/>
      <c r="AT973" s="136"/>
      <c r="AU973" s="646"/>
      <c r="AV973" s="448"/>
    </row>
    <row r="974" spans="1:48" s="212" customFormat="1" ht="15" customHeight="1" outlineLevel="4" x14ac:dyDescent="0.25">
      <c r="A974" s="210" t="str">
        <f t="shared" si="174"/>
        <v>1.10.2.3.2.62</v>
      </c>
      <c r="B974" s="136">
        <v>1</v>
      </c>
      <c r="C974" s="136">
        <v>10</v>
      </c>
      <c r="D974" s="136">
        <v>2</v>
      </c>
      <c r="E974" s="136">
        <v>3</v>
      </c>
      <c r="F974" s="136">
        <v>2</v>
      </c>
      <c r="G974" s="136">
        <v>62</v>
      </c>
      <c r="H974" s="125"/>
      <c r="I974" s="125"/>
      <c r="J974" s="213"/>
      <c r="K974" s="125" t="s">
        <v>1115</v>
      </c>
      <c r="L974" s="136">
        <v>0</v>
      </c>
      <c r="M974" s="136">
        <v>0</v>
      </c>
      <c r="N974" s="136">
        <v>0</v>
      </c>
      <c r="O974" s="136">
        <v>0</v>
      </c>
      <c r="P974" s="136"/>
      <c r="Q974" s="136"/>
      <c r="R974" s="136"/>
      <c r="S974" s="125"/>
      <c r="T974" s="136"/>
      <c r="U974" s="370">
        <v>0</v>
      </c>
      <c r="V974" s="687">
        <v>0</v>
      </c>
      <c r="W974" s="132"/>
      <c r="X974" s="132"/>
      <c r="Y974" s="132"/>
      <c r="Z974" s="132"/>
      <c r="AA974" s="132"/>
      <c r="AB974" s="132"/>
      <c r="AC974" s="132"/>
      <c r="AD974" s="132"/>
      <c r="AE974" s="598"/>
      <c r="AF974" s="349"/>
      <c r="AG974" s="510">
        <v>0</v>
      </c>
      <c r="AH974" s="370">
        <v>0</v>
      </c>
      <c r="AI974" s="75"/>
      <c r="AJ974" s="75"/>
      <c r="AK974" s="75"/>
      <c r="AL974" s="75"/>
      <c r="AM974" s="75"/>
      <c r="AN974" s="136" t="s">
        <v>39</v>
      </c>
      <c r="AO974" s="136"/>
      <c r="AP974" s="136"/>
      <c r="AQ974" s="414"/>
      <c r="AR974" s="136"/>
      <c r="AS974" s="477"/>
      <c r="AT974" s="136"/>
      <c r="AU974" s="646"/>
      <c r="AV974" s="448"/>
    </row>
    <row r="975" spans="1:48" s="212" customFormat="1" ht="15" customHeight="1" outlineLevel="4" x14ac:dyDescent="0.25">
      <c r="A975" s="210" t="str">
        <f t="shared" si="174"/>
        <v>1.10.2.3.2.63</v>
      </c>
      <c r="B975" s="136">
        <v>1</v>
      </c>
      <c r="C975" s="136">
        <v>10</v>
      </c>
      <c r="D975" s="136">
        <v>2</v>
      </c>
      <c r="E975" s="136">
        <v>3</v>
      </c>
      <c r="F975" s="136">
        <v>2</v>
      </c>
      <c r="G975" s="136">
        <v>63</v>
      </c>
      <c r="H975" s="125"/>
      <c r="I975" s="125"/>
      <c r="J975" s="213"/>
      <c r="K975" s="125" t="s">
        <v>1773</v>
      </c>
      <c r="L975" s="136">
        <v>0</v>
      </c>
      <c r="M975" s="136">
        <v>0</v>
      </c>
      <c r="N975" s="136">
        <v>0</v>
      </c>
      <c r="O975" s="136">
        <v>0</v>
      </c>
      <c r="P975" s="136"/>
      <c r="Q975" s="136"/>
      <c r="R975" s="136"/>
      <c r="S975" s="125"/>
      <c r="T975" s="136"/>
      <c r="U975" s="370">
        <v>0</v>
      </c>
      <c r="V975" s="687">
        <v>0</v>
      </c>
      <c r="W975" s="132"/>
      <c r="X975" s="132"/>
      <c r="Y975" s="132"/>
      <c r="Z975" s="132"/>
      <c r="AA975" s="132"/>
      <c r="AB975" s="132"/>
      <c r="AC975" s="132"/>
      <c r="AD975" s="132"/>
      <c r="AE975" s="598"/>
      <c r="AF975" s="349"/>
      <c r="AG975" s="510">
        <v>0</v>
      </c>
      <c r="AH975" s="370">
        <v>0</v>
      </c>
      <c r="AI975" s="75"/>
      <c r="AJ975" s="75"/>
      <c r="AK975" s="75"/>
      <c r="AL975" s="75"/>
      <c r="AM975" s="75"/>
      <c r="AN975" s="136" t="s">
        <v>39</v>
      </c>
      <c r="AO975" s="136"/>
      <c r="AP975" s="136"/>
      <c r="AQ975" s="414"/>
      <c r="AR975" s="136"/>
      <c r="AS975" s="477"/>
      <c r="AT975" s="136"/>
      <c r="AU975" s="646"/>
      <c r="AV975" s="448"/>
    </row>
    <row r="976" spans="1:48" s="212" customFormat="1" ht="15" customHeight="1" outlineLevel="4" x14ac:dyDescent="0.25">
      <c r="A976" s="210" t="str">
        <f t="shared" si="174"/>
        <v>1.10.2.3.2.64</v>
      </c>
      <c r="B976" s="136">
        <v>1</v>
      </c>
      <c r="C976" s="136">
        <v>10</v>
      </c>
      <c r="D976" s="136">
        <v>2</v>
      </c>
      <c r="E976" s="136">
        <v>3</v>
      </c>
      <c r="F976" s="136">
        <v>2</v>
      </c>
      <c r="G976" s="136">
        <v>64</v>
      </c>
      <c r="H976" s="125"/>
      <c r="I976" s="125"/>
      <c r="J976" s="213"/>
      <c r="K976" s="125" t="s">
        <v>1116</v>
      </c>
      <c r="L976" s="136">
        <v>0</v>
      </c>
      <c r="M976" s="136">
        <v>0</v>
      </c>
      <c r="N976" s="136">
        <v>0</v>
      </c>
      <c r="O976" s="136">
        <v>0</v>
      </c>
      <c r="P976" s="136"/>
      <c r="Q976" s="136"/>
      <c r="R976" s="136"/>
      <c r="S976" s="125"/>
      <c r="T976" s="136"/>
      <c r="U976" s="370">
        <v>0</v>
      </c>
      <c r="V976" s="687">
        <v>0</v>
      </c>
      <c r="W976" s="132"/>
      <c r="X976" s="132"/>
      <c r="Y976" s="132"/>
      <c r="Z976" s="132"/>
      <c r="AA976" s="132"/>
      <c r="AB976" s="132"/>
      <c r="AC976" s="132"/>
      <c r="AD976" s="132"/>
      <c r="AE976" s="598"/>
      <c r="AF976" s="349"/>
      <c r="AG976" s="510">
        <v>0</v>
      </c>
      <c r="AH976" s="370">
        <v>0</v>
      </c>
      <c r="AI976" s="75"/>
      <c r="AJ976" s="75"/>
      <c r="AK976" s="75"/>
      <c r="AL976" s="75"/>
      <c r="AM976" s="75"/>
      <c r="AN976" s="136" t="s">
        <v>39</v>
      </c>
      <c r="AO976" s="136"/>
      <c r="AP976" s="136"/>
      <c r="AQ976" s="414"/>
      <c r="AR976" s="136"/>
      <c r="AS976" s="477"/>
      <c r="AT976" s="136"/>
      <c r="AU976" s="646"/>
      <c r="AV976" s="448"/>
    </row>
    <row r="977" spans="1:48" s="212" customFormat="1" ht="30" customHeight="1" outlineLevel="4" x14ac:dyDescent="0.25">
      <c r="A977" s="210" t="str">
        <f t="shared" si="174"/>
        <v>1.10.2.3.3.58</v>
      </c>
      <c r="B977" s="136">
        <v>1</v>
      </c>
      <c r="C977" s="136">
        <v>10</v>
      </c>
      <c r="D977" s="136">
        <v>2</v>
      </c>
      <c r="E977" s="136">
        <v>3</v>
      </c>
      <c r="F977" s="136">
        <v>3</v>
      </c>
      <c r="G977" s="136">
        <v>58</v>
      </c>
      <c r="H977" s="125"/>
      <c r="I977" s="125"/>
      <c r="J977" s="213"/>
      <c r="K977" s="86" t="s">
        <v>1117</v>
      </c>
      <c r="L977" s="136">
        <v>0</v>
      </c>
      <c r="M977" s="136">
        <v>0</v>
      </c>
      <c r="N977" s="136">
        <v>0</v>
      </c>
      <c r="O977" s="136">
        <v>0</v>
      </c>
      <c r="P977" s="136"/>
      <c r="Q977" s="136"/>
      <c r="R977" s="136"/>
      <c r="S977" s="125"/>
      <c r="T977" s="136"/>
      <c r="U977" s="370">
        <v>0</v>
      </c>
      <c r="V977" s="687">
        <v>0</v>
      </c>
      <c r="W977" s="132"/>
      <c r="X977" s="132"/>
      <c r="Y977" s="132"/>
      <c r="Z977" s="132"/>
      <c r="AA977" s="132"/>
      <c r="AB977" s="132"/>
      <c r="AC977" s="132"/>
      <c r="AD977" s="132"/>
      <c r="AE977" s="598"/>
      <c r="AF977" s="349"/>
      <c r="AG977" s="510">
        <v>0</v>
      </c>
      <c r="AH977" s="370">
        <v>0</v>
      </c>
      <c r="AI977" s="75"/>
      <c r="AJ977" s="75"/>
      <c r="AK977" s="75"/>
      <c r="AL977" s="75"/>
      <c r="AM977" s="75"/>
      <c r="AN977" s="136" t="s">
        <v>39</v>
      </c>
      <c r="AO977" s="136"/>
      <c r="AP977" s="136"/>
      <c r="AQ977" s="414"/>
      <c r="AR977" s="136"/>
      <c r="AS977" s="477"/>
      <c r="AT977" s="136"/>
      <c r="AU977" s="646"/>
      <c r="AV977" s="448"/>
    </row>
    <row r="978" spans="1:48" s="212" customFormat="1" ht="30" customHeight="1" outlineLevel="4" x14ac:dyDescent="0.25">
      <c r="A978" s="210" t="str">
        <f t="shared" si="174"/>
        <v>1.10.2.3.3.59</v>
      </c>
      <c r="B978" s="136">
        <v>1</v>
      </c>
      <c r="C978" s="136">
        <v>10</v>
      </c>
      <c r="D978" s="136">
        <v>2</v>
      </c>
      <c r="E978" s="136">
        <v>3</v>
      </c>
      <c r="F978" s="136">
        <v>3</v>
      </c>
      <c r="G978" s="136">
        <v>59</v>
      </c>
      <c r="H978" s="125"/>
      <c r="I978" s="125"/>
      <c r="J978" s="213"/>
      <c r="K978" s="86" t="s">
        <v>1118</v>
      </c>
      <c r="L978" s="136">
        <v>0</v>
      </c>
      <c r="M978" s="136">
        <v>0</v>
      </c>
      <c r="N978" s="136">
        <v>0</v>
      </c>
      <c r="O978" s="136">
        <v>0</v>
      </c>
      <c r="P978" s="136"/>
      <c r="Q978" s="136"/>
      <c r="R978" s="136"/>
      <c r="S978" s="125"/>
      <c r="T978" s="136"/>
      <c r="U978" s="370">
        <v>0</v>
      </c>
      <c r="V978" s="687">
        <v>0</v>
      </c>
      <c r="W978" s="132"/>
      <c r="X978" s="132"/>
      <c r="Y978" s="132"/>
      <c r="Z978" s="132"/>
      <c r="AA978" s="132"/>
      <c r="AB978" s="132"/>
      <c r="AC978" s="132"/>
      <c r="AD978" s="132"/>
      <c r="AE978" s="598"/>
      <c r="AF978" s="349"/>
      <c r="AG978" s="510">
        <v>0</v>
      </c>
      <c r="AH978" s="370">
        <v>0</v>
      </c>
      <c r="AI978" s="75"/>
      <c r="AJ978" s="75"/>
      <c r="AK978" s="75"/>
      <c r="AL978" s="75"/>
      <c r="AM978" s="75"/>
      <c r="AN978" s="136" t="s">
        <v>39</v>
      </c>
      <c r="AO978" s="136"/>
      <c r="AP978" s="136"/>
      <c r="AQ978" s="414"/>
      <c r="AR978" s="136"/>
      <c r="AS978" s="477"/>
      <c r="AT978" s="136"/>
      <c r="AU978" s="646"/>
      <c r="AV978" s="448"/>
    </row>
    <row r="979" spans="1:48" s="212" customFormat="1" ht="30" customHeight="1" outlineLevel="4" x14ac:dyDescent="0.25">
      <c r="A979" s="210" t="str">
        <f t="shared" si="174"/>
        <v>1.10.2.3.3.60</v>
      </c>
      <c r="B979" s="136">
        <v>1</v>
      </c>
      <c r="C979" s="136">
        <v>10</v>
      </c>
      <c r="D979" s="136">
        <v>2</v>
      </c>
      <c r="E979" s="136">
        <v>3</v>
      </c>
      <c r="F979" s="136">
        <v>3</v>
      </c>
      <c r="G979" s="136">
        <v>60</v>
      </c>
      <c r="H979" s="125"/>
      <c r="I979" s="125"/>
      <c r="J979" s="213"/>
      <c r="K979" s="86" t="s">
        <v>1119</v>
      </c>
      <c r="L979" s="136">
        <v>0</v>
      </c>
      <c r="M979" s="136">
        <v>0</v>
      </c>
      <c r="N979" s="136">
        <v>0</v>
      </c>
      <c r="O979" s="136">
        <v>0</v>
      </c>
      <c r="P979" s="136"/>
      <c r="Q979" s="136"/>
      <c r="R979" s="136"/>
      <c r="S979" s="125"/>
      <c r="T979" s="136"/>
      <c r="U979" s="370">
        <v>0</v>
      </c>
      <c r="V979" s="687">
        <v>0</v>
      </c>
      <c r="W979" s="132"/>
      <c r="X979" s="132"/>
      <c r="Y979" s="132"/>
      <c r="Z979" s="132"/>
      <c r="AA979" s="132"/>
      <c r="AB979" s="132"/>
      <c r="AC979" s="132"/>
      <c r="AD979" s="132"/>
      <c r="AE979" s="598"/>
      <c r="AF979" s="349"/>
      <c r="AG979" s="510">
        <v>0</v>
      </c>
      <c r="AH979" s="370">
        <v>0</v>
      </c>
      <c r="AI979" s="75"/>
      <c r="AJ979" s="75"/>
      <c r="AK979" s="75"/>
      <c r="AL979" s="75"/>
      <c r="AM979" s="75"/>
      <c r="AN979" s="136" t="s">
        <v>39</v>
      </c>
      <c r="AO979" s="136"/>
      <c r="AP979" s="136"/>
      <c r="AQ979" s="414"/>
      <c r="AR979" s="136"/>
      <c r="AS979" s="477"/>
      <c r="AT979" s="136"/>
      <c r="AU979" s="646"/>
      <c r="AV979" s="448"/>
    </row>
    <row r="980" spans="1:48" s="212" customFormat="1" ht="30" customHeight="1" outlineLevel="4" x14ac:dyDescent="0.25">
      <c r="A980" s="210" t="str">
        <f t="shared" si="174"/>
        <v>1.10.2.3.3.61</v>
      </c>
      <c r="B980" s="136">
        <v>1</v>
      </c>
      <c r="C980" s="136">
        <v>10</v>
      </c>
      <c r="D980" s="136">
        <v>2</v>
      </c>
      <c r="E980" s="136">
        <v>3</v>
      </c>
      <c r="F980" s="136">
        <v>3</v>
      </c>
      <c r="G980" s="136">
        <v>61</v>
      </c>
      <c r="H980" s="125"/>
      <c r="I980" s="125"/>
      <c r="J980" s="213"/>
      <c r="K980" s="86" t="s">
        <v>1120</v>
      </c>
      <c r="L980" s="136">
        <v>0</v>
      </c>
      <c r="M980" s="136">
        <v>0</v>
      </c>
      <c r="N980" s="136">
        <v>0</v>
      </c>
      <c r="O980" s="136">
        <v>0</v>
      </c>
      <c r="P980" s="136"/>
      <c r="Q980" s="136"/>
      <c r="R980" s="136"/>
      <c r="S980" s="125"/>
      <c r="T980" s="136"/>
      <c r="U980" s="370">
        <v>0</v>
      </c>
      <c r="V980" s="687">
        <v>0</v>
      </c>
      <c r="W980" s="132"/>
      <c r="X980" s="132"/>
      <c r="Y980" s="132"/>
      <c r="Z980" s="132"/>
      <c r="AA980" s="132"/>
      <c r="AB980" s="132"/>
      <c r="AC980" s="132"/>
      <c r="AD980" s="132"/>
      <c r="AE980" s="598"/>
      <c r="AF980" s="349"/>
      <c r="AG980" s="510">
        <v>0</v>
      </c>
      <c r="AH980" s="370">
        <v>0</v>
      </c>
      <c r="AI980" s="75"/>
      <c r="AJ980" s="75"/>
      <c r="AK980" s="75"/>
      <c r="AL980" s="75"/>
      <c r="AM980" s="75"/>
      <c r="AN980" s="136" t="s">
        <v>39</v>
      </c>
      <c r="AO980" s="136"/>
      <c r="AP980" s="136"/>
      <c r="AQ980" s="414"/>
      <c r="AR980" s="136"/>
      <c r="AS980" s="477"/>
      <c r="AT980" s="136"/>
      <c r="AU980" s="646"/>
      <c r="AV980" s="448"/>
    </row>
    <row r="981" spans="1:48" s="212" customFormat="1" ht="30" customHeight="1" outlineLevel="4" x14ac:dyDescent="0.25">
      <c r="A981" s="210" t="str">
        <f t="shared" si="174"/>
        <v>1.10.2.3.3.62</v>
      </c>
      <c r="B981" s="136">
        <v>1</v>
      </c>
      <c r="C981" s="136">
        <v>10</v>
      </c>
      <c r="D981" s="136">
        <v>2</v>
      </c>
      <c r="E981" s="136">
        <v>3</v>
      </c>
      <c r="F981" s="136">
        <v>3</v>
      </c>
      <c r="G981" s="136">
        <v>62</v>
      </c>
      <c r="H981" s="125"/>
      <c r="I981" s="125"/>
      <c r="J981" s="213"/>
      <c r="K981" s="86" t="s">
        <v>1121</v>
      </c>
      <c r="L981" s="136">
        <v>0</v>
      </c>
      <c r="M981" s="136">
        <v>0</v>
      </c>
      <c r="N981" s="136">
        <v>0</v>
      </c>
      <c r="O981" s="136">
        <v>0</v>
      </c>
      <c r="P981" s="136"/>
      <c r="Q981" s="136"/>
      <c r="R981" s="136"/>
      <c r="S981" s="125"/>
      <c r="T981" s="136"/>
      <c r="U981" s="370">
        <v>0</v>
      </c>
      <c r="V981" s="687">
        <v>0</v>
      </c>
      <c r="W981" s="132"/>
      <c r="X981" s="132"/>
      <c r="Y981" s="132"/>
      <c r="Z981" s="132"/>
      <c r="AA981" s="132"/>
      <c r="AB981" s="132"/>
      <c r="AC981" s="132"/>
      <c r="AD981" s="132"/>
      <c r="AE981" s="598"/>
      <c r="AF981" s="349"/>
      <c r="AG981" s="510">
        <v>0</v>
      </c>
      <c r="AH981" s="370">
        <v>0</v>
      </c>
      <c r="AI981" s="75"/>
      <c r="AJ981" s="75"/>
      <c r="AK981" s="75"/>
      <c r="AL981" s="75"/>
      <c r="AM981" s="75"/>
      <c r="AN981" s="136" t="s">
        <v>39</v>
      </c>
      <c r="AO981" s="136"/>
      <c r="AP981" s="136"/>
      <c r="AQ981" s="414"/>
      <c r="AR981" s="136"/>
      <c r="AS981" s="477"/>
      <c r="AT981" s="136"/>
      <c r="AU981" s="646"/>
      <c r="AV981" s="448"/>
    </row>
    <row r="982" spans="1:48" s="212" customFormat="1" ht="30" customHeight="1" outlineLevel="4" x14ac:dyDescent="0.25">
      <c r="A982" s="210" t="str">
        <f t="shared" si="174"/>
        <v>1.10.2.3.3.63</v>
      </c>
      <c r="B982" s="136">
        <v>1</v>
      </c>
      <c r="C982" s="136">
        <v>10</v>
      </c>
      <c r="D982" s="136">
        <v>2</v>
      </c>
      <c r="E982" s="136">
        <v>3</v>
      </c>
      <c r="F982" s="136">
        <v>3</v>
      </c>
      <c r="G982" s="136">
        <v>63</v>
      </c>
      <c r="H982" s="125"/>
      <c r="I982" s="125"/>
      <c r="J982" s="213"/>
      <c r="K982" s="86" t="s">
        <v>1774</v>
      </c>
      <c r="L982" s="136">
        <v>0</v>
      </c>
      <c r="M982" s="136">
        <v>0</v>
      </c>
      <c r="N982" s="136">
        <v>0</v>
      </c>
      <c r="O982" s="136">
        <v>0</v>
      </c>
      <c r="P982" s="136"/>
      <c r="Q982" s="136"/>
      <c r="R982" s="136"/>
      <c r="S982" s="125"/>
      <c r="T982" s="136"/>
      <c r="U982" s="370">
        <v>0</v>
      </c>
      <c r="V982" s="687">
        <v>0</v>
      </c>
      <c r="W982" s="132"/>
      <c r="X982" s="132"/>
      <c r="Y982" s="132"/>
      <c r="Z982" s="132"/>
      <c r="AA982" s="132"/>
      <c r="AB982" s="132"/>
      <c r="AC982" s="132"/>
      <c r="AD982" s="132"/>
      <c r="AE982" s="598"/>
      <c r="AF982" s="349"/>
      <c r="AG982" s="510">
        <v>0</v>
      </c>
      <c r="AH982" s="370">
        <v>0</v>
      </c>
      <c r="AI982" s="75"/>
      <c r="AJ982" s="75"/>
      <c r="AK982" s="75"/>
      <c r="AL982" s="75"/>
      <c r="AM982" s="75"/>
      <c r="AN982" s="136" t="s">
        <v>39</v>
      </c>
      <c r="AO982" s="136"/>
      <c r="AP982" s="136"/>
      <c r="AQ982" s="414"/>
      <c r="AR982" s="136"/>
      <c r="AS982" s="477"/>
      <c r="AT982" s="136"/>
      <c r="AU982" s="646"/>
      <c r="AV982" s="448"/>
    </row>
    <row r="983" spans="1:48" s="212" customFormat="1" ht="30" customHeight="1" outlineLevel="4" x14ac:dyDescent="0.25">
      <c r="A983" s="210" t="str">
        <f t="shared" si="174"/>
        <v>1.10.2.3.3.64</v>
      </c>
      <c r="B983" s="136">
        <v>1</v>
      </c>
      <c r="C983" s="136">
        <v>10</v>
      </c>
      <c r="D983" s="136">
        <v>2</v>
      </c>
      <c r="E983" s="136">
        <v>3</v>
      </c>
      <c r="F983" s="136">
        <v>3</v>
      </c>
      <c r="G983" s="136">
        <v>64</v>
      </c>
      <c r="H983" s="125"/>
      <c r="I983" s="125"/>
      <c r="J983" s="213"/>
      <c r="K983" s="86" t="s">
        <v>1122</v>
      </c>
      <c r="L983" s="136">
        <v>0</v>
      </c>
      <c r="M983" s="136">
        <v>0</v>
      </c>
      <c r="N983" s="136">
        <v>0</v>
      </c>
      <c r="O983" s="136">
        <v>0</v>
      </c>
      <c r="P983" s="136"/>
      <c r="Q983" s="136"/>
      <c r="R983" s="136"/>
      <c r="S983" s="125"/>
      <c r="T983" s="136"/>
      <c r="U983" s="370">
        <v>0</v>
      </c>
      <c r="V983" s="687">
        <v>0</v>
      </c>
      <c r="W983" s="132"/>
      <c r="X983" s="132"/>
      <c r="Y983" s="132"/>
      <c r="Z983" s="132"/>
      <c r="AA983" s="132"/>
      <c r="AB983" s="132"/>
      <c r="AC983" s="132"/>
      <c r="AD983" s="132"/>
      <c r="AE983" s="598"/>
      <c r="AF983" s="349"/>
      <c r="AG983" s="510">
        <v>0</v>
      </c>
      <c r="AH983" s="370">
        <v>0</v>
      </c>
      <c r="AI983" s="75"/>
      <c r="AJ983" s="75"/>
      <c r="AK983" s="75"/>
      <c r="AL983" s="75"/>
      <c r="AM983" s="75"/>
      <c r="AN983" s="136" t="s">
        <v>39</v>
      </c>
      <c r="AO983" s="136"/>
      <c r="AP983" s="136"/>
      <c r="AQ983" s="414"/>
      <c r="AR983" s="136"/>
      <c r="AS983" s="477"/>
      <c r="AT983" s="136"/>
      <c r="AU983" s="646"/>
      <c r="AV983" s="448"/>
    </row>
    <row r="984" spans="1:48" s="153" customFormat="1" ht="15" customHeight="1" x14ac:dyDescent="0.25">
      <c r="A984" s="246" t="str">
        <f t="shared" si="174"/>
        <v>2.0.0.0.0.0</v>
      </c>
      <c r="B984" s="44">
        <v>2</v>
      </c>
      <c r="C984" s="44">
        <v>0</v>
      </c>
      <c r="D984" s="44">
        <v>0</v>
      </c>
      <c r="E984" s="44">
        <v>0</v>
      </c>
      <c r="F984" s="44">
        <v>0</v>
      </c>
      <c r="G984" s="44">
        <v>0</v>
      </c>
      <c r="H984" s="1269" t="s">
        <v>1123</v>
      </c>
      <c r="I984" s="1270"/>
      <c r="J984" s="1270"/>
      <c r="K984" s="1271"/>
      <c r="L984" s="44" t="s">
        <v>1124</v>
      </c>
      <c r="M984" s="44">
        <v>0</v>
      </c>
      <c r="N984" s="44">
        <v>0</v>
      </c>
      <c r="O984" s="44">
        <v>0</v>
      </c>
      <c r="P984" s="44"/>
      <c r="Q984" s="44"/>
      <c r="R984" s="44"/>
      <c r="S984" s="247"/>
      <c r="T984" s="44"/>
      <c r="U984" s="387">
        <f t="shared" ref="U984:AG984" si="182">+U985</f>
        <v>0</v>
      </c>
      <c r="V984" s="688">
        <f t="shared" si="182"/>
        <v>0</v>
      </c>
      <c r="W984" s="387">
        <f t="shared" si="182"/>
        <v>0</v>
      </c>
      <c r="X984" s="387">
        <f t="shared" si="182"/>
        <v>0</v>
      </c>
      <c r="Y984" s="387">
        <f t="shared" si="182"/>
        <v>0</v>
      </c>
      <c r="Z984" s="387">
        <f t="shared" si="182"/>
        <v>0</v>
      </c>
      <c r="AA984" s="387">
        <f t="shared" si="182"/>
        <v>0</v>
      </c>
      <c r="AB984" s="387">
        <f t="shared" si="182"/>
        <v>0</v>
      </c>
      <c r="AC984" s="387">
        <f t="shared" si="182"/>
        <v>0</v>
      </c>
      <c r="AD984" s="387">
        <f t="shared" si="182"/>
        <v>0</v>
      </c>
      <c r="AE984" s="387">
        <f t="shared" si="182"/>
        <v>0</v>
      </c>
      <c r="AF984" s="387">
        <f t="shared" si="182"/>
        <v>0</v>
      </c>
      <c r="AG984" s="387">
        <f t="shared" si="182"/>
        <v>0</v>
      </c>
      <c r="AH984" s="387">
        <f>+AH985</f>
        <v>0</v>
      </c>
      <c r="AI984" s="523">
        <f>+AI985</f>
        <v>0</v>
      </c>
      <c r="AJ984" s="523">
        <f>+AJ985</f>
        <v>0</v>
      </c>
      <c r="AK984" s="249"/>
      <c r="AL984" s="249"/>
      <c r="AM984" s="249"/>
      <c r="AN984" s="44" t="s">
        <v>39</v>
      </c>
      <c r="AO984" s="44"/>
      <c r="AP984" s="44"/>
      <c r="AQ984" s="420"/>
      <c r="AR984" s="44"/>
      <c r="AS984" s="486"/>
      <c r="AT984" s="44"/>
      <c r="AU984" s="658"/>
      <c r="AV984" s="426"/>
    </row>
    <row r="985" spans="1:48" s="153" customFormat="1" ht="15" customHeight="1" outlineLevel="1" x14ac:dyDescent="0.25">
      <c r="A985" s="108" t="str">
        <f t="shared" si="174"/>
        <v>2.11.0.0.0.0</v>
      </c>
      <c r="B985" s="109">
        <v>2</v>
      </c>
      <c r="C985" s="109">
        <v>11</v>
      </c>
      <c r="D985" s="109">
        <v>0</v>
      </c>
      <c r="E985" s="109">
        <v>0</v>
      </c>
      <c r="F985" s="109">
        <v>0</v>
      </c>
      <c r="G985" s="109">
        <v>0</v>
      </c>
      <c r="H985" s="110"/>
      <c r="I985" s="1265" t="s">
        <v>1125</v>
      </c>
      <c r="J985" s="1266"/>
      <c r="K985" s="1267"/>
      <c r="L985" s="109" t="s">
        <v>1126</v>
      </c>
      <c r="M985" s="109">
        <v>0</v>
      </c>
      <c r="N985" s="109">
        <v>0</v>
      </c>
      <c r="O985" s="109">
        <v>0</v>
      </c>
      <c r="P985" s="109"/>
      <c r="Q985" s="109"/>
      <c r="R985" s="109"/>
      <c r="S985" s="110"/>
      <c r="T985" s="109"/>
      <c r="U985" s="112"/>
      <c r="V985" s="680"/>
      <c r="W985" s="112"/>
      <c r="X985" s="112"/>
      <c r="Y985" s="112"/>
      <c r="Z985" s="112"/>
      <c r="AA985" s="112"/>
      <c r="AB985" s="112"/>
      <c r="AC985" s="112"/>
      <c r="AD985" s="112"/>
      <c r="AE985" s="574"/>
      <c r="AF985" s="333"/>
      <c r="AG985" s="514">
        <f>+AG1005</f>
        <v>0</v>
      </c>
      <c r="AH985" s="374">
        <f>+AH1005</f>
        <v>0</v>
      </c>
      <c r="AI985" s="514">
        <f>+AI1005</f>
        <v>0</v>
      </c>
      <c r="AJ985" s="514">
        <f>+AJ1005</f>
        <v>0</v>
      </c>
      <c r="AK985" s="112"/>
      <c r="AL985" s="112"/>
      <c r="AM985" s="112"/>
      <c r="AN985" s="109" t="s">
        <v>39</v>
      </c>
      <c r="AO985" s="109"/>
      <c r="AP985" s="109"/>
      <c r="AQ985" s="411"/>
      <c r="AR985" s="109"/>
      <c r="AS985" s="473"/>
      <c r="AT985" s="109"/>
      <c r="AU985" s="659"/>
      <c r="AV985" s="445"/>
    </row>
    <row r="986" spans="1:48" s="153" customFormat="1" ht="15" customHeight="1" outlineLevel="1" x14ac:dyDescent="0.25">
      <c r="A986" s="148" t="str">
        <f t="shared" si="174"/>
        <v>2.11.0.1.0.0</v>
      </c>
      <c r="B986" s="82">
        <v>2</v>
      </c>
      <c r="C986" s="82">
        <v>11</v>
      </c>
      <c r="D986" s="82">
        <v>0</v>
      </c>
      <c r="E986" s="82">
        <v>1</v>
      </c>
      <c r="F986" s="82">
        <v>0</v>
      </c>
      <c r="G986" s="82">
        <v>0</v>
      </c>
      <c r="H986" s="149"/>
      <c r="I986" s="149"/>
      <c r="J986" s="1289" t="s">
        <v>1127</v>
      </c>
      <c r="K986" s="1290"/>
      <c r="L986" s="82">
        <v>0</v>
      </c>
      <c r="M986" s="82">
        <v>0</v>
      </c>
      <c r="N986" s="82">
        <v>0</v>
      </c>
      <c r="O986" s="82">
        <v>0</v>
      </c>
      <c r="P986" s="82"/>
      <c r="Q986" s="82"/>
      <c r="R986" s="82"/>
      <c r="S986" s="149"/>
      <c r="T986" s="82"/>
      <c r="U986" s="152"/>
      <c r="V986" s="681"/>
      <c r="W986" s="152"/>
      <c r="X986" s="152"/>
      <c r="Y986" s="152"/>
      <c r="Z986" s="152"/>
      <c r="AA986" s="152"/>
      <c r="AB986" s="152"/>
      <c r="AC986" s="152"/>
      <c r="AD986" s="152"/>
      <c r="AE986" s="597"/>
      <c r="AF986" s="358"/>
      <c r="AG986" s="512">
        <f>SUM(AG987:AG992)</f>
        <v>0</v>
      </c>
      <c r="AH986" s="379">
        <f>SUM(AH987:AH992)</f>
        <v>0</v>
      </c>
      <c r="AI986" s="152"/>
      <c r="AJ986" s="152"/>
      <c r="AK986" s="152"/>
      <c r="AL986" s="152"/>
      <c r="AM986" s="152"/>
      <c r="AN986" s="82"/>
      <c r="AO986" s="82"/>
      <c r="AP986" s="82"/>
      <c r="AQ986" s="365"/>
      <c r="AR986" s="82"/>
      <c r="AS986" s="483"/>
      <c r="AT986" s="82"/>
      <c r="AU986" s="666"/>
      <c r="AV986" s="444"/>
    </row>
    <row r="987" spans="1:48" ht="15" customHeight="1" outlineLevel="4" x14ac:dyDescent="0.25">
      <c r="A987" s="99" t="str">
        <f t="shared" si="174"/>
        <v>2.11.0.1.1.0</v>
      </c>
      <c r="B987" s="100">
        <v>2</v>
      </c>
      <c r="C987" s="100">
        <v>11</v>
      </c>
      <c r="D987" s="100">
        <v>0</v>
      </c>
      <c r="E987" s="100">
        <v>1</v>
      </c>
      <c r="F987" s="100">
        <v>1</v>
      </c>
      <c r="G987" s="100">
        <v>0</v>
      </c>
      <c r="H987" s="101"/>
      <c r="I987" s="101"/>
      <c r="J987" s="101"/>
      <c r="K987" s="101" t="s">
        <v>1128</v>
      </c>
      <c r="L987" s="64">
        <v>0</v>
      </c>
      <c r="M987" s="64">
        <v>0</v>
      </c>
      <c r="N987" s="64">
        <v>0</v>
      </c>
      <c r="O987" s="64">
        <v>0</v>
      </c>
      <c r="P987" s="64"/>
      <c r="Q987" s="64"/>
      <c r="R987" s="64"/>
      <c r="S987" s="65"/>
      <c r="T987" s="64"/>
      <c r="U987" s="75"/>
      <c r="V987" s="674"/>
      <c r="W987" s="75"/>
      <c r="X987" s="75"/>
      <c r="Y987" s="75"/>
      <c r="Z987" s="75"/>
      <c r="AA987" s="75"/>
      <c r="AB987" s="75"/>
      <c r="AC987" s="75"/>
      <c r="AD987" s="75"/>
      <c r="AE987" s="592"/>
      <c r="AF987" s="259"/>
      <c r="AG987" s="510">
        <v>0</v>
      </c>
      <c r="AH987" s="370">
        <v>0</v>
      </c>
      <c r="AI987" s="154"/>
      <c r="AJ987" s="154"/>
      <c r="AK987" s="154"/>
      <c r="AL987" s="154"/>
      <c r="AM987" s="154"/>
      <c r="AN987" s="64"/>
      <c r="AO987" s="64"/>
      <c r="AP987" s="64"/>
      <c r="AQ987" s="189"/>
      <c r="AR987" s="64"/>
      <c r="AS987" s="476"/>
      <c r="AT987" s="64"/>
      <c r="AU987" s="646"/>
      <c r="AV987" s="455"/>
    </row>
    <row r="988" spans="1:48" ht="15" customHeight="1" outlineLevel="4" x14ac:dyDescent="0.25">
      <c r="A988" s="99" t="str">
        <f t="shared" si="174"/>
        <v>2.11.0.1.2.0</v>
      </c>
      <c r="B988" s="100">
        <v>2</v>
      </c>
      <c r="C988" s="100">
        <v>11</v>
      </c>
      <c r="D988" s="100">
        <v>0</v>
      </c>
      <c r="E988" s="100">
        <v>1</v>
      </c>
      <c r="F988" s="100">
        <v>2</v>
      </c>
      <c r="G988" s="100">
        <v>0</v>
      </c>
      <c r="H988" s="101"/>
      <c r="I988" s="101"/>
      <c r="J988" s="102"/>
      <c r="K988" s="101" t="s">
        <v>327</v>
      </c>
      <c r="L988" s="64">
        <v>0</v>
      </c>
      <c r="M988" s="64">
        <v>0</v>
      </c>
      <c r="N988" s="64">
        <v>0</v>
      </c>
      <c r="O988" s="64">
        <v>0</v>
      </c>
      <c r="P988" s="64"/>
      <c r="Q988" s="64"/>
      <c r="R988" s="64"/>
      <c r="S988" s="65"/>
      <c r="T988" s="64"/>
      <c r="U988" s="75"/>
      <c r="V988" s="674"/>
      <c r="W988" s="75"/>
      <c r="X988" s="75"/>
      <c r="Y988" s="75"/>
      <c r="Z988" s="75"/>
      <c r="AA988" s="75"/>
      <c r="AB988" s="75"/>
      <c r="AC988" s="75"/>
      <c r="AD988" s="75"/>
      <c r="AE988" s="592"/>
      <c r="AF988" s="259"/>
      <c r="AG988" s="510">
        <v>0</v>
      </c>
      <c r="AH988" s="370">
        <v>0</v>
      </c>
      <c r="AI988" s="154"/>
      <c r="AJ988" s="154"/>
      <c r="AK988" s="154"/>
      <c r="AL988" s="154"/>
      <c r="AM988" s="154"/>
      <c r="AN988" s="64"/>
      <c r="AO988" s="64"/>
      <c r="AP988" s="64"/>
      <c r="AQ988" s="189"/>
      <c r="AR988" s="64"/>
      <c r="AS988" s="476"/>
      <c r="AT988" s="64"/>
      <c r="AU988" s="646"/>
      <c r="AV988" s="455"/>
    </row>
    <row r="989" spans="1:48" ht="15" customHeight="1" outlineLevel="4" x14ac:dyDescent="0.25">
      <c r="A989" s="99" t="str">
        <f t="shared" si="174"/>
        <v>2.11.0.1.3.0</v>
      </c>
      <c r="B989" s="100">
        <v>2</v>
      </c>
      <c r="C989" s="100">
        <v>11</v>
      </c>
      <c r="D989" s="100">
        <v>0</v>
      </c>
      <c r="E989" s="100">
        <v>1</v>
      </c>
      <c r="F989" s="100">
        <v>3</v>
      </c>
      <c r="G989" s="100">
        <v>0</v>
      </c>
      <c r="H989" s="101"/>
      <c r="I989" s="101"/>
      <c r="J989" s="102"/>
      <c r="K989" s="101" t="s">
        <v>353</v>
      </c>
      <c r="L989" s="64">
        <v>0</v>
      </c>
      <c r="M989" s="64">
        <v>0</v>
      </c>
      <c r="N989" s="64">
        <v>0</v>
      </c>
      <c r="O989" s="64">
        <v>0</v>
      </c>
      <c r="P989" s="64"/>
      <c r="Q989" s="64"/>
      <c r="R989" s="64"/>
      <c r="S989" s="65"/>
      <c r="T989" s="64"/>
      <c r="U989" s="75"/>
      <c r="V989" s="674"/>
      <c r="W989" s="75"/>
      <c r="X989" s="75"/>
      <c r="Y989" s="75"/>
      <c r="Z989" s="75"/>
      <c r="AA989" s="75"/>
      <c r="AB989" s="75"/>
      <c r="AC989" s="75"/>
      <c r="AD989" s="75"/>
      <c r="AE989" s="592"/>
      <c r="AF989" s="259"/>
      <c r="AG989" s="510">
        <v>0</v>
      </c>
      <c r="AH989" s="370">
        <v>0</v>
      </c>
      <c r="AI989" s="154"/>
      <c r="AJ989" s="154"/>
      <c r="AK989" s="154"/>
      <c r="AL989" s="154"/>
      <c r="AM989" s="154"/>
      <c r="AN989" s="64"/>
      <c r="AO989" s="64"/>
      <c r="AP989" s="64"/>
      <c r="AQ989" s="189"/>
      <c r="AR989" s="64"/>
      <c r="AS989" s="476"/>
      <c r="AT989" s="64"/>
      <c r="AU989" s="646"/>
      <c r="AV989" s="455"/>
    </row>
    <row r="990" spans="1:48" ht="15" customHeight="1" outlineLevel="4" x14ac:dyDescent="0.25">
      <c r="A990" s="99" t="str">
        <f t="shared" si="174"/>
        <v>2.11.0.1.4.0</v>
      </c>
      <c r="B990" s="100">
        <v>2</v>
      </c>
      <c r="C990" s="100">
        <v>11</v>
      </c>
      <c r="D990" s="100">
        <v>0</v>
      </c>
      <c r="E990" s="100">
        <v>1</v>
      </c>
      <c r="F990" s="100">
        <v>4</v>
      </c>
      <c r="G990" s="100">
        <v>0</v>
      </c>
      <c r="H990" s="101"/>
      <c r="I990" s="101"/>
      <c r="J990" s="102"/>
      <c r="K990" s="101" t="s">
        <v>1129</v>
      </c>
      <c r="L990" s="64">
        <v>0</v>
      </c>
      <c r="M990" s="64">
        <v>0</v>
      </c>
      <c r="N990" s="64">
        <v>0</v>
      </c>
      <c r="O990" s="64">
        <v>0</v>
      </c>
      <c r="P990" s="64"/>
      <c r="Q990" s="64"/>
      <c r="R990" s="64"/>
      <c r="S990" s="65"/>
      <c r="T990" s="64"/>
      <c r="U990" s="75"/>
      <c r="V990" s="674"/>
      <c r="W990" s="75"/>
      <c r="X990" s="75"/>
      <c r="Y990" s="75"/>
      <c r="Z990" s="75"/>
      <c r="AA990" s="75"/>
      <c r="AB990" s="75"/>
      <c r="AC990" s="75"/>
      <c r="AD990" s="75"/>
      <c r="AE990" s="592"/>
      <c r="AF990" s="259"/>
      <c r="AG990" s="510">
        <v>0</v>
      </c>
      <c r="AH990" s="370">
        <v>0</v>
      </c>
      <c r="AI990" s="154"/>
      <c r="AJ990" s="154"/>
      <c r="AK990" s="154"/>
      <c r="AL990" s="154"/>
      <c r="AM990" s="154"/>
      <c r="AN990" s="64"/>
      <c r="AO990" s="64"/>
      <c r="AP990" s="64"/>
      <c r="AQ990" s="189"/>
      <c r="AR990" s="64"/>
      <c r="AS990" s="476"/>
      <c r="AT990" s="64"/>
      <c r="AU990" s="646"/>
      <c r="AV990" s="455"/>
    </row>
    <row r="991" spans="1:48" ht="15" customHeight="1" outlineLevel="4" x14ac:dyDescent="0.25">
      <c r="A991" s="99" t="str">
        <f t="shared" si="174"/>
        <v>2.11.0.1.5.0</v>
      </c>
      <c r="B991" s="100">
        <v>2</v>
      </c>
      <c r="C991" s="100">
        <v>11</v>
      </c>
      <c r="D991" s="100">
        <v>0</v>
      </c>
      <c r="E991" s="100">
        <v>1</v>
      </c>
      <c r="F991" s="100">
        <v>5</v>
      </c>
      <c r="G991" s="100">
        <v>0</v>
      </c>
      <c r="H991" s="101"/>
      <c r="I991" s="101"/>
      <c r="J991" s="102"/>
      <c r="K991" s="101" t="s">
        <v>316</v>
      </c>
      <c r="L991" s="64">
        <v>0</v>
      </c>
      <c r="M991" s="64">
        <v>0</v>
      </c>
      <c r="N991" s="64">
        <v>0</v>
      </c>
      <c r="O991" s="64">
        <v>0</v>
      </c>
      <c r="P991" s="64"/>
      <c r="Q991" s="64"/>
      <c r="R991" s="64"/>
      <c r="S991" s="65"/>
      <c r="T991" s="64"/>
      <c r="U991" s="75"/>
      <c r="V991" s="674"/>
      <c r="W991" s="75"/>
      <c r="X991" s="75"/>
      <c r="Y991" s="75"/>
      <c r="Z991" s="75"/>
      <c r="AA991" s="75"/>
      <c r="AB991" s="75"/>
      <c r="AC991" s="75"/>
      <c r="AD991" s="75"/>
      <c r="AE991" s="592"/>
      <c r="AF991" s="259"/>
      <c r="AG991" s="510">
        <v>0</v>
      </c>
      <c r="AH991" s="370">
        <v>0</v>
      </c>
      <c r="AI991" s="154"/>
      <c r="AJ991" s="154"/>
      <c r="AK991" s="154"/>
      <c r="AL991" s="154"/>
      <c r="AM991" s="154"/>
      <c r="AN991" s="64"/>
      <c r="AO991" s="64"/>
      <c r="AP991" s="64"/>
      <c r="AQ991" s="189"/>
      <c r="AR991" s="64"/>
      <c r="AS991" s="476"/>
      <c r="AT991" s="64"/>
      <c r="AU991" s="646"/>
      <c r="AV991" s="455"/>
    </row>
    <row r="992" spans="1:48" ht="15" customHeight="1" outlineLevel="4" x14ac:dyDescent="0.25">
      <c r="A992" s="99" t="str">
        <f t="shared" ref="A992:A1044" si="183">CONCATENATE(B992,".",C992,".",D992,".",E992,".",F992,".",G992)</f>
        <v>2.11.0.1.6.0</v>
      </c>
      <c r="B992" s="100">
        <v>2</v>
      </c>
      <c r="C992" s="100">
        <v>11</v>
      </c>
      <c r="D992" s="100">
        <v>0</v>
      </c>
      <c r="E992" s="100">
        <v>1</v>
      </c>
      <c r="F992" s="100">
        <v>6</v>
      </c>
      <c r="G992" s="100">
        <v>0</v>
      </c>
      <c r="H992" s="101"/>
      <c r="I992" s="101"/>
      <c r="J992" s="102"/>
      <c r="K992" s="101" t="s">
        <v>1130</v>
      </c>
      <c r="L992" s="64">
        <v>0</v>
      </c>
      <c r="M992" s="64">
        <v>0</v>
      </c>
      <c r="N992" s="64">
        <v>0</v>
      </c>
      <c r="O992" s="64">
        <v>0</v>
      </c>
      <c r="P992" s="64"/>
      <c r="Q992" s="64"/>
      <c r="R992" s="64"/>
      <c r="S992" s="65"/>
      <c r="T992" s="64"/>
      <c r="U992" s="75"/>
      <c r="V992" s="674"/>
      <c r="W992" s="75"/>
      <c r="X992" s="75"/>
      <c r="Y992" s="75"/>
      <c r="Z992" s="75"/>
      <c r="AA992" s="75"/>
      <c r="AB992" s="75"/>
      <c r="AC992" s="75"/>
      <c r="AD992" s="75"/>
      <c r="AE992" s="592"/>
      <c r="AF992" s="259"/>
      <c r="AG992" s="510">
        <v>0</v>
      </c>
      <c r="AH992" s="370">
        <v>0</v>
      </c>
      <c r="AI992" s="154"/>
      <c r="AJ992" s="154"/>
      <c r="AK992" s="154"/>
      <c r="AL992" s="154"/>
      <c r="AM992" s="154"/>
      <c r="AN992" s="64"/>
      <c r="AO992" s="64"/>
      <c r="AP992" s="64"/>
      <c r="AQ992" s="189"/>
      <c r="AR992" s="64"/>
      <c r="AS992" s="476"/>
      <c r="AT992" s="64"/>
      <c r="AU992" s="646"/>
      <c r="AV992" s="455"/>
    </row>
    <row r="993" spans="1:48" s="153" customFormat="1" ht="34.5" customHeight="1" outlineLevel="1" x14ac:dyDescent="0.25">
      <c r="A993" s="148" t="str">
        <f t="shared" si="183"/>
        <v>2.11.0.2.0.0</v>
      </c>
      <c r="B993" s="82">
        <v>2</v>
      </c>
      <c r="C993" s="82">
        <v>11</v>
      </c>
      <c r="D993" s="82">
        <v>0</v>
      </c>
      <c r="E993" s="82">
        <v>2</v>
      </c>
      <c r="F993" s="82">
        <v>0</v>
      </c>
      <c r="G993" s="82">
        <v>0</v>
      </c>
      <c r="H993" s="149"/>
      <c r="I993" s="149"/>
      <c r="J993" s="1263" t="s">
        <v>1131</v>
      </c>
      <c r="K993" s="1264"/>
      <c r="L993" s="82">
        <v>0</v>
      </c>
      <c r="M993" s="82">
        <v>0</v>
      </c>
      <c r="N993" s="82">
        <v>0</v>
      </c>
      <c r="O993" s="82">
        <v>0</v>
      </c>
      <c r="P993" s="82"/>
      <c r="Q993" s="82"/>
      <c r="R993" s="82"/>
      <c r="S993" s="149"/>
      <c r="T993" s="82"/>
      <c r="U993" s="152"/>
      <c r="V993" s="681"/>
      <c r="W993" s="152"/>
      <c r="X993" s="152"/>
      <c r="Y993" s="152"/>
      <c r="Z993" s="152"/>
      <c r="AA993" s="152"/>
      <c r="AB993" s="152"/>
      <c r="AC993" s="152"/>
      <c r="AD993" s="152"/>
      <c r="AE993" s="597"/>
      <c r="AF993" s="358"/>
      <c r="AG993" s="512">
        <f>SUM(AG994:AG1000)</f>
        <v>0</v>
      </c>
      <c r="AH993" s="379">
        <f>SUM(AH994:AH1000)</f>
        <v>0</v>
      </c>
      <c r="AI993" s="152"/>
      <c r="AJ993" s="152"/>
      <c r="AK993" s="152"/>
      <c r="AL993" s="152"/>
      <c r="AM993" s="152"/>
      <c r="AN993" s="82"/>
      <c r="AO993" s="82"/>
      <c r="AP993" s="82"/>
      <c r="AQ993" s="365"/>
      <c r="AR993" s="82"/>
      <c r="AS993" s="483"/>
      <c r="AT993" s="82"/>
      <c r="AU993" s="666"/>
      <c r="AV993" s="444"/>
    </row>
    <row r="994" spans="1:48" ht="36" customHeight="1" outlineLevel="3" x14ac:dyDescent="0.25">
      <c r="A994" s="99" t="str">
        <f t="shared" si="183"/>
        <v>2.11.0.2.1.0</v>
      </c>
      <c r="B994" s="100">
        <v>2</v>
      </c>
      <c r="C994" s="100">
        <v>11</v>
      </c>
      <c r="D994" s="100">
        <v>0</v>
      </c>
      <c r="E994" s="100">
        <v>2</v>
      </c>
      <c r="F994" s="100">
        <v>1</v>
      </c>
      <c r="G994" s="100">
        <v>0</v>
      </c>
      <c r="H994" s="101"/>
      <c r="I994" s="101"/>
      <c r="J994" s="102"/>
      <c r="K994" s="103" t="s">
        <v>1132</v>
      </c>
      <c r="L994" s="64">
        <v>0</v>
      </c>
      <c r="M994" s="64">
        <v>0</v>
      </c>
      <c r="N994" s="64">
        <v>0</v>
      </c>
      <c r="O994" s="64">
        <v>0</v>
      </c>
      <c r="P994" s="64"/>
      <c r="Q994" s="64"/>
      <c r="R994" s="64"/>
      <c r="S994" s="64"/>
      <c r="T994" s="64"/>
      <c r="U994" s="75"/>
      <c r="V994" s="674"/>
      <c r="W994" s="75"/>
      <c r="X994" s="75"/>
      <c r="Y994" s="75"/>
      <c r="Z994" s="75"/>
      <c r="AA994" s="75"/>
      <c r="AB994" s="75"/>
      <c r="AC994" s="75"/>
      <c r="AD994" s="75"/>
      <c r="AE994" s="592"/>
      <c r="AF994" s="259"/>
      <c r="AG994" s="510">
        <v>0</v>
      </c>
      <c r="AH994" s="370">
        <v>0</v>
      </c>
      <c r="AI994" s="154"/>
      <c r="AJ994" s="154"/>
      <c r="AK994" s="154"/>
      <c r="AL994" s="154"/>
      <c r="AM994" s="154"/>
      <c r="AN994" s="64"/>
      <c r="AO994" s="64"/>
      <c r="AP994" s="64"/>
      <c r="AQ994" s="189"/>
      <c r="AR994" s="64"/>
      <c r="AS994" s="476"/>
      <c r="AT994" s="64"/>
      <c r="AU994" s="646"/>
      <c r="AV994" s="455"/>
    </row>
    <row r="995" spans="1:48" ht="15" customHeight="1" outlineLevel="3" x14ac:dyDescent="0.25">
      <c r="A995" s="99" t="str">
        <f t="shared" si="183"/>
        <v>2.11.0.2.2.0</v>
      </c>
      <c r="B995" s="100">
        <v>2</v>
      </c>
      <c r="C995" s="100">
        <v>11</v>
      </c>
      <c r="D995" s="100">
        <v>0</v>
      </c>
      <c r="E995" s="100">
        <v>2</v>
      </c>
      <c r="F995" s="100">
        <v>2</v>
      </c>
      <c r="G995" s="100">
        <v>0</v>
      </c>
      <c r="H995" s="101"/>
      <c r="I995" s="101"/>
      <c r="J995" s="101"/>
      <c r="K995" s="101" t="s">
        <v>1128</v>
      </c>
      <c r="L995" s="64">
        <v>0</v>
      </c>
      <c r="M995" s="64">
        <v>0</v>
      </c>
      <c r="N995" s="64">
        <v>0</v>
      </c>
      <c r="O995" s="64">
        <v>0</v>
      </c>
      <c r="P995" s="64"/>
      <c r="Q995" s="64"/>
      <c r="R995" s="64"/>
      <c r="S995" s="65"/>
      <c r="T995" s="64"/>
      <c r="U995" s="75"/>
      <c r="V995" s="674"/>
      <c r="W995" s="75"/>
      <c r="X995" s="75"/>
      <c r="Y995" s="75"/>
      <c r="Z995" s="75"/>
      <c r="AA995" s="75"/>
      <c r="AB995" s="75"/>
      <c r="AC995" s="75"/>
      <c r="AD995" s="75"/>
      <c r="AE995" s="592"/>
      <c r="AF995" s="259"/>
      <c r="AG995" s="510">
        <v>0</v>
      </c>
      <c r="AH995" s="370">
        <v>0</v>
      </c>
      <c r="AI995" s="154"/>
      <c r="AJ995" s="154"/>
      <c r="AK995" s="154"/>
      <c r="AL995" s="154"/>
      <c r="AM995" s="154"/>
      <c r="AN995" s="64"/>
      <c r="AO995" s="64"/>
      <c r="AP995" s="64"/>
      <c r="AQ995" s="189"/>
      <c r="AR995" s="64"/>
      <c r="AS995" s="476"/>
      <c r="AT995" s="64"/>
      <c r="AU995" s="646"/>
      <c r="AV995" s="455"/>
    </row>
    <row r="996" spans="1:48" ht="15" customHeight="1" outlineLevel="3" x14ac:dyDescent="0.25">
      <c r="A996" s="99" t="str">
        <f t="shared" si="183"/>
        <v>2.11.0.2.3.0</v>
      </c>
      <c r="B996" s="100">
        <v>2</v>
      </c>
      <c r="C996" s="100">
        <v>11</v>
      </c>
      <c r="D996" s="100">
        <v>0</v>
      </c>
      <c r="E996" s="100">
        <v>2</v>
      </c>
      <c r="F996" s="100">
        <v>3</v>
      </c>
      <c r="G996" s="100">
        <v>0</v>
      </c>
      <c r="H996" s="101"/>
      <c r="I996" s="101"/>
      <c r="J996" s="102"/>
      <c r="K996" s="101" t="s">
        <v>327</v>
      </c>
      <c r="L996" s="64">
        <v>0</v>
      </c>
      <c r="M996" s="64">
        <v>0</v>
      </c>
      <c r="N996" s="64">
        <v>0</v>
      </c>
      <c r="O996" s="64">
        <v>0</v>
      </c>
      <c r="P996" s="64"/>
      <c r="Q996" s="64"/>
      <c r="R996" s="64"/>
      <c r="S996" s="65"/>
      <c r="T996" s="64"/>
      <c r="U996" s="75"/>
      <c r="V996" s="674"/>
      <c r="W996" s="75"/>
      <c r="X996" s="75"/>
      <c r="Y996" s="75"/>
      <c r="Z996" s="75"/>
      <c r="AA996" s="75"/>
      <c r="AB996" s="75"/>
      <c r="AC996" s="75"/>
      <c r="AD996" s="75"/>
      <c r="AE996" s="592"/>
      <c r="AF996" s="259"/>
      <c r="AG996" s="510">
        <v>0</v>
      </c>
      <c r="AH996" s="370">
        <v>0</v>
      </c>
      <c r="AI996" s="154"/>
      <c r="AJ996" s="154"/>
      <c r="AK996" s="154"/>
      <c r="AL996" s="154"/>
      <c r="AM996" s="154"/>
      <c r="AN996" s="64"/>
      <c r="AO996" s="64"/>
      <c r="AP996" s="64"/>
      <c r="AQ996" s="189"/>
      <c r="AR996" s="64"/>
      <c r="AS996" s="476"/>
      <c r="AT996" s="64"/>
      <c r="AU996" s="646"/>
      <c r="AV996" s="455"/>
    </row>
    <row r="997" spans="1:48" ht="15" customHeight="1" outlineLevel="3" x14ac:dyDescent="0.25">
      <c r="A997" s="99" t="str">
        <f t="shared" si="183"/>
        <v>2.11.0.2.4.0</v>
      </c>
      <c r="B997" s="100">
        <v>2</v>
      </c>
      <c r="C997" s="100">
        <v>11</v>
      </c>
      <c r="D997" s="100">
        <v>0</v>
      </c>
      <c r="E997" s="100">
        <v>2</v>
      </c>
      <c r="F997" s="100">
        <v>4</v>
      </c>
      <c r="G997" s="100">
        <v>0</v>
      </c>
      <c r="H997" s="101"/>
      <c r="I997" s="101"/>
      <c r="J997" s="102"/>
      <c r="K997" s="101" t="s">
        <v>353</v>
      </c>
      <c r="L997" s="64">
        <v>0</v>
      </c>
      <c r="M997" s="64">
        <v>0</v>
      </c>
      <c r="N997" s="64">
        <v>0</v>
      </c>
      <c r="O997" s="64">
        <v>0</v>
      </c>
      <c r="P997" s="64"/>
      <c r="Q997" s="64"/>
      <c r="R997" s="64"/>
      <c r="S997" s="65"/>
      <c r="T997" s="64"/>
      <c r="U997" s="75"/>
      <c r="V997" s="674"/>
      <c r="W997" s="75"/>
      <c r="X997" s="75"/>
      <c r="Y997" s="75"/>
      <c r="Z997" s="75"/>
      <c r="AA997" s="75"/>
      <c r="AB997" s="75"/>
      <c r="AC997" s="75"/>
      <c r="AD997" s="75"/>
      <c r="AE997" s="592"/>
      <c r="AF997" s="259"/>
      <c r="AG997" s="510">
        <v>0</v>
      </c>
      <c r="AH997" s="370">
        <v>0</v>
      </c>
      <c r="AI997" s="154"/>
      <c r="AJ997" s="154"/>
      <c r="AK997" s="154"/>
      <c r="AL997" s="154"/>
      <c r="AM997" s="154"/>
      <c r="AN997" s="64"/>
      <c r="AO997" s="64"/>
      <c r="AP997" s="64"/>
      <c r="AQ997" s="189"/>
      <c r="AR997" s="64"/>
      <c r="AS997" s="476"/>
      <c r="AT997" s="64"/>
      <c r="AU997" s="646"/>
      <c r="AV997" s="455"/>
    </row>
    <row r="998" spans="1:48" ht="15" customHeight="1" outlineLevel="3" x14ac:dyDescent="0.25">
      <c r="A998" s="99" t="str">
        <f t="shared" si="183"/>
        <v>2.11.0.2.5.0</v>
      </c>
      <c r="B998" s="100">
        <v>2</v>
      </c>
      <c r="C998" s="100">
        <v>11</v>
      </c>
      <c r="D998" s="100">
        <v>0</v>
      </c>
      <c r="E998" s="100">
        <v>2</v>
      </c>
      <c r="F998" s="100">
        <v>5</v>
      </c>
      <c r="G998" s="100">
        <v>0</v>
      </c>
      <c r="H998" s="101"/>
      <c r="I998" s="101"/>
      <c r="J998" s="102"/>
      <c r="K998" s="101" t="s">
        <v>1129</v>
      </c>
      <c r="L998" s="64">
        <v>0</v>
      </c>
      <c r="M998" s="64">
        <v>0</v>
      </c>
      <c r="N998" s="64">
        <v>0</v>
      </c>
      <c r="O998" s="64">
        <v>0</v>
      </c>
      <c r="P998" s="64"/>
      <c r="Q998" s="64"/>
      <c r="R998" s="64"/>
      <c r="S998" s="65"/>
      <c r="T998" s="64"/>
      <c r="U998" s="75"/>
      <c r="V998" s="674"/>
      <c r="W998" s="75"/>
      <c r="X998" s="75"/>
      <c r="Y998" s="75"/>
      <c r="Z998" s="75"/>
      <c r="AA998" s="75"/>
      <c r="AB998" s="75"/>
      <c r="AC998" s="75"/>
      <c r="AD998" s="75"/>
      <c r="AE998" s="592"/>
      <c r="AF998" s="259"/>
      <c r="AG998" s="510">
        <v>0</v>
      </c>
      <c r="AH998" s="370">
        <v>0</v>
      </c>
      <c r="AI998" s="154"/>
      <c r="AJ998" s="154"/>
      <c r="AK998" s="154"/>
      <c r="AL998" s="154"/>
      <c r="AM998" s="154"/>
      <c r="AN998" s="64"/>
      <c r="AO998" s="64"/>
      <c r="AP998" s="64"/>
      <c r="AQ998" s="189"/>
      <c r="AR998" s="64"/>
      <c r="AS998" s="476"/>
      <c r="AT998" s="64"/>
      <c r="AU998" s="646"/>
      <c r="AV998" s="455"/>
    </row>
    <row r="999" spans="1:48" ht="15" customHeight="1" outlineLevel="3" x14ac:dyDescent="0.25">
      <c r="A999" s="99" t="str">
        <f t="shared" si="183"/>
        <v>2.11.0.2.6.0</v>
      </c>
      <c r="B999" s="100">
        <v>2</v>
      </c>
      <c r="C999" s="100">
        <v>11</v>
      </c>
      <c r="D999" s="100">
        <v>0</v>
      </c>
      <c r="E999" s="100">
        <v>2</v>
      </c>
      <c r="F999" s="100">
        <v>6</v>
      </c>
      <c r="G999" s="100">
        <v>0</v>
      </c>
      <c r="H999" s="101"/>
      <c r="I999" s="101"/>
      <c r="J999" s="101"/>
      <c r="K999" s="101" t="s">
        <v>316</v>
      </c>
      <c r="L999" s="64">
        <v>0</v>
      </c>
      <c r="M999" s="64">
        <v>0</v>
      </c>
      <c r="N999" s="64">
        <v>0</v>
      </c>
      <c r="O999" s="64">
        <v>0</v>
      </c>
      <c r="P999" s="64"/>
      <c r="Q999" s="64"/>
      <c r="R999" s="64"/>
      <c r="S999" s="65"/>
      <c r="T999" s="64"/>
      <c r="U999" s="75"/>
      <c r="V999" s="674"/>
      <c r="W999" s="75"/>
      <c r="X999" s="75"/>
      <c r="Y999" s="75"/>
      <c r="Z999" s="75"/>
      <c r="AA999" s="75"/>
      <c r="AB999" s="75"/>
      <c r="AC999" s="75"/>
      <c r="AD999" s="75"/>
      <c r="AE999" s="592"/>
      <c r="AF999" s="259"/>
      <c r="AG999" s="510">
        <v>0</v>
      </c>
      <c r="AH999" s="370">
        <v>0</v>
      </c>
      <c r="AI999" s="154"/>
      <c r="AJ999" s="154"/>
      <c r="AK999" s="154"/>
      <c r="AL999" s="154"/>
      <c r="AM999" s="154"/>
      <c r="AN999" s="64"/>
      <c r="AO999" s="64"/>
      <c r="AP999" s="64"/>
      <c r="AQ999" s="189"/>
      <c r="AR999" s="64"/>
      <c r="AS999" s="476"/>
      <c r="AT999" s="64"/>
      <c r="AU999" s="646"/>
      <c r="AV999" s="455"/>
    </row>
    <row r="1000" spans="1:48" ht="15" customHeight="1" outlineLevel="3" x14ac:dyDescent="0.25">
      <c r="A1000" s="99" t="str">
        <f t="shared" si="183"/>
        <v>2.11.0.2.7.0</v>
      </c>
      <c r="B1000" s="100">
        <v>2</v>
      </c>
      <c r="C1000" s="100">
        <v>11</v>
      </c>
      <c r="D1000" s="100">
        <v>0</v>
      </c>
      <c r="E1000" s="100">
        <v>2</v>
      </c>
      <c r="F1000" s="100">
        <v>7</v>
      </c>
      <c r="G1000" s="100">
        <v>0</v>
      </c>
      <c r="H1000" s="101"/>
      <c r="I1000" s="101"/>
      <c r="J1000" s="102"/>
      <c r="K1000" s="101" t="s">
        <v>1130</v>
      </c>
      <c r="L1000" s="64">
        <v>0</v>
      </c>
      <c r="M1000" s="64">
        <v>0</v>
      </c>
      <c r="N1000" s="64">
        <v>0</v>
      </c>
      <c r="O1000" s="64">
        <v>0</v>
      </c>
      <c r="P1000" s="64"/>
      <c r="Q1000" s="64"/>
      <c r="R1000" s="64"/>
      <c r="S1000" s="65"/>
      <c r="T1000" s="64"/>
      <c r="U1000" s="75"/>
      <c r="V1000" s="674"/>
      <c r="W1000" s="75"/>
      <c r="X1000" s="75"/>
      <c r="Y1000" s="75"/>
      <c r="Z1000" s="75"/>
      <c r="AA1000" s="75"/>
      <c r="AB1000" s="75"/>
      <c r="AC1000" s="75"/>
      <c r="AD1000" s="75"/>
      <c r="AE1000" s="592"/>
      <c r="AF1000" s="259"/>
      <c r="AG1000" s="510">
        <v>0</v>
      </c>
      <c r="AH1000" s="370">
        <v>0</v>
      </c>
      <c r="AI1000" s="154"/>
      <c r="AJ1000" s="154"/>
      <c r="AK1000" s="154"/>
      <c r="AL1000" s="154"/>
      <c r="AM1000" s="154"/>
      <c r="AN1000" s="64"/>
      <c r="AO1000" s="64"/>
      <c r="AP1000" s="64"/>
      <c r="AQ1000" s="189"/>
      <c r="AR1000" s="64"/>
      <c r="AS1000" s="476"/>
      <c r="AT1000" s="64"/>
      <c r="AU1000" s="646"/>
      <c r="AV1000" s="455"/>
    </row>
    <row r="1001" spans="1:48" s="153" customFormat="1" ht="15" customHeight="1" outlineLevel="1" x14ac:dyDescent="0.25">
      <c r="A1001" s="148" t="str">
        <f t="shared" si="183"/>
        <v>2.11.0.3.0.0</v>
      </c>
      <c r="B1001" s="82">
        <v>2</v>
      </c>
      <c r="C1001" s="82">
        <v>11</v>
      </c>
      <c r="D1001" s="82">
        <v>0</v>
      </c>
      <c r="E1001" s="82">
        <v>3</v>
      </c>
      <c r="F1001" s="82">
        <v>0</v>
      </c>
      <c r="G1001" s="82">
        <v>0</v>
      </c>
      <c r="H1001" s="149"/>
      <c r="I1001" s="149"/>
      <c r="J1001" s="1260" t="s">
        <v>1133</v>
      </c>
      <c r="K1001" s="1259"/>
      <c r="L1001" s="82">
        <v>0</v>
      </c>
      <c r="M1001" s="82">
        <v>0</v>
      </c>
      <c r="N1001" s="82">
        <v>0</v>
      </c>
      <c r="O1001" s="82">
        <v>0</v>
      </c>
      <c r="P1001" s="82"/>
      <c r="Q1001" s="82"/>
      <c r="R1001" s="82"/>
      <c r="S1001" s="149"/>
      <c r="T1001" s="82"/>
      <c r="U1001" s="152"/>
      <c r="V1001" s="681"/>
      <c r="W1001" s="152"/>
      <c r="X1001" s="152"/>
      <c r="Y1001" s="152"/>
      <c r="Z1001" s="152"/>
      <c r="AA1001" s="152"/>
      <c r="AB1001" s="152"/>
      <c r="AC1001" s="152"/>
      <c r="AD1001" s="152"/>
      <c r="AE1001" s="597"/>
      <c r="AF1001" s="358"/>
      <c r="AG1001" s="512">
        <f>SUM(AG1002:AG1004)</f>
        <v>0</v>
      </c>
      <c r="AH1001" s="379">
        <f>SUM(AH1002:AH1004)</f>
        <v>0</v>
      </c>
      <c r="AI1001" s="152"/>
      <c r="AJ1001" s="152"/>
      <c r="AK1001" s="152"/>
      <c r="AL1001" s="152"/>
      <c r="AM1001" s="152"/>
      <c r="AN1001" s="82"/>
      <c r="AO1001" s="82"/>
      <c r="AP1001" s="82"/>
      <c r="AQ1001" s="365"/>
      <c r="AR1001" s="82"/>
      <c r="AS1001" s="483"/>
      <c r="AT1001" s="82"/>
      <c r="AU1001" s="666"/>
      <c r="AV1001" s="444"/>
    </row>
    <row r="1002" spans="1:48" ht="15" customHeight="1" outlineLevel="4" x14ac:dyDescent="0.25">
      <c r="A1002" s="99" t="str">
        <f t="shared" si="183"/>
        <v>2.11.0.3.1.0</v>
      </c>
      <c r="B1002" s="100">
        <v>2</v>
      </c>
      <c r="C1002" s="100">
        <v>11</v>
      </c>
      <c r="D1002" s="100">
        <v>0</v>
      </c>
      <c r="E1002" s="100">
        <v>3</v>
      </c>
      <c r="F1002" s="100">
        <v>1</v>
      </c>
      <c r="G1002" s="100">
        <v>0</v>
      </c>
      <c r="H1002" s="101"/>
      <c r="I1002" s="101"/>
      <c r="J1002" s="102"/>
      <c r="K1002" s="101" t="s">
        <v>1134</v>
      </c>
      <c r="L1002" s="64">
        <v>0</v>
      </c>
      <c r="M1002" s="64">
        <v>0</v>
      </c>
      <c r="N1002" s="64">
        <v>0</v>
      </c>
      <c r="O1002" s="64">
        <v>0</v>
      </c>
      <c r="P1002" s="64"/>
      <c r="Q1002" s="64"/>
      <c r="R1002" s="64"/>
      <c r="S1002" s="65"/>
      <c r="T1002" s="64"/>
      <c r="U1002" s="75"/>
      <c r="V1002" s="674"/>
      <c r="W1002" s="75"/>
      <c r="X1002" s="75"/>
      <c r="Y1002" s="75"/>
      <c r="Z1002" s="75"/>
      <c r="AA1002" s="75"/>
      <c r="AB1002" s="75"/>
      <c r="AC1002" s="75"/>
      <c r="AD1002" s="75"/>
      <c r="AE1002" s="592"/>
      <c r="AF1002" s="259"/>
      <c r="AG1002" s="510">
        <v>0</v>
      </c>
      <c r="AH1002" s="370">
        <v>0</v>
      </c>
      <c r="AI1002" s="154"/>
      <c r="AJ1002" s="154"/>
      <c r="AK1002" s="154"/>
      <c r="AL1002" s="154"/>
      <c r="AM1002" s="154"/>
      <c r="AN1002" s="64"/>
      <c r="AO1002" s="64"/>
      <c r="AP1002" s="64"/>
      <c r="AQ1002" s="189"/>
      <c r="AR1002" s="64"/>
      <c r="AS1002" s="476"/>
      <c r="AT1002" s="64"/>
      <c r="AU1002" s="646"/>
      <c r="AV1002" s="455"/>
    </row>
    <row r="1003" spans="1:48" ht="15" customHeight="1" outlineLevel="4" x14ac:dyDescent="0.25">
      <c r="A1003" s="99" t="str">
        <f t="shared" si="183"/>
        <v>2.11.0.3.2.0</v>
      </c>
      <c r="B1003" s="100">
        <v>2</v>
      </c>
      <c r="C1003" s="100">
        <v>11</v>
      </c>
      <c r="D1003" s="100">
        <v>0</v>
      </c>
      <c r="E1003" s="100">
        <v>3</v>
      </c>
      <c r="F1003" s="100">
        <v>2</v>
      </c>
      <c r="G1003" s="100">
        <v>0</v>
      </c>
      <c r="H1003" s="101"/>
      <c r="I1003" s="101"/>
      <c r="J1003" s="102"/>
      <c r="K1003" s="101" t="s">
        <v>1135</v>
      </c>
      <c r="L1003" s="64">
        <v>0</v>
      </c>
      <c r="M1003" s="64">
        <v>0</v>
      </c>
      <c r="N1003" s="64">
        <v>0</v>
      </c>
      <c r="O1003" s="64">
        <v>0</v>
      </c>
      <c r="P1003" s="64"/>
      <c r="Q1003" s="64"/>
      <c r="R1003" s="64"/>
      <c r="S1003" s="65"/>
      <c r="T1003" s="64"/>
      <c r="U1003" s="75"/>
      <c r="V1003" s="674"/>
      <c r="W1003" s="75"/>
      <c r="X1003" s="75"/>
      <c r="Y1003" s="75"/>
      <c r="Z1003" s="75"/>
      <c r="AA1003" s="75"/>
      <c r="AB1003" s="75"/>
      <c r="AC1003" s="75"/>
      <c r="AD1003" s="75"/>
      <c r="AE1003" s="592"/>
      <c r="AF1003" s="259"/>
      <c r="AG1003" s="510">
        <v>0</v>
      </c>
      <c r="AH1003" s="370">
        <v>0</v>
      </c>
      <c r="AI1003" s="154"/>
      <c r="AJ1003" s="154"/>
      <c r="AK1003" s="154"/>
      <c r="AL1003" s="154"/>
      <c r="AM1003" s="154"/>
      <c r="AN1003" s="64"/>
      <c r="AO1003" s="64"/>
      <c r="AP1003" s="64"/>
      <c r="AQ1003" s="189"/>
      <c r="AR1003" s="64"/>
      <c r="AS1003" s="476"/>
      <c r="AT1003" s="64"/>
      <c r="AU1003" s="646"/>
      <c r="AV1003" s="455"/>
    </row>
    <row r="1004" spans="1:48" s="212" customFormat="1" ht="33.75" customHeight="1" outlineLevel="4" x14ac:dyDescent="0.25">
      <c r="A1004" s="630" t="str">
        <f t="shared" si="183"/>
        <v>2.11.0.3.3.0</v>
      </c>
      <c r="B1004" s="631">
        <v>2</v>
      </c>
      <c r="C1004" s="631">
        <v>11</v>
      </c>
      <c r="D1004" s="631">
        <v>0</v>
      </c>
      <c r="E1004" s="631">
        <v>3</v>
      </c>
      <c r="F1004" s="631">
        <v>3</v>
      </c>
      <c r="G1004" s="631">
        <v>0</v>
      </c>
      <c r="H1004" s="632"/>
      <c r="I1004" s="632"/>
      <c r="J1004" s="633"/>
      <c r="K1004" s="634" t="s">
        <v>1136</v>
      </c>
      <c r="L1004" s="136">
        <v>0</v>
      </c>
      <c r="M1004" s="64">
        <v>0</v>
      </c>
      <c r="N1004" s="64">
        <v>0</v>
      </c>
      <c r="O1004" s="64">
        <v>0</v>
      </c>
      <c r="P1004" s="64"/>
      <c r="Q1004" s="64"/>
      <c r="R1004" s="136"/>
      <c r="S1004" s="65"/>
      <c r="T1004" s="64"/>
      <c r="U1004" s="132"/>
      <c r="V1004" s="674"/>
      <c r="W1004" s="75"/>
      <c r="X1004" s="132"/>
      <c r="Y1004" s="75"/>
      <c r="Z1004" s="75"/>
      <c r="AA1004" s="132"/>
      <c r="AB1004" s="75"/>
      <c r="AC1004" s="75"/>
      <c r="AD1004" s="132"/>
      <c r="AE1004" s="592"/>
      <c r="AF1004" s="259"/>
      <c r="AG1004" s="510">
        <v>0</v>
      </c>
      <c r="AH1004" s="377">
        <v>0</v>
      </c>
      <c r="AI1004" s="132"/>
      <c r="AJ1004" s="132"/>
      <c r="AK1004" s="132"/>
      <c r="AL1004" s="132"/>
      <c r="AM1004" s="132"/>
      <c r="AN1004" s="136"/>
      <c r="AO1004" s="136"/>
      <c r="AP1004" s="136"/>
      <c r="AQ1004" s="136"/>
      <c r="AR1004" s="136"/>
      <c r="AS1004" s="136"/>
      <c r="AT1004" s="136"/>
      <c r="AU1004" s="646"/>
      <c r="AV1004" s="635"/>
    </row>
    <row r="1005" spans="1:48" ht="53.25" customHeight="1" outlineLevel="1" x14ac:dyDescent="0.25">
      <c r="A1005" s="148" t="str">
        <f t="shared" si="183"/>
        <v>2.11.0.4.0.0</v>
      </c>
      <c r="B1005" s="82">
        <v>2</v>
      </c>
      <c r="C1005" s="82">
        <v>11</v>
      </c>
      <c r="D1005" s="82">
        <v>0</v>
      </c>
      <c r="E1005" s="82">
        <v>4</v>
      </c>
      <c r="F1005" s="82">
        <v>0</v>
      </c>
      <c r="G1005" s="82">
        <v>0</v>
      </c>
      <c r="H1005" s="250"/>
      <c r="I1005" s="250"/>
      <c r="J1005" s="1260" t="s">
        <v>1137</v>
      </c>
      <c r="K1005" s="1259"/>
      <c r="L1005" s="622" t="s">
        <v>1138</v>
      </c>
      <c r="M1005" s="152" t="s">
        <v>1139</v>
      </c>
      <c r="N1005" s="152" t="s">
        <v>1084</v>
      </c>
      <c r="O1005" s="152">
        <v>0</v>
      </c>
      <c r="P1005" s="152"/>
      <c r="Q1005" s="152"/>
      <c r="R1005" s="152"/>
      <c r="S1005" s="170"/>
      <c r="T1005" s="82"/>
      <c r="U1005" s="152"/>
      <c r="V1005" s="681"/>
      <c r="W1005" s="152"/>
      <c r="X1005" s="152"/>
      <c r="Y1005" s="152"/>
      <c r="Z1005" s="152"/>
      <c r="AA1005" s="152"/>
      <c r="AB1005" s="152"/>
      <c r="AC1005" s="152"/>
      <c r="AD1005" s="152"/>
      <c r="AE1005" s="597"/>
      <c r="AF1005" s="353"/>
      <c r="AG1005" s="512">
        <f>SUM(AG1006:AG1011)</f>
        <v>0</v>
      </c>
      <c r="AH1005" s="379">
        <f>SUM(AH1006:AH1011)</f>
        <v>0</v>
      </c>
      <c r="AI1005" s="152"/>
      <c r="AJ1005" s="152"/>
      <c r="AK1005" s="152"/>
      <c r="AL1005" s="152"/>
      <c r="AM1005" s="152"/>
      <c r="AN1005" s="83"/>
      <c r="AO1005" s="83"/>
      <c r="AP1005" s="83"/>
      <c r="AQ1005" s="421"/>
      <c r="AR1005" s="83"/>
      <c r="AS1005" s="487"/>
      <c r="AT1005" s="83"/>
      <c r="AU1005" s="667"/>
      <c r="AV1005" s="449"/>
    </row>
    <row r="1006" spans="1:48" ht="30" outlineLevel="2" x14ac:dyDescent="0.25">
      <c r="A1006" s="63" t="str">
        <f t="shared" si="183"/>
        <v>2.11.0.4.1.0</v>
      </c>
      <c r="B1006" s="64">
        <v>2</v>
      </c>
      <c r="C1006" s="64">
        <v>11</v>
      </c>
      <c r="D1006" s="64">
        <v>0</v>
      </c>
      <c r="E1006" s="64">
        <v>4</v>
      </c>
      <c r="F1006" s="64">
        <v>1</v>
      </c>
      <c r="G1006" s="64">
        <v>0</v>
      </c>
      <c r="H1006" s="65"/>
      <c r="I1006" s="65"/>
      <c r="J1006" s="65"/>
      <c r="K1006" s="103" t="s">
        <v>1140</v>
      </c>
      <c r="L1006" s="64">
        <v>0</v>
      </c>
      <c r="M1006" s="64">
        <v>0</v>
      </c>
      <c r="N1006" s="64">
        <v>0</v>
      </c>
      <c r="O1006" s="64">
        <v>0</v>
      </c>
      <c r="P1006" s="170">
        <v>43405</v>
      </c>
      <c r="Q1006" s="65" t="s">
        <v>635</v>
      </c>
      <c r="R1006" s="64">
        <v>1</v>
      </c>
      <c r="S1006" s="65" t="s">
        <v>1141</v>
      </c>
      <c r="T1006" s="64"/>
      <c r="U1006" s="75"/>
      <c r="V1006" s="674"/>
      <c r="W1006" s="75"/>
      <c r="X1006" s="75"/>
      <c r="Y1006" s="75"/>
      <c r="Z1006" s="75"/>
      <c r="AA1006" s="75"/>
      <c r="AB1006" s="75"/>
      <c r="AC1006" s="75"/>
      <c r="AD1006" s="75"/>
      <c r="AE1006" s="592"/>
      <c r="AF1006" s="259"/>
      <c r="AG1006" s="510">
        <v>0</v>
      </c>
      <c r="AH1006" s="370">
        <v>0</v>
      </c>
      <c r="AI1006" s="75"/>
      <c r="AJ1006" s="75">
        <v>1277714.29</v>
      </c>
      <c r="AK1006" s="75"/>
      <c r="AL1006" s="75"/>
      <c r="AM1006" s="75"/>
      <c r="AN1006" s="64"/>
      <c r="AO1006" s="64"/>
      <c r="AP1006" s="64"/>
      <c r="AQ1006" s="189"/>
      <c r="AR1006" s="64"/>
      <c r="AS1006" s="476"/>
      <c r="AT1006" s="64"/>
      <c r="AU1006" s="646"/>
      <c r="AV1006" s="185"/>
    </row>
    <row r="1007" spans="1:48" ht="30" outlineLevel="2" x14ac:dyDescent="0.25">
      <c r="A1007" s="63" t="str">
        <f t="shared" si="183"/>
        <v>2.11.0.4.2.0</v>
      </c>
      <c r="B1007" s="64">
        <v>2</v>
      </c>
      <c r="C1007" s="64">
        <v>11</v>
      </c>
      <c r="D1007" s="64">
        <v>0</v>
      </c>
      <c r="E1007" s="64">
        <v>4</v>
      </c>
      <c r="F1007" s="64">
        <v>2</v>
      </c>
      <c r="G1007" s="64">
        <v>0</v>
      </c>
      <c r="H1007" s="65"/>
      <c r="I1007" s="65"/>
      <c r="J1007" s="65"/>
      <c r="K1007" s="103" t="s">
        <v>1142</v>
      </c>
      <c r="L1007" s="64">
        <v>0</v>
      </c>
      <c r="M1007" s="64">
        <v>0</v>
      </c>
      <c r="N1007" s="64">
        <v>0</v>
      </c>
      <c r="O1007" s="64">
        <v>0</v>
      </c>
      <c r="P1007" s="170">
        <v>43374</v>
      </c>
      <c r="Q1007" s="65" t="s">
        <v>635</v>
      </c>
      <c r="R1007" s="64">
        <v>1</v>
      </c>
      <c r="S1007" s="65" t="s">
        <v>1141</v>
      </c>
      <c r="T1007" s="64"/>
      <c r="U1007" s="75"/>
      <c r="V1007" s="674"/>
      <c r="W1007" s="75"/>
      <c r="X1007" s="75"/>
      <c r="Y1007" s="75"/>
      <c r="Z1007" s="75"/>
      <c r="AA1007" s="75"/>
      <c r="AB1007" s="75"/>
      <c r="AC1007" s="75"/>
      <c r="AD1007" s="75"/>
      <c r="AE1007" s="592"/>
      <c r="AF1007" s="259"/>
      <c r="AG1007" s="510">
        <v>0</v>
      </c>
      <c r="AH1007" s="370">
        <v>0</v>
      </c>
      <c r="AI1007" s="75"/>
      <c r="AJ1007" s="75">
        <v>1277714.26</v>
      </c>
      <c r="AK1007" s="75"/>
      <c r="AL1007" s="75"/>
      <c r="AM1007" s="75"/>
      <c r="AN1007" s="64"/>
      <c r="AO1007" s="64"/>
      <c r="AP1007" s="64"/>
      <c r="AQ1007" s="189"/>
      <c r="AR1007" s="64"/>
      <c r="AS1007" s="476"/>
      <c r="AT1007" s="64"/>
      <c r="AU1007" s="646"/>
      <c r="AV1007" s="185"/>
    </row>
    <row r="1008" spans="1:48" outlineLevel="2" x14ac:dyDescent="0.25">
      <c r="A1008" s="63" t="str">
        <f t="shared" si="183"/>
        <v>2.11.0.4.3.58-64</v>
      </c>
      <c r="B1008" s="64">
        <v>2</v>
      </c>
      <c r="C1008" s="64">
        <v>11</v>
      </c>
      <c r="D1008" s="64">
        <v>0</v>
      </c>
      <c r="E1008" s="64">
        <v>4</v>
      </c>
      <c r="F1008" s="64">
        <v>3</v>
      </c>
      <c r="G1008" s="64" t="s">
        <v>64</v>
      </c>
      <c r="H1008" s="65"/>
      <c r="I1008" s="65"/>
      <c r="J1008" s="65"/>
      <c r="K1008" s="65" t="s">
        <v>1143</v>
      </c>
      <c r="L1008" s="64" t="s">
        <v>1138</v>
      </c>
      <c r="M1008" s="68" t="s">
        <v>1144</v>
      </c>
      <c r="N1008" s="64" t="s">
        <v>900</v>
      </c>
      <c r="O1008" s="68" t="s">
        <v>1145</v>
      </c>
      <c r="P1008" s="63">
        <v>44317</v>
      </c>
      <c r="Q1008" s="63">
        <v>44561</v>
      </c>
      <c r="R1008" s="64">
        <v>14</v>
      </c>
      <c r="S1008" s="67" t="s">
        <v>1092</v>
      </c>
      <c r="T1008" s="64">
        <v>7</v>
      </c>
      <c r="U1008" s="75"/>
      <c r="V1008" s="674"/>
      <c r="W1008" s="75"/>
      <c r="X1008" s="75"/>
      <c r="Y1008" s="75"/>
      <c r="Z1008" s="75">
        <v>7</v>
      </c>
      <c r="AA1008" s="75"/>
      <c r="AB1008" s="75"/>
      <c r="AC1008" s="75"/>
      <c r="AD1008" s="75"/>
      <c r="AE1008" s="592"/>
      <c r="AF1008" s="259" t="s">
        <v>1146</v>
      </c>
      <c r="AG1008" s="510">
        <v>0</v>
      </c>
      <c r="AH1008" s="370">
        <v>0</v>
      </c>
      <c r="AI1008" s="75"/>
      <c r="AJ1008" s="75"/>
      <c r="AK1008" s="75"/>
      <c r="AL1008" s="75"/>
      <c r="AM1008" s="75"/>
      <c r="AN1008" s="64"/>
      <c r="AO1008" s="64"/>
      <c r="AP1008" s="64"/>
      <c r="AQ1008" s="189"/>
      <c r="AR1008" s="64"/>
      <c r="AS1008" s="476"/>
      <c r="AT1008" s="64"/>
      <c r="AU1008" s="646"/>
      <c r="AV1008" s="185" t="s">
        <v>127</v>
      </c>
    </row>
    <row r="1009" spans="1:48" outlineLevel="2" x14ac:dyDescent="0.25">
      <c r="A1009" s="63" t="str">
        <f t="shared" si="183"/>
        <v>2.11.0.4.5.58-64</v>
      </c>
      <c r="B1009" s="64">
        <v>2</v>
      </c>
      <c r="C1009" s="64">
        <v>11</v>
      </c>
      <c r="D1009" s="64">
        <v>0</v>
      </c>
      <c r="E1009" s="64">
        <v>4</v>
      </c>
      <c r="F1009" s="64">
        <v>5</v>
      </c>
      <c r="G1009" s="64" t="s">
        <v>64</v>
      </c>
      <c r="H1009" s="65"/>
      <c r="I1009" s="65"/>
      <c r="J1009" s="65"/>
      <c r="K1009" s="101" t="s">
        <v>1147</v>
      </c>
      <c r="L1009" s="64">
        <v>0</v>
      </c>
      <c r="M1009" s="64"/>
      <c r="N1009" s="64">
        <v>0</v>
      </c>
      <c r="O1009" s="64">
        <v>0</v>
      </c>
      <c r="P1009" s="65"/>
      <c r="Q1009" s="65"/>
      <c r="R1009" s="64"/>
      <c r="S1009" s="65"/>
      <c r="T1009" s="64"/>
      <c r="U1009" s="75"/>
      <c r="V1009" s="674"/>
      <c r="W1009" s="75"/>
      <c r="X1009" s="75"/>
      <c r="Y1009" s="75"/>
      <c r="Z1009" s="75"/>
      <c r="AA1009" s="75"/>
      <c r="AB1009" s="75"/>
      <c r="AC1009" s="75"/>
      <c r="AD1009" s="75"/>
      <c r="AE1009" s="592"/>
      <c r="AF1009" s="259"/>
      <c r="AG1009" s="510">
        <v>0</v>
      </c>
      <c r="AH1009" s="370">
        <v>0</v>
      </c>
      <c r="AI1009" s="75"/>
      <c r="AJ1009" s="75"/>
      <c r="AK1009" s="75"/>
      <c r="AL1009" s="75"/>
      <c r="AM1009" s="75"/>
      <c r="AN1009" s="64"/>
      <c r="AO1009" s="64"/>
      <c r="AP1009" s="64"/>
      <c r="AQ1009" s="189"/>
      <c r="AR1009" s="64"/>
      <c r="AS1009" s="476"/>
      <c r="AT1009" s="64"/>
      <c r="AU1009" s="646"/>
      <c r="AV1009" s="185"/>
    </row>
    <row r="1010" spans="1:48" ht="30" outlineLevel="2" x14ac:dyDescent="0.25">
      <c r="A1010" s="63" t="str">
        <f t="shared" si="183"/>
        <v>2.11.0.4.7.58-64</v>
      </c>
      <c r="B1010" s="64">
        <v>2</v>
      </c>
      <c r="C1010" s="64">
        <v>11</v>
      </c>
      <c r="D1010" s="64">
        <v>0</v>
      </c>
      <c r="E1010" s="64">
        <v>4</v>
      </c>
      <c r="F1010" s="64">
        <v>7</v>
      </c>
      <c r="G1010" s="64" t="s">
        <v>64</v>
      </c>
      <c r="H1010" s="65"/>
      <c r="I1010" s="65"/>
      <c r="J1010" s="65"/>
      <c r="K1010" s="67" t="s">
        <v>1148</v>
      </c>
      <c r="L1010" s="64" t="s">
        <v>1138</v>
      </c>
      <c r="M1010" s="68" t="s">
        <v>1149</v>
      </c>
      <c r="N1010" s="68" t="s">
        <v>1089</v>
      </c>
      <c r="O1010" s="64" t="s">
        <v>1150</v>
      </c>
      <c r="P1010" s="68">
        <v>43983</v>
      </c>
      <c r="Q1010" s="67" t="s">
        <v>1151</v>
      </c>
      <c r="R1010" s="68" t="s">
        <v>1152</v>
      </c>
      <c r="S1010" s="67" t="s">
        <v>1149</v>
      </c>
      <c r="T1010" s="64"/>
      <c r="U1010" s="75"/>
      <c r="V1010" s="674"/>
      <c r="W1010" s="75"/>
      <c r="X1010" s="75"/>
      <c r="Y1010" s="75"/>
      <c r="Z1010" s="75"/>
      <c r="AA1010" s="75"/>
      <c r="AB1010" s="75"/>
      <c r="AC1010" s="75"/>
      <c r="AD1010" s="75"/>
      <c r="AE1010" s="592"/>
      <c r="AF1010" s="259"/>
      <c r="AG1010" s="563">
        <v>0</v>
      </c>
      <c r="AH1010" s="97">
        <v>0</v>
      </c>
      <c r="AI1010" s="97"/>
      <c r="AJ1010" s="97"/>
      <c r="AK1010" s="252"/>
      <c r="AL1010" s="252"/>
      <c r="AM1010" s="252"/>
      <c r="AN1010" s="64"/>
      <c r="AO1010" s="64"/>
      <c r="AP1010" s="64"/>
      <c r="AQ1010" s="189"/>
      <c r="AR1010" s="64"/>
      <c r="AS1010" s="476"/>
      <c r="AT1010" s="64"/>
      <c r="AU1010" s="646"/>
      <c r="AV1010" s="185"/>
    </row>
    <row r="1011" spans="1:48" ht="30" outlineLevel="2" x14ac:dyDescent="0.25">
      <c r="A1011" s="63" t="str">
        <f t="shared" si="183"/>
        <v>2.11.0.4.8.58-64</v>
      </c>
      <c r="B1011" s="64">
        <v>2</v>
      </c>
      <c r="C1011" s="64">
        <v>11</v>
      </c>
      <c r="D1011" s="64">
        <v>0</v>
      </c>
      <c r="E1011" s="64">
        <v>4</v>
      </c>
      <c r="F1011" s="64">
        <v>8</v>
      </c>
      <c r="G1011" s="64" t="s">
        <v>64</v>
      </c>
      <c r="H1011" s="65"/>
      <c r="I1011" s="65"/>
      <c r="J1011" s="66"/>
      <c r="K1011" s="67" t="s">
        <v>1153</v>
      </c>
      <c r="L1011" s="64" t="s">
        <v>1154</v>
      </c>
      <c r="M1011" s="64" t="s">
        <v>1155</v>
      </c>
      <c r="N1011" s="64"/>
      <c r="O1011" s="64"/>
      <c r="P1011" s="64"/>
      <c r="Q1011" s="64"/>
      <c r="R1011" s="64"/>
      <c r="S1011" s="65"/>
      <c r="T1011" s="64"/>
      <c r="U1011" s="75"/>
      <c r="V1011" s="674"/>
      <c r="W1011" s="75"/>
      <c r="X1011" s="75"/>
      <c r="Y1011" s="75"/>
      <c r="Z1011" s="75"/>
      <c r="AA1011" s="75"/>
      <c r="AB1011" s="75"/>
      <c r="AC1011" s="75"/>
      <c r="AD1011" s="75"/>
      <c r="AE1011" s="592"/>
      <c r="AF1011" s="259"/>
      <c r="AG1011" s="510">
        <v>0</v>
      </c>
      <c r="AH1011" s="370">
        <v>0</v>
      </c>
      <c r="AI1011" s="75"/>
      <c r="AJ1011" s="75"/>
      <c r="AK1011" s="75"/>
      <c r="AL1011" s="75"/>
      <c r="AM1011" s="75"/>
      <c r="AN1011" s="64"/>
      <c r="AO1011" s="64"/>
      <c r="AP1011" s="64"/>
      <c r="AQ1011" s="189"/>
      <c r="AR1011" s="64"/>
      <c r="AS1011" s="476"/>
      <c r="AT1011" s="64"/>
      <c r="AU1011" s="646"/>
      <c r="AV1011" s="185"/>
    </row>
    <row r="1012" spans="1:48" s="153" customFormat="1" ht="15" customHeight="1" x14ac:dyDescent="0.25">
      <c r="A1012" s="246" t="str">
        <f t="shared" si="183"/>
        <v>3.0.0.0.0.0</v>
      </c>
      <c r="B1012" s="44">
        <v>3</v>
      </c>
      <c r="C1012" s="44">
        <v>0</v>
      </c>
      <c r="D1012" s="44">
        <v>0</v>
      </c>
      <c r="E1012" s="44">
        <v>0</v>
      </c>
      <c r="F1012" s="44">
        <v>0</v>
      </c>
      <c r="G1012" s="44">
        <v>0</v>
      </c>
      <c r="H1012" s="1269" t="s">
        <v>1156</v>
      </c>
      <c r="I1012" s="1270"/>
      <c r="J1012" s="1270"/>
      <c r="K1012" s="1271"/>
      <c r="L1012" s="44" t="s">
        <v>630</v>
      </c>
      <c r="M1012" s="44">
        <v>0</v>
      </c>
      <c r="N1012" s="44">
        <v>0</v>
      </c>
      <c r="O1012" s="44">
        <v>0</v>
      </c>
      <c r="P1012" s="44"/>
      <c r="Q1012" s="44"/>
      <c r="R1012" s="44"/>
      <c r="S1012" s="247"/>
      <c r="T1012" s="44"/>
      <c r="U1012" s="248">
        <f t="shared" ref="U1012:AJ1012" si="184">+U1013+U1095+U1156</f>
        <v>16865461.545000002</v>
      </c>
      <c r="V1012" s="688">
        <f t="shared" si="184"/>
        <v>22319298.389999997</v>
      </c>
      <c r="W1012" s="387">
        <f t="shared" si="184"/>
        <v>234</v>
      </c>
      <c r="X1012" s="387">
        <f t="shared" si="184"/>
        <v>28556049.904999997</v>
      </c>
      <c r="Y1012" s="387">
        <f t="shared" si="184"/>
        <v>0</v>
      </c>
      <c r="Z1012" s="387">
        <f t="shared" si="184"/>
        <v>168</v>
      </c>
      <c r="AA1012" s="387">
        <f t="shared" si="184"/>
        <v>9938458.6349999998</v>
      </c>
      <c r="AB1012" s="387">
        <f t="shared" si="184"/>
        <v>0</v>
      </c>
      <c r="AC1012" s="387">
        <f t="shared" si="184"/>
        <v>68</v>
      </c>
      <c r="AD1012" s="387">
        <f t="shared" si="184"/>
        <v>15989961.715</v>
      </c>
      <c r="AE1012" s="387">
        <f t="shared" si="184"/>
        <v>0</v>
      </c>
      <c r="AF1012" s="387">
        <f t="shared" si="184"/>
        <v>0</v>
      </c>
      <c r="AG1012" s="387">
        <f t="shared" si="184"/>
        <v>90932526.435000002</v>
      </c>
      <c r="AH1012" s="387">
        <f t="shared" si="184"/>
        <v>70695983.649999991</v>
      </c>
      <c r="AI1012" s="523">
        <f t="shared" si="184"/>
        <v>0</v>
      </c>
      <c r="AJ1012" s="523">
        <f t="shared" si="184"/>
        <v>22319298.389999997</v>
      </c>
      <c r="AK1012" s="249"/>
      <c r="AL1012" s="249"/>
      <c r="AM1012" s="249"/>
      <c r="AN1012" s="44" t="s">
        <v>1157</v>
      </c>
      <c r="AO1012" s="44"/>
      <c r="AP1012" s="44"/>
      <c r="AQ1012" s="420"/>
      <c r="AR1012" s="44"/>
      <c r="AS1012" s="486"/>
      <c r="AT1012" s="44"/>
      <c r="AU1012" s="658"/>
      <c r="AV1012" s="426"/>
    </row>
    <row r="1013" spans="1:48" s="153" customFormat="1" ht="15" customHeight="1" outlineLevel="1" x14ac:dyDescent="0.25">
      <c r="A1013" s="108" t="str">
        <f t="shared" si="183"/>
        <v>3.12.1.0.0.0</v>
      </c>
      <c r="B1013" s="109">
        <v>3</v>
      </c>
      <c r="C1013" s="109">
        <v>12</v>
      </c>
      <c r="D1013" s="109">
        <v>1</v>
      </c>
      <c r="E1013" s="109">
        <v>0</v>
      </c>
      <c r="F1013" s="109">
        <v>0</v>
      </c>
      <c r="G1013" s="109">
        <v>0</v>
      </c>
      <c r="H1013" s="110"/>
      <c r="I1013" s="1258" t="s">
        <v>1158</v>
      </c>
      <c r="J1013" s="1259"/>
      <c r="K1013" s="1259"/>
      <c r="L1013" s="109" t="s">
        <v>668</v>
      </c>
      <c r="M1013" s="109">
        <v>0</v>
      </c>
      <c r="N1013" s="109">
        <v>0</v>
      </c>
      <c r="O1013" s="109">
        <v>0</v>
      </c>
      <c r="P1013" s="109"/>
      <c r="Q1013" s="109"/>
      <c r="R1013" s="109"/>
      <c r="S1013" s="110"/>
      <c r="T1013" s="109"/>
      <c r="U1013" s="112">
        <f t="shared" ref="U1013:AJ1013" si="185">+U1014+U1031+U1043+U1046+U1048+U1050</f>
        <v>12035462.324999999</v>
      </c>
      <c r="V1013" s="689">
        <f t="shared" si="185"/>
        <v>22319298.389999997</v>
      </c>
      <c r="W1013" s="385">
        <f t="shared" si="185"/>
        <v>38</v>
      </c>
      <c r="X1013" s="385">
        <f t="shared" si="185"/>
        <v>27976049.904999997</v>
      </c>
      <c r="Y1013" s="385">
        <f t="shared" si="185"/>
        <v>0</v>
      </c>
      <c r="Z1013" s="385">
        <f t="shared" si="185"/>
        <v>34</v>
      </c>
      <c r="AA1013" s="385">
        <f t="shared" si="185"/>
        <v>9408458.6349999998</v>
      </c>
      <c r="AB1013" s="385">
        <f t="shared" si="185"/>
        <v>0</v>
      </c>
      <c r="AC1013" s="385">
        <f t="shared" si="185"/>
        <v>42</v>
      </c>
      <c r="AD1013" s="385">
        <f t="shared" si="185"/>
        <v>15469961.715</v>
      </c>
      <c r="AE1013" s="385">
        <f t="shared" si="185"/>
        <v>0</v>
      </c>
      <c r="AF1013" s="385">
        <f t="shared" si="185"/>
        <v>0</v>
      </c>
      <c r="AG1013" s="385">
        <f t="shared" si="185"/>
        <v>80447526.435000002</v>
      </c>
      <c r="AH1013" s="385">
        <f t="shared" si="185"/>
        <v>64445984.429999992</v>
      </c>
      <c r="AI1013" s="521">
        <f t="shared" si="185"/>
        <v>0</v>
      </c>
      <c r="AJ1013" s="521">
        <f t="shared" si="185"/>
        <v>22319298.389999997</v>
      </c>
      <c r="AK1013" s="217"/>
      <c r="AL1013" s="217"/>
      <c r="AM1013" s="217"/>
      <c r="AN1013" s="109" t="s">
        <v>1157</v>
      </c>
      <c r="AO1013" s="109"/>
      <c r="AP1013" s="109"/>
      <c r="AQ1013" s="411"/>
      <c r="AR1013" s="109"/>
      <c r="AS1013" s="473"/>
      <c r="AT1013" s="109"/>
      <c r="AU1013" s="659"/>
      <c r="AV1013" s="445"/>
    </row>
    <row r="1014" spans="1:48" s="153" customFormat="1" ht="15" customHeight="1" outlineLevel="1" x14ac:dyDescent="0.25">
      <c r="A1014" s="148" t="str">
        <f t="shared" si="183"/>
        <v>3.12.1.1.0.0</v>
      </c>
      <c r="B1014" s="82">
        <v>3</v>
      </c>
      <c r="C1014" s="82">
        <v>12</v>
      </c>
      <c r="D1014" s="82">
        <v>1</v>
      </c>
      <c r="E1014" s="82">
        <v>1</v>
      </c>
      <c r="F1014" s="82">
        <v>0</v>
      </c>
      <c r="G1014" s="82">
        <v>0</v>
      </c>
      <c r="H1014" s="149"/>
      <c r="I1014" s="149"/>
      <c r="J1014" s="1260" t="s">
        <v>1159</v>
      </c>
      <c r="K1014" s="1259"/>
      <c r="L1014" s="82" t="s">
        <v>72</v>
      </c>
      <c r="M1014" s="82" t="s">
        <v>267</v>
      </c>
      <c r="N1014" s="82" t="s">
        <v>265</v>
      </c>
      <c r="O1014" s="82" t="s">
        <v>1160</v>
      </c>
      <c r="P1014" s="82"/>
      <c r="Q1014" s="82"/>
      <c r="R1014" s="82"/>
      <c r="S1014" s="149"/>
      <c r="T1014" s="82"/>
      <c r="U1014" s="209">
        <f>SUM(U1015:U1030)</f>
        <v>6121533.6399999997</v>
      </c>
      <c r="V1014" s="685">
        <f t="shared" ref="V1014:AG1014" si="186">+SUM(V1015:V1030)</f>
        <v>17596025.719999999</v>
      </c>
      <c r="W1014" s="386">
        <f t="shared" si="186"/>
        <v>15</v>
      </c>
      <c r="X1014" s="386">
        <f t="shared" si="186"/>
        <v>5083533.6399999997</v>
      </c>
      <c r="Y1014" s="386">
        <f t="shared" si="186"/>
        <v>0</v>
      </c>
      <c r="Z1014" s="386">
        <f t="shared" si="186"/>
        <v>18</v>
      </c>
      <c r="AA1014" s="386">
        <f t="shared" si="186"/>
        <v>5560529.9499999993</v>
      </c>
      <c r="AB1014" s="386">
        <f t="shared" si="186"/>
        <v>0</v>
      </c>
      <c r="AC1014" s="386">
        <f t="shared" si="186"/>
        <v>22</v>
      </c>
      <c r="AD1014" s="386">
        <f t="shared" si="186"/>
        <v>5560529.9299999997</v>
      </c>
      <c r="AE1014" s="386">
        <f t="shared" si="186"/>
        <v>0</v>
      </c>
      <c r="AF1014" s="386">
        <f t="shared" si="186"/>
        <v>0</v>
      </c>
      <c r="AG1014" s="386">
        <f t="shared" si="186"/>
        <v>36821179.185000002</v>
      </c>
      <c r="AH1014" s="386">
        <f>+SUM(AH1015:AH1030)</f>
        <v>22062179.009999998</v>
      </c>
      <c r="AI1014" s="522">
        <f>+SUM(AI1015:AI1030)</f>
        <v>0</v>
      </c>
      <c r="AJ1014" s="522">
        <f>+SUM(AJ1015:AJ1030)</f>
        <v>17596025.719999999</v>
      </c>
      <c r="AK1014" s="218"/>
      <c r="AL1014" s="218"/>
      <c r="AM1014" s="218"/>
      <c r="AN1014" s="82" t="s">
        <v>1157</v>
      </c>
      <c r="AO1014" s="82"/>
      <c r="AP1014" s="82"/>
      <c r="AQ1014" s="365"/>
      <c r="AR1014" s="82"/>
      <c r="AS1014" s="483"/>
      <c r="AT1014" s="82"/>
      <c r="AU1014" s="666"/>
      <c r="AV1014" s="444"/>
    </row>
    <row r="1015" spans="1:48" ht="15" customHeight="1" outlineLevel="3" x14ac:dyDescent="0.25">
      <c r="A1015" s="63" t="str">
        <f t="shared" si="183"/>
        <v>3.12.1.1.1.0</v>
      </c>
      <c r="B1015" s="64">
        <v>3</v>
      </c>
      <c r="C1015" s="64">
        <v>12</v>
      </c>
      <c r="D1015" s="64">
        <v>1</v>
      </c>
      <c r="E1015" s="64">
        <v>1</v>
      </c>
      <c r="F1015" s="64">
        <v>1</v>
      </c>
      <c r="G1015" s="64">
        <v>0</v>
      </c>
      <c r="H1015" s="65"/>
      <c r="I1015" s="65"/>
      <c r="J1015" s="66"/>
      <c r="K1015" s="65" t="s">
        <v>1161</v>
      </c>
      <c r="L1015" s="64" t="s">
        <v>72</v>
      </c>
      <c r="M1015" s="64" t="s">
        <v>267</v>
      </c>
      <c r="N1015" s="64" t="s">
        <v>265</v>
      </c>
      <c r="O1015" s="64" t="s">
        <v>1160</v>
      </c>
      <c r="P1015" s="170"/>
      <c r="Q1015" s="170"/>
      <c r="R1015" s="64">
        <v>12</v>
      </c>
      <c r="S1015" s="170" t="s">
        <v>267</v>
      </c>
      <c r="T1015" s="170">
        <v>3</v>
      </c>
      <c r="U1015" s="97"/>
      <c r="V1015" s="684">
        <f>+AJ1015</f>
        <v>0</v>
      </c>
      <c r="W1015" s="97">
        <v>3</v>
      </c>
      <c r="X1015" s="97"/>
      <c r="Y1015" s="97"/>
      <c r="Z1015" s="97">
        <v>3</v>
      </c>
      <c r="AA1015" s="97"/>
      <c r="AB1015" s="97"/>
      <c r="AC1015" s="75">
        <v>3</v>
      </c>
      <c r="AD1015" s="75"/>
      <c r="AE1015" s="592"/>
      <c r="AF1015" s="259"/>
      <c r="AG1015" s="75">
        <v>0</v>
      </c>
      <c r="AH1015" s="370">
        <v>0</v>
      </c>
      <c r="AI1015" s="75"/>
      <c r="AJ1015" s="75"/>
      <c r="AK1015" s="75"/>
      <c r="AL1015" s="75"/>
      <c r="AM1015" s="75"/>
      <c r="AN1015" s="64" t="s">
        <v>39</v>
      </c>
      <c r="AO1015" s="64"/>
      <c r="AP1015" s="64"/>
      <c r="AQ1015" s="189"/>
      <c r="AR1015" s="64"/>
      <c r="AS1015" s="476"/>
      <c r="AT1015" s="64"/>
      <c r="AU1015" s="646"/>
      <c r="AV1015" s="185"/>
    </row>
    <row r="1016" spans="1:48" ht="15" customHeight="1" outlineLevel="3" x14ac:dyDescent="0.25">
      <c r="A1016" s="63" t="str">
        <f t="shared" si="183"/>
        <v>3.12.1.1.2.0</v>
      </c>
      <c r="B1016" s="64">
        <v>3</v>
      </c>
      <c r="C1016" s="64">
        <v>12</v>
      </c>
      <c r="D1016" s="64">
        <v>1</v>
      </c>
      <c r="E1016" s="64">
        <v>1</v>
      </c>
      <c r="F1016" s="64">
        <v>2</v>
      </c>
      <c r="G1016" s="64">
        <v>0</v>
      </c>
      <c r="H1016" s="65"/>
      <c r="I1016" s="65"/>
      <c r="J1016" s="66"/>
      <c r="K1016" s="65" t="s">
        <v>1162</v>
      </c>
      <c r="L1016" s="64" t="s">
        <v>72</v>
      </c>
      <c r="M1016" s="64" t="s">
        <v>267</v>
      </c>
      <c r="N1016" s="64" t="s">
        <v>265</v>
      </c>
      <c r="O1016" s="64" t="s">
        <v>1160</v>
      </c>
      <c r="P1016" s="69">
        <v>44221</v>
      </c>
      <c r="Q1016" s="69">
        <v>44555</v>
      </c>
      <c r="R1016" s="64">
        <v>12</v>
      </c>
      <c r="S1016" s="65" t="s">
        <v>267</v>
      </c>
      <c r="T1016" s="63">
        <v>3</v>
      </c>
      <c r="U1016" s="155"/>
      <c r="V1016" s="704">
        <f t="shared" ref="V1016:V1067" si="187">+AJ1016</f>
        <v>5597548.0499999998</v>
      </c>
      <c r="W1016" s="75">
        <v>3</v>
      </c>
      <c r="X1016" s="155"/>
      <c r="Y1016" s="155"/>
      <c r="Z1016" s="75">
        <f>+W1016</f>
        <v>3</v>
      </c>
      <c r="AA1016" s="155"/>
      <c r="AB1016" s="155"/>
      <c r="AC1016" s="75">
        <f>+Z1016</f>
        <v>3</v>
      </c>
      <c r="AD1016" s="623"/>
      <c r="AE1016" s="608"/>
      <c r="AF1016" s="259"/>
      <c r="AG1016" s="75">
        <v>20065566.664999999</v>
      </c>
      <c r="AH1016" s="370">
        <v>0</v>
      </c>
      <c r="AI1016" s="75"/>
      <c r="AJ1016" s="75">
        <f>1878211+1848619.9+1870717.15</f>
        <v>5597548.0499999998</v>
      </c>
      <c r="AK1016" s="75"/>
      <c r="AL1016" s="75"/>
      <c r="AM1016" s="75"/>
      <c r="AN1016" s="64" t="s">
        <v>39</v>
      </c>
      <c r="AO1016" s="165" t="s">
        <v>144</v>
      </c>
      <c r="AP1016" s="245" t="s">
        <v>649</v>
      </c>
      <c r="AQ1016" s="543" t="s">
        <v>649</v>
      </c>
      <c r="AR1016" s="543" t="s">
        <v>649</v>
      </c>
      <c r="AS1016" s="543" t="s">
        <v>649</v>
      </c>
      <c r="AT1016" s="64" t="s">
        <v>1814</v>
      </c>
      <c r="AU1016" s="646" t="s">
        <v>1945</v>
      </c>
      <c r="AV1016" s="492" t="s">
        <v>1946</v>
      </c>
    </row>
    <row r="1017" spans="1:48" ht="15" customHeight="1" outlineLevel="3" x14ac:dyDescent="0.25">
      <c r="A1017" s="63" t="str">
        <f t="shared" si="183"/>
        <v>3.12.1.1.3.0</v>
      </c>
      <c r="B1017" s="64">
        <v>3</v>
      </c>
      <c r="C1017" s="64">
        <v>12</v>
      </c>
      <c r="D1017" s="64">
        <v>1</v>
      </c>
      <c r="E1017" s="64">
        <v>1</v>
      </c>
      <c r="F1017" s="64">
        <v>3</v>
      </c>
      <c r="G1017" s="64">
        <v>0</v>
      </c>
      <c r="H1017" s="65"/>
      <c r="I1017" s="65"/>
      <c r="J1017" s="66"/>
      <c r="K1017" s="65" t="s">
        <v>1163</v>
      </c>
      <c r="L1017" s="64" t="s">
        <v>72</v>
      </c>
      <c r="M1017" s="64" t="s">
        <v>267</v>
      </c>
      <c r="N1017" s="64" t="s">
        <v>265</v>
      </c>
      <c r="O1017" s="64" t="s">
        <v>1160</v>
      </c>
      <c r="P1017" s="64" t="s">
        <v>1164</v>
      </c>
      <c r="Q1017" s="69">
        <v>44555</v>
      </c>
      <c r="R1017" s="64">
        <v>12</v>
      </c>
      <c r="S1017" s="65" t="s">
        <v>267</v>
      </c>
      <c r="T1017" s="170">
        <v>3</v>
      </c>
      <c r="U1017" s="97">
        <f>+(610000+60500)*3</f>
        <v>2011500</v>
      </c>
      <c r="V1017" s="704">
        <f t="shared" si="187"/>
        <v>1830000</v>
      </c>
      <c r="W1017" s="97">
        <f>+T1017</f>
        <v>3</v>
      </c>
      <c r="X1017" s="97">
        <f>+AH1017-U1017</f>
        <v>973500</v>
      </c>
      <c r="Y1017" s="97"/>
      <c r="Z1017" s="97">
        <f>+T1017</f>
        <v>3</v>
      </c>
      <c r="AA1017" s="97"/>
      <c r="AB1017" s="97"/>
      <c r="AC1017" s="75">
        <f>+Z1017</f>
        <v>3</v>
      </c>
      <c r="AD1017" s="75"/>
      <c r="AE1017" s="592"/>
      <c r="AF1017" s="259"/>
      <c r="AG1017" s="75">
        <v>2985000</v>
      </c>
      <c r="AH1017" s="370">
        <v>2985000</v>
      </c>
      <c r="AI1017" s="75"/>
      <c r="AJ1017" s="75">
        <f>610000+610000+610000</f>
        <v>1830000</v>
      </c>
      <c r="AK1017" s="75"/>
      <c r="AL1017" s="75"/>
      <c r="AM1017" s="75"/>
      <c r="AN1017" s="64" t="s">
        <v>181</v>
      </c>
      <c r="AO1017" s="165" t="s">
        <v>144</v>
      </c>
      <c r="AP1017" s="64" t="s">
        <v>649</v>
      </c>
      <c r="AQ1017" s="533" t="s">
        <v>649</v>
      </c>
      <c r="AR1017" s="64" t="s">
        <v>649</v>
      </c>
      <c r="AS1017" s="533" t="s">
        <v>649</v>
      </c>
      <c r="AT1017" s="64" t="s">
        <v>1814</v>
      </c>
      <c r="AU1017" s="646" t="s">
        <v>1948</v>
      </c>
      <c r="AV1017" s="185" t="s">
        <v>1818</v>
      </c>
    </row>
    <row r="1018" spans="1:48" ht="15" customHeight="1" outlineLevel="3" x14ac:dyDescent="0.25">
      <c r="A1018" s="63" t="str">
        <f t="shared" si="183"/>
        <v>3.12.1.1.4.0</v>
      </c>
      <c r="B1018" s="64">
        <v>3</v>
      </c>
      <c r="C1018" s="64">
        <v>12</v>
      </c>
      <c r="D1018" s="64">
        <v>1</v>
      </c>
      <c r="E1018" s="64">
        <v>1</v>
      </c>
      <c r="F1018" s="64">
        <v>4</v>
      </c>
      <c r="G1018" s="64">
        <v>0</v>
      </c>
      <c r="H1018" s="65"/>
      <c r="I1018" s="65"/>
      <c r="J1018" s="66"/>
      <c r="K1018" s="65" t="s">
        <v>1165</v>
      </c>
      <c r="L1018" s="64" t="s">
        <v>72</v>
      </c>
      <c r="M1018" s="64" t="s">
        <v>267</v>
      </c>
      <c r="N1018" s="64" t="s">
        <v>265</v>
      </c>
      <c r="O1018" s="64" t="s">
        <v>1160</v>
      </c>
      <c r="P1018" s="69">
        <v>44531</v>
      </c>
      <c r="Q1018" s="69">
        <v>44542</v>
      </c>
      <c r="R1018" s="64">
        <v>1</v>
      </c>
      <c r="S1018" s="65" t="s">
        <v>267</v>
      </c>
      <c r="T1018" s="64">
        <v>0</v>
      </c>
      <c r="U1018" s="75"/>
      <c r="V1018" s="684">
        <f t="shared" si="187"/>
        <v>0</v>
      </c>
      <c r="W1018" s="97">
        <v>0</v>
      </c>
      <c r="X1018" s="97"/>
      <c r="Y1018" s="97"/>
      <c r="Z1018" s="97">
        <v>0</v>
      </c>
      <c r="AA1018" s="97"/>
      <c r="AB1018" s="97"/>
      <c r="AC1018" s="75">
        <v>1</v>
      </c>
      <c r="AD1018" s="75"/>
      <c r="AE1018" s="592"/>
      <c r="AF1018" s="259"/>
      <c r="AG1018" s="75">
        <v>0</v>
      </c>
      <c r="AH1018" s="370">
        <v>0</v>
      </c>
      <c r="AI1018" s="75"/>
      <c r="AJ1018" s="75"/>
      <c r="AK1018" s="75"/>
      <c r="AL1018" s="75"/>
      <c r="AM1018" s="75"/>
      <c r="AN1018" s="64" t="s">
        <v>181</v>
      </c>
      <c r="AO1018" s="64"/>
      <c r="AP1018" s="64"/>
      <c r="AQ1018" s="189"/>
      <c r="AR1018" s="64"/>
      <c r="AS1018" s="476"/>
      <c r="AT1018" s="64"/>
      <c r="AU1018" s="646"/>
      <c r="AV1018" s="185"/>
    </row>
    <row r="1019" spans="1:48" ht="15" customHeight="1" outlineLevel="3" x14ac:dyDescent="0.25">
      <c r="A1019" s="63" t="str">
        <f t="shared" si="183"/>
        <v>3.12.1.1.5.0</v>
      </c>
      <c r="B1019" s="64">
        <v>3</v>
      </c>
      <c r="C1019" s="64">
        <v>12</v>
      </c>
      <c r="D1019" s="64">
        <v>1</v>
      </c>
      <c r="E1019" s="64">
        <v>1</v>
      </c>
      <c r="F1019" s="64">
        <v>5</v>
      </c>
      <c r="G1019" s="64">
        <v>0</v>
      </c>
      <c r="H1019" s="65"/>
      <c r="I1019" s="65"/>
      <c r="J1019" s="66"/>
      <c r="K1019" s="65" t="s">
        <v>1166</v>
      </c>
      <c r="L1019" s="64" t="s">
        <v>72</v>
      </c>
      <c r="M1019" s="64" t="s">
        <v>267</v>
      </c>
      <c r="N1019" s="64" t="s">
        <v>265</v>
      </c>
      <c r="O1019" s="64" t="s">
        <v>1160</v>
      </c>
      <c r="P1019" s="69">
        <v>44531</v>
      </c>
      <c r="Q1019" s="69">
        <v>44542</v>
      </c>
      <c r="R1019" s="64">
        <v>1</v>
      </c>
      <c r="S1019" s="65" t="s">
        <v>267</v>
      </c>
      <c r="T1019" s="64">
        <v>0</v>
      </c>
      <c r="U1019" s="75"/>
      <c r="V1019" s="684">
        <f t="shared" si="187"/>
        <v>0</v>
      </c>
      <c r="W1019" s="97">
        <v>0</v>
      </c>
      <c r="X1019" s="97"/>
      <c r="Y1019" s="97"/>
      <c r="Z1019" s="97">
        <v>0</v>
      </c>
      <c r="AA1019" s="97"/>
      <c r="AB1019" s="97"/>
      <c r="AC1019" s="75">
        <v>1</v>
      </c>
      <c r="AD1019" s="75">
        <f>+AH1019</f>
        <v>0</v>
      </c>
      <c r="AE1019" s="592"/>
      <c r="AF1019" s="259"/>
      <c r="AG1019" s="75">
        <v>958200</v>
      </c>
      <c r="AH1019" s="370">
        <v>0</v>
      </c>
      <c r="AI1019" s="75"/>
      <c r="AJ1019" s="75"/>
      <c r="AK1019" s="75"/>
      <c r="AL1019" s="75"/>
      <c r="AM1019" s="75"/>
      <c r="AN1019" s="64" t="s">
        <v>181</v>
      </c>
      <c r="AO1019" s="64"/>
      <c r="AP1019" s="64"/>
      <c r="AQ1019" s="189"/>
      <c r="AR1019" s="64"/>
      <c r="AS1019" s="476"/>
      <c r="AT1019" s="64"/>
      <c r="AU1019" s="646"/>
      <c r="AV1019" s="185" t="s">
        <v>1167</v>
      </c>
    </row>
    <row r="1020" spans="1:48" ht="15" customHeight="1" outlineLevel="3" x14ac:dyDescent="0.25">
      <c r="A1020" s="63" t="str">
        <f t="shared" si="183"/>
        <v>3.12.1.1.6.0</v>
      </c>
      <c r="B1020" s="64">
        <v>3</v>
      </c>
      <c r="C1020" s="64">
        <v>12</v>
      </c>
      <c r="D1020" s="64">
        <v>1</v>
      </c>
      <c r="E1020" s="64">
        <v>1</v>
      </c>
      <c r="F1020" s="64">
        <v>6</v>
      </c>
      <c r="G1020" s="64">
        <v>0</v>
      </c>
      <c r="H1020" s="65"/>
      <c r="I1020" s="65"/>
      <c r="J1020" s="66"/>
      <c r="K1020" s="65" t="s">
        <v>1168</v>
      </c>
      <c r="L1020" s="64" t="s">
        <v>72</v>
      </c>
      <c r="M1020" s="64" t="s">
        <v>267</v>
      </c>
      <c r="N1020" s="64" t="s">
        <v>265</v>
      </c>
      <c r="O1020" s="64" t="s">
        <v>1160</v>
      </c>
      <c r="P1020" s="64"/>
      <c r="Q1020" s="64"/>
      <c r="R1020" s="64"/>
      <c r="S1020" s="65"/>
      <c r="T1020" s="64"/>
      <c r="U1020" s="75"/>
      <c r="V1020" s="684">
        <f t="shared" si="187"/>
        <v>0</v>
      </c>
      <c r="W1020" s="97"/>
      <c r="X1020" s="97"/>
      <c r="Y1020" s="97"/>
      <c r="Z1020" s="97"/>
      <c r="AA1020" s="97"/>
      <c r="AB1020" s="97"/>
      <c r="AC1020" s="75"/>
      <c r="AD1020" s="75">
        <f t="shared" ref="AD1020:AD1021" si="188">+AH1020</f>
        <v>0</v>
      </c>
      <c r="AE1020" s="592"/>
      <c r="AF1020" s="259"/>
      <c r="AG1020" s="75">
        <v>285000</v>
      </c>
      <c r="AH1020" s="370">
        <v>0</v>
      </c>
      <c r="AI1020" s="75"/>
      <c r="AJ1020" s="75"/>
      <c r="AK1020" s="75"/>
      <c r="AL1020" s="75"/>
      <c r="AM1020" s="75"/>
      <c r="AN1020" s="64" t="s">
        <v>181</v>
      </c>
      <c r="AO1020" s="64"/>
      <c r="AP1020" s="64"/>
      <c r="AQ1020" s="189"/>
      <c r="AR1020" s="64"/>
      <c r="AS1020" s="476"/>
      <c r="AT1020" s="64"/>
      <c r="AU1020" s="646"/>
      <c r="AV1020" s="185" t="s">
        <v>780</v>
      </c>
    </row>
    <row r="1021" spans="1:48" ht="15" customHeight="1" outlineLevel="3" x14ac:dyDescent="0.25">
      <c r="A1021" s="63" t="str">
        <f t="shared" si="183"/>
        <v>3.12.1.1.7.0</v>
      </c>
      <c r="B1021" s="64">
        <v>3</v>
      </c>
      <c r="C1021" s="64">
        <v>12</v>
      </c>
      <c r="D1021" s="64">
        <v>1</v>
      </c>
      <c r="E1021" s="64">
        <v>1</v>
      </c>
      <c r="F1021" s="64">
        <v>7</v>
      </c>
      <c r="G1021" s="64">
        <v>0</v>
      </c>
      <c r="H1021" s="65"/>
      <c r="I1021" s="65"/>
      <c r="J1021" s="66"/>
      <c r="K1021" s="65" t="s">
        <v>1169</v>
      </c>
      <c r="L1021" s="64" t="s">
        <v>72</v>
      </c>
      <c r="M1021" s="64" t="s">
        <v>267</v>
      </c>
      <c r="N1021" s="64" t="s">
        <v>265</v>
      </c>
      <c r="O1021" s="64" t="s">
        <v>1160</v>
      </c>
      <c r="P1021" s="64"/>
      <c r="Q1021" s="64"/>
      <c r="R1021" s="64"/>
      <c r="S1021" s="65"/>
      <c r="T1021" s="64"/>
      <c r="U1021" s="75"/>
      <c r="V1021" s="684">
        <f t="shared" si="187"/>
        <v>0</v>
      </c>
      <c r="W1021" s="97"/>
      <c r="X1021" s="97"/>
      <c r="Y1021" s="97"/>
      <c r="Z1021" s="97"/>
      <c r="AA1021" s="97"/>
      <c r="AB1021" s="97"/>
      <c r="AC1021" s="75"/>
      <c r="AD1021" s="75">
        <f t="shared" si="188"/>
        <v>0</v>
      </c>
      <c r="AE1021" s="592"/>
      <c r="AF1021" s="259"/>
      <c r="AG1021" s="75">
        <v>0</v>
      </c>
      <c r="AH1021" s="370">
        <v>0</v>
      </c>
      <c r="AI1021" s="75"/>
      <c r="AJ1021" s="75"/>
      <c r="AK1021" s="75"/>
      <c r="AL1021" s="75"/>
      <c r="AM1021" s="75"/>
      <c r="AN1021" s="64" t="s">
        <v>181</v>
      </c>
      <c r="AO1021" s="64"/>
      <c r="AP1021" s="64"/>
      <c r="AQ1021" s="189"/>
      <c r="AR1021" s="64"/>
      <c r="AS1021" s="476"/>
      <c r="AT1021" s="64"/>
      <c r="AU1021" s="646"/>
      <c r="AV1021" s="185"/>
    </row>
    <row r="1022" spans="1:48" ht="15" customHeight="1" outlineLevel="3" x14ac:dyDescent="0.25">
      <c r="A1022" s="63" t="str">
        <f t="shared" si="183"/>
        <v>3.12.1.1.8.0</v>
      </c>
      <c r="B1022" s="64">
        <v>3</v>
      </c>
      <c r="C1022" s="64">
        <v>12</v>
      </c>
      <c r="D1022" s="64">
        <v>1</v>
      </c>
      <c r="E1022" s="64">
        <v>1</v>
      </c>
      <c r="F1022" s="64">
        <v>8</v>
      </c>
      <c r="G1022" s="64">
        <v>0</v>
      </c>
      <c r="H1022" s="65"/>
      <c r="I1022" s="65"/>
      <c r="J1022" s="65"/>
      <c r="K1022" s="65" t="s">
        <v>1170</v>
      </c>
      <c r="L1022" s="64" t="s">
        <v>72</v>
      </c>
      <c r="M1022" s="64" t="s">
        <v>267</v>
      </c>
      <c r="N1022" s="64" t="s">
        <v>265</v>
      </c>
      <c r="O1022" s="64" t="s">
        <v>1160</v>
      </c>
      <c r="P1022" s="64" t="s">
        <v>370</v>
      </c>
      <c r="Q1022" s="64"/>
      <c r="R1022" s="64"/>
      <c r="S1022" s="65"/>
      <c r="T1022" s="64"/>
      <c r="U1022" s="75"/>
      <c r="V1022" s="684">
        <f t="shared" si="187"/>
        <v>0</v>
      </c>
      <c r="W1022" s="97"/>
      <c r="X1022" s="97"/>
      <c r="Y1022" s="97"/>
      <c r="Z1022" s="97"/>
      <c r="AA1022" s="97"/>
      <c r="AB1022" s="97"/>
      <c r="AC1022" s="75"/>
      <c r="AD1022" s="75"/>
      <c r="AE1022" s="592"/>
      <c r="AF1022" s="259"/>
      <c r="AG1022" s="75">
        <v>0</v>
      </c>
      <c r="AH1022" s="370">
        <v>0</v>
      </c>
      <c r="AI1022" s="75"/>
      <c r="AJ1022" s="75"/>
      <c r="AK1022" s="75"/>
      <c r="AL1022" s="75"/>
      <c r="AM1022" s="75"/>
      <c r="AN1022" s="64" t="s">
        <v>181</v>
      </c>
      <c r="AO1022" s="64"/>
      <c r="AP1022" s="64"/>
      <c r="AQ1022" s="189"/>
      <c r="AR1022" s="64"/>
      <c r="AS1022" s="476"/>
      <c r="AT1022" s="64"/>
      <c r="AU1022" s="646"/>
      <c r="AV1022" s="185"/>
    </row>
    <row r="1023" spans="1:48" ht="15" customHeight="1" outlineLevel="3" x14ac:dyDescent="0.25">
      <c r="A1023" s="63" t="str">
        <f t="shared" si="183"/>
        <v>3.12.1.1.9.0</v>
      </c>
      <c r="B1023" s="64">
        <v>3</v>
      </c>
      <c r="C1023" s="64">
        <v>12</v>
      </c>
      <c r="D1023" s="64">
        <v>1</v>
      </c>
      <c r="E1023" s="64">
        <v>1</v>
      </c>
      <c r="F1023" s="64">
        <v>9</v>
      </c>
      <c r="G1023" s="64">
        <v>0</v>
      </c>
      <c r="H1023" s="65"/>
      <c r="I1023" s="65"/>
      <c r="J1023" s="66"/>
      <c r="K1023" s="65" t="s">
        <v>1171</v>
      </c>
      <c r="L1023" s="64" t="s">
        <v>72</v>
      </c>
      <c r="M1023" s="64" t="s">
        <v>267</v>
      </c>
      <c r="N1023" s="64" t="s">
        <v>265</v>
      </c>
      <c r="O1023" s="64" t="s">
        <v>1160</v>
      </c>
      <c r="P1023" s="64"/>
      <c r="Q1023" s="64"/>
      <c r="R1023" s="64"/>
      <c r="S1023" s="65"/>
      <c r="T1023" s="64"/>
      <c r="U1023" s="75"/>
      <c r="V1023" s="684">
        <f t="shared" si="187"/>
        <v>0</v>
      </c>
      <c r="W1023" s="97"/>
      <c r="X1023" s="97"/>
      <c r="Y1023" s="97"/>
      <c r="Z1023" s="97"/>
      <c r="AA1023" s="97"/>
      <c r="AB1023" s="97"/>
      <c r="AC1023" s="75"/>
      <c r="AD1023" s="75"/>
      <c r="AE1023" s="592"/>
      <c r="AF1023" s="259"/>
      <c r="AG1023" s="75">
        <v>0</v>
      </c>
      <c r="AH1023" s="370">
        <v>0</v>
      </c>
      <c r="AI1023" s="75"/>
      <c r="AJ1023" s="75"/>
      <c r="AK1023" s="75"/>
      <c r="AL1023" s="75"/>
      <c r="AM1023" s="75"/>
      <c r="AN1023" s="64" t="s">
        <v>181</v>
      </c>
      <c r="AO1023" s="64"/>
      <c r="AP1023" s="64"/>
      <c r="AQ1023" s="189"/>
      <c r="AR1023" s="64"/>
      <c r="AS1023" s="476"/>
      <c r="AT1023" s="64"/>
      <c r="AU1023" s="646"/>
      <c r="AV1023" s="185"/>
    </row>
    <row r="1024" spans="1:48" ht="15" customHeight="1" outlineLevel="3" x14ac:dyDescent="0.25">
      <c r="A1024" s="63" t="str">
        <f t="shared" si="183"/>
        <v>3.12.1.1.10.0</v>
      </c>
      <c r="B1024" s="64">
        <v>3</v>
      </c>
      <c r="C1024" s="64">
        <v>12</v>
      </c>
      <c r="D1024" s="64">
        <v>1</v>
      </c>
      <c r="E1024" s="64">
        <v>1</v>
      </c>
      <c r="F1024" s="64">
        <v>10</v>
      </c>
      <c r="G1024" s="64">
        <v>0</v>
      </c>
      <c r="H1024" s="65"/>
      <c r="I1024" s="65"/>
      <c r="J1024" s="66"/>
      <c r="K1024" s="65" t="s">
        <v>1172</v>
      </c>
      <c r="L1024" s="64" t="s">
        <v>72</v>
      </c>
      <c r="M1024" s="64" t="s">
        <v>267</v>
      </c>
      <c r="N1024" s="64" t="s">
        <v>265</v>
      </c>
      <c r="O1024" s="64" t="s">
        <v>1160</v>
      </c>
      <c r="P1024" s="64"/>
      <c r="Q1024" s="64"/>
      <c r="R1024" s="64"/>
      <c r="S1024" s="65"/>
      <c r="T1024" s="64"/>
      <c r="U1024" s="75"/>
      <c r="V1024" s="684">
        <f t="shared" si="187"/>
        <v>0</v>
      </c>
      <c r="W1024" s="97"/>
      <c r="X1024" s="97"/>
      <c r="Y1024" s="97"/>
      <c r="Z1024" s="97"/>
      <c r="AA1024" s="97"/>
      <c r="AB1024" s="97"/>
      <c r="AC1024" s="75"/>
      <c r="AD1024" s="75"/>
      <c r="AE1024" s="592"/>
      <c r="AF1024" s="259"/>
      <c r="AG1024" s="75">
        <v>0</v>
      </c>
      <c r="AH1024" s="370">
        <v>0</v>
      </c>
      <c r="AI1024" s="75"/>
      <c r="AJ1024" s="75"/>
      <c r="AK1024" s="75"/>
      <c r="AL1024" s="75"/>
      <c r="AM1024" s="75"/>
      <c r="AN1024" s="64" t="s">
        <v>181</v>
      </c>
      <c r="AO1024" s="64"/>
      <c r="AP1024" s="64"/>
      <c r="AQ1024" s="189"/>
      <c r="AR1024" s="64"/>
      <c r="AS1024" s="476"/>
      <c r="AT1024" s="64"/>
      <c r="AU1024" s="646"/>
      <c r="AV1024" s="185"/>
    </row>
    <row r="1025" spans="1:48" ht="15" customHeight="1" outlineLevel="3" x14ac:dyDescent="0.25">
      <c r="A1025" s="63" t="str">
        <f t="shared" si="183"/>
        <v>3.12.1.1.11.0</v>
      </c>
      <c r="B1025" s="64">
        <v>3</v>
      </c>
      <c r="C1025" s="64">
        <v>12</v>
      </c>
      <c r="D1025" s="64">
        <v>1</v>
      </c>
      <c r="E1025" s="64">
        <v>1</v>
      </c>
      <c r="F1025" s="64">
        <v>11</v>
      </c>
      <c r="G1025" s="64">
        <v>0</v>
      </c>
      <c r="H1025" s="65"/>
      <c r="I1025" s="65"/>
      <c r="J1025" s="66"/>
      <c r="K1025" s="65" t="s">
        <v>1173</v>
      </c>
      <c r="L1025" s="64" t="s">
        <v>72</v>
      </c>
      <c r="M1025" s="64" t="s">
        <v>267</v>
      </c>
      <c r="N1025" s="64" t="s">
        <v>265</v>
      </c>
      <c r="O1025" s="64" t="s">
        <v>1160</v>
      </c>
      <c r="P1025" s="69">
        <v>44531</v>
      </c>
      <c r="Q1025" s="69">
        <v>44561</v>
      </c>
      <c r="R1025" s="64">
        <v>1</v>
      </c>
      <c r="S1025" s="65" t="s">
        <v>267</v>
      </c>
      <c r="T1025" s="64"/>
      <c r="U1025" s="75"/>
      <c r="V1025" s="704">
        <f t="shared" si="187"/>
        <v>3853777.67</v>
      </c>
      <c r="W1025" s="97"/>
      <c r="X1025" s="97"/>
      <c r="Y1025" s="97"/>
      <c r="Z1025" s="97"/>
      <c r="AA1025" s="97"/>
      <c r="AB1025" s="97"/>
      <c r="AC1025" s="75">
        <v>1</v>
      </c>
      <c r="AD1025" s="75"/>
      <c r="AE1025" s="592"/>
      <c r="AF1025" s="259"/>
      <c r="AG1025" s="75">
        <v>0</v>
      </c>
      <c r="AH1025" s="370">
        <v>0</v>
      </c>
      <c r="AI1025" s="75"/>
      <c r="AJ1025" s="75">
        <v>3853777.67</v>
      </c>
      <c r="AK1025" s="75"/>
      <c r="AL1025" s="75"/>
      <c r="AM1025" s="75"/>
      <c r="AN1025" s="64" t="s">
        <v>181</v>
      </c>
      <c r="AO1025" s="64"/>
      <c r="AP1025" s="64"/>
      <c r="AQ1025" s="189"/>
      <c r="AR1025" s="64"/>
      <c r="AS1025" s="476"/>
      <c r="AT1025" s="64"/>
      <c r="AU1025" s="646">
        <v>201</v>
      </c>
      <c r="AV1025" s="185" t="s">
        <v>1854</v>
      </c>
    </row>
    <row r="1026" spans="1:48" ht="15" customHeight="1" outlineLevel="3" x14ac:dyDescent="0.25">
      <c r="A1026" s="63" t="str">
        <f t="shared" si="183"/>
        <v>3.12.1.1.12.0</v>
      </c>
      <c r="B1026" s="64">
        <v>3</v>
      </c>
      <c r="C1026" s="64">
        <v>12</v>
      </c>
      <c r="D1026" s="64">
        <v>1</v>
      </c>
      <c r="E1026" s="64">
        <v>1</v>
      </c>
      <c r="F1026" s="64">
        <v>12</v>
      </c>
      <c r="G1026" s="64">
        <v>0</v>
      </c>
      <c r="H1026" s="65"/>
      <c r="I1026" s="65"/>
      <c r="J1026" s="66"/>
      <c r="K1026" s="65" t="s">
        <v>1174</v>
      </c>
      <c r="L1026" s="64" t="s">
        <v>72</v>
      </c>
      <c r="M1026" s="64" t="s">
        <v>267</v>
      </c>
      <c r="N1026" s="64" t="s">
        <v>265</v>
      </c>
      <c r="O1026" s="64" t="s">
        <v>1160</v>
      </c>
      <c r="P1026" s="69">
        <v>44221</v>
      </c>
      <c r="Q1026" s="69">
        <v>44555</v>
      </c>
      <c r="R1026" s="64">
        <v>12</v>
      </c>
      <c r="S1026" s="65" t="s">
        <v>267</v>
      </c>
      <c r="T1026" s="64"/>
      <c r="U1026" s="75"/>
      <c r="V1026" s="684">
        <f t="shared" si="187"/>
        <v>0</v>
      </c>
      <c r="W1026" s="97"/>
      <c r="X1026" s="97"/>
      <c r="Y1026" s="97"/>
      <c r="Z1026" s="97"/>
      <c r="AA1026" s="97"/>
      <c r="AB1026" s="97"/>
      <c r="AC1026" s="75"/>
      <c r="AD1026" s="75"/>
      <c r="AE1026" s="592"/>
      <c r="AF1026" s="259"/>
      <c r="AG1026" s="75">
        <v>0</v>
      </c>
      <c r="AH1026" s="370">
        <v>0</v>
      </c>
      <c r="AI1026" s="75"/>
      <c r="AJ1026" s="75"/>
      <c r="AK1026" s="75"/>
      <c r="AL1026" s="75"/>
      <c r="AM1026" s="75"/>
      <c r="AN1026" s="64" t="s">
        <v>39</v>
      </c>
      <c r="AO1026" s="165"/>
      <c r="AP1026" s="165"/>
      <c r="AQ1026" s="413"/>
      <c r="AR1026" s="165"/>
      <c r="AS1026" s="475"/>
      <c r="AT1026" s="165"/>
      <c r="AU1026" s="668"/>
      <c r="AV1026" s="639"/>
    </row>
    <row r="1027" spans="1:48" ht="40.35" customHeight="1" outlineLevel="3" x14ac:dyDescent="0.25">
      <c r="A1027" s="63" t="str">
        <f t="shared" si="183"/>
        <v>3.12.1.1.13.0</v>
      </c>
      <c r="B1027" s="64">
        <v>3</v>
      </c>
      <c r="C1027" s="64">
        <v>12</v>
      </c>
      <c r="D1027" s="64">
        <v>1</v>
      </c>
      <c r="E1027" s="64">
        <v>1</v>
      </c>
      <c r="F1027" s="64">
        <v>13</v>
      </c>
      <c r="G1027" s="64">
        <v>0</v>
      </c>
      <c r="H1027" s="65"/>
      <c r="I1027" s="65"/>
      <c r="J1027" s="66"/>
      <c r="K1027" s="65" t="s">
        <v>1175</v>
      </c>
      <c r="L1027" s="64" t="s">
        <v>72</v>
      </c>
      <c r="M1027" s="64" t="s">
        <v>267</v>
      </c>
      <c r="N1027" s="64" t="s">
        <v>265</v>
      </c>
      <c r="O1027" s="64" t="s">
        <v>1160</v>
      </c>
      <c r="P1027" s="69">
        <v>44221</v>
      </c>
      <c r="Q1027" s="69">
        <v>44555</v>
      </c>
      <c r="R1027" s="64">
        <v>12</v>
      </c>
      <c r="S1027" s="65" t="s">
        <v>267</v>
      </c>
      <c r="T1027" s="64">
        <v>3</v>
      </c>
      <c r="U1027" s="155">
        <v>2014743.01</v>
      </c>
      <c r="V1027" s="704">
        <f t="shared" si="187"/>
        <v>5832200</v>
      </c>
      <c r="W1027" s="97">
        <v>3</v>
      </c>
      <c r="X1027" s="155">
        <v>2014743.01</v>
      </c>
      <c r="Y1027" s="155"/>
      <c r="Z1027" s="97">
        <v>3</v>
      </c>
      <c r="AA1027" s="75">
        <v>3646739.32</v>
      </c>
      <c r="AB1027" s="75"/>
      <c r="AC1027" s="75">
        <v>3</v>
      </c>
      <c r="AD1027" s="155">
        <v>3646739.3</v>
      </c>
      <c r="AE1027" s="599"/>
      <c r="AF1027" s="259"/>
      <c r="AG1027" s="75">
        <v>4500000</v>
      </c>
      <c r="AH1027" s="370">
        <v>11059016.49</v>
      </c>
      <c r="AI1027" s="75"/>
      <c r="AJ1027" s="75">
        <f>1760200+1875100+115300+1875100+206500</f>
        <v>5832200</v>
      </c>
      <c r="AK1027" s="75"/>
      <c r="AL1027" s="75"/>
      <c r="AM1027" s="75"/>
      <c r="AN1027" s="189" t="s">
        <v>39</v>
      </c>
      <c r="AO1027" s="644" t="s">
        <v>649</v>
      </c>
      <c r="AP1027" s="644" t="s">
        <v>649</v>
      </c>
      <c r="AQ1027" s="644" t="s">
        <v>649</v>
      </c>
      <c r="AR1027" s="645">
        <v>44562</v>
      </c>
      <c r="AS1027" s="645">
        <v>44926</v>
      </c>
      <c r="AT1027" s="644" t="s">
        <v>1814</v>
      </c>
      <c r="AU1027" s="646" t="s">
        <v>1944</v>
      </c>
      <c r="AV1027" s="643" t="s">
        <v>1903</v>
      </c>
    </row>
    <row r="1028" spans="1:48" ht="15" customHeight="1" outlineLevel="3" x14ac:dyDescent="0.25">
      <c r="A1028" s="63" t="str">
        <f t="shared" si="183"/>
        <v>3.12.1.1.14.0</v>
      </c>
      <c r="B1028" s="64">
        <v>3</v>
      </c>
      <c r="C1028" s="64">
        <v>12</v>
      </c>
      <c r="D1028" s="64">
        <v>1</v>
      </c>
      <c r="E1028" s="64">
        <v>1</v>
      </c>
      <c r="F1028" s="64">
        <v>14</v>
      </c>
      <c r="G1028" s="64">
        <v>0</v>
      </c>
      <c r="H1028" s="65"/>
      <c r="I1028" s="65"/>
      <c r="J1028" s="66"/>
      <c r="K1028" s="65" t="s">
        <v>1176</v>
      </c>
      <c r="L1028" s="64" t="s">
        <v>72</v>
      </c>
      <c r="M1028" s="64" t="s">
        <v>267</v>
      </c>
      <c r="N1028" s="64" t="s">
        <v>265</v>
      </c>
      <c r="O1028" s="64" t="s">
        <v>1160</v>
      </c>
      <c r="P1028" s="69">
        <v>44221</v>
      </c>
      <c r="Q1028" s="69">
        <v>44555</v>
      </c>
      <c r="R1028" s="64">
        <v>12</v>
      </c>
      <c r="S1028" s="65" t="s">
        <v>267</v>
      </c>
      <c r="T1028" s="64">
        <v>3</v>
      </c>
      <c r="U1028" s="75">
        <v>181500</v>
      </c>
      <c r="V1028" s="704">
        <f t="shared" si="187"/>
        <v>482500</v>
      </c>
      <c r="W1028" s="97"/>
      <c r="X1028" s="97">
        <v>181500</v>
      </c>
      <c r="Y1028" s="97"/>
      <c r="Z1028" s="97">
        <v>3</v>
      </c>
      <c r="AA1028" s="97"/>
      <c r="AB1028" s="97"/>
      <c r="AC1028" s="75">
        <v>3</v>
      </c>
      <c r="AD1028" s="75"/>
      <c r="AE1028" s="592"/>
      <c r="AF1028" s="259"/>
      <c r="AG1028" s="75">
        <v>342000</v>
      </c>
      <c r="AH1028" s="370">
        <v>363000</v>
      </c>
      <c r="AI1028" s="75"/>
      <c r="AJ1028" s="75">
        <f>60500+103000+60500+103000+60500+95000</f>
        <v>482500</v>
      </c>
      <c r="AK1028" s="75"/>
      <c r="AL1028" s="75"/>
      <c r="AM1028" s="75"/>
      <c r="AN1028" s="189" t="s">
        <v>181</v>
      </c>
      <c r="AO1028" s="644" t="s">
        <v>649</v>
      </c>
      <c r="AP1028" s="644" t="s">
        <v>649</v>
      </c>
      <c r="AQ1028" s="644" t="s">
        <v>649</v>
      </c>
      <c r="AR1028" s="642">
        <v>44562</v>
      </c>
      <c r="AS1028" s="642">
        <v>44926</v>
      </c>
      <c r="AT1028" s="641" t="s">
        <v>1814</v>
      </c>
      <c r="AU1028" s="647" t="s">
        <v>1921</v>
      </c>
      <c r="AV1028" s="643" t="s">
        <v>1922</v>
      </c>
    </row>
    <row r="1029" spans="1:48" ht="15" customHeight="1" outlineLevel="3" x14ac:dyDescent="0.25">
      <c r="A1029" s="63" t="str">
        <f t="shared" si="183"/>
        <v>3.12.1.1.15.0</v>
      </c>
      <c r="B1029" s="64">
        <v>3</v>
      </c>
      <c r="C1029" s="64">
        <v>12</v>
      </c>
      <c r="D1029" s="64">
        <v>1</v>
      </c>
      <c r="E1029" s="64">
        <v>1</v>
      </c>
      <c r="F1029" s="64">
        <v>15</v>
      </c>
      <c r="G1029" s="64">
        <v>0</v>
      </c>
      <c r="H1029" s="65"/>
      <c r="I1029" s="65"/>
      <c r="J1029" s="66"/>
      <c r="K1029" s="65" t="s">
        <v>1177</v>
      </c>
      <c r="L1029" s="64" t="s">
        <v>72</v>
      </c>
      <c r="M1029" s="64" t="s">
        <v>267</v>
      </c>
      <c r="N1029" s="64" t="s">
        <v>265</v>
      </c>
      <c r="O1029" s="64" t="s">
        <v>1160</v>
      </c>
      <c r="P1029" s="69">
        <v>44531</v>
      </c>
      <c r="Q1029" s="69">
        <v>44542</v>
      </c>
      <c r="R1029" s="64">
        <v>1</v>
      </c>
      <c r="S1029" s="65" t="s">
        <v>267</v>
      </c>
      <c r="T1029" s="64"/>
      <c r="U1029" s="75"/>
      <c r="V1029" s="684">
        <f t="shared" si="187"/>
        <v>0</v>
      </c>
      <c r="W1029" s="97"/>
      <c r="X1029" s="97"/>
      <c r="Y1029" s="97"/>
      <c r="Z1029" s="97"/>
      <c r="AA1029" s="97"/>
      <c r="AB1029" s="97"/>
      <c r="AC1029" s="75">
        <v>1</v>
      </c>
      <c r="AD1029" s="75">
        <f>+AH1029</f>
        <v>0</v>
      </c>
      <c r="AE1029" s="592"/>
      <c r="AF1029" s="259"/>
      <c r="AG1029" s="75">
        <v>30250</v>
      </c>
      <c r="AH1029" s="370">
        <v>0</v>
      </c>
      <c r="AI1029" s="75"/>
      <c r="AJ1029" s="75"/>
      <c r="AK1029" s="75"/>
      <c r="AL1029" s="75"/>
      <c r="AM1029" s="75"/>
      <c r="AN1029" s="64" t="s">
        <v>181</v>
      </c>
      <c r="AO1029" s="637"/>
      <c r="AP1029" s="637"/>
      <c r="AQ1029" s="637"/>
      <c r="AR1029" s="637"/>
      <c r="AS1029" s="637"/>
      <c r="AT1029" s="637"/>
      <c r="AU1029" s="652"/>
      <c r="AV1029" s="640" t="s">
        <v>780</v>
      </c>
    </row>
    <row r="1030" spans="1:48" ht="15" customHeight="1" outlineLevel="3" x14ac:dyDescent="0.25">
      <c r="A1030" s="63" t="str">
        <f t="shared" si="183"/>
        <v>3.12.1.1.16.0</v>
      </c>
      <c r="B1030" s="64">
        <v>3</v>
      </c>
      <c r="C1030" s="64">
        <v>12</v>
      </c>
      <c r="D1030" s="64">
        <v>1</v>
      </c>
      <c r="E1030" s="64">
        <v>1</v>
      </c>
      <c r="F1030" s="64">
        <v>16</v>
      </c>
      <c r="G1030" s="64">
        <v>0</v>
      </c>
      <c r="H1030" s="65"/>
      <c r="I1030" s="65"/>
      <c r="J1030" s="66"/>
      <c r="K1030" s="65" t="s">
        <v>1870</v>
      </c>
      <c r="L1030" s="64" t="s">
        <v>72</v>
      </c>
      <c r="M1030" s="64" t="s">
        <v>267</v>
      </c>
      <c r="N1030" s="64" t="s">
        <v>265</v>
      </c>
      <c r="O1030" s="64" t="s">
        <v>1160</v>
      </c>
      <c r="P1030" s="69">
        <v>44221</v>
      </c>
      <c r="Q1030" s="69">
        <v>44542</v>
      </c>
      <c r="R1030" s="64">
        <v>12</v>
      </c>
      <c r="S1030" s="65" t="s">
        <v>267</v>
      </c>
      <c r="T1030" s="64">
        <v>3</v>
      </c>
      <c r="U1030" s="75">
        <f>$AH$1030/4</f>
        <v>1913790.63</v>
      </c>
      <c r="V1030" s="684">
        <f t="shared" si="187"/>
        <v>0</v>
      </c>
      <c r="W1030" s="97">
        <v>3</v>
      </c>
      <c r="X1030" s="75">
        <f>$AH$1030/4</f>
        <v>1913790.63</v>
      </c>
      <c r="Y1030" s="75"/>
      <c r="Z1030" s="97">
        <v>3</v>
      </c>
      <c r="AA1030" s="75">
        <f>$AH$1030/4</f>
        <v>1913790.63</v>
      </c>
      <c r="AB1030" s="75"/>
      <c r="AC1030" s="75">
        <v>3</v>
      </c>
      <c r="AD1030" s="75">
        <f>$AH$1030/4</f>
        <v>1913790.63</v>
      </c>
      <c r="AE1030" s="592"/>
      <c r="AF1030" s="259"/>
      <c r="AG1030" s="75">
        <v>7655162.5199999996</v>
      </c>
      <c r="AH1030" s="370">
        <v>7655162.5199999996</v>
      </c>
      <c r="AI1030" s="75"/>
      <c r="AJ1030" s="75"/>
      <c r="AK1030" s="75"/>
      <c r="AL1030" s="75"/>
      <c r="AM1030" s="75"/>
      <c r="AN1030" s="64" t="s">
        <v>181</v>
      </c>
      <c r="AO1030" s="637"/>
      <c r="AP1030" s="637"/>
      <c r="AQ1030" s="637"/>
      <c r="AR1030" s="637"/>
      <c r="AS1030" s="637"/>
      <c r="AT1030" s="637"/>
      <c r="AU1030" s="652"/>
      <c r="AV1030" s="185" t="s">
        <v>780</v>
      </c>
    </row>
    <row r="1031" spans="1:48" s="153" customFormat="1" ht="48" customHeight="1" outlineLevel="1" x14ac:dyDescent="0.25">
      <c r="A1031" s="148" t="str">
        <f t="shared" si="183"/>
        <v>3.12.1.2.0.0</v>
      </c>
      <c r="B1031" s="82">
        <v>3</v>
      </c>
      <c r="C1031" s="82">
        <v>12</v>
      </c>
      <c r="D1031" s="82">
        <v>1</v>
      </c>
      <c r="E1031" s="82">
        <v>2</v>
      </c>
      <c r="F1031" s="82">
        <v>0</v>
      </c>
      <c r="G1031" s="82">
        <v>0</v>
      </c>
      <c r="H1031" s="149"/>
      <c r="I1031" s="149"/>
      <c r="J1031" s="1260" t="s">
        <v>1178</v>
      </c>
      <c r="K1031" s="1259"/>
      <c r="L1031" s="82" t="s">
        <v>1179</v>
      </c>
      <c r="M1031" s="82" t="s">
        <v>1180</v>
      </c>
      <c r="N1031" s="83" t="s">
        <v>1181</v>
      </c>
      <c r="O1031" s="83" t="s">
        <v>1182</v>
      </c>
      <c r="P1031" s="82"/>
      <c r="Q1031" s="82"/>
      <c r="R1031" s="82"/>
      <c r="S1031" s="149"/>
      <c r="T1031" s="82"/>
      <c r="U1031" s="386">
        <f>+SUM(U1032:U1042)</f>
        <v>0</v>
      </c>
      <c r="V1031" s="685">
        <f t="shared" ref="V1031:AG1031" si="189">+SUM(V1032:V1042)</f>
        <v>0</v>
      </c>
      <c r="W1031" s="386">
        <f t="shared" si="189"/>
        <v>8</v>
      </c>
      <c r="X1031" s="386">
        <f t="shared" si="189"/>
        <v>0</v>
      </c>
      <c r="Y1031" s="386">
        <f t="shared" si="189"/>
        <v>0</v>
      </c>
      <c r="Z1031" s="386">
        <f t="shared" si="189"/>
        <v>0</v>
      </c>
      <c r="AA1031" s="386">
        <f t="shared" si="189"/>
        <v>0</v>
      </c>
      <c r="AB1031" s="386">
        <f t="shared" si="189"/>
        <v>0</v>
      </c>
      <c r="AC1031" s="386">
        <f t="shared" si="189"/>
        <v>11</v>
      </c>
      <c r="AD1031" s="386">
        <f t="shared" si="189"/>
        <v>0</v>
      </c>
      <c r="AE1031" s="386">
        <f t="shared" si="189"/>
        <v>0</v>
      </c>
      <c r="AF1031" s="386">
        <f t="shared" si="189"/>
        <v>0</v>
      </c>
      <c r="AG1031" s="386">
        <f t="shared" si="189"/>
        <v>0</v>
      </c>
      <c r="AH1031" s="386">
        <f>+SUM(AH1032:AH1042)</f>
        <v>0</v>
      </c>
      <c r="AI1031" s="218">
        <v>0</v>
      </c>
      <c r="AJ1031" s="218">
        <v>0</v>
      </c>
      <c r="AK1031" s="218"/>
      <c r="AL1031" s="218"/>
      <c r="AM1031" s="218"/>
      <c r="AN1031" s="82" t="s">
        <v>39</v>
      </c>
      <c r="AO1031" s="637"/>
      <c r="AP1031" s="637"/>
      <c r="AQ1031" s="637"/>
      <c r="AR1031" s="637"/>
      <c r="AS1031" s="637"/>
      <c r="AT1031" s="637"/>
      <c r="AU1031" s="652"/>
      <c r="AV1031" s="444"/>
    </row>
    <row r="1032" spans="1:48" ht="45" customHeight="1" outlineLevel="3" x14ac:dyDescent="0.25">
      <c r="A1032" s="63" t="str">
        <f t="shared" si="183"/>
        <v>3.12.1.2.1.0</v>
      </c>
      <c r="B1032" s="64">
        <v>3</v>
      </c>
      <c r="C1032" s="64">
        <v>12</v>
      </c>
      <c r="D1032" s="64">
        <v>1</v>
      </c>
      <c r="E1032" s="64">
        <v>2</v>
      </c>
      <c r="F1032" s="64">
        <v>1</v>
      </c>
      <c r="G1032" s="64">
        <v>0</v>
      </c>
      <c r="H1032" s="65"/>
      <c r="I1032" s="65"/>
      <c r="J1032" s="65"/>
      <c r="K1032" s="67" t="s">
        <v>1183</v>
      </c>
      <c r="L1032" s="64" t="s">
        <v>1082</v>
      </c>
      <c r="M1032" s="64" t="s">
        <v>299</v>
      </c>
      <c r="N1032" s="68" t="s">
        <v>1184</v>
      </c>
      <c r="O1032" s="64" t="s">
        <v>1185</v>
      </c>
      <c r="P1032" s="69">
        <v>44348</v>
      </c>
      <c r="Q1032" s="67" t="s">
        <v>1186</v>
      </c>
      <c r="R1032" s="67" t="s">
        <v>1187</v>
      </c>
      <c r="S1032" s="67" t="s">
        <v>1188</v>
      </c>
      <c r="T1032" s="64"/>
      <c r="U1032" s="75"/>
      <c r="V1032" s="684">
        <f t="shared" si="187"/>
        <v>0</v>
      </c>
      <c r="W1032" s="75"/>
      <c r="X1032" s="75"/>
      <c r="Y1032" s="75"/>
      <c r="Z1032" s="75"/>
      <c r="AA1032" s="75"/>
      <c r="AB1032" s="75"/>
      <c r="AC1032" s="75"/>
      <c r="AD1032" s="75"/>
      <c r="AE1032" s="592"/>
      <c r="AF1032" s="259"/>
      <c r="AG1032" s="510">
        <v>0</v>
      </c>
      <c r="AH1032" s="370">
        <v>0</v>
      </c>
      <c r="AI1032" s="75"/>
      <c r="AJ1032" s="75"/>
      <c r="AK1032" s="75"/>
      <c r="AL1032" s="75"/>
      <c r="AM1032" s="75"/>
      <c r="AN1032" s="64" t="s">
        <v>39</v>
      </c>
      <c r="AO1032" s="637"/>
      <c r="AP1032" s="637"/>
      <c r="AQ1032" s="637"/>
      <c r="AR1032" s="637"/>
      <c r="AS1032" s="637"/>
      <c r="AT1032" s="637"/>
      <c r="AU1032" s="652"/>
      <c r="AV1032" s="185"/>
    </row>
    <row r="1033" spans="1:48" ht="30" customHeight="1" outlineLevel="3" x14ac:dyDescent="0.25">
      <c r="A1033" s="63" t="str">
        <f t="shared" si="183"/>
        <v>3.12.1.2.2.0</v>
      </c>
      <c r="B1033" s="64">
        <v>3</v>
      </c>
      <c r="C1033" s="64">
        <v>12</v>
      </c>
      <c r="D1033" s="64">
        <v>1</v>
      </c>
      <c r="E1033" s="64">
        <v>2</v>
      </c>
      <c r="F1033" s="64">
        <v>2</v>
      </c>
      <c r="G1033" s="64">
        <v>0</v>
      </c>
      <c r="H1033" s="65"/>
      <c r="I1033" s="65"/>
      <c r="J1033" s="65"/>
      <c r="K1033" s="67" t="s">
        <v>1871</v>
      </c>
      <c r="L1033" s="64" t="s">
        <v>1082</v>
      </c>
      <c r="M1033" s="64" t="s">
        <v>299</v>
      </c>
      <c r="N1033" s="64" t="s">
        <v>910</v>
      </c>
      <c r="O1033" s="64" t="s">
        <v>1082</v>
      </c>
      <c r="P1033" s="171"/>
      <c r="Q1033" s="170"/>
      <c r="R1033" s="170"/>
      <c r="S1033" s="170"/>
      <c r="T1033" s="170"/>
      <c r="U1033" s="97"/>
      <c r="V1033" s="684">
        <f t="shared" si="187"/>
        <v>0</v>
      </c>
      <c r="W1033" s="97"/>
      <c r="X1033" s="97"/>
      <c r="Y1033" s="97"/>
      <c r="Z1033" s="97"/>
      <c r="AA1033" s="97"/>
      <c r="AB1033" s="97"/>
      <c r="AC1033" s="75"/>
      <c r="AD1033" s="75"/>
      <c r="AE1033" s="592"/>
      <c r="AF1033" s="353"/>
      <c r="AG1033" s="510">
        <v>0</v>
      </c>
      <c r="AH1033" s="370">
        <v>0</v>
      </c>
      <c r="AI1033" s="75"/>
      <c r="AJ1033" s="75"/>
      <c r="AK1033" s="75"/>
      <c r="AL1033" s="75"/>
      <c r="AM1033" s="75"/>
      <c r="AN1033" s="64" t="s">
        <v>39</v>
      </c>
      <c r="AO1033" s="543"/>
      <c r="AP1033" s="543"/>
      <c r="AQ1033" s="543"/>
      <c r="AR1033" s="543"/>
      <c r="AS1033" s="543"/>
      <c r="AT1033" s="543"/>
      <c r="AU1033" s="653"/>
      <c r="AV1033" s="185"/>
    </row>
    <row r="1034" spans="1:48" ht="33" customHeight="1" outlineLevel="3" x14ac:dyDescent="0.25">
      <c r="A1034" s="63" t="str">
        <f t="shared" si="183"/>
        <v>3.12.1.2.3.0</v>
      </c>
      <c r="B1034" s="64">
        <v>3</v>
      </c>
      <c r="C1034" s="64">
        <v>12</v>
      </c>
      <c r="D1034" s="64">
        <v>1</v>
      </c>
      <c r="E1034" s="64">
        <v>2</v>
      </c>
      <c r="F1034" s="64">
        <v>3</v>
      </c>
      <c r="G1034" s="64">
        <v>0</v>
      </c>
      <c r="H1034" s="65"/>
      <c r="I1034" s="65"/>
      <c r="J1034" s="66"/>
      <c r="K1034" s="67" t="s">
        <v>1189</v>
      </c>
      <c r="L1034" s="64" t="s">
        <v>208</v>
      </c>
      <c r="M1034" s="64" t="s">
        <v>767</v>
      </c>
      <c r="N1034" s="64" t="s">
        <v>198</v>
      </c>
      <c r="O1034" s="64" t="s">
        <v>241</v>
      </c>
      <c r="P1034" s="69">
        <v>44197</v>
      </c>
      <c r="Q1034" s="69">
        <v>44561</v>
      </c>
      <c r="R1034" s="64"/>
      <c r="S1034" s="65"/>
      <c r="T1034" s="64"/>
      <c r="U1034" s="75"/>
      <c r="V1034" s="684">
        <f t="shared" si="187"/>
        <v>0</v>
      </c>
      <c r="W1034" s="75"/>
      <c r="X1034" s="75"/>
      <c r="Y1034" s="75"/>
      <c r="Z1034" s="75"/>
      <c r="AA1034" s="75"/>
      <c r="AB1034" s="75"/>
      <c r="AC1034" s="75"/>
      <c r="AD1034" s="75"/>
      <c r="AE1034" s="592"/>
      <c r="AF1034" s="259"/>
      <c r="AG1034" s="510">
        <v>0</v>
      </c>
      <c r="AH1034" s="370">
        <v>0</v>
      </c>
      <c r="AI1034" s="75"/>
      <c r="AJ1034" s="75"/>
      <c r="AK1034" s="75"/>
      <c r="AL1034" s="75"/>
      <c r="AM1034" s="75"/>
      <c r="AN1034" s="64" t="s">
        <v>39</v>
      </c>
      <c r="AO1034" s="64"/>
      <c r="AP1034" s="64"/>
      <c r="AQ1034" s="189"/>
      <c r="AR1034" s="64"/>
      <c r="AS1034" s="476"/>
      <c r="AT1034" s="64"/>
      <c r="AU1034" s="646"/>
      <c r="AV1034" s="185"/>
    </row>
    <row r="1035" spans="1:48" ht="15" customHeight="1" outlineLevel="3" x14ac:dyDescent="0.25">
      <c r="A1035" s="63" t="str">
        <f t="shared" si="183"/>
        <v>3.12.1.2.4.0</v>
      </c>
      <c r="B1035" s="64">
        <v>3</v>
      </c>
      <c r="C1035" s="64">
        <v>12</v>
      </c>
      <c r="D1035" s="64">
        <v>1</v>
      </c>
      <c r="E1035" s="64">
        <v>2</v>
      </c>
      <c r="F1035" s="64">
        <v>4</v>
      </c>
      <c r="G1035" s="64">
        <v>0</v>
      </c>
      <c r="H1035" s="65"/>
      <c r="I1035" s="65"/>
      <c r="J1035" s="65"/>
      <c r="K1035" s="65" t="s">
        <v>1190</v>
      </c>
      <c r="L1035" s="64" t="s">
        <v>208</v>
      </c>
      <c r="M1035" s="64" t="s">
        <v>767</v>
      </c>
      <c r="N1035" s="64" t="s">
        <v>198</v>
      </c>
      <c r="O1035" s="64" t="s">
        <v>1191</v>
      </c>
      <c r="P1035" s="69">
        <v>44197</v>
      </c>
      <c r="Q1035" s="69">
        <v>44561</v>
      </c>
      <c r="R1035" s="64"/>
      <c r="S1035" s="65"/>
      <c r="T1035" s="64"/>
      <c r="U1035" s="75"/>
      <c r="V1035" s="684">
        <f t="shared" si="187"/>
        <v>0</v>
      </c>
      <c r="W1035" s="75"/>
      <c r="X1035" s="75"/>
      <c r="Y1035" s="75"/>
      <c r="Z1035" s="75"/>
      <c r="AA1035" s="75"/>
      <c r="AB1035" s="75"/>
      <c r="AC1035" s="75"/>
      <c r="AD1035" s="75"/>
      <c r="AE1035" s="592"/>
      <c r="AF1035" s="259"/>
      <c r="AG1035" s="510">
        <v>0</v>
      </c>
      <c r="AH1035" s="370">
        <v>0</v>
      </c>
      <c r="AI1035" s="75"/>
      <c r="AJ1035" s="75"/>
      <c r="AK1035" s="75"/>
      <c r="AL1035" s="75"/>
      <c r="AM1035" s="75"/>
      <c r="AN1035" s="64" t="s">
        <v>39</v>
      </c>
      <c r="AO1035" s="64"/>
      <c r="AP1035" s="64"/>
      <c r="AQ1035" s="189"/>
      <c r="AR1035" s="64"/>
      <c r="AS1035" s="476"/>
      <c r="AT1035" s="64"/>
      <c r="AU1035" s="646"/>
      <c r="AV1035" s="185"/>
    </row>
    <row r="1036" spans="1:48" ht="15" customHeight="1" outlineLevel="3" x14ac:dyDescent="0.25">
      <c r="A1036" s="63" t="str">
        <f t="shared" si="183"/>
        <v>3.12.1.2.5.0</v>
      </c>
      <c r="B1036" s="64">
        <v>3</v>
      </c>
      <c r="C1036" s="64">
        <v>12</v>
      </c>
      <c r="D1036" s="64">
        <v>1</v>
      </c>
      <c r="E1036" s="64">
        <v>2</v>
      </c>
      <c r="F1036" s="64">
        <v>5</v>
      </c>
      <c r="G1036" s="64">
        <v>0</v>
      </c>
      <c r="H1036" s="65"/>
      <c r="I1036" s="65"/>
      <c r="J1036" s="66"/>
      <c r="K1036" s="67" t="s">
        <v>1192</v>
      </c>
      <c r="L1036" s="64" t="s">
        <v>208</v>
      </c>
      <c r="M1036" s="64" t="s">
        <v>767</v>
      </c>
      <c r="N1036" s="64" t="s">
        <v>198</v>
      </c>
      <c r="O1036" s="64" t="s">
        <v>192</v>
      </c>
      <c r="P1036" s="69">
        <v>44197</v>
      </c>
      <c r="Q1036" s="69">
        <v>44561</v>
      </c>
      <c r="R1036" s="64"/>
      <c r="S1036" s="65"/>
      <c r="T1036" s="64"/>
      <c r="U1036" s="75"/>
      <c r="V1036" s="684">
        <f t="shared" si="187"/>
        <v>0</v>
      </c>
      <c r="W1036" s="75"/>
      <c r="X1036" s="75"/>
      <c r="Y1036" s="75"/>
      <c r="Z1036" s="75"/>
      <c r="AA1036" s="75"/>
      <c r="AB1036" s="75"/>
      <c r="AC1036" s="75"/>
      <c r="AD1036" s="75"/>
      <c r="AE1036" s="592"/>
      <c r="AF1036" s="259"/>
      <c r="AG1036" s="510">
        <v>0</v>
      </c>
      <c r="AH1036" s="370">
        <v>0</v>
      </c>
      <c r="AI1036" s="75"/>
      <c r="AJ1036" s="75"/>
      <c r="AK1036" s="75"/>
      <c r="AL1036" s="75"/>
      <c r="AM1036" s="75"/>
      <c r="AN1036" s="64" t="s">
        <v>39</v>
      </c>
      <c r="AO1036" s="64"/>
      <c r="AP1036" s="64"/>
      <c r="AQ1036" s="189"/>
      <c r="AR1036" s="64"/>
      <c r="AS1036" s="476"/>
      <c r="AT1036" s="64"/>
      <c r="AU1036" s="646"/>
      <c r="AV1036" s="185"/>
    </row>
    <row r="1037" spans="1:48" ht="15" customHeight="1" outlineLevel="3" x14ac:dyDescent="0.25">
      <c r="A1037" s="63" t="str">
        <f t="shared" si="183"/>
        <v>3.12.1.2.6.0</v>
      </c>
      <c r="B1037" s="64">
        <v>3</v>
      </c>
      <c r="C1037" s="64">
        <v>12</v>
      </c>
      <c r="D1037" s="64">
        <v>1</v>
      </c>
      <c r="E1037" s="64">
        <v>2</v>
      </c>
      <c r="F1037" s="64">
        <v>6</v>
      </c>
      <c r="G1037" s="64">
        <v>0</v>
      </c>
      <c r="H1037" s="65"/>
      <c r="I1037" s="65"/>
      <c r="J1037" s="65"/>
      <c r="K1037" s="65" t="s">
        <v>1193</v>
      </c>
      <c r="L1037" s="64" t="s">
        <v>208</v>
      </c>
      <c r="M1037" s="64" t="s">
        <v>767</v>
      </c>
      <c r="N1037" s="64" t="s">
        <v>198</v>
      </c>
      <c r="O1037" s="64" t="s">
        <v>192</v>
      </c>
      <c r="P1037" s="69">
        <v>44197</v>
      </c>
      <c r="Q1037" s="69">
        <v>44561</v>
      </c>
      <c r="R1037" s="64"/>
      <c r="S1037" s="65"/>
      <c r="T1037" s="64"/>
      <c r="U1037" s="75"/>
      <c r="V1037" s="684">
        <f t="shared" si="187"/>
        <v>0</v>
      </c>
      <c r="W1037" s="75"/>
      <c r="X1037" s="75"/>
      <c r="Y1037" s="75"/>
      <c r="Z1037" s="75"/>
      <c r="AA1037" s="75"/>
      <c r="AB1037" s="75"/>
      <c r="AC1037" s="75"/>
      <c r="AD1037" s="75"/>
      <c r="AE1037" s="592"/>
      <c r="AF1037" s="259"/>
      <c r="AG1037" s="510">
        <v>0</v>
      </c>
      <c r="AH1037" s="370">
        <v>0</v>
      </c>
      <c r="AI1037" s="75"/>
      <c r="AJ1037" s="75"/>
      <c r="AK1037" s="75"/>
      <c r="AL1037" s="75"/>
      <c r="AM1037" s="75"/>
      <c r="AN1037" s="64" t="s">
        <v>39</v>
      </c>
      <c r="AO1037" s="64"/>
      <c r="AP1037" s="64"/>
      <c r="AQ1037" s="189"/>
      <c r="AR1037" s="64"/>
      <c r="AS1037" s="476"/>
      <c r="AT1037" s="64"/>
      <c r="AU1037" s="646"/>
      <c r="AV1037" s="185"/>
    </row>
    <row r="1038" spans="1:48" ht="15" customHeight="1" outlineLevel="3" x14ac:dyDescent="0.25">
      <c r="A1038" s="63" t="str">
        <f t="shared" si="183"/>
        <v>3.12.1.2.7.0</v>
      </c>
      <c r="B1038" s="64">
        <v>3</v>
      </c>
      <c r="C1038" s="64">
        <v>12</v>
      </c>
      <c r="D1038" s="64">
        <v>1</v>
      </c>
      <c r="E1038" s="64">
        <v>2</v>
      </c>
      <c r="F1038" s="64">
        <v>7</v>
      </c>
      <c r="G1038" s="64">
        <v>0</v>
      </c>
      <c r="H1038" s="65"/>
      <c r="I1038" s="65"/>
      <c r="J1038" s="66"/>
      <c r="K1038" s="65" t="s">
        <v>1194</v>
      </c>
      <c r="L1038" s="64" t="s">
        <v>208</v>
      </c>
      <c r="M1038" s="64" t="s">
        <v>1195</v>
      </c>
      <c r="N1038" s="64" t="s">
        <v>198</v>
      </c>
      <c r="O1038" s="64" t="s">
        <v>359</v>
      </c>
      <c r="P1038" s="69">
        <v>44197</v>
      </c>
      <c r="Q1038" s="69">
        <v>44561</v>
      </c>
      <c r="R1038" s="64">
        <f>T1038+W1038+Z1038+AC1038</f>
        <v>2</v>
      </c>
      <c r="S1038" s="65" t="s">
        <v>760</v>
      </c>
      <c r="T1038" s="64">
        <v>1</v>
      </c>
      <c r="U1038" s="75"/>
      <c r="V1038" s="684">
        <f t="shared" si="187"/>
        <v>0</v>
      </c>
      <c r="W1038" s="75">
        <v>0</v>
      </c>
      <c r="X1038" s="75"/>
      <c r="Y1038" s="75"/>
      <c r="Z1038" s="75">
        <v>0</v>
      </c>
      <c r="AA1038" s="75"/>
      <c r="AB1038" s="75"/>
      <c r="AC1038" s="75">
        <v>1</v>
      </c>
      <c r="AD1038" s="75"/>
      <c r="AE1038" s="592"/>
      <c r="AF1038" s="259" t="s">
        <v>765</v>
      </c>
      <c r="AG1038" s="510">
        <v>0</v>
      </c>
      <c r="AH1038" s="370">
        <v>0</v>
      </c>
      <c r="AI1038" s="75"/>
      <c r="AJ1038" s="75"/>
      <c r="AK1038" s="75"/>
      <c r="AL1038" s="75"/>
      <c r="AM1038" s="75"/>
      <c r="AN1038" s="64" t="s">
        <v>39</v>
      </c>
      <c r="AO1038" s="64"/>
      <c r="AP1038" s="64"/>
      <c r="AQ1038" s="189"/>
      <c r="AR1038" s="64"/>
      <c r="AS1038" s="476"/>
      <c r="AT1038" s="64"/>
      <c r="AU1038" s="646"/>
      <c r="AV1038" s="185"/>
    </row>
    <row r="1039" spans="1:48" ht="30" customHeight="1" outlineLevel="3" x14ac:dyDescent="0.25">
      <c r="A1039" s="63" t="str">
        <f t="shared" si="183"/>
        <v>3.12.1.2.8.0</v>
      </c>
      <c r="B1039" s="64">
        <v>3</v>
      </c>
      <c r="C1039" s="64">
        <v>12</v>
      </c>
      <c r="D1039" s="64">
        <v>1</v>
      </c>
      <c r="E1039" s="64">
        <v>2</v>
      </c>
      <c r="F1039" s="64">
        <v>8</v>
      </c>
      <c r="G1039" s="64">
        <v>0</v>
      </c>
      <c r="H1039" s="65"/>
      <c r="I1039" s="65"/>
      <c r="J1039" s="66"/>
      <c r="K1039" s="67" t="s">
        <v>1196</v>
      </c>
      <c r="L1039" s="64" t="s">
        <v>208</v>
      </c>
      <c r="M1039" s="64" t="s">
        <v>1195</v>
      </c>
      <c r="N1039" s="64" t="s">
        <v>198</v>
      </c>
      <c r="O1039" s="64" t="s">
        <v>359</v>
      </c>
      <c r="P1039" s="69">
        <v>44197</v>
      </c>
      <c r="Q1039" s="69">
        <v>44561</v>
      </c>
      <c r="R1039" s="64">
        <f>T1039+W1039+Z1039+AC1039</f>
        <v>2</v>
      </c>
      <c r="S1039" s="65" t="s">
        <v>760</v>
      </c>
      <c r="T1039" s="64">
        <v>1</v>
      </c>
      <c r="U1039" s="75"/>
      <c r="V1039" s="684">
        <f t="shared" si="187"/>
        <v>0</v>
      </c>
      <c r="W1039" s="75">
        <v>0</v>
      </c>
      <c r="X1039" s="75"/>
      <c r="Y1039" s="75"/>
      <c r="Z1039" s="75">
        <v>0</v>
      </c>
      <c r="AA1039" s="75"/>
      <c r="AB1039" s="75"/>
      <c r="AC1039" s="75">
        <v>1</v>
      </c>
      <c r="AD1039" s="75"/>
      <c r="AE1039" s="592"/>
      <c r="AF1039" s="259" t="s">
        <v>765</v>
      </c>
      <c r="AG1039" s="510">
        <v>0</v>
      </c>
      <c r="AH1039" s="370">
        <v>0</v>
      </c>
      <c r="AI1039" s="75"/>
      <c r="AJ1039" s="75"/>
      <c r="AK1039" s="75"/>
      <c r="AL1039" s="75"/>
      <c r="AM1039" s="75"/>
      <c r="AN1039" s="64" t="s">
        <v>39</v>
      </c>
      <c r="AO1039" s="64"/>
      <c r="AP1039" s="64"/>
      <c r="AQ1039" s="189"/>
      <c r="AR1039" s="64"/>
      <c r="AS1039" s="476"/>
      <c r="AT1039" s="64"/>
      <c r="AU1039" s="646"/>
      <c r="AV1039" s="185"/>
    </row>
    <row r="1040" spans="1:48" ht="15" customHeight="1" outlineLevel="3" x14ac:dyDescent="0.25">
      <c r="A1040" s="63" t="str">
        <f t="shared" si="183"/>
        <v>3.12.1.2.9.0</v>
      </c>
      <c r="B1040" s="64">
        <v>3</v>
      </c>
      <c r="C1040" s="64">
        <v>12</v>
      </c>
      <c r="D1040" s="64">
        <v>1</v>
      </c>
      <c r="E1040" s="64">
        <v>2</v>
      </c>
      <c r="F1040" s="64">
        <v>9</v>
      </c>
      <c r="G1040" s="64">
        <v>0</v>
      </c>
      <c r="H1040" s="65"/>
      <c r="I1040" s="65"/>
      <c r="J1040" s="66"/>
      <c r="K1040" s="65" t="s">
        <v>1197</v>
      </c>
      <c r="L1040" s="64" t="s">
        <v>208</v>
      </c>
      <c r="M1040" s="64" t="s">
        <v>1195</v>
      </c>
      <c r="N1040" s="64" t="s">
        <v>198</v>
      </c>
      <c r="O1040" s="64" t="s">
        <v>359</v>
      </c>
      <c r="P1040" s="69">
        <v>44197</v>
      </c>
      <c r="Q1040" s="69">
        <v>44561</v>
      </c>
      <c r="R1040" s="64">
        <f>T1040+W1040+Z1040+AC1040</f>
        <v>2</v>
      </c>
      <c r="S1040" s="65" t="s">
        <v>760</v>
      </c>
      <c r="T1040" s="64">
        <v>1</v>
      </c>
      <c r="U1040" s="75"/>
      <c r="V1040" s="684">
        <f t="shared" si="187"/>
        <v>0</v>
      </c>
      <c r="W1040" s="75">
        <v>0</v>
      </c>
      <c r="X1040" s="75"/>
      <c r="Y1040" s="75"/>
      <c r="Z1040" s="75">
        <v>0</v>
      </c>
      <c r="AA1040" s="75"/>
      <c r="AB1040" s="75"/>
      <c r="AC1040" s="75">
        <v>1</v>
      </c>
      <c r="AD1040" s="75"/>
      <c r="AE1040" s="592"/>
      <c r="AF1040" s="259" t="s">
        <v>765</v>
      </c>
      <c r="AG1040" s="510">
        <v>0</v>
      </c>
      <c r="AH1040" s="370">
        <v>0</v>
      </c>
      <c r="AI1040" s="75"/>
      <c r="AJ1040" s="75"/>
      <c r="AK1040" s="75"/>
      <c r="AL1040" s="75"/>
      <c r="AM1040" s="75"/>
      <c r="AN1040" s="64" t="s">
        <v>39</v>
      </c>
      <c r="AO1040" s="64"/>
      <c r="AP1040" s="64"/>
      <c r="AQ1040" s="189"/>
      <c r="AR1040" s="64"/>
      <c r="AS1040" s="476"/>
      <c r="AT1040" s="64"/>
      <c r="AU1040" s="646"/>
      <c r="AV1040" s="185"/>
    </row>
    <row r="1041" spans="1:48" ht="15" customHeight="1" outlineLevel="3" x14ac:dyDescent="0.25">
      <c r="A1041" s="63" t="str">
        <f t="shared" si="183"/>
        <v>3.12.1.2.10.0</v>
      </c>
      <c r="B1041" s="64">
        <v>3</v>
      </c>
      <c r="C1041" s="64">
        <v>12</v>
      </c>
      <c r="D1041" s="64">
        <v>1</v>
      </c>
      <c r="E1041" s="64">
        <v>2</v>
      </c>
      <c r="F1041" s="64">
        <v>10</v>
      </c>
      <c r="G1041" s="64">
        <v>0</v>
      </c>
      <c r="H1041" s="65"/>
      <c r="I1041" s="65"/>
      <c r="J1041" s="66"/>
      <c r="K1041" s="65" t="s">
        <v>1198</v>
      </c>
      <c r="L1041" s="64" t="s">
        <v>208</v>
      </c>
      <c r="M1041" s="64" t="s">
        <v>1195</v>
      </c>
      <c r="N1041" s="68" t="s">
        <v>1199</v>
      </c>
      <c r="O1041" s="64" t="s">
        <v>359</v>
      </c>
      <c r="P1041" s="69">
        <v>44197</v>
      </c>
      <c r="Q1041" s="69">
        <v>44561</v>
      </c>
      <c r="R1041" s="64">
        <f>T1041+W1041+Z1041+AC1041</f>
        <v>14</v>
      </c>
      <c r="S1041" s="65" t="s">
        <v>760</v>
      </c>
      <c r="T1041" s="64">
        <v>0</v>
      </c>
      <c r="U1041" s="75"/>
      <c r="V1041" s="684">
        <f t="shared" si="187"/>
        <v>0</v>
      </c>
      <c r="W1041" s="75">
        <v>7</v>
      </c>
      <c r="X1041" s="75"/>
      <c r="Y1041" s="75"/>
      <c r="Z1041" s="75">
        <v>0</v>
      </c>
      <c r="AA1041" s="75"/>
      <c r="AB1041" s="75"/>
      <c r="AC1041" s="75">
        <v>7</v>
      </c>
      <c r="AD1041" s="75"/>
      <c r="AE1041" s="592"/>
      <c r="AF1041" s="259" t="s">
        <v>761</v>
      </c>
      <c r="AG1041" s="510">
        <v>0</v>
      </c>
      <c r="AH1041" s="370">
        <v>0</v>
      </c>
      <c r="AI1041" s="75"/>
      <c r="AJ1041" s="75"/>
      <c r="AK1041" s="75"/>
      <c r="AL1041" s="75"/>
      <c r="AM1041" s="75"/>
      <c r="AN1041" s="64" t="s">
        <v>39</v>
      </c>
      <c r="AO1041" s="64"/>
      <c r="AP1041" s="64"/>
      <c r="AQ1041" s="189"/>
      <c r="AR1041" s="64"/>
      <c r="AS1041" s="476"/>
      <c r="AT1041" s="64"/>
      <c r="AU1041" s="646"/>
      <c r="AV1041" s="185"/>
    </row>
    <row r="1042" spans="1:48" ht="15" customHeight="1" outlineLevel="3" x14ac:dyDescent="0.25">
      <c r="A1042" s="63" t="str">
        <f t="shared" si="183"/>
        <v>3.12.1.2.11.0</v>
      </c>
      <c r="B1042" s="64">
        <v>3</v>
      </c>
      <c r="C1042" s="64">
        <v>12</v>
      </c>
      <c r="D1042" s="64">
        <v>1</v>
      </c>
      <c r="E1042" s="64">
        <v>2</v>
      </c>
      <c r="F1042" s="64">
        <v>11</v>
      </c>
      <c r="G1042" s="64">
        <v>0</v>
      </c>
      <c r="H1042" s="65"/>
      <c r="I1042" s="65"/>
      <c r="J1042" s="66"/>
      <c r="K1042" s="65" t="s">
        <v>1200</v>
      </c>
      <c r="L1042" s="64" t="s">
        <v>208</v>
      </c>
      <c r="M1042" s="64" t="s">
        <v>767</v>
      </c>
      <c r="N1042" s="64" t="s">
        <v>764</v>
      </c>
      <c r="O1042" s="64" t="s">
        <v>359</v>
      </c>
      <c r="P1042" s="69">
        <v>44197</v>
      </c>
      <c r="Q1042" s="69">
        <v>44561</v>
      </c>
      <c r="R1042" s="64">
        <f>T1042+W1042+Z1042+AC1042</f>
        <v>2</v>
      </c>
      <c r="S1042" s="65" t="s">
        <v>1201</v>
      </c>
      <c r="T1042" s="64">
        <v>0</v>
      </c>
      <c r="U1042" s="75"/>
      <c r="V1042" s="684">
        <f t="shared" si="187"/>
        <v>0</v>
      </c>
      <c r="W1042" s="75">
        <v>1</v>
      </c>
      <c r="X1042" s="75"/>
      <c r="Y1042" s="75"/>
      <c r="Z1042" s="75">
        <v>0</v>
      </c>
      <c r="AA1042" s="75"/>
      <c r="AB1042" s="75"/>
      <c r="AC1042" s="75">
        <v>1</v>
      </c>
      <c r="AD1042" s="75"/>
      <c r="AE1042" s="592"/>
      <c r="AF1042" s="259" t="s">
        <v>761</v>
      </c>
      <c r="AG1042" s="510">
        <v>0</v>
      </c>
      <c r="AH1042" s="370">
        <v>0</v>
      </c>
      <c r="AI1042" s="75"/>
      <c r="AJ1042" s="75"/>
      <c r="AK1042" s="75"/>
      <c r="AL1042" s="75"/>
      <c r="AM1042" s="75"/>
      <c r="AN1042" s="64" t="s">
        <v>39</v>
      </c>
      <c r="AO1042" s="64"/>
      <c r="AP1042" s="64"/>
      <c r="AQ1042" s="189"/>
      <c r="AR1042" s="64"/>
      <c r="AS1042" s="476"/>
      <c r="AT1042" s="64"/>
      <c r="AU1042" s="646"/>
      <c r="AV1042" s="185"/>
    </row>
    <row r="1043" spans="1:48" s="153" customFormat="1" ht="15" customHeight="1" outlineLevel="1" x14ac:dyDescent="0.25">
      <c r="A1043" s="148" t="str">
        <f t="shared" si="183"/>
        <v>3.12.1.3.0.0</v>
      </c>
      <c r="B1043" s="82">
        <v>3</v>
      </c>
      <c r="C1043" s="82">
        <v>12</v>
      </c>
      <c r="D1043" s="82">
        <v>1</v>
      </c>
      <c r="E1043" s="82">
        <v>3</v>
      </c>
      <c r="F1043" s="82">
        <v>0</v>
      </c>
      <c r="G1043" s="82">
        <v>0</v>
      </c>
      <c r="H1043" s="149"/>
      <c r="I1043" s="149"/>
      <c r="J1043" s="1260" t="s">
        <v>1202</v>
      </c>
      <c r="K1043" s="1259"/>
      <c r="L1043" s="82" t="s">
        <v>359</v>
      </c>
      <c r="M1043" s="82" t="s">
        <v>767</v>
      </c>
      <c r="N1043" s="82" t="s">
        <v>226</v>
      </c>
      <c r="O1043" s="82" t="s">
        <v>1203</v>
      </c>
      <c r="P1043" s="82"/>
      <c r="Q1043" s="82"/>
      <c r="R1043" s="82"/>
      <c r="S1043" s="149"/>
      <c r="T1043" s="82"/>
      <c r="U1043" s="209">
        <f>SUM(U1044:U1045)</f>
        <v>300000</v>
      </c>
      <c r="V1043" s="685">
        <f t="shared" ref="V1043:AJ1043" si="190">+SUM(V1044:V1045)</f>
        <v>1108239.8400000001</v>
      </c>
      <c r="W1043" s="386">
        <f t="shared" si="190"/>
        <v>1</v>
      </c>
      <c r="X1043" s="386">
        <f t="shared" si="190"/>
        <v>17718868.379999999</v>
      </c>
      <c r="Y1043" s="386">
        <f t="shared" si="190"/>
        <v>0</v>
      </c>
      <c r="Z1043" s="386">
        <f t="shared" si="190"/>
        <v>1</v>
      </c>
      <c r="AA1043" s="386">
        <f t="shared" si="190"/>
        <v>300000</v>
      </c>
      <c r="AB1043" s="386">
        <f t="shared" si="190"/>
        <v>0</v>
      </c>
      <c r="AC1043" s="386">
        <f t="shared" si="190"/>
        <v>1</v>
      </c>
      <c r="AD1043" s="386">
        <f t="shared" si="190"/>
        <v>8045538.9299999997</v>
      </c>
      <c r="AE1043" s="386">
        <f t="shared" si="190"/>
        <v>0</v>
      </c>
      <c r="AF1043" s="386">
        <f t="shared" si="190"/>
        <v>0</v>
      </c>
      <c r="AG1043" s="386">
        <f t="shared" si="190"/>
        <v>27255363.57</v>
      </c>
      <c r="AH1043" s="386">
        <f t="shared" si="190"/>
        <v>26364407.309999999</v>
      </c>
      <c r="AI1043" s="522">
        <f t="shared" si="190"/>
        <v>0</v>
      </c>
      <c r="AJ1043" s="522">
        <f t="shared" si="190"/>
        <v>1108239.8400000001</v>
      </c>
      <c r="AK1043" s="218"/>
      <c r="AL1043" s="218"/>
      <c r="AM1043" s="218"/>
      <c r="AN1043" s="82" t="s">
        <v>39</v>
      </c>
      <c r="AO1043" s="82"/>
      <c r="AP1043" s="82"/>
      <c r="AQ1043" s="365"/>
      <c r="AR1043" s="82"/>
      <c r="AS1043" s="483"/>
      <c r="AT1043" s="82"/>
      <c r="AU1043" s="666"/>
      <c r="AV1043" s="444"/>
    </row>
    <row r="1044" spans="1:48" s="107" customFormat="1" ht="15" customHeight="1" outlineLevel="2" x14ac:dyDescent="0.25">
      <c r="A1044" s="63" t="str">
        <f t="shared" si="183"/>
        <v>3.12.1.3.1.0</v>
      </c>
      <c r="B1044" s="100">
        <v>3</v>
      </c>
      <c r="C1044" s="100">
        <v>12</v>
      </c>
      <c r="D1044" s="100">
        <v>1</v>
      </c>
      <c r="E1044" s="100">
        <v>3</v>
      </c>
      <c r="F1044" s="100">
        <v>1</v>
      </c>
      <c r="G1044" s="100">
        <v>0</v>
      </c>
      <c r="H1044" s="101"/>
      <c r="I1044" s="101"/>
      <c r="J1044" s="101"/>
      <c r="K1044" s="101" t="s">
        <v>1982</v>
      </c>
      <c r="L1044" s="100" t="s">
        <v>910</v>
      </c>
      <c r="M1044" s="100" t="s">
        <v>299</v>
      </c>
      <c r="N1044" s="100" t="s">
        <v>910</v>
      </c>
      <c r="O1044" s="100" t="s">
        <v>1204</v>
      </c>
      <c r="P1044" s="1381">
        <v>44562</v>
      </c>
      <c r="Q1044" s="1381">
        <v>44920</v>
      </c>
      <c r="R1044" s="710">
        <v>0</v>
      </c>
      <c r="S1044" s="1378" t="s">
        <v>299</v>
      </c>
      <c r="T1044" s="1378">
        <v>0</v>
      </c>
      <c r="U1044" s="254"/>
      <c r="V1044" s="684">
        <v>1108239.8400000001</v>
      </c>
      <c r="W1044" s="1379">
        <v>1</v>
      </c>
      <c r="X1044" s="1380">
        <v>17718868.379999999</v>
      </c>
      <c r="Y1044" s="580"/>
      <c r="Z1044" s="1379">
        <v>0</v>
      </c>
      <c r="AA1044" s="254"/>
      <c r="AB1044" s="254"/>
      <c r="AC1044" s="254">
        <v>1</v>
      </c>
      <c r="AD1044" s="254">
        <f>+AH1044-X1044</f>
        <v>8045538.9299999997</v>
      </c>
      <c r="AE1044" s="609"/>
      <c r="AF1044" s="1377" t="s">
        <v>1205</v>
      </c>
      <c r="AG1044" s="707">
        <v>26364407.309999999</v>
      </c>
      <c r="AH1044" s="706">
        <v>25764407.309999999</v>
      </c>
      <c r="AI1044" s="707"/>
      <c r="AJ1044" s="684">
        <v>1108239.8400000001</v>
      </c>
      <c r="AK1044" s="325"/>
      <c r="AL1044" s="325"/>
      <c r="AM1044" s="325"/>
      <c r="AN1044" s="165" t="s">
        <v>39</v>
      </c>
      <c r="AO1044" s="64"/>
      <c r="AP1044" s="64"/>
      <c r="AQ1044" s="64"/>
      <c r="AR1044" s="64"/>
      <c r="AS1044" s="64"/>
      <c r="AT1044" s="64"/>
      <c r="AU1044" s="646">
        <v>552</v>
      </c>
      <c r="AV1044" s="709" t="s">
        <v>1984</v>
      </c>
    </row>
    <row r="1045" spans="1:48" s="107" customFormat="1" ht="15" customHeight="1" outlineLevel="2" x14ac:dyDescent="0.25">
      <c r="A1045" s="63" t="str">
        <f t="shared" ref="A1045:A1294" si="191">CONCATENATE(B1045,".",C1045,".",D1045,".",E1045,".",F1045,".",G1045)</f>
        <v>3.12.1.3.2.0</v>
      </c>
      <c r="B1045" s="100">
        <v>3</v>
      </c>
      <c r="C1045" s="100">
        <v>12</v>
      </c>
      <c r="D1045" s="100">
        <v>1</v>
      </c>
      <c r="E1045" s="100">
        <v>3</v>
      </c>
      <c r="F1045" s="100">
        <v>2</v>
      </c>
      <c r="G1045" s="100">
        <v>0</v>
      </c>
      <c r="H1045" s="101"/>
      <c r="I1045" s="101"/>
      <c r="J1045" s="102"/>
      <c r="K1045" s="101" t="s">
        <v>1983</v>
      </c>
      <c r="L1045" s="100" t="s">
        <v>910</v>
      </c>
      <c r="M1045" s="100" t="s">
        <v>299</v>
      </c>
      <c r="N1045" s="100" t="s">
        <v>910</v>
      </c>
      <c r="O1045" s="100" t="s">
        <v>72</v>
      </c>
      <c r="P1045" s="104">
        <v>44197</v>
      </c>
      <c r="Q1045" s="104">
        <v>44555</v>
      </c>
      <c r="R1045" s="100">
        <v>2</v>
      </c>
      <c r="S1045" s="101" t="s">
        <v>299</v>
      </c>
      <c r="T1045" s="100">
        <v>1</v>
      </c>
      <c r="U1045" s="742">
        <f>$AH$1045/2</f>
        <v>300000</v>
      </c>
      <c r="V1045" s="684">
        <f t="shared" si="187"/>
        <v>0</v>
      </c>
      <c r="W1045" s="78">
        <v>0</v>
      </c>
      <c r="X1045" s="78"/>
      <c r="Y1045" s="78"/>
      <c r="Z1045" s="78">
        <v>1</v>
      </c>
      <c r="AA1045" s="742">
        <f>$AH$1045/2</f>
        <v>300000</v>
      </c>
      <c r="AB1045" s="254"/>
      <c r="AC1045" s="255">
        <v>0</v>
      </c>
      <c r="AD1045" s="256"/>
      <c r="AE1045" s="610"/>
      <c r="AF1045" s="364"/>
      <c r="AG1045" s="708">
        <v>890956.26</v>
      </c>
      <c r="AH1045" s="706">
        <v>600000</v>
      </c>
      <c r="AI1045" s="322"/>
      <c r="AJ1045" s="322"/>
      <c r="AK1045" s="325"/>
      <c r="AL1045" s="325"/>
      <c r="AM1045" s="325"/>
      <c r="AN1045" s="165" t="s">
        <v>39</v>
      </c>
      <c r="AO1045" s="64"/>
      <c r="AP1045" s="64"/>
      <c r="AQ1045" s="64"/>
      <c r="AR1045" s="64"/>
      <c r="AS1045" s="64"/>
      <c r="AT1045" s="64"/>
      <c r="AU1045" s="646"/>
      <c r="AV1045" s="456"/>
    </row>
    <row r="1046" spans="1:48" s="153" customFormat="1" ht="15" customHeight="1" outlineLevel="1" x14ac:dyDescent="0.25">
      <c r="A1046" s="148" t="str">
        <f t="shared" si="191"/>
        <v>3.12.1.4.0.0</v>
      </c>
      <c r="B1046" s="82">
        <v>3</v>
      </c>
      <c r="C1046" s="82">
        <v>12</v>
      </c>
      <c r="D1046" s="82">
        <v>1</v>
      </c>
      <c r="E1046" s="82">
        <v>4</v>
      </c>
      <c r="F1046" s="82">
        <v>0</v>
      </c>
      <c r="G1046" s="82">
        <v>0</v>
      </c>
      <c r="H1046" s="149"/>
      <c r="I1046" s="149"/>
      <c r="J1046" s="1260" t="s">
        <v>1207</v>
      </c>
      <c r="K1046" s="1259"/>
      <c r="L1046" s="82" t="s">
        <v>1124</v>
      </c>
      <c r="M1046" s="82" t="s">
        <v>299</v>
      </c>
      <c r="N1046" s="82" t="s">
        <v>910</v>
      </c>
      <c r="O1046" s="82" t="s">
        <v>444</v>
      </c>
      <c r="P1046" s="82"/>
      <c r="Q1046" s="82"/>
      <c r="R1046" s="82">
        <v>2</v>
      </c>
      <c r="S1046" s="149"/>
      <c r="T1046" s="82"/>
      <c r="U1046" s="386">
        <f t="shared" ref="U1046:AG1046" si="192">+SUM(U1047)</f>
        <v>0</v>
      </c>
      <c r="V1046" s="685">
        <f t="shared" si="192"/>
        <v>0</v>
      </c>
      <c r="W1046" s="386">
        <f t="shared" si="192"/>
        <v>0</v>
      </c>
      <c r="X1046" s="386">
        <f t="shared" si="192"/>
        <v>0</v>
      </c>
      <c r="Y1046" s="386">
        <f t="shared" si="192"/>
        <v>0</v>
      </c>
      <c r="Z1046" s="386">
        <f t="shared" si="192"/>
        <v>0</v>
      </c>
      <c r="AA1046" s="386">
        <f t="shared" si="192"/>
        <v>0</v>
      </c>
      <c r="AB1046" s="386">
        <f t="shared" si="192"/>
        <v>0</v>
      </c>
      <c r="AC1046" s="386">
        <f t="shared" si="192"/>
        <v>0</v>
      </c>
      <c r="AD1046" s="386">
        <f t="shared" si="192"/>
        <v>0</v>
      </c>
      <c r="AE1046" s="386">
        <f t="shared" si="192"/>
        <v>0</v>
      </c>
      <c r="AF1046" s="386">
        <f t="shared" si="192"/>
        <v>0</v>
      </c>
      <c r="AG1046" s="386">
        <f t="shared" si="192"/>
        <v>0</v>
      </c>
      <c r="AH1046" s="386">
        <f>+SUM(AH1047)</f>
        <v>0</v>
      </c>
      <c r="AI1046" s="522">
        <f>+SUM(AI1047)</f>
        <v>0</v>
      </c>
      <c r="AJ1046" s="522">
        <f>+SUM(AJ1047)</f>
        <v>0</v>
      </c>
      <c r="AK1046" s="218"/>
      <c r="AL1046" s="218"/>
      <c r="AM1046" s="218"/>
      <c r="AN1046" s="82" t="s">
        <v>39</v>
      </c>
      <c r="AO1046" s="82"/>
      <c r="AP1046" s="82"/>
      <c r="AQ1046" s="365"/>
      <c r="AR1046" s="82"/>
      <c r="AS1046" s="483"/>
      <c r="AT1046" s="82"/>
      <c r="AU1046" s="666"/>
      <c r="AV1046" s="444"/>
    </row>
    <row r="1047" spans="1:48" ht="15" customHeight="1" outlineLevel="2" x14ac:dyDescent="0.25">
      <c r="A1047" s="63" t="str">
        <f t="shared" si="191"/>
        <v>3.12.1.4.1.0</v>
      </c>
      <c r="B1047" s="64">
        <v>3</v>
      </c>
      <c r="C1047" s="64">
        <v>12</v>
      </c>
      <c r="D1047" s="64">
        <v>1</v>
      </c>
      <c r="E1047" s="64">
        <v>4</v>
      </c>
      <c r="F1047" s="64">
        <v>1</v>
      </c>
      <c r="G1047" s="64">
        <v>0</v>
      </c>
      <c r="H1047" s="65"/>
      <c r="I1047" s="65"/>
      <c r="J1047" s="66"/>
      <c r="K1047" s="65" t="s">
        <v>1206</v>
      </c>
      <c r="L1047" s="64" t="s">
        <v>1124</v>
      </c>
      <c r="M1047" s="64" t="s">
        <v>299</v>
      </c>
      <c r="N1047" s="64" t="s">
        <v>910</v>
      </c>
      <c r="O1047" s="64" t="s">
        <v>444</v>
      </c>
      <c r="P1047" s="69">
        <v>44197</v>
      </c>
      <c r="Q1047" s="69">
        <v>44561</v>
      </c>
      <c r="R1047" s="64">
        <v>0</v>
      </c>
      <c r="S1047" s="65"/>
      <c r="T1047" s="64"/>
      <c r="U1047" s="75"/>
      <c r="V1047" s="684">
        <f t="shared" si="187"/>
        <v>0</v>
      </c>
      <c r="W1047" s="75"/>
      <c r="X1047" s="75"/>
      <c r="Y1047" s="75"/>
      <c r="Z1047" s="75"/>
      <c r="AA1047" s="75"/>
      <c r="AB1047" s="75"/>
      <c r="AC1047" s="97"/>
      <c r="AD1047" s="97"/>
      <c r="AE1047" s="591"/>
      <c r="AF1047" s="259"/>
      <c r="AG1047" s="524">
        <v>0</v>
      </c>
      <c r="AH1047" s="388">
        <v>0</v>
      </c>
      <c r="AI1047" s="258"/>
      <c r="AJ1047" s="258"/>
      <c r="AK1047" s="258"/>
      <c r="AL1047" s="258"/>
      <c r="AM1047" s="258"/>
      <c r="AN1047" s="64" t="s">
        <v>39</v>
      </c>
      <c r="AO1047" s="64"/>
      <c r="AP1047" s="64"/>
      <c r="AQ1047" s="189"/>
      <c r="AR1047" s="64"/>
      <c r="AS1047" s="476"/>
      <c r="AT1047" s="64"/>
      <c r="AU1047" s="646"/>
      <c r="AV1047" s="185"/>
    </row>
    <row r="1048" spans="1:48" s="153" customFormat="1" ht="15" customHeight="1" outlineLevel="1" x14ac:dyDescent="0.25">
      <c r="A1048" s="148" t="str">
        <f t="shared" si="191"/>
        <v>3.12.1.5.0.0</v>
      </c>
      <c r="B1048" s="82">
        <v>3</v>
      </c>
      <c r="C1048" s="82">
        <v>12</v>
      </c>
      <c r="D1048" s="82">
        <v>1</v>
      </c>
      <c r="E1048" s="82">
        <v>5</v>
      </c>
      <c r="F1048" s="82">
        <v>0</v>
      </c>
      <c r="G1048" s="82">
        <v>0</v>
      </c>
      <c r="H1048" s="149"/>
      <c r="I1048" s="149"/>
      <c r="J1048" s="1260" t="s">
        <v>1208</v>
      </c>
      <c r="K1048" s="1259"/>
      <c r="L1048" s="82" t="s">
        <v>910</v>
      </c>
      <c r="M1048" s="82" t="s">
        <v>767</v>
      </c>
      <c r="N1048" s="82" t="s">
        <v>767</v>
      </c>
      <c r="O1048" s="82" t="s">
        <v>359</v>
      </c>
      <c r="P1048" s="82"/>
      <c r="Q1048" s="82"/>
      <c r="R1048" s="82"/>
      <c r="S1048" s="149"/>
      <c r="T1048" s="82"/>
      <c r="U1048" s="386">
        <f t="shared" ref="U1048:AG1048" si="193">+SUM(U1049)</f>
        <v>0</v>
      </c>
      <c r="V1048" s="685">
        <f t="shared" si="193"/>
        <v>0</v>
      </c>
      <c r="W1048" s="386">
        <f t="shared" si="193"/>
        <v>0</v>
      </c>
      <c r="X1048" s="386">
        <f t="shared" si="193"/>
        <v>1575719.2</v>
      </c>
      <c r="Y1048" s="386">
        <f t="shared" si="193"/>
        <v>0</v>
      </c>
      <c r="Z1048" s="386">
        <f t="shared" si="193"/>
        <v>0</v>
      </c>
      <c r="AA1048" s="386">
        <f t="shared" si="193"/>
        <v>0</v>
      </c>
      <c r="AB1048" s="386">
        <f t="shared" si="193"/>
        <v>0</v>
      </c>
      <c r="AC1048" s="386">
        <f t="shared" si="193"/>
        <v>0</v>
      </c>
      <c r="AD1048" s="386">
        <f t="shared" si="193"/>
        <v>0</v>
      </c>
      <c r="AE1048" s="386">
        <f t="shared" si="193"/>
        <v>0</v>
      </c>
      <c r="AF1048" s="386">
        <f t="shared" si="193"/>
        <v>0</v>
      </c>
      <c r="AG1048" s="386">
        <f t="shared" si="193"/>
        <v>0</v>
      </c>
      <c r="AH1048" s="386">
        <f>+SUM(AH1049)</f>
        <v>1575719.2</v>
      </c>
      <c r="AI1048" s="522">
        <f>+SUM(AI1049)</f>
        <v>0</v>
      </c>
      <c r="AJ1048" s="522">
        <f>+SUM(AJ1049)</f>
        <v>0</v>
      </c>
      <c r="AK1048" s="218"/>
      <c r="AL1048" s="218"/>
      <c r="AM1048" s="218"/>
      <c r="AN1048" s="82" t="s">
        <v>39</v>
      </c>
      <c r="AO1048" s="82"/>
      <c r="AP1048" s="82"/>
      <c r="AQ1048" s="365"/>
      <c r="AR1048" s="82"/>
      <c r="AS1048" s="483"/>
      <c r="AT1048" s="82"/>
      <c r="AU1048" s="666"/>
      <c r="AV1048" s="444"/>
    </row>
    <row r="1049" spans="1:48" ht="30" customHeight="1" outlineLevel="3" x14ac:dyDescent="0.25">
      <c r="A1049" s="63" t="str">
        <f t="shared" si="191"/>
        <v>3.12.1.5.1.0</v>
      </c>
      <c r="B1049" s="64">
        <v>3</v>
      </c>
      <c r="C1049" s="64">
        <v>12</v>
      </c>
      <c r="D1049" s="64">
        <v>1</v>
      </c>
      <c r="E1049" s="64">
        <v>5</v>
      </c>
      <c r="F1049" s="64">
        <v>1</v>
      </c>
      <c r="G1049" s="64">
        <v>0</v>
      </c>
      <c r="H1049" s="65"/>
      <c r="I1049" s="65"/>
      <c r="J1049" s="66"/>
      <c r="K1049" s="65" t="s">
        <v>1209</v>
      </c>
      <c r="L1049" s="64" t="s">
        <v>910</v>
      </c>
      <c r="M1049" s="64" t="s">
        <v>767</v>
      </c>
      <c r="N1049" s="64" t="s">
        <v>1210</v>
      </c>
      <c r="O1049" s="64" t="s">
        <v>359</v>
      </c>
      <c r="P1049" s="69"/>
      <c r="Q1049" s="69"/>
      <c r="R1049" s="64"/>
      <c r="S1049" s="65" t="s">
        <v>299</v>
      </c>
      <c r="T1049" s="64"/>
      <c r="U1049" s="75"/>
      <c r="V1049" s="684">
        <f t="shared" si="187"/>
        <v>0</v>
      </c>
      <c r="W1049" s="75"/>
      <c r="X1049" s="75">
        <v>1575719.2</v>
      </c>
      <c r="Y1049" s="75"/>
      <c r="Z1049" s="75"/>
      <c r="AA1049" s="75"/>
      <c r="AB1049" s="75"/>
      <c r="AC1049" s="97"/>
      <c r="AD1049" s="97"/>
      <c r="AE1049" s="591"/>
      <c r="AF1049" s="343" t="s">
        <v>1211</v>
      </c>
      <c r="AG1049" s="510">
        <v>0</v>
      </c>
      <c r="AH1049" s="370">
        <v>1575719.2</v>
      </c>
      <c r="AI1049" s="75"/>
      <c r="AJ1049" s="75"/>
      <c r="AK1049" s="75"/>
      <c r="AL1049" s="75"/>
      <c r="AM1049" s="75"/>
      <c r="AN1049" s="64" t="s">
        <v>39</v>
      </c>
      <c r="AO1049" s="64"/>
      <c r="AP1049" s="64"/>
      <c r="AQ1049" s="189"/>
      <c r="AR1049" s="64"/>
      <c r="AS1049" s="476"/>
      <c r="AT1049" s="64"/>
      <c r="AU1049" s="646"/>
      <c r="AV1049" s="335" t="s">
        <v>1212</v>
      </c>
    </row>
    <row r="1050" spans="1:48" s="153" customFormat="1" ht="53.25" customHeight="1" outlineLevel="1" x14ac:dyDescent="0.25">
      <c r="A1050" s="148" t="str">
        <f t="shared" si="191"/>
        <v>3.12.1.6.0.0</v>
      </c>
      <c r="B1050" s="82">
        <v>3</v>
      </c>
      <c r="C1050" s="82">
        <v>12</v>
      </c>
      <c r="D1050" s="82">
        <v>1</v>
      </c>
      <c r="E1050" s="82">
        <v>6</v>
      </c>
      <c r="F1050" s="82">
        <v>0</v>
      </c>
      <c r="G1050" s="82">
        <v>0</v>
      </c>
      <c r="H1050" s="149"/>
      <c r="I1050" s="149"/>
      <c r="J1050" s="1289" t="s">
        <v>1213</v>
      </c>
      <c r="K1050" s="1290"/>
      <c r="L1050" s="82" t="s">
        <v>72</v>
      </c>
      <c r="M1050" s="82" t="s">
        <v>73</v>
      </c>
      <c r="N1050" s="82" t="s">
        <v>74</v>
      </c>
      <c r="O1050" s="82" t="s">
        <v>38</v>
      </c>
      <c r="P1050" s="82"/>
      <c r="Q1050" s="82"/>
      <c r="R1050" s="82"/>
      <c r="S1050" s="149"/>
      <c r="T1050" s="82"/>
      <c r="U1050" s="386">
        <f t="shared" ref="U1050:AG1050" si="194">+SUM(U1051:U1094)</f>
        <v>5613928.6850000005</v>
      </c>
      <c r="V1050" s="685">
        <f t="shared" si="194"/>
        <v>3615032.8299999996</v>
      </c>
      <c r="W1050" s="386">
        <f t="shared" si="194"/>
        <v>14</v>
      </c>
      <c r="X1050" s="386">
        <f t="shared" si="194"/>
        <v>3597928.6850000001</v>
      </c>
      <c r="Y1050" s="386">
        <f t="shared" si="194"/>
        <v>0</v>
      </c>
      <c r="Z1050" s="386">
        <f t="shared" si="194"/>
        <v>15</v>
      </c>
      <c r="AA1050" s="386">
        <f t="shared" si="194"/>
        <v>3547928.6850000001</v>
      </c>
      <c r="AB1050" s="386">
        <f t="shared" si="194"/>
        <v>0</v>
      </c>
      <c r="AC1050" s="386">
        <f t="shared" si="194"/>
        <v>8</v>
      </c>
      <c r="AD1050" s="386">
        <f t="shared" si="194"/>
        <v>1863892.855</v>
      </c>
      <c r="AE1050" s="386">
        <f t="shared" si="194"/>
        <v>0</v>
      </c>
      <c r="AF1050" s="386">
        <f t="shared" si="194"/>
        <v>0</v>
      </c>
      <c r="AG1050" s="386">
        <f t="shared" si="194"/>
        <v>16370983.680000002</v>
      </c>
      <c r="AH1050" s="386">
        <f>+SUM(AH1051:AH1094)</f>
        <v>14443678.91</v>
      </c>
      <c r="AI1050" s="386">
        <f t="shared" ref="AI1050:AJ1050" si="195">+SUM(AI1051:AI1094)</f>
        <v>0</v>
      </c>
      <c r="AJ1050" s="386">
        <f t="shared" si="195"/>
        <v>3615032.8299999996</v>
      </c>
      <c r="AK1050" s="522">
        <f t="shared" ref="AK1050:AM1050" si="196">+SUM(AK1051:AK1093)</f>
        <v>0</v>
      </c>
      <c r="AL1050" s="522">
        <f t="shared" si="196"/>
        <v>0</v>
      </c>
      <c r="AM1050" s="522">
        <f t="shared" si="196"/>
        <v>0</v>
      </c>
      <c r="AN1050" s="82" t="s">
        <v>1157</v>
      </c>
      <c r="AO1050" s="82"/>
      <c r="AP1050" s="82"/>
      <c r="AQ1050" s="365"/>
      <c r="AR1050" s="82"/>
      <c r="AS1050" s="483"/>
      <c r="AT1050" s="82"/>
      <c r="AU1050" s="666"/>
      <c r="AV1050" s="449" t="s">
        <v>1214</v>
      </c>
    </row>
    <row r="1051" spans="1:48" ht="15" customHeight="1" outlineLevel="2" x14ac:dyDescent="0.25">
      <c r="A1051" s="63" t="str">
        <f t="shared" si="191"/>
        <v>3.12.1.6.1.0</v>
      </c>
      <c r="B1051" s="64">
        <v>3</v>
      </c>
      <c r="C1051" s="64">
        <v>12</v>
      </c>
      <c r="D1051" s="64">
        <v>1</v>
      </c>
      <c r="E1051" s="64">
        <v>6</v>
      </c>
      <c r="F1051" s="64">
        <v>1</v>
      </c>
      <c r="G1051" s="64">
        <v>0</v>
      </c>
      <c r="H1051" s="65"/>
      <c r="I1051" s="65"/>
      <c r="J1051" s="65"/>
      <c r="K1051" s="65" t="s">
        <v>1215</v>
      </c>
      <c r="L1051" s="64" t="s">
        <v>72</v>
      </c>
      <c r="M1051" s="64" t="s">
        <v>73</v>
      </c>
      <c r="N1051" s="64" t="s">
        <v>74</v>
      </c>
      <c r="O1051" s="64" t="s">
        <v>38</v>
      </c>
      <c r="P1051" s="69"/>
      <c r="Q1051" s="69"/>
      <c r="R1051" s="64">
        <v>1</v>
      </c>
      <c r="S1051" s="65" t="s">
        <v>76</v>
      </c>
      <c r="T1051" s="64">
        <v>1</v>
      </c>
      <c r="U1051" s="155"/>
      <c r="V1051" s="684">
        <f t="shared" si="187"/>
        <v>0</v>
      </c>
      <c r="W1051" s="155"/>
      <c r="X1051" s="155"/>
      <c r="Y1051" s="155"/>
      <c r="Z1051" s="155"/>
      <c r="AA1051" s="155"/>
      <c r="AB1051" s="155"/>
      <c r="AC1051" s="172"/>
      <c r="AD1051" s="172"/>
      <c r="AE1051" s="612"/>
      <c r="AF1051" s="259"/>
      <c r="AG1051" s="506">
        <v>0</v>
      </c>
      <c r="AH1051" s="370">
        <v>0</v>
      </c>
      <c r="AI1051" s="75"/>
      <c r="AJ1051" s="75"/>
      <c r="AK1051" s="75"/>
      <c r="AL1051" s="75"/>
      <c r="AM1051" s="75"/>
      <c r="AN1051" s="64" t="s">
        <v>39</v>
      </c>
      <c r="AO1051" s="64"/>
      <c r="AP1051" s="64"/>
      <c r="AQ1051" s="189"/>
      <c r="AR1051" s="64"/>
      <c r="AS1051" s="476"/>
      <c r="AT1051" s="64"/>
      <c r="AU1051" s="646"/>
      <c r="AV1051" s="454" t="s">
        <v>1015</v>
      </c>
    </row>
    <row r="1052" spans="1:48" ht="15" customHeight="1" outlineLevel="2" x14ac:dyDescent="0.25">
      <c r="A1052" s="63" t="str">
        <f t="shared" si="191"/>
        <v>3.12.1.6.2.0</v>
      </c>
      <c r="B1052" s="64">
        <v>3</v>
      </c>
      <c r="C1052" s="64">
        <v>12</v>
      </c>
      <c r="D1052" s="64">
        <v>1</v>
      </c>
      <c r="E1052" s="64">
        <v>6</v>
      </c>
      <c r="F1052" s="64">
        <v>2</v>
      </c>
      <c r="G1052" s="64">
        <v>0</v>
      </c>
      <c r="H1052" s="65"/>
      <c r="I1052" s="65"/>
      <c r="J1052" s="66"/>
      <c r="K1052" s="65" t="s">
        <v>1216</v>
      </c>
      <c r="L1052" s="64" t="s">
        <v>72</v>
      </c>
      <c r="M1052" s="64" t="s">
        <v>73</v>
      </c>
      <c r="N1052" s="64" t="s">
        <v>74</v>
      </c>
      <c r="O1052" s="64" t="s">
        <v>38</v>
      </c>
      <c r="P1052" s="69"/>
      <c r="Q1052" s="69"/>
      <c r="R1052" s="64">
        <v>2</v>
      </c>
      <c r="S1052" s="65" t="s">
        <v>76</v>
      </c>
      <c r="T1052" s="64">
        <v>1</v>
      </c>
      <c r="U1052" s="155">
        <f>+AH1052/2</f>
        <v>0</v>
      </c>
      <c r="V1052" s="684">
        <f t="shared" si="187"/>
        <v>0</v>
      </c>
      <c r="W1052" s="155">
        <v>1</v>
      </c>
      <c r="X1052" s="155">
        <f>+AH1052/2</f>
        <v>0</v>
      </c>
      <c r="Y1052" s="155"/>
      <c r="Z1052" s="155"/>
      <c r="AA1052" s="155"/>
      <c r="AB1052" s="155"/>
      <c r="AC1052" s="172"/>
      <c r="AD1052" s="172"/>
      <c r="AE1052" s="612"/>
      <c r="AF1052" s="259" t="s">
        <v>166</v>
      </c>
      <c r="AG1052" s="506">
        <v>1638726.22</v>
      </c>
      <c r="AH1052" s="370">
        <v>0</v>
      </c>
      <c r="AI1052" s="75"/>
      <c r="AJ1052" s="75"/>
      <c r="AK1052" s="75"/>
      <c r="AL1052" s="75"/>
      <c r="AM1052" s="75"/>
      <c r="AN1052" s="64" t="s">
        <v>39</v>
      </c>
      <c r="AO1052" s="64"/>
      <c r="AP1052" s="64"/>
      <c r="AQ1052" s="189"/>
      <c r="AR1052" s="64"/>
      <c r="AS1052" s="476"/>
      <c r="AT1052" s="64"/>
      <c r="AU1052" s="646"/>
      <c r="AV1052" s="454" t="s">
        <v>1217</v>
      </c>
    </row>
    <row r="1053" spans="1:48" outlineLevel="2" x14ac:dyDescent="0.25">
      <c r="A1053" s="63" t="str">
        <f t="shared" si="191"/>
        <v>3.12.1.6.3.0</v>
      </c>
      <c r="B1053" s="64">
        <v>3</v>
      </c>
      <c r="C1053" s="64">
        <v>12</v>
      </c>
      <c r="D1053" s="64">
        <v>1</v>
      </c>
      <c r="E1053" s="64">
        <v>6</v>
      </c>
      <c r="F1053" s="64">
        <v>3</v>
      </c>
      <c r="G1053" s="64">
        <v>0</v>
      </c>
      <c r="H1053" s="65"/>
      <c r="I1053" s="65"/>
      <c r="J1053" s="66"/>
      <c r="K1053" s="65" t="s">
        <v>869</v>
      </c>
      <c r="L1053" s="64" t="s">
        <v>72</v>
      </c>
      <c r="M1053" s="64" t="s">
        <v>73</v>
      </c>
      <c r="N1053" s="64" t="s">
        <v>74</v>
      </c>
      <c r="O1053" s="64" t="s">
        <v>38</v>
      </c>
      <c r="P1053" s="69"/>
      <c r="Q1053" s="64"/>
      <c r="R1053" s="64"/>
      <c r="S1053" s="65"/>
      <c r="T1053" s="64"/>
      <c r="U1053" s="155">
        <f>+AH1053</f>
        <v>1836000</v>
      </c>
      <c r="V1053" s="684">
        <f t="shared" si="187"/>
        <v>0</v>
      </c>
      <c r="W1053" s="155"/>
      <c r="X1053" s="155"/>
      <c r="Y1053" s="155"/>
      <c r="Z1053" s="155"/>
      <c r="AA1053" s="155"/>
      <c r="AB1053" s="155"/>
      <c r="AC1053" s="172"/>
      <c r="AD1053" s="172"/>
      <c r="AE1053" s="612"/>
      <c r="AF1053" s="259"/>
      <c r="AG1053" s="506">
        <v>1836000</v>
      </c>
      <c r="AH1053" s="370">
        <v>1836000</v>
      </c>
      <c r="AI1053" s="75"/>
      <c r="AJ1053" s="75"/>
      <c r="AK1053" s="75"/>
      <c r="AL1053" s="75"/>
      <c r="AM1053" s="75"/>
      <c r="AN1053" s="64" t="s">
        <v>39</v>
      </c>
      <c r="AO1053" s="64"/>
      <c r="AP1053" s="64"/>
      <c r="AQ1053" s="189"/>
      <c r="AR1053" s="64"/>
      <c r="AS1053" s="476"/>
      <c r="AT1053" s="64"/>
      <c r="AU1053" s="646"/>
      <c r="AV1053" s="457" t="s">
        <v>1218</v>
      </c>
    </row>
    <row r="1054" spans="1:48" outlineLevel="2" x14ac:dyDescent="0.25">
      <c r="A1054" s="63" t="str">
        <f t="shared" si="191"/>
        <v>3.12.1.6.4.0</v>
      </c>
      <c r="B1054" s="64">
        <v>3</v>
      </c>
      <c r="C1054" s="64">
        <v>12</v>
      </c>
      <c r="D1054" s="64">
        <v>1</v>
      </c>
      <c r="E1054" s="64">
        <v>6</v>
      </c>
      <c r="F1054" s="64">
        <v>4</v>
      </c>
      <c r="G1054" s="64">
        <v>0</v>
      </c>
      <c r="H1054" s="65"/>
      <c r="I1054" s="65"/>
      <c r="J1054" s="66"/>
      <c r="K1054" s="65" t="s">
        <v>1219</v>
      </c>
      <c r="L1054" s="64" t="s">
        <v>72</v>
      </c>
      <c r="M1054" s="64" t="s">
        <v>73</v>
      </c>
      <c r="N1054" s="64" t="s">
        <v>74</v>
      </c>
      <c r="O1054" s="64" t="s">
        <v>38</v>
      </c>
      <c r="P1054" s="64"/>
      <c r="Q1054" s="64"/>
      <c r="R1054" s="64"/>
      <c r="S1054" s="65"/>
      <c r="T1054" s="64"/>
      <c r="U1054" s="636">
        <f>+$AH$1054/4</f>
        <v>109375</v>
      </c>
      <c r="V1054" s="684">
        <f t="shared" si="187"/>
        <v>0</v>
      </c>
      <c r="W1054" s="155"/>
      <c r="X1054" s="636">
        <f>+$AH$1054/4</f>
        <v>109375</v>
      </c>
      <c r="Y1054" s="155"/>
      <c r="Z1054" s="155"/>
      <c r="AA1054" s="636">
        <f>+$AH$1054/4</f>
        <v>109375</v>
      </c>
      <c r="AB1054" s="155"/>
      <c r="AC1054" s="172"/>
      <c r="AD1054" s="636">
        <f>+$AH$1054/4</f>
        <v>109375</v>
      </c>
      <c r="AE1054" s="599"/>
      <c r="AF1054" s="259"/>
      <c r="AG1054" s="506">
        <v>437500</v>
      </c>
      <c r="AH1054" s="370">
        <v>437500</v>
      </c>
      <c r="AI1054" s="75"/>
      <c r="AJ1054" s="75"/>
      <c r="AK1054" s="75"/>
      <c r="AL1054" s="75"/>
      <c r="AM1054" s="75"/>
      <c r="AN1054" s="64" t="s">
        <v>39</v>
      </c>
      <c r="AO1054" s="64"/>
      <c r="AP1054" s="64"/>
      <c r="AQ1054" s="189"/>
      <c r="AR1054" s="64"/>
      <c r="AS1054" s="476"/>
      <c r="AT1054" s="64"/>
      <c r="AU1054" s="646"/>
      <c r="AV1054" s="454"/>
    </row>
    <row r="1055" spans="1:48" ht="105" outlineLevel="2" x14ac:dyDescent="0.25">
      <c r="A1055" s="63" t="str">
        <f t="shared" si="191"/>
        <v>3.12.1.6.5.0</v>
      </c>
      <c r="B1055" s="64">
        <v>3</v>
      </c>
      <c r="C1055" s="64">
        <v>12</v>
      </c>
      <c r="D1055" s="64">
        <v>1</v>
      </c>
      <c r="E1055" s="64">
        <v>6</v>
      </c>
      <c r="F1055" s="64">
        <v>5</v>
      </c>
      <c r="G1055" s="64">
        <v>0</v>
      </c>
      <c r="H1055" s="65"/>
      <c r="I1055" s="65"/>
      <c r="J1055" s="66"/>
      <c r="K1055" s="67" t="s">
        <v>1220</v>
      </c>
      <c r="L1055" s="64" t="s">
        <v>72</v>
      </c>
      <c r="M1055" s="64" t="s">
        <v>73</v>
      </c>
      <c r="N1055" s="64" t="s">
        <v>74</v>
      </c>
      <c r="O1055" s="64" t="s">
        <v>38</v>
      </c>
      <c r="P1055" s="69"/>
      <c r="Q1055" s="69"/>
      <c r="R1055" s="64">
        <v>1</v>
      </c>
      <c r="S1055" s="65"/>
      <c r="T1055" s="64"/>
      <c r="U1055" s="155"/>
      <c r="V1055" s="704">
        <f t="shared" si="187"/>
        <v>54267.38</v>
      </c>
      <c r="W1055" s="155">
        <v>2</v>
      </c>
      <c r="X1055" s="155"/>
      <c r="Y1055" s="155"/>
      <c r="Z1055" s="155"/>
      <c r="AA1055" s="155"/>
      <c r="AB1055" s="155"/>
      <c r="AC1055" s="172"/>
      <c r="AD1055" s="172"/>
      <c r="AE1055" s="612"/>
      <c r="AF1055" s="259" t="s">
        <v>1221</v>
      </c>
      <c r="AG1055" s="506">
        <v>0</v>
      </c>
      <c r="AH1055" s="370">
        <v>0</v>
      </c>
      <c r="AI1055" s="75"/>
      <c r="AJ1055" s="75">
        <f>36455.52+17811.86</f>
        <v>54267.38</v>
      </c>
      <c r="AK1055" s="75"/>
      <c r="AL1055" s="75"/>
      <c r="AM1055" s="75"/>
      <c r="AN1055" s="64" t="s">
        <v>39</v>
      </c>
      <c r="AO1055" s="64"/>
      <c r="AP1055" s="68" t="s">
        <v>1901</v>
      </c>
      <c r="AQ1055" s="189"/>
      <c r="AR1055" s="64"/>
      <c r="AS1055" s="476"/>
      <c r="AT1055" s="64"/>
      <c r="AU1055" s="646" t="s">
        <v>1899</v>
      </c>
      <c r="AV1055" s="583" t="s">
        <v>1900</v>
      </c>
    </row>
    <row r="1056" spans="1:48" ht="56.1" customHeight="1" outlineLevel="2" x14ac:dyDescent="0.25">
      <c r="A1056" s="63" t="str">
        <f t="shared" si="191"/>
        <v>3.12.1.6.6.0</v>
      </c>
      <c r="B1056" s="64">
        <v>3</v>
      </c>
      <c r="C1056" s="64">
        <v>12</v>
      </c>
      <c r="D1056" s="64">
        <v>1</v>
      </c>
      <c r="E1056" s="64">
        <v>6</v>
      </c>
      <c r="F1056" s="64">
        <v>6</v>
      </c>
      <c r="G1056" s="64">
        <v>0</v>
      </c>
      <c r="H1056" s="65"/>
      <c r="I1056" s="65"/>
      <c r="J1056" s="66"/>
      <c r="K1056" s="65" t="s">
        <v>1222</v>
      </c>
      <c r="L1056" s="64" t="s">
        <v>72</v>
      </c>
      <c r="M1056" s="64" t="s">
        <v>73</v>
      </c>
      <c r="N1056" s="64" t="s">
        <v>1223</v>
      </c>
      <c r="O1056" s="64" t="s">
        <v>38</v>
      </c>
      <c r="P1056" s="69"/>
      <c r="Q1056" s="69"/>
      <c r="R1056" s="64">
        <v>12</v>
      </c>
      <c r="S1056" s="65"/>
      <c r="T1056" s="64">
        <v>3</v>
      </c>
      <c r="U1056" s="155">
        <f>+AH1056/3</f>
        <v>1684035.83</v>
      </c>
      <c r="V1056" s="702">
        <f t="shared" si="187"/>
        <v>1594473.38</v>
      </c>
      <c r="W1056" s="155">
        <v>3</v>
      </c>
      <c r="X1056" s="155">
        <f>+AH1056/3</f>
        <v>1684035.83</v>
      </c>
      <c r="Y1056" s="155"/>
      <c r="Z1056" s="155"/>
      <c r="AA1056" s="155">
        <f>+AH1056/3</f>
        <v>1684035.83</v>
      </c>
      <c r="AB1056" s="155"/>
      <c r="AC1056" s="172"/>
      <c r="AD1056" s="155"/>
      <c r="AE1056" s="599"/>
      <c r="AF1056" s="259" t="s">
        <v>1224</v>
      </c>
      <c r="AG1056" s="506">
        <v>5052107.49</v>
      </c>
      <c r="AH1056" s="370">
        <v>5052107.49</v>
      </c>
      <c r="AI1056" s="75"/>
      <c r="AJ1056" s="75">
        <f>502020.99+32309.57+488860.58+53425.67+38964.74+478891.83</f>
        <v>1594473.38</v>
      </c>
      <c r="AK1056" s="75"/>
      <c r="AL1056" s="75"/>
      <c r="AM1056" s="75"/>
      <c r="AN1056" s="64" t="s">
        <v>39</v>
      </c>
      <c r="AO1056" s="64" t="s">
        <v>1815</v>
      </c>
      <c r="AP1056" s="64" t="s">
        <v>649</v>
      </c>
      <c r="AQ1056" s="533" t="s">
        <v>649</v>
      </c>
      <c r="AR1056" s="64" t="s">
        <v>649</v>
      </c>
      <c r="AS1056" s="533" t="s">
        <v>649</v>
      </c>
      <c r="AT1056" s="64" t="s">
        <v>1814</v>
      </c>
      <c r="AU1056" s="646" t="s">
        <v>2011</v>
      </c>
      <c r="AV1056" s="443" t="s">
        <v>2012</v>
      </c>
    </row>
    <row r="1057" spans="1:48" ht="51" customHeight="1" outlineLevel="2" x14ac:dyDescent="0.25">
      <c r="A1057" s="63" t="str">
        <f t="shared" si="191"/>
        <v>3.12.1.6.7.0</v>
      </c>
      <c r="B1057" s="64">
        <v>3</v>
      </c>
      <c r="C1057" s="64">
        <v>12</v>
      </c>
      <c r="D1057" s="64">
        <v>1</v>
      </c>
      <c r="E1057" s="64">
        <v>6</v>
      </c>
      <c r="F1057" s="64">
        <v>7</v>
      </c>
      <c r="G1057" s="64">
        <v>0</v>
      </c>
      <c r="H1057" s="65"/>
      <c r="I1057" s="65"/>
      <c r="J1057" s="66"/>
      <c r="K1057" s="137" t="s">
        <v>1225</v>
      </c>
      <c r="L1057" s="64" t="s">
        <v>72</v>
      </c>
      <c r="M1057" s="64" t="s">
        <v>73</v>
      </c>
      <c r="N1057" s="64" t="s">
        <v>74</v>
      </c>
      <c r="O1057" s="64" t="s">
        <v>38</v>
      </c>
      <c r="P1057" s="69"/>
      <c r="Q1057" s="69"/>
      <c r="R1057" s="64"/>
      <c r="S1057" s="65"/>
      <c r="T1057" s="64"/>
      <c r="U1057" s="155">
        <f>+$AH$1057/4</f>
        <v>109375</v>
      </c>
      <c r="V1057" s="684">
        <f t="shared" si="187"/>
        <v>0</v>
      </c>
      <c r="W1057" s="155"/>
      <c r="X1057" s="155">
        <f>+$AH$1057/4</f>
        <v>109375</v>
      </c>
      <c r="Y1057" s="155"/>
      <c r="Z1057" s="155"/>
      <c r="AA1057" s="155">
        <f>+$AH$1057/4</f>
        <v>109375</v>
      </c>
      <c r="AB1057" s="155"/>
      <c r="AC1057" s="172"/>
      <c r="AD1057" s="155">
        <f>+$AH$1057/4</f>
        <v>109375</v>
      </c>
      <c r="AE1057" s="599"/>
      <c r="AF1057" s="355"/>
      <c r="AG1057" s="506">
        <v>437500</v>
      </c>
      <c r="AH1057" s="370">
        <v>437500</v>
      </c>
      <c r="AI1057" s="75"/>
      <c r="AJ1057" s="75"/>
      <c r="AK1057" s="75"/>
      <c r="AL1057" s="75"/>
      <c r="AM1057" s="75"/>
      <c r="AN1057" s="64" t="s">
        <v>39</v>
      </c>
      <c r="AO1057" s="64"/>
      <c r="AP1057" s="64"/>
      <c r="AQ1057" s="189"/>
      <c r="AR1057" s="64"/>
      <c r="AS1057" s="476"/>
      <c r="AT1057" s="64"/>
      <c r="AU1057" s="646"/>
      <c r="AV1057" s="335" t="s">
        <v>273</v>
      </c>
    </row>
    <row r="1058" spans="1:48" ht="60" outlineLevel="2" x14ac:dyDescent="0.25">
      <c r="A1058" s="63" t="str">
        <f t="shared" si="191"/>
        <v>3.12.1.6.8.0</v>
      </c>
      <c r="B1058" s="64">
        <v>3</v>
      </c>
      <c r="C1058" s="64">
        <v>12</v>
      </c>
      <c r="D1058" s="64">
        <v>1</v>
      </c>
      <c r="E1058" s="64">
        <v>6</v>
      </c>
      <c r="F1058" s="64">
        <v>8</v>
      </c>
      <c r="G1058" s="64">
        <v>0</v>
      </c>
      <c r="H1058" s="65"/>
      <c r="I1058" s="65"/>
      <c r="J1058" s="66"/>
      <c r="K1058" s="65" t="s">
        <v>1226</v>
      </c>
      <c r="L1058" s="64" t="s">
        <v>72</v>
      </c>
      <c r="M1058" s="64" t="s">
        <v>73</v>
      </c>
      <c r="N1058" s="64" t="s">
        <v>423</v>
      </c>
      <c r="O1058" s="64" t="s">
        <v>38</v>
      </c>
      <c r="P1058" s="64"/>
      <c r="Q1058" s="64"/>
      <c r="R1058" s="64"/>
      <c r="S1058" s="65"/>
      <c r="T1058" s="64"/>
      <c r="U1058" s="155">
        <v>350000</v>
      </c>
      <c r="V1058" s="704">
        <f t="shared" si="187"/>
        <v>1542201.1</v>
      </c>
      <c r="W1058" s="155"/>
      <c r="X1058" s="155">
        <f>+(AH1058-U1058)/3</f>
        <v>350000</v>
      </c>
      <c r="Y1058" s="155"/>
      <c r="Z1058" s="155"/>
      <c r="AA1058" s="155">
        <f>+(AH1058-U1058)/3</f>
        <v>350000</v>
      </c>
      <c r="AB1058" s="155"/>
      <c r="AC1058" s="172"/>
      <c r="AD1058" s="155">
        <f>+(AH1058-U1058)/3</f>
        <v>350000</v>
      </c>
      <c r="AE1058" s="612"/>
      <c r="AF1058" s="348" t="s">
        <v>588</v>
      </c>
      <c r="AG1058" s="505">
        <v>1400000</v>
      </c>
      <c r="AH1058" s="370">
        <v>1400000</v>
      </c>
      <c r="AI1058" s="75"/>
      <c r="AJ1058" s="75">
        <f>205230.75+295653.13+1041317.22</f>
        <v>1542201.1</v>
      </c>
      <c r="AK1058" s="75"/>
      <c r="AL1058" s="75"/>
      <c r="AM1058" s="75"/>
      <c r="AN1058" s="64" t="s">
        <v>39</v>
      </c>
      <c r="AO1058" s="64" t="s">
        <v>1815</v>
      </c>
      <c r="AP1058" s="64" t="s">
        <v>649</v>
      </c>
      <c r="AQ1058" s="533" t="s">
        <v>649</v>
      </c>
      <c r="AR1058" s="64" t="s">
        <v>649</v>
      </c>
      <c r="AS1058" s="533" t="s">
        <v>649</v>
      </c>
      <c r="AT1058" s="64" t="s">
        <v>1814</v>
      </c>
      <c r="AU1058" s="646" t="s">
        <v>2013</v>
      </c>
      <c r="AV1058" s="443" t="s">
        <v>2014</v>
      </c>
    </row>
    <row r="1059" spans="1:48" outlineLevel="2" x14ac:dyDescent="0.25">
      <c r="A1059" s="63" t="str">
        <f t="shared" si="191"/>
        <v>3.12.1.6.9.0</v>
      </c>
      <c r="B1059" s="64">
        <v>3</v>
      </c>
      <c r="C1059" s="64">
        <v>12</v>
      </c>
      <c r="D1059" s="64">
        <v>1</v>
      </c>
      <c r="E1059" s="64">
        <v>6</v>
      </c>
      <c r="F1059" s="64">
        <v>9</v>
      </c>
      <c r="G1059" s="64">
        <v>0</v>
      </c>
      <c r="H1059" s="65"/>
      <c r="I1059" s="65"/>
      <c r="J1059" s="66"/>
      <c r="K1059" s="65" t="s">
        <v>1227</v>
      </c>
      <c r="L1059" s="64" t="s">
        <v>72</v>
      </c>
      <c r="M1059" s="64" t="s">
        <v>73</v>
      </c>
      <c r="N1059" s="64" t="s">
        <v>74</v>
      </c>
      <c r="O1059" s="64" t="s">
        <v>38</v>
      </c>
      <c r="P1059" s="69"/>
      <c r="Q1059" s="69"/>
      <c r="R1059" s="64">
        <v>1</v>
      </c>
      <c r="S1059" s="65"/>
      <c r="T1059" s="64">
        <v>1</v>
      </c>
      <c r="U1059" s="155"/>
      <c r="V1059" s="684">
        <f t="shared" si="187"/>
        <v>0</v>
      </c>
      <c r="W1059" s="155"/>
      <c r="X1059" s="155"/>
      <c r="Y1059" s="155"/>
      <c r="Z1059" s="155"/>
      <c r="AA1059" s="155"/>
      <c r="AB1059" s="155"/>
      <c r="AC1059" s="172"/>
      <c r="AD1059" s="172"/>
      <c r="AE1059" s="612"/>
      <c r="AF1059" s="259" t="s">
        <v>1228</v>
      </c>
      <c r="AG1059" s="506">
        <v>0</v>
      </c>
      <c r="AH1059" s="370">
        <v>0</v>
      </c>
      <c r="AI1059" s="75"/>
      <c r="AJ1059" s="75"/>
      <c r="AK1059" s="75"/>
      <c r="AL1059" s="75"/>
      <c r="AM1059" s="75"/>
      <c r="AN1059" s="64" t="s">
        <v>39</v>
      </c>
      <c r="AO1059" s="64"/>
      <c r="AP1059" s="64"/>
      <c r="AQ1059" s="189"/>
      <c r="AR1059" s="64"/>
      <c r="AS1059" s="476"/>
      <c r="AT1059" s="64"/>
      <c r="AU1059" s="646"/>
      <c r="AV1059" s="454"/>
    </row>
    <row r="1060" spans="1:48" outlineLevel="2" x14ac:dyDescent="0.25">
      <c r="A1060" s="63" t="str">
        <f t="shared" si="191"/>
        <v>3.12.1.6.10.0</v>
      </c>
      <c r="B1060" s="64">
        <v>3</v>
      </c>
      <c r="C1060" s="64">
        <v>12</v>
      </c>
      <c r="D1060" s="64">
        <v>1</v>
      </c>
      <c r="E1060" s="64">
        <v>6</v>
      </c>
      <c r="F1060" s="64">
        <v>10</v>
      </c>
      <c r="G1060" s="64">
        <v>0</v>
      </c>
      <c r="H1060" s="65"/>
      <c r="I1060" s="65"/>
      <c r="J1060" s="66"/>
      <c r="K1060" s="65" t="s">
        <v>1229</v>
      </c>
      <c r="L1060" s="64" t="s">
        <v>72</v>
      </c>
      <c r="M1060" s="64" t="s">
        <v>73</v>
      </c>
      <c r="N1060" s="64" t="s">
        <v>74</v>
      </c>
      <c r="O1060" s="64" t="s">
        <v>38</v>
      </c>
      <c r="P1060" s="69"/>
      <c r="Q1060" s="69"/>
      <c r="R1060" s="64">
        <v>1</v>
      </c>
      <c r="S1060" s="65" t="s">
        <v>76</v>
      </c>
      <c r="T1060" s="64">
        <v>1</v>
      </c>
      <c r="U1060" s="75"/>
      <c r="V1060" s="684">
        <f t="shared" si="187"/>
        <v>0</v>
      </c>
      <c r="W1060" s="75"/>
      <c r="X1060" s="75"/>
      <c r="Y1060" s="75"/>
      <c r="Z1060" s="75"/>
      <c r="AA1060" s="155"/>
      <c r="AB1060" s="155"/>
      <c r="AC1060" s="97"/>
      <c r="AD1060" s="97"/>
      <c r="AE1060" s="591"/>
      <c r="AF1060" s="259" t="s">
        <v>1230</v>
      </c>
      <c r="AG1060" s="506">
        <v>0</v>
      </c>
      <c r="AH1060" s="370">
        <v>0</v>
      </c>
      <c r="AI1060" s="75"/>
      <c r="AJ1060" s="75"/>
      <c r="AK1060" s="75"/>
      <c r="AL1060" s="75"/>
      <c r="AM1060" s="75"/>
      <c r="AN1060" s="64" t="s">
        <v>39</v>
      </c>
      <c r="AO1060" s="64"/>
      <c r="AP1060" s="64"/>
      <c r="AQ1060" s="189"/>
      <c r="AR1060" s="64"/>
      <c r="AS1060" s="476"/>
      <c r="AT1060" s="64"/>
      <c r="AU1060" s="646"/>
      <c r="AV1060" s="443"/>
    </row>
    <row r="1061" spans="1:48" outlineLevel="2" x14ac:dyDescent="0.25">
      <c r="A1061" s="63" t="str">
        <f t="shared" si="191"/>
        <v>3.12.0.6.12.0</v>
      </c>
      <c r="B1061" s="64">
        <v>3</v>
      </c>
      <c r="C1061" s="64">
        <v>12</v>
      </c>
      <c r="D1061" s="64">
        <v>0</v>
      </c>
      <c r="E1061" s="64">
        <v>6</v>
      </c>
      <c r="F1061" s="64">
        <v>12</v>
      </c>
      <c r="G1061" s="64">
        <v>0</v>
      </c>
      <c r="H1061" s="65"/>
      <c r="I1061" s="65"/>
      <c r="J1061" s="66"/>
      <c r="K1061" s="65" t="s">
        <v>1231</v>
      </c>
      <c r="L1061" s="64" t="s">
        <v>72</v>
      </c>
      <c r="M1061" s="64" t="s">
        <v>73</v>
      </c>
      <c r="N1061" s="64" t="s">
        <v>74</v>
      </c>
      <c r="O1061" s="64" t="s">
        <v>38</v>
      </c>
      <c r="P1061" s="64"/>
      <c r="Q1061" s="64"/>
      <c r="R1061" s="64"/>
      <c r="S1061" s="65"/>
      <c r="T1061" s="64"/>
      <c r="U1061" s="75"/>
      <c r="V1061" s="684">
        <f t="shared" si="187"/>
        <v>0</v>
      </c>
      <c r="W1061" s="75"/>
      <c r="X1061" s="75"/>
      <c r="Y1061" s="75"/>
      <c r="Z1061" s="75"/>
      <c r="AA1061" s="155"/>
      <c r="AB1061" s="155"/>
      <c r="AC1061" s="97"/>
      <c r="AD1061" s="97"/>
      <c r="AE1061" s="591"/>
      <c r="AF1061" s="259"/>
      <c r="AG1061" s="506"/>
      <c r="AH1061" s="370"/>
      <c r="AI1061" s="75"/>
      <c r="AJ1061" s="75"/>
      <c r="AK1061" s="75"/>
      <c r="AL1061" s="75"/>
      <c r="AM1061" s="75"/>
      <c r="AN1061" s="64" t="s">
        <v>39</v>
      </c>
      <c r="AO1061" s="64"/>
      <c r="AP1061" s="64"/>
      <c r="AQ1061" s="189"/>
      <c r="AR1061" s="64"/>
      <c r="AS1061" s="476"/>
      <c r="AT1061" s="64"/>
      <c r="AU1061" s="646"/>
      <c r="AV1061" s="454"/>
    </row>
    <row r="1062" spans="1:48" outlineLevel="2" x14ac:dyDescent="0.25">
      <c r="A1062" s="63" t="str">
        <f t="shared" si="191"/>
        <v>3.12.0.6.13.0</v>
      </c>
      <c r="B1062" s="64">
        <v>3</v>
      </c>
      <c r="C1062" s="64">
        <v>12</v>
      </c>
      <c r="D1062" s="64">
        <v>0</v>
      </c>
      <c r="E1062" s="64">
        <v>6</v>
      </c>
      <c r="F1062" s="64">
        <v>13</v>
      </c>
      <c r="G1062" s="64">
        <v>0</v>
      </c>
      <c r="H1062" s="65"/>
      <c r="I1062" s="65"/>
      <c r="J1062" s="66"/>
      <c r="K1062" s="65" t="s">
        <v>1232</v>
      </c>
      <c r="L1062" s="64" t="s">
        <v>72</v>
      </c>
      <c r="M1062" s="64" t="s">
        <v>73</v>
      </c>
      <c r="N1062" s="64" t="s">
        <v>74</v>
      </c>
      <c r="O1062" s="64" t="s">
        <v>1191</v>
      </c>
      <c r="P1062" s="64"/>
      <c r="Q1062" s="64"/>
      <c r="R1062" s="64"/>
      <c r="S1062" s="65"/>
      <c r="T1062" s="64"/>
      <c r="U1062" s="155">
        <v>180000</v>
      </c>
      <c r="V1062" s="684">
        <f t="shared" si="187"/>
        <v>0</v>
      </c>
      <c r="W1062" s="75"/>
      <c r="X1062" s="75"/>
      <c r="Y1062" s="75"/>
      <c r="Z1062" s="75"/>
      <c r="AA1062" s="75"/>
      <c r="AB1062" s="75"/>
      <c r="AC1062" s="97"/>
      <c r="AD1062" s="97"/>
      <c r="AE1062" s="591"/>
      <c r="AF1062" s="259"/>
      <c r="AG1062" s="506"/>
      <c r="AH1062" s="371"/>
      <c r="AI1062" s="78"/>
      <c r="AJ1062" s="78"/>
      <c r="AK1062" s="78"/>
      <c r="AL1062" s="78"/>
      <c r="AM1062" s="78"/>
      <c r="AN1062" s="64" t="s">
        <v>39</v>
      </c>
      <c r="AO1062" s="64"/>
      <c r="AP1062" s="64"/>
      <c r="AQ1062" s="189"/>
      <c r="AR1062" s="64"/>
      <c r="AS1062" s="476"/>
      <c r="AT1062" s="64"/>
      <c r="AU1062" s="646"/>
      <c r="AV1062" s="454"/>
    </row>
    <row r="1063" spans="1:48" outlineLevel="2" x14ac:dyDescent="0.25">
      <c r="A1063" s="63" t="str">
        <f t="shared" si="191"/>
        <v>3.12.0.6.14.0</v>
      </c>
      <c r="B1063" s="64">
        <v>3</v>
      </c>
      <c r="C1063" s="64">
        <v>12</v>
      </c>
      <c r="D1063" s="64">
        <v>0</v>
      </c>
      <c r="E1063" s="64">
        <v>6</v>
      </c>
      <c r="F1063" s="64">
        <v>14</v>
      </c>
      <c r="G1063" s="64">
        <v>0</v>
      </c>
      <c r="H1063" s="65"/>
      <c r="I1063" s="65"/>
      <c r="J1063" s="66"/>
      <c r="K1063" s="65" t="s">
        <v>1233</v>
      </c>
      <c r="L1063" s="64" t="s">
        <v>72</v>
      </c>
      <c r="M1063" s="64" t="s">
        <v>73</v>
      </c>
      <c r="N1063" s="64" t="s">
        <v>74</v>
      </c>
      <c r="O1063" s="64" t="s">
        <v>202</v>
      </c>
      <c r="P1063" s="69"/>
      <c r="Q1063" s="69"/>
      <c r="R1063" s="64">
        <v>1</v>
      </c>
      <c r="S1063" s="65" t="s">
        <v>76</v>
      </c>
      <c r="T1063" s="64"/>
      <c r="U1063" s="75"/>
      <c r="V1063" s="684">
        <f t="shared" si="187"/>
        <v>0</v>
      </c>
      <c r="W1063" s="75"/>
      <c r="X1063" s="75"/>
      <c r="Y1063" s="75"/>
      <c r="Z1063" s="75"/>
      <c r="AA1063" s="75"/>
      <c r="AB1063" s="75"/>
      <c r="AC1063" s="97"/>
      <c r="AD1063" s="97"/>
      <c r="AE1063" s="591"/>
      <c r="AF1063" s="259"/>
      <c r="AG1063" s="506">
        <v>180000</v>
      </c>
      <c r="AH1063" s="370">
        <v>0</v>
      </c>
      <c r="AI1063" s="75"/>
      <c r="AJ1063" s="75"/>
      <c r="AK1063" s="75"/>
      <c r="AL1063" s="75"/>
      <c r="AM1063" s="75"/>
      <c r="AN1063" s="64" t="s">
        <v>39</v>
      </c>
      <c r="AO1063" s="64"/>
      <c r="AP1063" s="64"/>
      <c r="AQ1063" s="189"/>
      <c r="AR1063" s="64"/>
      <c r="AS1063" s="476"/>
      <c r="AT1063" s="64"/>
      <c r="AU1063" s="646"/>
      <c r="AV1063" s="454"/>
    </row>
    <row r="1064" spans="1:48" outlineLevel="2" x14ac:dyDescent="0.25">
      <c r="A1064" s="63" t="str">
        <f t="shared" si="191"/>
        <v>3.12.1.6.15.0</v>
      </c>
      <c r="B1064" s="64">
        <v>3</v>
      </c>
      <c r="C1064" s="64">
        <v>12</v>
      </c>
      <c r="D1064" s="64">
        <v>1</v>
      </c>
      <c r="E1064" s="64">
        <v>6</v>
      </c>
      <c r="F1064" s="64">
        <v>15</v>
      </c>
      <c r="G1064" s="64">
        <v>0</v>
      </c>
      <c r="H1064" s="65"/>
      <c r="I1064" s="65"/>
      <c r="J1064" s="66"/>
      <c r="K1064" s="65" t="s">
        <v>1234</v>
      </c>
      <c r="L1064" s="64" t="s">
        <v>72</v>
      </c>
      <c r="M1064" s="64" t="s">
        <v>73</v>
      </c>
      <c r="N1064" s="64" t="s">
        <v>74</v>
      </c>
      <c r="O1064" s="64" t="s">
        <v>38</v>
      </c>
      <c r="P1064" s="64"/>
      <c r="Q1064" s="64"/>
      <c r="R1064" s="64"/>
      <c r="S1064" s="65"/>
      <c r="T1064" s="64"/>
      <c r="U1064" s="75"/>
      <c r="V1064" s="684">
        <f t="shared" si="187"/>
        <v>0</v>
      </c>
      <c r="W1064" s="75"/>
      <c r="X1064" s="75"/>
      <c r="Y1064" s="75"/>
      <c r="Z1064" s="75"/>
      <c r="AA1064" s="75"/>
      <c r="AB1064" s="75"/>
      <c r="AC1064" s="97"/>
      <c r="AD1064" s="97"/>
      <c r="AE1064" s="591"/>
      <c r="AF1064" s="259"/>
      <c r="AG1064" s="506">
        <v>0</v>
      </c>
      <c r="AH1064" s="370">
        <v>0</v>
      </c>
      <c r="AI1064" s="75"/>
      <c r="AJ1064" s="75"/>
      <c r="AK1064" s="75"/>
      <c r="AL1064" s="75"/>
      <c r="AM1064" s="75"/>
      <c r="AN1064" s="64" t="s">
        <v>39</v>
      </c>
      <c r="AO1064" s="64"/>
      <c r="AP1064" s="64"/>
      <c r="AQ1064" s="189"/>
      <c r="AR1064" s="64"/>
      <c r="AS1064" s="476"/>
      <c r="AT1064" s="64"/>
      <c r="AU1064" s="646"/>
      <c r="AV1064" s="454"/>
    </row>
    <row r="1065" spans="1:48" outlineLevel="2" x14ac:dyDescent="0.25">
      <c r="A1065" s="63" t="str">
        <f t="shared" si="191"/>
        <v>3.12.1.6.16.0</v>
      </c>
      <c r="B1065" s="64">
        <v>3</v>
      </c>
      <c r="C1065" s="64">
        <v>12</v>
      </c>
      <c r="D1065" s="64">
        <v>1</v>
      </c>
      <c r="E1065" s="64">
        <v>6</v>
      </c>
      <c r="F1065" s="64">
        <v>16</v>
      </c>
      <c r="G1065" s="64">
        <v>0</v>
      </c>
      <c r="H1065" s="65"/>
      <c r="I1065" s="65"/>
      <c r="J1065" s="66"/>
      <c r="K1065" s="65" t="s">
        <v>1235</v>
      </c>
      <c r="L1065" s="64" t="s">
        <v>72</v>
      </c>
      <c r="M1065" s="64" t="s">
        <v>73</v>
      </c>
      <c r="N1065" s="64" t="s">
        <v>74</v>
      </c>
      <c r="O1065" s="64" t="s">
        <v>359</v>
      </c>
      <c r="P1065" s="64"/>
      <c r="Q1065" s="64"/>
      <c r="R1065" s="64"/>
      <c r="S1065" s="65"/>
      <c r="T1065" s="64"/>
      <c r="U1065" s="75"/>
      <c r="V1065" s="684">
        <f t="shared" si="187"/>
        <v>0</v>
      </c>
      <c r="W1065" s="75"/>
      <c r="X1065" s="75"/>
      <c r="Y1065" s="75"/>
      <c r="Z1065" s="75"/>
      <c r="AA1065" s="75"/>
      <c r="AB1065" s="75"/>
      <c r="AC1065" s="97"/>
      <c r="AD1065" s="97"/>
      <c r="AE1065" s="591"/>
      <c r="AF1065" s="259"/>
      <c r="AG1065" s="506">
        <v>0</v>
      </c>
      <c r="AH1065" s="370">
        <v>0</v>
      </c>
      <c r="AI1065" s="75"/>
      <c r="AJ1065" s="75"/>
      <c r="AK1065" s="75"/>
      <c r="AL1065" s="75"/>
      <c r="AM1065" s="75"/>
      <c r="AN1065" s="64" t="s">
        <v>39</v>
      </c>
      <c r="AO1065" s="64"/>
      <c r="AP1065" s="64"/>
      <c r="AQ1065" s="189"/>
      <c r="AR1065" s="64"/>
      <c r="AS1065" s="476"/>
      <c r="AT1065" s="64"/>
      <c r="AU1065" s="646"/>
      <c r="AV1065" s="454"/>
    </row>
    <row r="1066" spans="1:48" outlineLevel="2" x14ac:dyDescent="0.25">
      <c r="A1066" s="63" t="str">
        <f t="shared" si="191"/>
        <v>3.12.1.6.17.0</v>
      </c>
      <c r="B1066" s="64">
        <v>3</v>
      </c>
      <c r="C1066" s="64">
        <v>12</v>
      </c>
      <c r="D1066" s="64">
        <v>1</v>
      </c>
      <c r="E1066" s="64">
        <v>6</v>
      </c>
      <c r="F1066" s="64">
        <v>17</v>
      </c>
      <c r="G1066" s="64">
        <v>0</v>
      </c>
      <c r="H1066" s="65"/>
      <c r="I1066" s="65"/>
      <c r="J1066" s="66"/>
      <c r="K1066" s="65" t="s">
        <v>1236</v>
      </c>
      <c r="L1066" s="64" t="s">
        <v>72</v>
      </c>
      <c r="M1066" s="64" t="s">
        <v>73</v>
      </c>
      <c r="N1066" s="64" t="s">
        <v>74</v>
      </c>
      <c r="O1066" s="64" t="s">
        <v>359</v>
      </c>
      <c r="P1066" s="64"/>
      <c r="Q1066" s="64"/>
      <c r="R1066" s="64"/>
      <c r="S1066" s="65"/>
      <c r="T1066" s="64"/>
      <c r="U1066" s="75"/>
      <c r="V1066" s="684">
        <f t="shared" si="187"/>
        <v>0</v>
      </c>
      <c r="W1066" s="75"/>
      <c r="X1066" s="75"/>
      <c r="Y1066" s="75"/>
      <c r="Z1066" s="75"/>
      <c r="AA1066" s="75"/>
      <c r="AB1066" s="75"/>
      <c r="AC1066" s="97"/>
      <c r="AD1066" s="97"/>
      <c r="AE1066" s="591"/>
      <c r="AF1066" s="259"/>
      <c r="AG1066" s="506">
        <v>0</v>
      </c>
      <c r="AH1066" s="370">
        <v>0</v>
      </c>
      <c r="AI1066" s="75"/>
      <c r="AJ1066" s="75"/>
      <c r="AK1066" s="75"/>
      <c r="AL1066" s="75"/>
      <c r="AM1066" s="75"/>
      <c r="AN1066" s="64" t="s">
        <v>39</v>
      </c>
      <c r="AO1066" s="64"/>
      <c r="AP1066" s="64"/>
      <c r="AQ1066" s="189"/>
      <c r="AR1066" s="64"/>
      <c r="AS1066" s="476"/>
      <c r="AT1066" s="64"/>
      <c r="AU1066" s="646"/>
      <c r="AV1066" s="454"/>
    </row>
    <row r="1067" spans="1:48" outlineLevel="2" x14ac:dyDescent="0.25">
      <c r="A1067" s="63" t="str">
        <f t="shared" si="191"/>
        <v>3.12.0.6.18.0</v>
      </c>
      <c r="B1067" s="64">
        <v>3</v>
      </c>
      <c r="C1067" s="64">
        <v>12</v>
      </c>
      <c r="D1067" s="64">
        <v>0</v>
      </c>
      <c r="E1067" s="64">
        <v>6</v>
      </c>
      <c r="F1067" s="64">
        <v>18</v>
      </c>
      <c r="G1067" s="64">
        <v>0</v>
      </c>
      <c r="H1067" s="65"/>
      <c r="I1067" s="65"/>
      <c r="J1067" s="66"/>
      <c r="K1067" s="65" t="s">
        <v>1237</v>
      </c>
      <c r="L1067" s="64" t="s">
        <v>72</v>
      </c>
      <c r="M1067" s="64" t="s">
        <v>73</v>
      </c>
      <c r="N1067" s="64" t="s">
        <v>74</v>
      </c>
      <c r="O1067" s="64" t="s">
        <v>359</v>
      </c>
      <c r="P1067" s="64"/>
      <c r="Q1067" s="64"/>
      <c r="R1067" s="64"/>
      <c r="S1067" s="65"/>
      <c r="T1067" s="64"/>
      <c r="U1067" s="75"/>
      <c r="V1067" s="684">
        <f t="shared" si="187"/>
        <v>0</v>
      </c>
      <c r="W1067" s="75"/>
      <c r="X1067" s="75"/>
      <c r="Y1067" s="75"/>
      <c r="Z1067" s="75"/>
      <c r="AA1067" s="75"/>
      <c r="AB1067" s="75"/>
      <c r="AC1067" s="97"/>
      <c r="AD1067" s="97"/>
      <c r="AE1067" s="591"/>
      <c r="AF1067" s="259"/>
      <c r="AG1067" s="506">
        <v>0</v>
      </c>
      <c r="AH1067" s="370">
        <v>0</v>
      </c>
      <c r="AI1067" s="75"/>
      <c r="AJ1067" s="75"/>
      <c r="AK1067" s="75"/>
      <c r="AL1067" s="75"/>
      <c r="AM1067" s="75"/>
      <c r="AN1067" s="64" t="s">
        <v>39</v>
      </c>
      <c r="AO1067" s="64"/>
      <c r="AP1067" s="64"/>
      <c r="AQ1067" s="189"/>
      <c r="AR1067" s="64"/>
      <c r="AS1067" s="476"/>
      <c r="AT1067" s="64"/>
      <c r="AU1067" s="646"/>
      <c r="AV1067" s="454"/>
    </row>
    <row r="1068" spans="1:48" ht="45" outlineLevel="2" x14ac:dyDescent="0.25">
      <c r="A1068" s="63" t="str">
        <f t="shared" si="191"/>
        <v>3.12.0.6.19.0</v>
      </c>
      <c r="B1068" s="64">
        <v>3</v>
      </c>
      <c r="C1068" s="64">
        <v>12</v>
      </c>
      <c r="D1068" s="64">
        <v>0</v>
      </c>
      <c r="E1068" s="64">
        <v>6</v>
      </c>
      <c r="F1068" s="64">
        <v>19</v>
      </c>
      <c r="G1068" s="64">
        <v>0</v>
      </c>
      <c r="H1068" s="65"/>
      <c r="I1068" s="65"/>
      <c r="J1068" s="66"/>
      <c r="K1068" s="67" t="s">
        <v>1238</v>
      </c>
      <c r="L1068" s="64" t="s">
        <v>72</v>
      </c>
      <c r="M1068" s="64" t="s">
        <v>73</v>
      </c>
      <c r="N1068" s="64" t="s">
        <v>74</v>
      </c>
      <c r="O1068" s="64" t="s">
        <v>1239</v>
      </c>
      <c r="P1068" s="69"/>
      <c r="Q1068" s="69"/>
      <c r="R1068" s="64">
        <v>10</v>
      </c>
      <c r="S1068" s="65"/>
      <c r="T1068" s="64">
        <v>1</v>
      </c>
      <c r="U1068" s="75"/>
      <c r="V1068" s="684">
        <f t="shared" ref="V1068:V1094" si="197">+AJ1068</f>
        <v>0</v>
      </c>
      <c r="W1068" s="75"/>
      <c r="X1068" s="75"/>
      <c r="Y1068" s="75"/>
      <c r="Z1068" s="75"/>
      <c r="AA1068" s="75"/>
      <c r="AB1068" s="75"/>
      <c r="AC1068" s="97"/>
      <c r="AD1068" s="97"/>
      <c r="AE1068" s="591"/>
      <c r="AF1068" s="259" t="s">
        <v>166</v>
      </c>
      <c r="AG1068" s="506">
        <v>0</v>
      </c>
      <c r="AH1068" s="370">
        <v>0</v>
      </c>
      <c r="AI1068" s="75"/>
      <c r="AJ1068" s="75"/>
      <c r="AK1068" s="75"/>
      <c r="AL1068" s="75"/>
      <c r="AM1068" s="75"/>
      <c r="AN1068" s="64" t="s">
        <v>39</v>
      </c>
      <c r="AO1068" s="64"/>
      <c r="AP1068" s="64"/>
      <c r="AQ1068" s="189"/>
      <c r="AR1068" s="64"/>
      <c r="AS1068" s="476"/>
      <c r="AT1068" s="64"/>
      <c r="AU1068" s="646"/>
      <c r="AV1068" s="454"/>
    </row>
    <row r="1069" spans="1:48" outlineLevel="2" x14ac:dyDescent="0.25">
      <c r="A1069" s="63" t="str">
        <f t="shared" si="191"/>
        <v>3.12.0.6.20.0</v>
      </c>
      <c r="B1069" s="64">
        <v>3</v>
      </c>
      <c r="C1069" s="64">
        <v>12</v>
      </c>
      <c r="D1069" s="64">
        <v>0</v>
      </c>
      <c r="E1069" s="64">
        <v>6</v>
      </c>
      <c r="F1069" s="64">
        <v>20</v>
      </c>
      <c r="G1069" s="64">
        <v>0</v>
      </c>
      <c r="H1069" s="65"/>
      <c r="I1069" s="65"/>
      <c r="J1069" s="66"/>
      <c r="K1069" s="65" t="s">
        <v>1240</v>
      </c>
      <c r="L1069" s="64" t="s">
        <v>72</v>
      </c>
      <c r="M1069" s="64" t="s">
        <v>73</v>
      </c>
      <c r="N1069" s="64" t="s">
        <v>74</v>
      </c>
      <c r="O1069" s="64" t="s">
        <v>38</v>
      </c>
      <c r="P1069" s="69"/>
      <c r="Q1069" s="69"/>
      <c r="R1069" s="64">
        <v>1</v>
      </c>
      <c r="S1069" s="65" t="s">
        <v>76</v>
      </c>
      <c r="T1069" s="64">
        <v>1</v>
      </c>
      <c r="U1069" s="75"/>
      <c r="V1069" s="684">
        <f t="shared" si="197"/>
        <v>0</v>
      </c>
      <c r="W1069" s="75"/>
      <c r="X1069" s="75"/>
      <c r="Y1069" s="75"/>
      <c r="Z1069" s="75"/>
      <c r="AA1069" s="75"/>
      <c r="AB1069" s="75"/>
      <c r="AC1069" s="97"/>
      <c r="AD1069" s="97"/>
      <c r="AE1069" s="591"/>
      <c r="AF1069" s="259" t="s">
        <v>166</v>
      </c>
      <c r="AG1069" s="506">
        <v>0</v>
      </c>
      <c r="AH1069" s="370">
        <v>0</v>
      </c>
      <c r="AI1069" s="75"/>
      <c r="AJ1069" s="75"/>
      <c r="AK1069" s="75"/>
      <c r="AL1069" s="75"/>
      <c r="AM1069" s="75"/>
      <c r="AN1069" s="64" t="s">
        <v>39</v>
      </c>
      <c r="AO1069" s="64"/>
      <c r="AP1069" s="64"/>
      <c r="AQ1069" s="413"/>
      <c r="AR1069" s="165"/>
      <c r="AS1069" s="475"/>
      <c r="AT1069" s="64"/>
      <c r="AU1069" s="646"/>
      <c r="AV1069" s="454"/>
    </row>
    <row r="1070" spans="1:48" outlineLevel="2" x14ac:dyDescent="0.25">
      <c r="A1070" s="63" t="str">
        <f t="shared" si="191"/>
        <v>3.12.0.6.21.0</v>
      </c>
      <c r="B1070" s="64">
        <v>3</v>
      </c>
      <c r="C1070" s="64">
        <v>12</v>
      </c>
      <c r="D1070" s="64">
        <v>0</v>
      </c>
      <c r="E1070" s="64">
        <v>6</v>
      </c>
      <c r="F1070" s="64">
        <v>21</v>
      </c>
      <c r="G1070" s="64">
        <v>0</v>
      </c>
      <c r="H1070" s="65"/>
      <c r="I1070" s="65"/>
      <c r="J1070" s="66"/>
      <c r="K1070" s="65" t="s">
        <v>1241</v>
      </c>
      <c r="L1070" s="64" t="s">
        <v>72</v>
      </c>
      <c r="M1070" s="64" t="s">
        <v>73</v>
      </c>
      <c r="N1070" s="64" t="s">
        <v>74</v>
      </c>
      <c r="O1070" s="64" t="s">
        <v>38</v>
      </c>
      <c r="P1070" s="69"/>
      <c r="Q1070" s="69"/>
      <c r="R1070" s="64">
        <v>10</v>
      </c>
      <c r="S1070" s="65"/>
      <c r="T1070" s="64">
        <v>1</v>
      </c>
      <c r="U1070" s="75"/>
      <c r="V1070" s="684">
        <f t="shared" si="197"/>
        <v>0</v>
      </c>
      <c r="W1070" s="75">
        <v>3</v>
      </c>
      <c r="X1070" s="75"/>
      <c r="Y1070" s="75"/>
      <c r="Z1070" s="75">
        <v>3</v>
      </c>
      <c r="AA1070" s="75"/>
      <c r="AB1070" s="75"/>
      <c r="AC1070" s="97">
        <v>3</v>
      </c>
      <c r="AD1070" s="97"/>
      <c r="AE1070" s="591"/>
      <c r="AF1070" s="259" t="s">
        <v>1242</v>
      </c>
      <c r="AG1070" s="506">
        <v>0</v>
      </c>
      <c r="AH1070" s="370">
        <v>0</v>
      </c>
      <c r="AI1070" s="75"/>
      <c r="AJ1070" s="536"/>
      <c r="AK1070" s="75"/>
      <c r="AL1070" s="75"/>
      <c r="AM1070" s="75"/>
      <c r="AN1070" s="64" t="s">
        <v>39</v>
      </c>
      <c r="AO1070" s="64"/>
      <c r="AP1070" s="189"/>
      <c r="AQ1070" s="64"/>
      <c r="AR1070" s="64"/>
      <c r="AS1070" s="64"/>
      <c r="AT1070" s="460"/>
      <c r="AU1070" s="646"/>
      <c r="AV1070" s="335" t="s">
        <v>1243</v>
      </c>
    </row>
    <row r="1071" spans="1:48" outlineLevel="2" x14ac:dyDescent="0.25">
      <c r="A1071" s="63" t="str">
        <f t="shared" si="191"/>
        <v>3.12.0.6.22.0</v>
      </c>
      <c r="B1071" s="64">
        <v>3</v>
      </c>
      <c r="C1071" s="64">
        <v>12</v>
      </c>
      <c r="D1071" s="64">
        <v>0</v>
      </c>
      <c r="E1071" s="64">
        <v>6</v>
      </c>
      <c r="F1071" s="64">
        <v>22</v>
      </c>
      <c r="G1071" s="64">
        <v>0</v>
      </c>
      <c r="H1071" s="65"/>
      <c r="I1071" s="65"/>
      <c r="J1071" s="66"/>
      <c r="K1071" s="65" t="s">
        <v>1244</v>
      </c>
      <c r="L1071" s="64" t="s">
        <v>72</v>
      </c>
      <c r="M1071" s="64" t="s">
        <v>73</v>
      </c>
      <c r="N1071" s="64" t="s">
        <v>74</v>
      </c>
      <c r="O1071" s="64" t="s">
        <v>737</v>
      </c>
      <c r="P1071" s="69"/>
      <c r="Q1071" s="69"/>
      <c r="R1071" s="64">
        <v>2</v>
      </c>
      <c r="S1071" s="65"/>
      <c r="T1071" s="64">
        <v>2</v>
      </c>
      <c r="U1071" s="75"/>
      <c r="V1071" s="684">
        <f t="shared" si="197"/>
        <v>0</v>
      </c>
      <c r="W1071" s="75"/>
      <c r="X1071" s="75"/>
      <c r="Y1071" s="75"/>
      <c r="Z1071" s="75"/>
      <c r="AA1071" s="75"/>
      <c r="AB1071" s="75"/>
      <c r="AC1071" s="97"/>
      <c r="AD1071" s="97"/>
      <c r="AE1071" s="591"/>
      <c r="AF1071" s="259" t="s">
        <v>1245</v>
      </c>
      <c r="AG1071" s="506">
        <v>0</v>
      </c>
      <c r="AH1071" s="370">
        <v>0</v>
      </c>
      <c r="AI1071" s="75"/>
      <c r="AJ1071" s="75"/>
      <c r="AK1071" s="75"/>
      <c r="AL1071" s="75"/>
      <c r="AM1071" s="75"/>
      <c r="AN1071" s="64" t="s">
        <v>39</v>
      </c>
      <c r="AO1071" s="64"/>
      <c r="AP1071" s="64"/>
      <c r="AQ1071" s="416"/>
      <c r="AR1071" s="245"/>
      <c r="AS1071" s="480"/>
      <c r="AT1071" s="64"/>
      <c r="AU1071" s="646"/>
      <c r="AV1071" s="454"/>
    </row>
    <row r="1072" spans="1:48" outlineLevel="2" x14ac:dyDescent="0.25">
      <c r="A1072" s="63" t="str">
        <f t="shared" si="191"/>
        <v>3.12.0.6.23.0</v>
      </c>
      <c r="B1072" s="64">
        <v>3</v>
      </c>
      <c r="C1072" s="64">
        <v>12</v>
      </c>
      <c r="D1072" s="64">
        <v>0</v>
      </c>
      <c r="E1072" s="64">
        <v>6</v>
      </c>
      <c r="F1072" s="64">
        <v>23</v>
      </c>
      <c r="G1072" s="64">
        <v>0</v>
      </c>
      <c r="H1072" s="65"/>
      <c r="I1072" s="65"/>
      <c r="J1072" s="66"/>
      <c r="K1072" s="65" t="s">
        <v>1246</v>
      </c>
      <c r="L1072" s="64" t="s">
        <v>72</v>
      </c>
      <c r="M1072" s="64" t="s">
        <v>73</v>
      </c>
      <c r="N1072" s="64" t="s">
        <v>423</v>
      </c>
      <c r="O1072" s="64" t="s">
        <v>72</v>
      </c>
      <c r="P1072" s="64"/>
      <c r="Q1072" s="64"/>
      <c r="R1072" s="64"/>
      <c r="S1072" s="65"/>
      <c r="T1072" s="64"/>
      <c r="U1072" s="75"/>
      <c r="V1072" s="684">
        <f t="shared" si="197"/>
        <v>0</v>
      </c>
      <c r="W1072" s="75"/>
      <c r="X1072" s="75"/>
      <c r="Y1072" s="75"/>
      <c r="Z1072" s="75"/>
      <c r="AA1072" s="75"/>
      <c r="AB1072" s="75"/>
      <c r="AC1072" s="97"/>
      <c r="AD1072" s="97"/>
      <c r="AE1072" s="591"/>
      <c r="AF1072" s="259"/>
      <c r="AG1072" s="506">
        <v>0</v>
      </c>
      <c r="AH1072" s="370">
        <v>0</v>
      </c>
      <c r="AI1072" s="75"/>
      <c r="AJ1072" s="75"/>
      <c r="AK1072" s="75"/>
      <c r="AL1072" s="75"/>
      <c r="AM1072" s="75"/>
      <c r="AN1072" s="64" t="s">
        <v>39</v>
      </c>
      <c r="AO1072" s="64"/>
      <c r="AP1072" s="64"/>
      <c r="AQ1072" s="189"/>
      <c r="AR1072" s="64"/>
      <c r="AS1072" s="476"/>
      <c r="AT1072" s="64"/>
      <c r="AU1072" s="646"/>
      <c r="AV1072" s="454"/>
    </row>
    <row r="1073" spans="1:48" outlineLevel="2" x14ac:dyDescent="0.25">
      <c r="A1073" s="63" t="str">
        <f t="shared" si="191"/>
        <v>3.12.0.6.24.0</v>
      </c>
      <c r="B1073" s="64">
        <v>3</v>
      </c>
      <c r="C1073" s="64">
        <v>12</v>
      </c>
      <c r="D1073" s="64">
        <v>0</v>
      </c>
      <c r="E1073" s="64">
        <v>6</v>
      </c>
      <c r="F1073" s="64">
        <v>24</v>
      </c>
      <c r="G1073" s="64">
        <v>0</v>
      </c>
      <c r="H1073" s="65"/>
      <c r="I1073" s="65"/>
      <c r="J1073" s="66"/>
      <c r="K1073" s="65" t="s">
        <v>1247</v>
      </c>
      <c r="L1073" s="64" t="s">
        <v>72</v>
      </c>
      <c r="M1073" s="64" t="s">
        <v>73</v>
      </c>
      <c r="N1073" s="64" t="s">
        <v>74</v>
      </c>
      <c r="O1073" s="64" t="s">
        <v>359</v>
      </c>
      <c r="P1073" s="64"/>
      <c r="Q1073" s="64"/>
      <c r="R1073" s="64"/>
      <c r="S1073" s="65"/>
      <c r="T1073" s="64"/>
      <c r="U1073" s="75"/>
      <c r="V1073" s="684">
        <f t="shared" si="197"/>
        <v>0</v>
      </c>
      <c r="W1073" s="75"/>
      <c r="X1073" s="75"/>
      <c r="Y1073" s="75"/>
      <c r="Z1073" s="75"/>
      <c r="AA1073" s="75"/>
      <c r="AB1073" s="75"/>
      <c r="AC1073" s="97"/>
      <c r="AD1073" s="97"/>
      <c r="AE1073" s="591"/>
      <c r="AF1073" s="259"/>
      <c r="AG1073" s="506">
        <v>0</v>
      </c>
      <c r="AH1073" s="370">
        <v>0</v>
      </c>
      <c r="AI1073" s="75"/>
      <c r="AJ1073" s="75"/>
      <c r="AK1073" s="75"/>
      <c r="AL1073" s="75"/>
      <c r="AM1073" s="75"/>
      <c r="AN1073" s="64" t="s">
        <v>39</v>
      </c>
      <c r="AO1073" s="64"/>
      <c r="AP1073" s="64"/>
      <c r="AQ1073" s="189"/>
      <c r="AR1073" s="64"/>
      <c r="AS1073" s="476"/>
      <c r="AT1073" s="64"/>
      <c r="AU1073" s="646"/>
      <c r="AV1073" s="454"/>
    </row>
    <row r="1074" spans="1:48" ht="30" outlineLevel="2" x14ac:dyDescent="0.25">
      <c r="A1074" s="63" t="str">
        <f t="shared" si="191"/>
        <v>3.12.0.6.25.0</v>
      </c>
      <c r="B1074" s="64">
        <v>3</v>
      </c>
      <c r="C1074" s="64">
        <v>12</v>
      </c>
      <c r="D1074" s="64">
        <v>0</v>
      </c>
      <c r="E1074" s="64">
        <v>6</v>
      </c>
      <c r="F1074" s="64">
        <v>25</v>
      </c>
      <c r="G1074" s="64">
        <v>0</v>
      </c>
      <c r="H1074" s="65"/>
      <c r="I1074" s="65"/>
      <c r="J1074" s="66"/>
      <c r="K1074" s="67" t="s">
        <v>1248</v>
      </c>
      <c r="L1074" s="64" t="s">
        <v>72</v>
      </c>
      <c r="M1074" s="64" t="s">
        <v>73</v>
      </c>
      <c r="N1074" s="64" t="s">
        <v>1249</v>
      </c>
      <c r="O1074" s="64" t="s">
        <v>72</v>
      </c>
      <c r="P1074" s="69"/>
      <c r="Q1074" s="69"/>
      <c r="R1074" s="64">
        <v>3</v>
      </c>
      <c r="S1074" s="65"/>
      <c r="T1074" s="64">
        <v>3</v>
      </c>
      <c r="U1074" s="75"/>
      <c r="V1074" s="684">
        <f t="shared" si="197"/>
        <v>0</v>
      </c>
      <c r="W1074" s="75"/>
      <c r="X1074" s="75"/>
      <c r="Y1074" s="75"/>
      <c r="Z1074" s="75"/>
      <c r="AA1074" s="75"/>
      <c r="AB1074" s="75"/>
      <c r="AC1074" s="97"/>
      <c r="AD1074" s="97"/>
      <c r="AE1074" s="591"/>
      <c r="AF1074" s="259" t="s">
        <v>1250</v>
      </c>
      <c r="AG1074" s="506">
        <v>0</v>
      </c>
      <c r="AH1074" s="370"/>
      <c r="AI1074" s="75"/>
      <c r="AJ1074" s="75"/>
      <c r="AK1074" s="75"/>
      <c r="AL1074" s="75"/>
      <c r="AM1074" s="75"/>
      <c r="AN1074" s="64" t="s">
        <v>181</v>
      </c>
      <c r="AO1074" s="64"/>
      <c r="AP1074" s="64"/>
      <c r="AQ1074" s="189"/>
      <c r="AR1074" s="64"/>
      <c r="AS1074" s="476"/>
      <c r="AT1074" s="64"/>
      <c r="AU1074" s="646"/>
      <c r="AV1074" s="335" t="s">
        <v>127</v>
      </c>
    </row>
    <row r="1075" spans="1:48" outlineLevel="2" x14ac:dyDescent="0.25">
      <c r="A1075" s="63" t="str">
        <f t="shared" si="191"/>
        <v>3.12.0.6.26.0</v>
      </c>
      <c r="B1075" s="64">
        <v>3</v>
      </c>
      <c r="C1075" s="64">
        <v>12</v>
      </c>
      <c r="D1075" s="64">
        <v>0</v>
      </c>
      <c r="E1075" s="64">
        <v>6</v>
      </c>
      <c r="F1075" s="64">
        <v>26</v>
      </c>
      <c r="G1075" s="64">
        <v>0</v>
      </c>
      <c r="H1075" s="65"/>
      <c r="I1075" s="65"/>
      <c r="J1075" s="66"/>
      <c r="K1075" s="65" t="s">
        <v>1251</v>
      </c>
      <c r="L1075" s="64" t="s">
        <v>72</v>
      </c>
      <c r="M1075" s="64" t="s">
        <v>73</v>
      </c>
      <c r="N1075" s="64">
        <v>0</v>
      </c>
      <c r="O1075" s="64">
        <v>0</v>
      </c>
      <c r="P1075" s="64"/>
      <c r="Q1075" s="64"/>
      <c r="R1075" s="64"/>
      <c r="S1075" s="65"/>
      <c r="T1075" s="64"/>
      <c r="U1075" s="75"/>
      <c r="V1075" s="684">
        <f t="shared" si="197"/>
        <v>0</v>
      </c>
      <c r="W1075" s="75"/>
      <c r="X1075" s="75"/>
      <c r="Y1075" s="75"/>
      <c r="Z1075" s="75"/>
      <c r="AA1075" s="75"/>
      <c r="AB1075" s="75"/>
      <c r="AC1075" s="97"/>
      <c r="AD1075" s="97"/>
      <c r="AE1075" s="591"/>
      <c r="AF1075" s="259"/>
      <c r="AG1075" s="506"/>
      <c r="AH1075" s="389">
        <v>0</v>
      </c>
      <c r="AI1075" s="155"/>
      <c r="AJ1075" s="155"/>
      <c r="AK1075" s="155"/>
      <c r="AL1075" s="155"/>
      <c r="AM1075" s="155"/>
      <c r="AN1075" s="64" t="s">
        <v>39</v>
      </c>
      <c r="AO1075" s="64"/>
      <c r="AP1075" s="64"/>
      <c r="AQ1075" s="189"/>
      <c r="AR1075" s="64"/>
      <c r="AS1075" s="476"/>
      <c r="AT1075" s="64"/>
      <c r="AU1075" s="646"/>
      <c r="AV1075" s="454"/>
    </row>
    <row r="1076" spans="1:48" ht="26.45" customHeight="1" outlineLevel="2" x14ac:dyDescent="0.25">
      <c r="A1076" s="63" t="str">
        <f t="shared" si="191"/>
        <v>3.12.0.6.27.0</v>
      </c>
      <c r="B1076" s="64">
        <v>3</v>
      </c>
      <c r="C1076" s="64">
        <v>12</v>
      </c>
      <c r="D1076" s="64">
        <v>0</v>
      </c>
      <c r="E1076" s="64">
        <v>6</v>
      </c>
      <c r="F1076" s="64">
        <v>27</v>
      </c>
      <c r="G1076" s="64">
        <v>0</v>
      </c>
      <c r="H1076" s="65"/>
      <c r="I1076" s="65"/>
      <c r="J1076" s="66"/>
      <c r="K1076" s="65" t="s">
        <v>1252</v>
      </c>
      <c r="L1076" s="64" t="s">
        <v>72</v>
      </c>
      <c r="M1076" s="64" t="s">
        <v>73</v>
      </c>
      <c r="N1076" s="64" t="s">
        <v>74</v>
      </c>
      <c r="O1076" s="64" t="s">
        <v>38</v>
      </c>
      <c r="P1076" s="69"/>
      <c r="Q1076" s="69"/>
      <c r="R1076" s="64">
        <v>2</v>
      </c>
      <c r="S1076" s="65"/>
      <c r="T1076" s="64">
        <v>1</v>
      </c>
      <c r="U1076" s="155"/>
      <c r="V1076" s="704">
        <f t="shared" si="197"/>
        <v>16986.05</v>
      </c>
      <c r="W1076" s="155">
        <v>1</v>
      </c>
      <c r="X1076" s="155"/>
      <c r="Y1076" s="155"/>
      <c r="Z1076" s="155"/>
      <c r="AA1076" s="155"/>
      <c r="AB1076" s="155"/>
      <c r="AC1076" s="172"/>
      <c r="AD1076" s="172"/>
      <c r="AE1076" s="612"/>
      <c r="AF1076" s="259" t="s">
        <v>1230</v>
      </c>
      <c r="AG1076" s="506">
        <v>0</v>
      </c>
      <c r="AH1076" s="389">
        <v>0</v>
      </c>
      <c r="AI1076" s="155"/>
      <c r="AJ1076" s="155">
        <v>16986.05</v>
      </c>
      <c r="AK1076" s="155"/>
      <c r="AL1076" s="155"/>
      <c r="AM1076" s="155"/>
      <c r="AN1076" s="64" t="s">
        <v>181</v>
      </c>
      <c r="AO1076" s="64"/>
      <c r="AP1076" s="64"/>
      <c r="AQ1076" s="189"/>
      <c r="AR1076" s="64"/>
      <c r="AS1076" s="476"/>
      <c r="AT1076" s="64"/>
      <c r="AU1076" s="646">
        <v>275</v>
      </c>
      <c r="AV1076" s="335" t="s">
        <v>1902</v>
      </c>
    </row>
    <row r="1077" spans="1:48" outlineLevel="2" x14ac:dyDescent="0.25">
      <c r="A1077" s="63" t="str">
        <f t="shared" si="191"/>
        <v>3.12.0.6.28.0</v>
      </c>
      <c r="B1077" s="64">
        <v>3</v>
      </c>
      <c r="C1077" s="64">
        <v>12</v>
      </c>
      <c r="D1077" s="64">
        <v>0</v>
      </c>
      <c r="E1077" s="64">
        <v>6</v>
      </c>
      <c r="F1077" s="64">
        <v>28</v>
      </c>
      <c r="G1077" s="64">
        <v>0</v>
      </c>
      <c r="H1077" s="65"/>
      <c r="I1077" s="65"/>
      <c r="J1077" s="66"/>
      <c r="K1077" s="65" t="s">
        <v>1253</v>
      </c>
      <c r="L1077" s="64" t="s">
        <v>72</v>
      </c>
      <c r="M1077" s="64" t="s">
        <v>73</v>
      </c>
      <c r="N1077" s="64">
        <v>0</v>
      </c>
      <c r="O1077" s="64">
        <v>0</v>
      </c>
      <c r="P1077" s="64"/>
      <c r="Q1077" s="64"/>
      <c r="R1077" s="64"/>
      <c r="S1077" s="65"/>
      <c r="T1077" s="64"/>
      <c r="U1077" s="155"/>
      <c r="V1077" s="684">
        <f t="shared" si="197"/>
        <v>0</v>
      </c>
      <c r="W1077" s="155"/>
      <c r="X1077" s="155"/>
      <c r="Y1077" s="155"/>
      <c r="Z1077" s="155"/>
      <c r="AA1077" s="155"/>
      <c r="AB1077" s="155"/>
      <c r="AC1077" s="172"/>
      <c r="AD1077" s="172"/>
      <c r="AE1077" s="612"/>
      <c r="AF1077" s="259"/>
      <c r="AG1077" s="506">
        <v>0</v>
      </c>
      <c r="AH1077" s="389">
        <v>0</v>
      </c>
      <c r="AI1077" s="155"/>
      <c r="AJ1077" s="155"/>
      <c r="AK1077" s="155"/>
      <c r="AL1077" s="155"/>
      <c r="AM1077" s="155"/>
      <c r="AN1077" s="64" t="s">
        <v>39</v>
      </c>
      <c r="AO1077" s="64"/>
      <c r="AP1077" s="64"/>
      <c r="AQ1077" s="189"/>
      <c r="AR1077" s="64"/>
      <c r="AS1077" s="476"/>
      <c r="AT1077" s="64"/>
      <c r="AU1077" s="646"/>
      <c r="AV1077" s="454"/>
    </row>
    <row r="1078" spans="1:48" ht="30" outlineLevel="2" x14ac:dyDescent="0.25">
      <c r="A1078" s="63" t="str">
        <f t="shared" si="191"/>
        <v>3.12.0.6.29.0</v>
      </c>
      <c r="B1078" s="64">
        <v>3</v>
      </c>
      <c r="C1078" s="64">
        <v>12</v>
      </c>
      <c r="D1078" s="64">
        <v>0</v>
      </c>
      <c r="E1078" s="64">
        <v>6</v>
      </c>
      <c r="F1078" s="64">
        <v>29</v>
      </c>
      <c r="G1078" s="64">
        <v>0</v>
      </c>
      <c r="H1078" s="65"/>
      <c r="I1078" s="65"/>
      <c r="J1078" s="66"/>
      <c r="K1078" s="67" t="s">
        <v>1254</v>
      </c>
      <c r="L1078" s="64" t="s">
        <v>72</v>
      </c>
      <c r="M1078" s="64" t="s">
        <v>73</v>
      </c>
      <c r="N1078" s="64" t="s">
        <v>74</v>
      </c>
      <c r="O1078" s="64" t="s">
        <v>76</v>
      </c>
      <c r="P1078" s="69"/>
      <c r="Q1078" s="64"/>
      <c r="R1078" s="64">
        <v>1</v>
      </c>
      <c r="S1078" s="65" t="s">
        <v>76</v>
      </c>
      <c r="T1078" s="64">
        <v>1</v>
      </c>
      <c r="U1078" s="155">
        <v>50000</v>
      </c>
      <c r="V1078" s="674">
        <f t="shared" si="197"/>
        <v>0</v>
      </c>
      <c r="W1078" s="155"/>
      <c r="X1078" s="155">
        <v>50000</v>
      </c>
      <c r="Y1078" s="155"/>
      <c r="Z1078" s="155"/>
      <c r="AA1078" s="155"/>
      <c r="AB1078" s="155"/>
      <c r="AC1078" s="172"/>
      <c r="AD1078" s="172"/>
      <c r="AE1078" s="612"/>
      <c r="AF1078" s="347" t="s">
        <v>166</v>
      </c>
      <c r="AG1078" s="506">
        <v>0</v>
      </c>
      <c r="AH1078" s="370">
        <v>100000</v>
      </c>
      <c r="AI1078" s="75"/>
      <c r="AJ1078" s="75"/>
      <c r="AK1078" s="75"/>
      <c r="AL1078" s="75"/>
      <c r="AM1078" s="75"/>
      <c r="AN1078" s="64" t="s">
        <v>181</v>
      </c>
      <c r="AO1078" s="64"/>
      <c r="AP1078" s="64"/>
      <c r="AQ1078" s="189"/>
      <c r="AR1078" s="64"/>
      <c r="AS1078" s="476"/>
      <c r="AT1078" s="64"/>
      <c r="AU1078" s="646"/>
      <c r="AV1078" s="454"/>
    </row>
    <row r="1079" spans="1:48" ht="30" outlineLevel="2" x14ac:dyDescent="0.25">
      <c r="A1079" s="63" t="str">
        <f t="shared" si="191"/>
        <v>3.12.0.6.30.0</v>
      </c>
      <c r="B1079" s="64">
        <v>3</v>
      </c>
      <c r="C1079" s="64">
        <v>12</v>
      </c>
      <c r="D1079" s="64">
        <v>0</v>
      </c>
      <c r="E1079" s="64">
        <v>6</v>
      </c>
      <c r="F1079" s="64">
        <v>30</v>
      </c>
      <c r="G1079" s="64">
        <v>0</v>
      </c>
      <c r="H1079" s="65"/>
      <c r="I1079" s="65"/>
      <c r="J1079" s="66"/>
      <c r="K1079" s="65" t="s">
        <v>1916</v>
      </c>
      <c r="L1079" s="64" t="s">
        <v>72</v>
      </c>
      <c r="M1079" s="64" t="s">
        <v>73</v>
      </c>
      <c r="N1079" s="64" t="s">
        <v>74</v>
      </c>
      <c r="O1079" s="64" t="s">
        <v>38</v>
      </c>
      <c r="P1079" s="64"/>
      <c r="Q1079" s="64"/>
      <c r="R1079" s="64"/>
      <c r="S1079" s="65"/>
      <c r="T1079" s="64"/>
      <c r="U1079" s="155">
        <v>350000</v>
      </c>
      <c r="V1079" s="704">
        <f t="shared" si="197"/>
        <v>351644.92</v>
      </c>
      <c r="W1079" s="155"/>
      <c r="X1079" s="155">
        <f>+(AH1079-U1079)/3</f>
        <v>350000</v>
      </c>
      <c r="Y1079" s="155"/>
      <c r="Z1079" s="155"/>
      <c r="AA1079" s="155">
        <f>+(AH1079-U1079)/3</f>
        <v>350000</v>
      </c>
      <c r="AB1079" s="155"/>
      <c r="AC1079" s="172"/>
      <c r="AD1079" s="155">
        <f>+(AH1079-U1079)/3</f>
        <v>350000</v>
      </c>
      <c r="AE1079" s="599"/>
      <c r="AF1079" s="259"/>
      <c r="AG1079" s="506">
        <v>100000</v>
      </c>
      <c r="AH1079" s="370">
        <v>1400000</v>
      </c>
      <c r="AI1079" s="75"/>
      <c r="AJ1079" s="75">
        <f>178732.24+81712.57+91200.11</f>
        <v>351644.92</v>
      </c>
      <c r="AK1079" s="75"/>
      <c r="AL1079" s="75"/>
      <c r="AM1079" s="75"/>
      <c r="AN1079" s="64" t="s">
        <v>39</v>
      </c>
      <c r="AO1079" s="64" t="s">
        <v>1815</v>
      </c>
      <c r="AP1079" s="64" t="s">
        <v>649</v>
      </c>
      <c r="AQ1079" s="533" t="s">
        <v>649</v>
      </c>
      <c r="AR1079" s="64" t="s">
        <v>649</v>
      </c>
      <c r="AS1079" s="533" t="s">
        <v>649</v>
      </c>
      <c r="AT1079" s="64" t="s">
        <v>1814</v>
      </c>
      <c r="AU1079" s="646" t="s">
        <v>1918</v>
      </c>
      <c r="AV1079" s="443" t="s">
        <v>1919</v>
      </c>
    </row>
    <row r="1080" spans="1:48" ht="30" outlineLevel="2" x14ac:dyDescent="0.25">
      <c r="A1080" s="63" t="str">
        <f t="shared" si="191"/>
        <v>3.12.0.6.31.0</v>
      </c>
      <c r="B1080" s="64">
        <v>3</v>
      </c>
      <c r="C1080" s="64">
        <v>12</v>
      </c>
      <c r="D1080" s="64">
        <v>0</v>
      </c>
      <c r="E1080" s="64">
        <v>6</v>
      </c>
      <c r="F1080" s="64">
        <v>31</v>
      </c>
      <c r="G1080" s="64">
        <v>0</v>
      </c>
      <c r="H1080" s="65"/>
      <c r="I1080" s="65"/>
      <c r="J1080" s="66"/>
      <c r="K1080" s="67" t="s">
        <v>1255</v>
      </c>
      <c r="L1080" s="64" t="s">
        <v>72</v>
      </c>
      <c r="M1080" s="64" t="s">
        <v>267</v>
      </c>
      <c r="N1080" s="64" t="s">
        <v>265</v>
      </c>
      <c r="O1080" s="64" t="s">
        <v>1256</v>
      </c>
      <c r="P1080" s="64"/>
      <c r="Q1080" s="64"/>
      <c r="R1080" s="64"/>
      <c r="S1080" s="65"/>
      <c r="T1080" s="64"/>
      <c r="U1080" s="155"/>
      <c r="V1080" s="684">
        <f t="shared" si="197"/>
        <v>0</v>
      </c>
      <c r="W1080" s="155"/>
      <c r="X1080" s="155"/>
      <c r="Y1080" s="155"/>
      <c r="Z1080" s="155"/>
      <c r="AA1080" s="155"/>
      <c r="AB1080" s="155"/>
      <c r="AC1080" s="172"/>
      <c r="AD1080" s="172"/>
      <c r="AE1080" s="612"/>
      <c r="AF1080" s="259"/>
      <c r="AG1080" s="506">
        <v>1400000</v>
      </c>
      <c r="AH1080" s="370">
        <v>0</v>
      </c>
      <c r="AI1080" s="75"/>
      <c r="AJ1080" s="75"/>
      <c r="AK1080" s="75"/>
      <c r="AL1080" s="75"/>
      <c r="AM1080" s="75"/>
      <c r="AN1080" s="64" t="s">
        <v>39</v>
      </c>
      <c r="AO1080" s="64"/>
      <c r="AP1080" s="64"/>
      <c r="AQ1080" s="189"/>
      <c r="AR1080" s="64"/>
      <c r="AS1080" s="476"/>
      <c r="AT1080" s="64"/>
      <c r="AU1080" s="646"/>
      <c r="AV1080" s="443" t="s">
        <v>1015</v>
      </c>
    </row>
    <row r="1081" spans="1:48" ht="30" outlineLevel="2" x14ac:dyDescent="0.25">
      <c r="A1081" s="63" t="str">
        <f t="shared" si="191"/>
        <v>3.12.0.6.32.0</v>
      </c>
      <c r="B1081" s="64">
        <v>3</v>
      </c>
      <c r="C1081" s="64">
        <v>12</v>
      </c>
      <c r="D1081" s="64">
        <v>0</v>
      </c>
      <c r="E1081" s="64">
        <v>6</v>
      </c>
      <c r="F1081" s="64">
        <v>32</v>
      </c>
      <c r="G1081" s="64">
        <v>0</v>
      </c>
      <c r="H1081" s="65"/>
      <c r="I1081" s="65"/>
      <c r="J1081" s="66"/>
      <c r="K1081" s="67" t="s">
        <v>1257</v>
      </c>
      <c r="L1081" s="64" t="s">
        <v>72</v>
      </c>
      <c r="M1081" s="64" t="s">
        <v>267</v>
      </c>
      <c r="N1081" s="64" t="s">
        <v>265</v>
      </c>
      <c r="O1081" s="64" t="s">
        <v>1256</v>
      </c>
      <c r="P1081" s="64"/>
      <c r="Q1081" s="64"/>
      <c r="R1081" s="64"/>
      <c r="S1081" s="65"/>
      <c r="T1081" s="64"/>
      <c r="U1081" s="155"/>
      <c r="V1081" s="684">
        <f t="shared" si="197"/>
        <v>0</v>
      </c>
      <c r="W1081" s="155"/>
      <c r="X1081" s="155"/>
      <c r="Y1081" s="155"/>
      <c r="Z1081" s="155"/>
      <c r="AA1081" s="155"/>
      <c r="AB1081" s="155"/>
      <c r="AC1081" s="172"/>
      <c r="AD1081" s="172"/>
      <c r="AE1081" s="612"/>
      <c r="AF1081" s="259"/>
      <c r="AG1081" s="506">
        <v>0</v>
      </c>
      <c r="AH1081" s="370">
        <v>0</v>
      </c>
      <c r="AI1081" s="75"/>
      <c r="AJ1081" s="75"/>
      <c r="AK1081" s="75"/>
      <c r="AL1081" s="75"/>
      <c r="AM1081" s="75"/>
      <c r="AN1081" s="64" t="s">
        <v>39</v>
      </c>
      <c r="AO1081" s="64"/>
      <c r="AP1081" s="64"/>
      <c r="AQ1081" s="189"/>
      <c r="AR1081" s="64"/>
      <c r="AS1081" s="476"/>
      <c r="AT1081" s="64"/>
      <c r="AU1081" s="646"/>
      <c r="AV1081" s="454"/>
    </row>
    <row r="1082" spans="1:48" ht="30" outlineLevel="2" x14ac:dyDescent="0.25">
      <c r="A1082" s="63" t="str">
        <f t="shared" si="191"/>
        <v>3.12.0.6.33.0</v>
      </c>
      <c r="B1082" s="64">
        <v>3</v>
      </c>
      <c r="C1082" s="64">
        <v>12</v>
      </c>
      <c r="D1082" s="64">
        <v>0</v>
      </c>
      <c r="E1082" s="64">
        <v>6</v>
      </c>
      <c r="F1082" s="64">
        <v>33</v>
      </c>
      <c r="G1082" s="64">
        <v>0</v>
      </c>
      <c r="H1082" s="65"/>
      <c r="I1082" s="65"/>
      <c r="J1082" s="65"/>
      <c r="K1082" s="67" t="s">
        <v>1258</v>
      </c>
      <c r="L1082" s="64" t="s">
        <v>72</v>
      </c>
      <c r="M1082" s="64" t="s">
        <v>73</v>
      </c>
      <c r="N1082" s="64" t="s">
        <v>1249</v>
      </c>
      <c r="O1082" s="64" t="s">
        <v>1259</v>
      </c>
      <c r="P1082" s="69"/>
      <c r="Q1082" s="69"/>
      <c r="R1082" s="64">
        <v>1</v>
      </c>
      <c r="S1082" s="65"/>
      <c r="T1082" s="64">
        <v>1</v>
      </c>
      <c r="U1082" s="155"/>
      <c r="V1082" s="684">
        <f t="shared" si="197"/>
        <v>0</v>
      </c>
      <c r="W1082" s="155"/>
      <c r="X1082" s="155"/>
      <c r="Y1082" s="155"/>
      <c r="Z1082" s="155"/>
      <c r="AA1082" s="155"/>
      <c r="AB1082" s="155"/>
      <c r="AC1082" s="172"/>
      <c r="AD1082" s="172"/>
      <c r="AE1082" s="612"/>
      <c r="AF1082" s="259" t="s">
        <v>1260</v>
      </c>
      <c r="AG1082" s="506">
        <v>0</v>
      </c>
      <c r="AH1082" s="370">
        <v>0</v>
      </c>
      <c r="AI1082" s="75"/>
      <c r="AJ1082" s="75"/>
      <c r="AK1082" s="75"/>
      <c r="AL1082" s="75"/>
      <c r="AM1082" s="75"/>
      <c r="AN1082" s="64" t="s">
        <v>39</v>
      </c>
      <c r="AO1082" s="64"/>
      <c r="AP1082" s="64"/>
      <c r="AQ1082" s="189"/>
      <c r="AR1082" s="64"/>
      <c r="AS1082" s="476"/>
      <c r="AT1082" s="64"/>
      <c r="AU1082" s="646"/>
      <c r="AV1082" s="454"/>
    </row>
    <row r="1083" spans="1:48" ht="30" outlineLevel="2" x14ac:dyDescent="0.25">
      <c r="A1083" s="63" t="str">
        <f t="shared" si="191"/>
        <v>3.12.0.6.34.0</v>
      </c>
      <c r="B1083" s="64">
        <v>3</v>
      </c>
      <c r="C1083" s="64">
        <v>12</v>
      </c>
      <c r="D1083" s="64">
        <v>0</v>
      </c>
      <c r="E1083" s="64">
        <v>6</v>
      </c>
      <c r="F1083" s="64">
        <v>34</v>
      </c>
      <c r="G1083" s="64">
        <v>0</v>
      </c>
      <c r="H1083" s="65"/>
      <c r="I1083" s="65"/>
      <c r="J1083" s="65"/>
      <c r="K1083" s="67" t="s">
        <v>1261</v>
      </c>
      <c r="L1083" s="64" t="s">
        <v>72</v>
      </c>
      <c r="M1083" s="64" t="s">
        <v>73</v>
      </c>
      <c r="N1083" s="64" t="s">
        <v>180</v>
      </c>
      <c r="O1083" s="64" t="s">
        <v>1262</v>
      </c>
      <c r="P1083" s="69"/>
      <c r="Q1083" s="69"/>
      <c r="R1083" s="64">
        <v>3</v>
      </c>
      <c r="S1083" s="65"/>
      <c r="T1083" s="64">
        <v>2</v>
      </c>
      <c r="U1083" s="155"/>
      <c r="V1083" s="684">
        <f t="shared" si="197"/>
        <v>0</v>
      </c>
      <c r="W1083" s="155"/>
      <c r="X1083" s="155"/>
      <c r="Y1083" s="155"/>
      <c r="Z1083" s="155"/>
      <c r="AA1083" s="155"/>
      <c r="AB1083" s="155"/>
      <c r="AC1083" s="172"/>
      <c r="AD1083" s="172"/>
      <c r="AE1083" s="612"/>
      <c r="AF1083" s="259" t="s">
        <v>1263</v>
      </c>
      <c r="AG1083" s="506">
        <v>0</v>
      </c>
      <c r="AH1083" s="370"/>
      <c r="AI1083" s="75"/>
      <c r="AJ1083" s="75"/>
      <c r="AK1083" s="75"/>
      <c r="AL1083" s="75"/>
      <c r="AM1083" s="75"/>
      <c r="AN1083" s="64" t="s">
        <v>181</v>
      </c>
      <c r="AO1083" s="64"/>
      <c r="AP1083" s="64"/>
      <c r="AQ1083" s="189"/>
      <c r="AR1083" s="64"/>
      <c r="AS1083" s="476"/>
      <c r="AT1083" s="64"/>
      <c r="AU1083" s="646"/>
      <c r="AV1083" s="443"/>
    </row>
    <row r="1084" spans="1:48" ht="30" outlineLevel="2" x14ac:dyDescent="0.25">
      <c r="A1084" s="63" t="str">
        <f t="shared" si="191"/>
        <v>3.12.0.6.35.0</v>
      </c>
      <c r="B1084" s="64">
        <v>3</v>
      </c>
      <c r="C1084" s="64">
        <v>12</v>
      </c>
      <c r="D1084" s="64">
        <v>0</v>
      </c>
      <c r="E1084" s="64">
        <v>6</v>
      </c>
      <c r="F1084" s="64">
        <v>35</v>
      </c>
      <c r="G1084" s="64">
        <v>0</v>
      </c>
      <c r="H1084" s="65"/>
      <c r="I1084" s="65"/>
      <c r="J1084" s="66"/>
      <c r="K1084" s="67" t="s">
        <v>1264</v>
      </c>
      <c r="L1084" s="64" t="s">
        <v>72</v>
      </c>
      <c r="M1084" s="64" t="s">
        <v>267</v>
      </c>
      <c r="N1084" s="64" t="s">
        <v>265</v>
      </c>
      <c r="O1084" s="64" t="s">
        <v>1256</v>
      </c>
      <c r="P1084" s="64"/>
      <c r="Q1084" s="64"/>
      <c r="R1084" s="64"/>
      <c r="S1084" s="65"/>
      <c r="T1084" s="64"/>
      <c r="U1084" s="155">
        <v>750000</v>
      </c>
      <c r="V1084" s="684">
        <f t="shared" si="197"/>
        <v>0</v>
      </c>
      <c r="W1084" s="155"/>
      <c r="X1084" s="155">
        <v>750000</v>
      </c>
      <c r="Y1084" s="155"/>
      <c r="Z1084" s="155"/>
      <c r="AA1084" s="155">
        <v>750000</v>
      </c>
      <c r="AB1084" s="155"/>
      <c r="AC1084" s="172"/>
      <c r="AD1084" s="155">
        <v>750000</v>
      </c>
      <c r="AE1084" s="599"/>
      <c r="AF1084" s="259"/>
      <c r="AG1084" s="506">
        <v>50000</v>
      </c>
      <c r="AH1084" s="370">
        <v>3000000</v>
      </c>
      <c r="AI1084" s="75"/>
      <c r="AJ1084" s="75"/>
      <c r="AK1084" s="75"/>
      <c r="AL1084" s="75"/>
      <c r="AM1084" s="75"/>
      <c r="AN1084" s="64" t="s">
        <v>39</v>
      </c>
      <c r="AO1084" s="64"/>
      <c r="AP1084" s="64"/>
      <c r="AQ1084" s="189"/>
      <c r="AR1084" s="64"/>
      <c r="AS1084" s="476"/>
      <c r="AT1084" s="64"/>
      <c r="AU1084" s="646"/>
      <c r="AV1084" s="454"/>
    </row>
    <row r="1085" spans="1:48" ht="30" outlineLevel="2" x14ac:dyDescent="0.25">
      <c r="A1085" s="63" t="str">
        <f t="shared" si="191"/>
        <v>3.12.0.6.36.0</v>
      </c>
      <c r="B1085" s="64">
        <v>3</v>
      </c>
      <c r="C1085" s="64">
        <v>12</v>
      </c>
      <c r="D1085" s="64">
        <v>0</v>
      </c>
      <c r="E1085" s="64">
        <v>6</v>
      </c>
      <c r="F1085" s="64">
        <v>36</v>
      </c>
      <c r="G1085" s="64">
        <v>0</v>
      </c>
      <c r="H1085" s="65"/>
      <c r="I1085" s="65"/>
      <c r="J1085" s="66"/>
      <c r="K1085" s="67" t="s">
        <v>1265</v>
      </c>
      <c r="L1085" s="64" t="s">
        <v>72</v>
      </c>
      <c r="M1085" s="64" t="s">
        <v>267</v>
      </c>
      <c r="N1085" s="64" t="s">
        <v>1266</v>
      </c>
      <c r="O1085" s="64" t="s">
        <v>72</v>
      </c>
      <c r="P1085" s="64"/>
      <c r="Q1085" s="64"/>
      <c r="R1085" s="64"/>
      <c r="S1085" s="65"/>
      <c r="T1085" s="64"/>
      <c r="U1085" s="75"/>
      <c r="V1085" s="684">
        <f t="shared" si="197"/>
        <v>0</v>
      </c>
      <c r="W1085" s="75"/>
      <c r="X1085" s="75"/>
      <c r="Y1085" s="75"/>
      <c r="Z1085" s="75"/>
      <c r="AA1085" s="75"/>
      <c r="AB1085" s="75"/>
      <c r="AC1085" s="97"/>
      <c r="AD1085" s="97"/>
      <c r="AE1085" s="591"/>
      <c r="AF1085" s="259"/>
      <c r="AG1085" s="506">
        <v>3000000</v>
      </c>
      <c r="AH1085" s="370">
        <v>0</v>
      </c>
      <c r="AI1085" s="75"/>
      <c r="AJ1085" s="75"/>
      <c r="AK1085" s="75"/>
      <c r="AL1085" s="75"/>
      <c r="AM1085" s="75"/>
      <c r="AN1085" s="64" t="s">
        <v>39</v>
      </c>
      <c r="AO1085" s="64"/>
      <c r="AP1085" s="64"/>
      <c r="AQ1085" s="189"/>
      <c r="AR1085" s="64"/>
      <c r="AS1085" s="476"/>
      <c r="AT1085" s="64"/>
      <c r="AU1085" s="646"/>
      <c r="AV1085" s="454"/>
    </row>
    <row r="1086" spans="1:48" ht="30" outlineLevel="2" x14ac:dyDescent="0.25">
      <c r="A1086" s="63" t="str">
        <f t="shared" si="191"/>
        <v>3.12.0.6.37.0</v>
      </c>
      <c r="B1086" s="64">
        <v>3</v>
      </c>
      <c r="C1086" s="64">
        <v>12</v>
      </c>
      <c r="D1086" s="64">
        <v>0</v>
      </c>
      <c r="E1086" s="64">
        <v>6</v>
      </c>
      <c r="F1086" s="64">
        <v>37</v>
      </c>
      <c r="G1086" s="64">
        <v>0</v>
      </c>
      <c r="H1086" s="65"/>
      <c r="I1086" s="65"/>
      <c r="J1086" s="66"/>
      <c r="K1086" s="67" t="s">
        <v>1267</v>
      </c>
      <c r="L1086" s="64" t="s">
        <v>72</v>
      </c>
      <c r="M1086" s="64" t="s">
        <v>73</v>
      </c>
      <c r="N1086" s="64" t="s">
        <v>74</v>
      </c>
      <c r="O1086" s="64" t="s">
        <v>72</v>
      </c>
      <c r="P1086" s="69"/>
      <c r="Q1086" s="69"/>
      <c r="R1086" s="64">
        <v>1</v>
      </c>
      <c r="S1086" s="65"/>
      <c r="T1086" s="64"/>
      <c r="U1086" s="155">
        <f>$AH$1086/4</f>
        <v>107142.855</v>
      </c>
      <c r="V1086" s="684">
        <f t="shared" si="197"/>
        <v>0</v>
      </c>
      <c r="W1086" s="75">
        <v>1</v>
      </c>
      <c r="X1086" s="155">
        <f>$AH$1086/4</f>
        <v>107142.855</v>
      </c>
      <c r="Y1086" s="155"/>
      <c r="Z1086" s="75"/>
      <c r="AA1086" s="155">
        <f>$AH$1086/4</f>
        <v>107142.855</v>
      </c>
      <c r="AB1086" s="155"/>
      <c r="AC1086" s="97"/>
      <c r="AD1086" s="155">
        <f>$AH$1086/4</f>
        <v>107142.855</v>
      </c>
      <c r="AE1086" s="599"/>
      <c r="AF1086" s="259" t="s">
        <v>1268</v>
      </c>
      <c r="AG1086" s="506">
        <v>0</v>
      </c>
      <c r="AH1086" s="370">
        <v>428571.42</v>
      </c>
      <c r="AI1086" s="75"/>
      <c r="AJ1086" s="75"/>
      <c r="AK1086" s="75"/>
      <c r="AL1086" s="75"/>
      <c r="AM1086" s="75"/>
      <c r="AN1086" s="64" t="s">
        <v>39</v>
      </c>
      <c r="AO1086" s="64"/>
      <c r="AP1086" s="64"/>
      <c r="AQ1086" s="189"/>
      <c r="AR1086" s="64"/>
      <c r="AS1086" s="476"/>
      <c r="AT1086" s="64"/>
      <c r="AU1086" s="646"/>
      <c r="AV1086" s="443"/>
    </row>
    <row r="1087" spans="1:48" ht="30" outlineLevel="2" x14ac:dyDescent="0.25">
      <c r="A1087" s="63" t="str">
        <f t="shared" si="191"/>
        <v>3.12.0.6.39.0</v>
      </c>
      <c r="B1087" s="64">
        <v>3</v>
      </c>
      <c r="C1087" s="64">
        <v>12</v>
      </c>
      <c r="D1087" s="64">
        <v>0</v>
      </c>
      <c r="E1087" s="64">
        <v>6</v>
      </c>
      <c r="F1087" s="64">
        <v>39</v>
      </c>
      <c r="G1087" s="64">
        <v>0</v>
      </c>
      <c r="H1087" s="65"/>
      <c r="I1087" s="65"/>
      <c r="J1087" s="66"/>
      <c r="K1087" s="67" t="s">
        <v>1269</v>
      </c>
      <c r="L1087" s="64" t="s">
        <v>72</v>
      </c>
      <c r="M1087" s="64" t="s">
        <v>73</v>
      </c>
      <c r="N1087" s="64" t="s">
        <v>74</v>
      </c>
      <c r="O1087" s="64" t="s">
        <v>1270</v>
      </c>
      <c r="P1087" s="69"/>
      <c r="Q1087" s="69"/>
      <c r="R1087" s="64">
        <v>6</v>
      </c>
      <c r="S1087" s="65" t="s">
        <v>1271</v>
      </c>
      <c r="T1087" s="64"/>
      <c r="U1087" s="75"/>
      <c r="V1087" s="684">
        <f t="shared" si="197"/>
        <v>0</v>
      </c>
      <c r="W1087" s="75"/>
      <c r="X1087" s="75"/>
      <c r="Y1087" s="75"/>
      <c r="Z1087" s="75">
        <v>4</v>
      </c>
      <c r="AA1087" s="75"/>
      <c r="AB1087" s="75"/>
      <c r="AC1087" s="75">
        <v>2</v>
      </c>
      <c r="AD1087" s="75"/>
      <c r="AE1087" s="592"/>
      <c r="AF1087" s="259"/>
      <c r="AG1087" s="506">
        <v>159149.97</v>
      </c>
      <c r="AH1087" s="370">
        <v>0</v>
      </c>
      <c r="AI1087" s="75"/>
      <c r="AJ1087" s="75"/>
      <c r="AK1087" s="75"/>
      <c r="AL1087" s="75"/>
      <c r="AM1087" s="75"/>
      <c r="AN1087" s="64" t="s">
        <v>39</v>
      </c>
      <c r="AO1087" s="64"/>
      <c r="AP1087" s="64"/>
      <c r="AQ1087" s="189"/>
      <c r="AR1087" s="64"/>
      <c r="AS1087" s="476"/>
      <c r="AT1087" s="64"/>
      <c r="AU1087" s="646"/>
      <c r="AV1087" s="454"/>
    </row>
    <row r="1088" spans="1:48" outlineLevel="2" x14ac:dyDescent="0.25">
      <c r="A1088" s="63" t="str">
        <f t="shared" si="191"/>
        <v>3.12.0.6.40.0</v>
      </c>
      <c r="B1088" s="64">
        <v>3</v>
      </c>
      <c r="C1088" s="64">
        <v>12</v>
      </c>
      <c r="D1088" s="64">
        <v>0</v>
      </c>
      <c r="E1088" s="64">
        <v>6</v>
      </c>
      <c r="F1088" s="64">
        <v>40</v>
      </c>
      <c r="G1088" s="64">
        <v>0</v>
      </c>
      <c r="H1088" s="65"/>
      <c r="I1088" s="65"/>
      <c r="J1088" s="65"/>
      <c r="K1088" s="65" t="s">
        <v>1272</v>
      </c>
      <c r="L1088" s="64" t="s">
        <v>72</v>
      </c>
      <c r="M1088" s="64" t="s">
        <v>73</v>
      </c>
      <c r="N1088" s="64" t="s">
        <v>382</v>
      </c>
      <c r="O1088" s="64" t="s">
        <v>72</v>
      </c>
      <c r="P1088" s="170"/>
      <c r="Q1088" s="170"/>
      <c r="R1088" s="170">
        <v>12</v>
      </c>
      <c r="S1088" s="170" t="s">
        <v>1273</v>
      </c>
      <c r="T1088" s="170">
        <v>3</v>
      </c>
      <c r="U1088" s="97"/>
      <c r="V1088" s="684">
        <f t="shared" si="197"/>
        <v>0</v>
      </c>
      <c r="W1088" s="97">
        <v>3</v>
      </c>
      <c r="X1088" s="97"/>
      <c r="Y1088" s="97"/>
      <c r="Z1088" s="97">
        <v>3</v>
      </c>
      <c r="AA1088" s="97"/>
      <c r="AB1088" s="97"/>
      <c r="AC1088" s="97">
        <v>3</v>
      </c>
      <c r="AD1088" s="97"/>
      <c r="AE1088" s="591"/>
      <c r="AF1088" s="353" t="s">
        <v>1274</v>
      </c>
      <c r="AG1088" s="525">
        <v>0</v>
      </c>
      <c r="AH1088" s="388">
        <v>0</v>
      </c>
      <c r="AI1088" s="258"/>
      <c r="AJ1088" s="258"/>
      <c r="AK1088" s="258"/>
      <c r="AL1088" s="258"/>
      <c r="AM1088" s="258"/>
      <c r="AN1088" s="64" t="s">
        <v>39</v>
      </c>
      <c r="AO1088" s="64"/>
      <c r="AP1088" s="64"/>
      <c r="AQ1088" s="189"/>
      <c r="AR1088" s="64"/>
      <c r="AS1088" s="476"/>
      <c r="AT1088" s="64"/>
      <c r="AU1088" s="646"/>
      <c r="AV1088" s="454" t="s">
        <v>127</v>
      </c>
    </row>
    <row r="1089" spans="1:48" outlineLevel="2" x14ac:dyDescent="0.25">
      <c r="A1089" s="63" t="str">
        <f t="shared" si="191"/>
        <v>3.12.0.6.41.0</v>
      </c>
      <c r="B1089" s="64">
        <v>3</v>
      </c>
      <c r="C1089" s="64">
        <v>12</v>
      </c>
      <c r="D1089" s="64">
        <v>0</v>
      </c>
      <c r="E1089" s="64">
        <v>6</v>
      </c>
      <c r="F1089" s="64">
        <v>41</v>
      </c>
      <c r="G1089" s="64">
        <v>0</v>
      </c>
      <c r="H1089" s="65"/>
      <c r="I1089" s="65"/>
      <c r="J1089" s="65"/>
      <c r="K1089" s="65" t="s">
        <v>1275</v>
      </c>
      <c r="L1089" s="64" t="s">
        <v>72</v>
      </c>
      <c r="M1089" s="64" t="s">
        <v>166</v>
      </c>
      <c r="N1089" s="64" t="s">
        <v>1249</v>
      </c>
      <c r="O1089" s="64"/>
      <c r="P1089" s="170"/>
      <c r="Q1089" s="170"/>
      <c r="R1089" s="170">
        <v>1</v>
      </c>
      <c r="S1089" s="170"/>
      <c r="T1089" s="170">
        <v>1</v>
      </c>
      <c r="U1089" s="97"/>
      <c r="V1089" s="684">
        <f t="shared" si="197"/>
        <v>0</v>
      </c>
      <c r="W1089" s="97"/>
      <c r="X1089" s="97"/>
      <c r="Y1089" s="97"/>
      <c r="Z1089" s="97"/>
      <c r="AA1089" s="97"/>
      <c r="AB1089" s="97"/>
      <c r="AC1089" s="97"/>
      <c r="AD1089" s="97"/>
      <c r="AE1089" s="591"/>
      <c r="AF1089" s="353"/>
      <c r="AG1089" s="525">
        <v>0</v>
      </c>
      <c r="AH1089" s="388">
        <v>0</v>
      </c>
      <c r="AI1089" s="258"/>
      <c r="AJ1089" s="258"/>
      <c r="AK1089" s="258"/>
      <c r="AL1089" s="258"/>
      <c r="AM1089" s="258"/>
      <c r="AN1089" s="171" t="s">
        <v>181</v>
      </c>
      <c r="AO1089" s="171"/>
      <c r="AP1089" s="171"/>
      <c r="AQ1089" s="418"/>
      <c r="AS1089" s="484"/>
      <c r="AV1089" s="454"/>
    </row>
    <row r="1090" spans="1:48" ht="30" outlineLevel="2" x14ac:dyDescent="0.25">
      <c r="A1090" s="63" t="str">
        <f t="shared" si="191"/>
        <v>3.12.0.6.42.0</v>
      </c>
      <c r="B1090" s="64">
        <v>3</v>
      </c>
      <c r="C1090" s="64">
        <v>12</v>
      </c>
      <c r="D1090" s="64">
        <v>0</v>
      </c>
      <c r="E1090" s="64">
        <v>6</v>
      </c>
      <c r="F1090" s="64">
        <v>42</v>
      </c>
      <c r="G1090" s="64">
        <v>0</v>
      </c>
      <c r="H1090" s="65"/>
      <c r="I1090" s="65"/>
      <c r="J1090" s="65"/>
      <c r="K1090" s="65" t="s">
        <v>1276</v>
      </c>
      <c r="L1090" s="64" t="s">
        <v>72</v>
      </c>
      <c r="M1090" s="64" t="s">
        <v>1277</v>
      </c>
      <c r="N1090" s="64" t="s">
        <v>1278</v>
      </c>
      <c r="O1090" s="64" t="s">
        <v>1279</v>
      </c>
      <c r="P1090" s="170"/>
      <c r="Q1090" s="170"/>
      <c r="R1090" s="170">
        <v>2</v>
      </c>
      <c r="S1090" s="170"/>
      <c r="T1090" s="170"/>
      <c r="U1090" s="97">
        <f>+$AH$1090/4</f>
        <v>63000</v>
      </c>
      <c r="V1090" s="684">
        <f t="shared" si="197"/>
        <v>55460</v>
      </c>
      <c r="W1090" s="97"/>
      <c r="X1090" s="97">
        <f>+$AH$1090/4</f>
        <v>63000</v>
      </c>
      <c r="Y1090" s="97"/>
      <c r="Z1090" s="97">
        <v>2</v>
      </c>
      <c r="AA1090" s="97">
        <f>+$AH$1090/4</f>
        <v>63000</v>
      </c>
      <c r="AB1090" s="97"/>
      <c r="AC1090" s="97"/>
      <c r="AD1090" s="97">
        <f>+$AH$1090/4</f>
        <v>63000</v>
      </c>
      <c r="AE1090" s="591"/>
      <c r="AF1090" s="353" t="s">
        <v>1280</v>
      </c>
      <c r="AG1090" s="525">
        <v>0</v>
      </c>
      <c r="AH1090" s="388">
        <v>252000</v>
      </c>
      <c r="AI1090" s="258"/>
      <c r="AJ1090" s="258">
        <v>55460</v>
      </c>
      <c r="AK1090" s="258"/>
      <c r="AL1090" s="258"/>
      <c r="AM1090" s="258"/>
      <c r="AN1090" s="171" t="s">
        <v>39</v>
      </c>
      <c r="AO1090" s="171"/>
      <c r="AP1090" s="171"/>
      <c r="AQ1090" s="418"/>
      <c r="AS1090" s="484"/>
      <c r="AU1090" s="654">
        <v>631</v>
      </c>
      <c r="AV1090" s="443" t="s">
        <v>2010</v>
      </c>
    </row>
    <row r="1091" spans="1:48" outlineLevel="2" x14ac:dyDescent="0.25">
      <c r="A1091" s="63" t="str">
        <f t="shared" si="191"/>
        <v>3.12.0.6.43.0</v>
      </c>
      <c r="B1091" s="64">
        <v>3</v>
      </c>
      <c r="C1091" s="64">
        <v>12</v>
      </c>
      <c r="D1091" s="64">
        <v>0</v>
      </c>
      <c r="E1091" s="64">
        <v>6</v>
      </c>
      <c r="F1091" s="64">
        <v>43</v>
      </c>
      <c r="G1091" s="64">
        <v>0</v>
      </c>
      <c r="H1091" s="65"/>
      <c r="I1091" s="65"/>
      <c r="J1091" s="65"/>
      <c r="K1091" s="65" t="s">
        <v>1281</v>
      </c>
      <c r="L1091" s="64" t="s">
        <v>1282</v>
      </c>
      <c r="M1091" s="64" t="s">
        <v>166</v>
      </c>
      <c r="N1091" s="64" t="s">
        <v>1283</v>
      </c>
      <c r="O1091" s="64" t="s">
        <v>1284</v>
      </c>
      <c r="P1091" s="170"/>
      <c r="Q1091" s="170"/>
      <c r="R1091" s="170">
        <v>3</v>
      </c>
      <c r="S1091" s="170"/>
      <c r="T1091" s="170"/>
      <c r="U1091" s="97"/>
      <c r="V1091" s="684">
        <f t="shared" si="197"/>
        <v>0</v>
      </c>
      <c r="W1091" s="97"/>
      <c r="X1091" s="97"/>
      <c r="Y1091" s="97"/>
      <c r="Z1091" s="97">
        <v>3</v>
      </c>
      <c r="AA1091" s="97"/>
      <c r="AB1091" s="97"/>
      <c r="AC1091" s="97"/>
      <c r="AD1091" s="97"/>
      <c r="AE1091" s="591"/>
      <c r="AF1091" s="353" t="s">
        <v>1280</v>
      </c>
      <c r="AG1091" s="525">
        <v>580000</v>
      </c>
      <c r="AH1091" s="388">
        <v>0</v>
      </c>
      <c r="AI1091" s="258"/>
      <c r="AJ1091" s="258"/>
      <c r="AK1091" s="258"/>
      <c r="AL1091" s="258"/>
      <c r="AM1091" s="258"/>
      <c r="AN1091" s="171" t="s">
        <v>181</v>
      </c>
      <c r="AO1091" s="171"/>
      <c r="AP1091" s="171"/>
      <c r="AQ1091" s="418"/>
      <c r="AS1091" s="484"/>
      <c r="AV1091" s="454"/>
    </row>
    <row r="1092" spans="1:48" outlineLevel="2" x14ac:dyDescent="0.25">
      <c r="A1092" s="63" t="str">
        <f t="shared" si="191"/>
        <v>3.12.0.6.44.0</v>
      </c>
      <c r="B1092" s="64">
        <v>3</v>
      </c>
      <c r="C1092" s="64">
        <v>12</v>
      </c>
      <c r="D1092" s="64">
        <v>0</v>
      </c>
      <c r="E1092" s="64">
        <v>6</v>
      </c>
      <c r="F1092" s="64">
        <v>44</v>
      </c>
      <c r="G1092" s="64">
        <v>0</v>
      </c>
      <c r="H1092" s="65"/>
      <c r="I1092" s="65"/>
      <c r="J1092" s="65"/>
      <c r="K1092" s="65" t="s">
        <v>1285</v>
      </c>
      <c r="L1092" s="64" t="s">
        <v>1286</v>
      </c>
      <c r="M1092" s="64" t="s">
        <v>1277</v>
      </c>
      <c r="N1092" s="64" t="s">
        <v>1287</v>
      </c>
      <c r="O1092" s="64" t="s">
        <v>1288</v>
      </c>
      <c r="P1092" s="170"/>
      <c r="Q1092" s="170"/>
      <c r="R1092" s="170">
        <v>12</v>
      </c>
      <c r="S1092" s="170"/>
      <c r="T1092" s="170">
        <v>12</v>
      </c>
      <c r="U1092" s="97">
        <v>25000</v>
      </c>
      <c r="V1092" s="684">
        <f t="shared" si="197"/>
        <v>0</v>
      </c>
      <c r="W1092" s="97"/>
      <c r="X1092" s="97">
        <v>25000</v>
      </c>
      <c r="Y1092" s="97"/>
      <c r="Z1092" s="97"/>
      <c r="AA1092" s="97">
        <v>25000</v>
      </c>
      <c r="AB1092" s="97"/>
      <c r="AC1092" s="97"/>
      <c r="AD1092" s="97">
        <v>25000</v>
      </c>
      <c r="AE1092" s="591"/>
      <c r="AF1092" s="353" t="s">
        <v>1289</v>
      </c>
      <c r="AG1092" s="525">
        <v>0</v>
      </c>
      <c r="AH1092" s="370">
        <v>100000</v>
      </c>
      <c r="AI1092" s="75"/>
      <c r="AJ1092" s="75"/>
      <c r="AK1092" s="75"/>
      <c r="AL1092" s="75"/>
      <c r="AM1092" s="75"/>
      <c r="AN1092" s="171" t="s">
        <v>39</v>
      </c>
      <c r="AO1092" s="171"/>
      <c r="AP1092" s="171"/>
      <c r="AQ1092" s="418"/>
      <c r="AS1092" s="484"/>
      <c r="AV1092" s="454" t="s">
        <v>1290</v>
      </c>
    </row>
    <row r="1093" spans="1:48" outlineLevel="2" x14ac:dyDescent="0.25">
      <c r="A1093" s="63" t="str">
        <f t="shared" si="191"/>
        <v>3.12.0.6.45.0</v>
      </c>
      <c r="B1093" s="64">
        <v>3</v>
      </c>
      <c r="C1093" s="64">
        <v>12</v>
      </c>
      <c r="D1093" s="64">
        <v>0</v>
      </c>
      <c r="E1093" s="64">
        <v>6</v>
      </c>
      <c r="F1093" s="64">
        <v>45</v>
      </c>
      <c r="G1093" s="64">
        <v>0</v>
      </c>
      <c r="H1093" s="65"/>
      <c r="I1093" s="65"/>
      <c r="J1093" s="65"/>
      <c r="K1093" s="65" t="s">
        <v>1291</v>
      </c>
      <c r="L1093" s="64" t="s">
        <v>1292</v>
      </c>
      <c r="M1093" s="64" t="s">
        <v>279</v>
      </c>
      <c r="N1093" s="64" t="s">
        <v>1249</v>
      </c>
      <c r="O1093" s="64" t="s">
        <v>1239</v>
      </c>
      <c r="P1093" s="69"/>
      <c r="Q1093" s="69"/>
      <c r="R1093" s="170"/>
      <c r="S1093" s="170"/>
      <c r="T1093" s="170">
        <v>1</v>
      </c>
      <c r="U1093" s="97"/>
      <c r="V1093" s="684">
        <f t="shared" si="197"/>
        <v>0</v>
      </c>
      <c r="W1093" s="97"/>
      <c r="X1093" s="97"/>
      <c r="Y1093" s="97"/>
      <c r="Z1093" s="97"/>
      <c r="AA1093" s="97"/>
      <c r="AB1093" s="97"/>
      <c r="AC1093" s="97"/>
      <c r="AD1093" s="97"/>
      <c r="AE1093" s="591"/>
      <c r="AF1093" s="353" t="s">
        <v>1293</v>
      </c>
      <c r="AG1093" s="525">
        <v>100000</v>
      </c>
      <c r="AH1093" s="370">
        <v>0</v>
      </c>
      <c r="AI1093" s="75"/>
      <c r="AJ1093" s="75"/>
      <c r="AK1093" s="75"/>
      <c r="AL1093" s="75"/>
      <c r="AM1093" s="75"/>
      <c r="AN1093" s="171" t="s">
        <v>39</v>
      </c>
      <c r="AO1093" s="171"/>
      <c r="AP1093" s="171"/>
      <c r="AQ1093" s="418"/>
      <c r="AS1093" s="484"/>
      <c r="AV1093" s="454"/>
    </row>
    <row r="1094" spans="1:48" outlineLevel="2" x14ac:dyDescent="0.25">
      <c r="A1094" s="63" t="str">
        <f>CONCATENATE(B1094,".",C1094,".",D1094,".",E1094,".",F1094,".",G1094)</f>
        <v>3.12.0.6.46.0</v>
      </c>
      <c r="B1094" s="64">
        <v>3</v>
      </c>
      <c r="C1094" s="64">
        <v>12</v>
      </c>
      <c r="D1094" s="64">
        <v>0</v>
      </c>
      <c r="E1094" s="64">
        <v>6</v>
      </c>
      <c r="F1094" s="64">
        <v>46</v>
      </c>
      <c r="G1094" s="64">
        <v>0</v>
      </c>
      <c r="H1094" s="65"/>
      <c r="I1094" s="65"/>
      <c r="J1094" s="65"/>
      <c r="K1094" s="185" t="s">
        <v>1872</v>
      </c>
      <c r="L1094" s="64"/>
      <c r="M1094" s="64" t="s">
        <v>279</v>
      </c>
      <c r="N1094" s="64"/>
      <c r="O1094" s="64"/>
      <c r="P1094" s="69"/>
      <c r="Q1094" s="69"/>
      <c r="R1094" s="170"/>
      <c r="S1094" s="170"/>
      <c r="T1094" s="170"/>
      <c r="U1094" s="97"/>
      <c r="V1094" s="684">
        <f t="shared" si="197"/>
        <v>0</v>
      </c>
      <c r="W1094" s="97"/>
      <c r="X1094" s="97"/>
      <c r="Y1094" s="97"/>
      <c r="Z1094" s="97"/>
      <c r="AA1094" s="97"/>
      <c r="AB1094" s="97"/>
      <c r="AC1094" s="97"/>
      <c r="AD1094" s="97"/>
      <c r="AE1094" s="591"/>
      <c r="AF1094" s="353"/>
      <c r="AG1094" s="525">
        <v>0</v>
      </c>
      <c r="AH1094" s="370"/>
      <c r="AI1094" s="75"/>
      <c r="AJ1094" s="75"/>
      <c r="AK1094" s="75"/>
      <c r="AL1094" s="75"/>
      <c r="AM1094" s="75"/>
      <c r="AN1094" s="171"/>
      <c r="AO1094" s="171"/>
      <c r="AP1094" s="171"/>
      <c r="AQ1094" s="418"/>
      <c r="AS1094" s="484"/>
      <c r="AV1094" s="454" t="s">
        <v>1294</v>
      </c>
    </row>
    <row r="1095" spans="1:48" s="153" customFormat="1" ht="19.5" customHeight="1" outlineLevel="1" x14ac:dyDescent="0.25">
      <c r="A1095" s="260" t="str">
        <f t="shared" si="191"/>
        <v>3.13.0.0.0.0</v>
      </c>
      <c r="B1095" s="261">
        <v>3</v>
      </c>
      <c r="C1095" s="261">
        <v>13</v>
      </c>
      <c r="D1095" s="261">
        <v>0</v>
      </c>
      <c r="E1095" s="261">
        <v>0</v>
      </c>
      <c r="F1095" s="261">
        <v>0</v>
      </c>
      <c r="G1095" s="262">
        <v>0</v>
      </c>
      <c r="H1095" s="263"/>
      <c r="I1095" s="1295" t="s">
        <v>1295</v>
      </c>
      <c r="J1095" s="1296"/>
      <c r="K1095" s="1297"/>
      <c r="L1095" s="262" t="s">
        <v>630</v>
      </c>
      <c r="M1095" s="262" t="s">
        <v>1296</v>
      </c>
      <c r="N1095" s="262" t="s">
        <v>1297</v>
      </c>
      <c r="O1095" s="262" t="s">
        <v>1298</v>
      </c>
      <c r="P1095" s="264"/>
      <c r="Q1095" s="264"/>
      <c r="R1095" s="261"/>
      <c r="S1095" s="265"/>
      <c r="T1095" s="261"/>
      <c r="U1095" s="266">
        <f>+U1096+U1102+U1115+U1118+U1122+U1139+U1142+U1149+U1153</f>
        <v>4454999.2200000007</v>
      </c>
      <c r="V1095" s="690">
        <f t="shared" ref="V1095:AG1095" si="198">+V1096+V1102+V1115+V1118+V1122+V1139+V1142+V1149+V1153</f>
        <v>0</v>
      </c>
      <c r="W1095" s="390">
        <f t="shared" si="198"/>
        <v>195</v>
      </c>
      <c r="X1095" s="390">
        <f t="shared" si="198"/>
        <v>205000</v>
      </c>
      <c r="Y1095" s="390">
        <f t="shared" si="198"/>
        <v>0</v>
      </c>
      <c r="Z1095" s="390">
        <f t="shared" si="198"/>
        <v>134</v>
      </c>
      <c r="AA1095" s="390">
        <f t="shared" si="198"/>
        <v>155000</v>
      </c>
      <c r="AB1095" s="390">
        <f t="shared" si="198"/>
        <v>0</v>
      </c>
      <c r="AC1095" s="390">
        <f t="shared" si="198"/>
        <v>26</v>
      </c>
      <c r="AD1095" s="390">
        <f t="shared" si="198"/>
        <v>145000</v>
      </c>
      <c r="AE1095" s="390">
        <f t="shared" si="198"/>
        <v>0</v>
      </c>
      <c r="AF1095" s="390">
        <f t="shared" si="198"/>
        <v>0</v>
      </c>
      <c r="AG1095" s="390">
        <f t="shared" si="198"/>
        <v>7485000</v>
      </c>
      <c r="AH1095" s="390">
        <f>+AH1096+AH1102+AH1115+AH1118+AH1122+AH1139+AH1142+AH1149+AH1153</f>
        <v>4749999.2200000007</v>
      </c>
      <c r="AI1095" s="526">
        <f>+AI1096+AI1102+AI1115+AI1118+AI1122+AI1139+AI1142+AI1149+AI1153</f>
        <v>0</v>
      </c>
      <c r="AJ1095" s="526">
        <f>+AJ1096+AJ1102+AJ1115+AJ1118+AJ1122+AJ1139+AJ1142+AJ1149+AJ1153</f>
        <v>0</v>
      </c>
      <c r="AK1095" s="267"/>
      <c r="AL1095" s="267"/>
      <c r="AM1095" s="267"/>
      <c r="AN1095" s="261" t="s">
        <v>1157</v>
      </c>
      <c r="AO1095" s="261"/>
      <c r="AP1095" s="261"/>
      <c r="AQ1095" s="422"/>
      <c r="AR1095" s="261"/>
      <c r="AS1095" s="488"/>
      <c r="AT1095" s="261"/>
      <c r="AU1095" s="669"/>
      <c r="AV1095" s="458"/>
    </row>
    <row r="1096" spans="1:48" s="153" customFormat="1" ht="19.5" customHeight="1" outlineLevel="1" x14ac:dyDescent="0.25">
      <c r="A1096" s="148" t="str">
        <f t="shared" si="191"/>
        <v>3.13.0.1.0.0</v>
      </c>
      <c r="B1096" s="82">
        <v>3</v>
      </c>
      <c r="C1096" s="82">
        <v>13</v>
      </c>
      <c r="D1096" s="82">
        <v>0</v>
      </c>
      <c r="E1096" s="82">
        <v>1</v>
      </c>
      <c r="F1096" s="82">
        <v>0</v>
      </c>
      <c r="G1096" s="82">
        <v>0</v>
      </c>
      <c r="H1096" s="149"/>
      <c r="I1096" s="149"/>
      <c r="J1096" s="1260" t="s">
        <v>1299</v>
      </c>
      <c r="K1096" s="1259"/>
      <c r="L1096" s="622" t="s">
        <v>1300</v>
      </c>
      <c r="M1096" s="268" t="s">
        <v>1296</v>
      </c>
      <c r="N1096" s="268" t="s">
        <v>1297</v>
      </c>
      <c r="O1096" s="268" t="s">
        <v>1298</v>
      </c>
      <c r="P1096" s="268"/>
      <c r="Q1096" s="268"/>
      <c r="R1096" s="152"/>
      <c r="S1096" s="269"/>
      <c r="T1096" s="82"/>
      <c r="U1096" s="379">
        <f t="shared" ref="U1096:AG1096" si="199">+SUM(U1097:U1101)</f>
        <v>0</v>
      </c>
      <c r="V1096" s="682">
        <f t="shared" si="199"/>
        <v>0</v>
      </c>
      <c r="W1096" s="379">
        <f t="shared" si="199"/>
        <v>0</v>
      </c>
      <c r="X1096" s="379">
        <f t="shared" si="199"/>
        <v>0</v>
      </c>
      <c r="Y1096" s="379">
        <f t="shared" si="199"/>
        <v>0</v>
      </c>
      <c r="Z1096" s="379">
        <f t="shared" si="199"/>
        <v>0</v>
      </c>
      <c r="AA1096" s="379">
        <f t="shared" si="199"/>
        <v>0</v>
      </c>
      <c r="AB1096" s="379">
        <f t="shared" si="199"/>
        <v>0</v>
      </c>
      <c r="AC1096" s="379">
        <f t="shared" si="199"/>
        <v>0</v>
      </c>
      <c r="AD1096" s="379">
        <f t="shared" si="199"/>
        <v>0</v>
      </c>
      <c r="AE1096" s="379">
        <f t="shared" si="199"/>
        <v>0</v>
      </c>
      <c r="AF1096" s="379">
        <f t="shared" si="199"/>
        <v>0</v>
      </c>
      <c r="AG1096" s="379">
        <f t="shared" si="199"/>
        <v>0</v>
      </c>
      <c r="AH1096" s="379">
        <f>+SUM(AH1097:AH1101)</f>
        <v>0</v>
      </c>
      <c r="AI1096" s="512">
        <f>+SUM(AI1097:AI1101)</f>
        <v>0</v>
      </c>
      <c r="AJ1096" s="512">
        <f>+SUM(AJ1097:AJ1101)</f>
        <v>0</v>
      </c>
      <c r="AK1096" s="152"/>
      <c r="AL1096" s="152"/>
      <c r="AM1096" s="152"/>
      <c r="AN1096" s="82" t="s">
        <v>39</v>
      </c>
      <c r="AO1096" s="82"/>
      <c r="AP1096" s="82"/>
      <c r="AQ1096" s="365"/>
      <c r="AR1096" s="82"/>
      <c r="AS1096" s="483"/>
      <c r="AT1096" s="82"/>
      <c r="AU1096" s="666"/>
      <c r="AV1096" s="444"/>
    </row>
    <row r="1097" spans="1:48" outlineLevel="3" x14ac:dyDescent="0.25">
      <c r="A1097" s="63" t="str">
        <f t="shared" si="191"/>
        <v>3.13.0.1.1.58-64</v>
      </c>
      <c r="B1097" s="64">
        <v>3</v>
      </c>
      <c r="C1097" s="64">
        <v>13</v>
      </c>
      <c r="D1097" s="64">
        <v>0</v>
      </c>
      <c r="E1097" s="64">
        <v>1</v>
      </c>
      <c r="F1097" s="64">
        <v>1</v>
      </c>
      <c r="G1097" s="64" t="s">
        <v>64</v>
      </c>
      <c r="H1097" s="65"/>
      <c r="I1097" s="65"/>
      <c r="J1097" s="66"/>
      <c r="K1097" s="65" t="s">
        <v>1301</v>
      </c>
      <c r="L1097" s="64" t="s">
        <v>1300</v>
      </c>
      <c r="M1097" s="64" t="s">
        <v>1296</v>
      </c>
      <c r="N1097" s="64" t="s">
        <v>1297</v>
      </c>
      <c r="O1097" s="64" t="s">
        <v>1298</v>
      </c>
      <c r="P1097" s="69"/>
      <c r="Q1097" s="69"/>
      <c r="R1097" s="64"/>
      <c r="S1097" s="65" t="s">
        <v>299</v>
      </c>
      <c r="T1097" s="64"/>
      <c r="U1097" s="75"/>
      <c r="V1097" s="674">
        <v>0</v>
      </c>
      <c r="W1097" s="75"/>
      <c r="X1097" s="75"/>
      <c r="Y1097" s="75"/>
      <c r="Z1097" s="75"/>
      <c r="AA1097" s="75"/>
      <c r="AB1097" s="75"/>
      <c r="AC1097" s="97"/>
      <c r="AD1097" s="97"/>
      <c r="AE1097" s="591"/>
      <c r="AF1097" s="259"/>
      <c r="AG1097" s="510">
        <v>0</v>
      </c>
      <c r="AH1097" s="370">
        <v>0</v>
      </c>
      <c r="AI1097" s="75"/>
      <c r="AJ1097" s="75"/>
      <c r="AK1097" s="75"/>
      <c r="AL1097" s="75"/>
      <c r="AM1097" s="75"/>
      <c r="AN1097" s="64" t="s">
        <v>39</v>
      </c>
      <c r="AO1097" s="64"/>
      <c r="AP1097" s="64"/>
      <c r="AQ1097" s="189"/>
      <c r="AR1097" s="64"/>
      <c r="AS1097" s="476"/>
      <c r="AT1097" s="64"/>
      <c r="AU1097" s="646"/>
      <c r="AV1097" s="185"/>
    </row>
    <row r="1098" spans="1:48" outlineLevel="3" x14ac:dyDescent="0.25">
      <c r="A1098" s="63" t="str">
        <f t="shared" si="191"/>
        <v>3.13.0.1.2.58-64</v>
      </c>
      <c r="B1098" s="64">
        <v>3</v>
      </c>
      <c r="C1098" s="64">
        <v>13</v>
      </c>
      <c r="D1098" s="64">
        <v>0</v>
      </c>
      <c r="E1098" s="64">
        <v>1</v>
      </c>
      <c r="F1098" s="64">
        <v>2</v>
      </c>
      <c r="G1098" s="64" t="s">
        <v>64</v>
      </c>
      <c r="H1098" s="65"/>
      <c r="I1098" s="65"/>
      <c r="J1098" s="66"/>
      <c r="K1098" s="65" t="s">
        <v>1302</v>
      </c>
      <c r="L1098" s="64" t="s">
        <v>1300</v>
      </c>
      <c r="M1098" s="64" t="s">
        <v>1296</v>
      </c>
      <c r="N1098" s="64" t="s">
        <v>1297</v>
      </c>
      <c r="O1098" s="64" t="s">
        <v>1298</v>
      </c>
      <c r="P1098" s="69"/>
      <c r="Q1098" s="69"/>
      <c r="R1098" s="64"/>
      <c r="S1098" s="65" t="s">
        <v>299</v>
      </c>
      <c r="T1098" s="64"/>
      <c r="U1098" s="75"/>
      <c r="V1098" s="674">
        <v>0</v>
      </c>
      <c r="W1098" s="75"/>
      <c r="X1098" s="75"/>
      <c r="Y1098" s="75"/>
      <c r="Z1098" s="75"/>
      <c r="AA1098" s="75"/>
      <c r="AB1098" s="75"/>
      <c r="AC1098" s="97"/>
      <c r="AD1098" s="97"/>
      <c r="AE1098" s="591"/>
      <c r="AF1098" s="259"/>
      <c r="AG1098" s="510">
        <v>0</v>
      </c>
      <c r="AH1098" s="370">
        <v>0</v>
      </c>
      <c r="AI1098" s="75"/>
      <c r="AJ1098" s="75"/>
      <c r="AK1098" s="75"/>
      <c r="AL1098" s="75"/>
      <c r="AM1098" s="75"/>
      <c r="AN1098" s="64" t="s">
        <v>39</v>
      </c>
      <c r="AO1098" s="64"/>
      <c r="AP1098" s="64"/>
      <c r="AQ1098" s="189"/>
      <c r="AR1098" s="64"/>
      <c r="AS1098" s="476"/>
      <c r="AT1098" s="64"/>
      <c r="AU1098" s="646"/>
      <c r="AV1098" s="185"/>
    </row>
    <row r="1099" spans="1:48" ht="30" outlineLevel="3" x14ac:dyDescent="0.25">
      <c r="A1099" s="63" t="str">
        <f t="shared" si="191"/>
        <v>3.13.0.1.3.58-64</v>
      </c>
      <c r="B1099" s="64">
        <v>3</v>
      </c>
      <c r="C1099" s="64">
        <v>13</v>
      </c>
      <c r="D1099" s="64">
        <v>0</v>
      </c>
      <c r="E1099" s="64">
        <v>1</v>
      </c>
      <c r="F1099" s="64">
        <v>3</v>
      </c>
      <c r="G1099" s="64" t="s">
        <v>64</v>
      </c>
      <c r="H1099" s="65"/>
      <c r="I1099" s="65"/>
      <c r="J1099" s="66"/>
      <c r="K1099" s="67" t="s">
        <v>1303</v>
      </c>
      <c r="L1099" s="64" t="s">
        <v>1300</v>
      </c>
      <c r="M1099" s="64" t="s">
        <v>1296</v>
      </c>
      <c r="N1099" s="64" t="s">
        <v>1297</v>
      </c>
      <c r="O1099" s="64" t="s">
        <v>1298</v>
      </c>
      <c r="P1099" s="69"/>
      <c r="Q1099" s="69"/>
      <c r="R1099" s="64"/>
      <c r="S1099" s="65" t="s">
        <v>299</v>
      </c>
      <c r="T1099" s="64"/>
      <c r="U1099" s="75"/>
      <c r="V1099" s="674">
        <v>0</v>
      </c>
      <c r="W1099" s="75"/>
      <c r="X1099" s="75"/>
      <c r="Y1099" s="75"/>
      <c r="Z1099" s="75"/>
      <c r="AA1099" s="75"/>
      <c r="AB1099" s="75"/>
      <c r="AC1099" s="97"/>
      <c r="AD1099" s="97"/>
      <c r="AE1099" s="591"/>
      <c r="AF1099" s="259"/>
      <c r="AG1099" s="510">
        <v>0</v>
      </c>
      <c r="AH1099" s="370">
        <v>0</v>
      </c>
      <c r="AI1099" s="75"/>
      <c r="AJ1099" s="75"/>
      <c r="AK1099" s="75"/>
      <c r="AL1099" s="75"/>
      <c r="AM1099" s="75"/>
      <c r="AN1099" s="64" t="s">
        <v>39</v>
      </c>
      <c r="AO1099" s="64"/>
      <c r="AP1099" s="64"/>
      <c r="AQ1099" s="189"/>
      <c r="AR1099" s="64"/>
      <c r="AS1099" s="476"/>
      <c r="AT1099" s="64"/>
      <c r="AU1099" s="646"/>
      <c r="AV1099" s="185"/>
    </row>
    <row r="1100" spans="1:48" ht="36" customHeight="1" outlineLevel="3" x14ac:dyDescent="0.25">
      <c r="A1100" s="63" t="str">
        <f t="shared" si="191"/>
        <v>3.13.0.1.4.0</v>
      </c>
      <c r="B1100" s="64">
        <v>3</v>
      </c>
      <c r="C1100" s="64">
        <v>13</v>
      </c>
      <c r="D1100" s="64">
        <v>0</v>
      </c>
      <c r="E1100" s="64">
        <v>1</v>
      </c>
      <c r="F1100" s="64">
        <v>4</v>
      </c>
      <c r="G1100" s="64">
        <v>0</v>
      </c>
      <c r="H1100" s="65"/>
      <c r="I1100" s="65"/>
      <c r="J1100" s="66"/>
      <c r="K1100" s="67" t="s">
        <v>1304</v>
      </c>
      <c r="L1100" s="64" t="s">
        <v>1300</v>
      </c>
      <c r="M1100" s="64" t="s">
        <v>1296</v>
      </c>
      <c r="N1100" s="64" t="s">
        <v>1297</v>
      </c>
      <c r="O1100" s="64" t="s">
        <v>1298</v>
      </c>
      <c r="P1100" s="69"/>
      <c r="Q1100" s="69"/>
      <c r="R1100" s="64"/>
      <c r="S1100" s="65" t="s">
        <v>299</v>
      </c>
      <c r="T1100" s="64"/>
      <c r="U1100" s="75"/>
      <c r="V1100" s="674">
        <v>0</v>
      </c>
      <c r="W1100" s="75"/>
      <c r="X1100" s="75"/>
      <c r="Y1100" s="75"/>
      <c r="Z1100" s="75"/>
      <c r="AA1100" s="75"/>
      <c r="AB1100" s="75"/>
      <c r="AC1100" s="97"/>
      <c r="AD1100" s="97"/>
      <c r="AE1100" s="591"/>
      <c r="AF1100" s="259"/>
      <c r="AG1100" s="510">
        <v>0</v>
      </c>
      <c r="AH1100" s="370">
        <v>0</v>
      </c>
      <c r="AI1100" s="75"/>
      <c r="AJ1100" s="75"/>
      <c r="AK1100" s="75"/>
      <c r="AL1100" s="75"/>
      <c r="AM1100" s="75"/>
      <c r="AN1100" s="64" t="s">
        <v>39</v>
      </c>
      <c r="AO1100" s="64"/>
      <c r="AP1100" s="64"/>
      <c r="AQ1100" s="189"/>
      <c r="AR1100" s="64"/>
      <c r="AS1100" s="476"/>
      <c r="AT1100" s="64"/>
      <c r="AU1100" s="646"/>
      <c r="AV1100" s="185"/>
    </row>
    <row r="1101" spans="1:48" outlineLevel="3" x14ac:dyDescent="0.25">
      <c r="A1101" s="63" t="str">
        <f t="shared" si="191"/>
        <v>3.13.0.1.5.58-64</v>
      </c>
      <c r="B1101" s="64">
        <v>3</v>
      </c>
      <c r="C1101" s="64">
        <v>13</v>
      </c>
      <c r="D1101" s="64">
        <v>0</v>
      </c>
      <c r="E1101" s="64">
        <v>1</v>
      </c>
      <c r="F1101" s="64">
        <v>5</v>
      </c>
      <c r="G1101" s="64" t="s">
        <v>64</v>
      </c>
      <c r="H1101" s="65"/>
      <c r="I1101" s="65"/>
      <c r="J1101" s="65"/>
      <c r="K1101" s="65" t="s">
        <v>1305</v>
      </c>
      <c r="L1101" s="64" t="s">
        <v>1300</v>
      </c>
      <c r="M1101" s="64" t="s">
        <v>1296</v>
      </c>
      <c r="N1101" s="64" t="s">
        <v>1297</v>
      </c>
      <c r="O1101" s="64" t="s">
        <v>1298</v>
      </c>
      <c r="P1101" s="69"/>
      <c r="Q1101" s="69"/>
      <c r="R1101" s="64"/>
      <c r="S1101" s="65" t="s">
        <v>299</v>
      </c>
      <c r="T1101" s="64"/>
      <c r="U1101" s="75"/>
      <c r="V1101" s="674">
        <v>0</v>
      </c>
      <c r="W1101" s="75"/>
      <c r="X1101" s="75"/>
      <c r="Y1101" s="75"/>
      <c r="Z1101" s="75"/>
      <c r="AA1101" s="75"/>
      <c r="AB1101" s="75"/>
      <c r="AC1101" s="97"/>
      <c r="AD1101" s="97"/>
      <c r="AE1101" s="591"/>
      <c r="AF1101" s="259"/>
      <c r="AG1101" s="510">
        <v>0</v>
      </c>
      <c r="AH1101" s="370">
        <v>0</v>
      </c>
      <c r="AI1101" s="75"/>
      <c r="AJ1101" s="75"/>
      <c r="AK1101" s="75"/>
      <c r="AL1101" s="75"/>
      <c r="AM1101" s="75"/>
      <c r="AN1101" s="64" t="s">
        <v>39</v>
      </c>
      <c r="AO1101" s="64"/>
      <c r="AP1101" s="64"/>
      <c r="AQ1101" s="189"/>
      <c r="AR1101" s="64"/>
      <c r="AS1101" s="476"/>
      <c r="AT1101" s="64"/>
      <c r="AU1101" s="646"/>
      <c r="AV1101" s="185"/>
    </row>
    <row r="1102" spans="1:48" s="153" customFormat="1" ht="15" customHeight="1" outlineLevel="1" x14ac:dyDescent="0.25">
      <c r="A1102" s="148" t="str">
        <f t="shared" si="191"/>
        <v>3.13.0.2.0.0</v>
      </c>
      <c r="B1102" s="82">
        <v>3</v>
      </c>
      <c r="C1102" s="82">
        <v>13</v>
      </c>
      <c r="D1102" s="82">
        <v>0</v>
      </c>
      <c r="E1102" s="82">
        <v>2</v>
      </c>
      <c r="F1102" s="82">
        <v>0</v>
      </c>
      <c r="G1102" s="82">
        <v>0</v>
      </c>
      <c r="H1102" s="149"/>
      <c r="I1102" s="149"/>
      <c r="J1102" s="1260" t="s">
        <v>1306</v>
      </c>
      <c r="K1102" s="1259"/>
      <c r="L1102" s="82" t="s">
        <v>179</v>
      </c>
      <c r="M1102" s="82" t="s">
        <v>1307</v>
      </c>
      <c r="N1102" s="82" t="s">
        <v>180</v>
      </c>
      <c r="O1102" s="82" t="s">
        <v>38</v>
      </c>
      <c r="P1102" s="82"/>
      <c r="Q1102" s="82"/>
      <c r="R1102" s="82"/>
      <c r="S1102" s="149"/>
      <c r="T1102" s="82"/>
      <c r="U1102" s="209">
        <f>SUM(U1103:U1114)</f>
        <v>50000</v>
      </c>
      <c r="V1102" s="682">
        <f t="shared" ref="V1102:AG1102" si="200">+SUM(V1103:V1112)</f>
        <v>0</v>
      </c>
      <c r="W1102" s="379">
        <f t="shared" si="200"/>
        <v>0</v>
      </c>
      <c r="X1102" s="379">
        <f t="shared" si="200"/>
        <v>50000</v>
      </c>
      <c r="Y1102" s="379">
        <f t="shared" si="200"/>
        <v>0</v>
      </c>
      <c r="Z1102" s="379">
        <f t="shared" si="200"/>
        <v>0</v>
      </c>
      <c r="AA1102" s="379">
        <f t="shared" si="200"/>
        <v>0</v>
      </c>
      <c r="AB1102" s="379">
        <f t="shared" si="200"/>
        <v>0</v>
      </c>
      <c r="AC1102" s="379">
        <f t="shared" si="200"/>
        <v>0</v>
      </c>
      <c r="AD1102" s="379">
        <f t="shared" si="200"/>
        <v>0</v>
      </c>
      <c r="AE1102" s="379">
        <f t="shared" si="200"/>
        <v>0</v>
      </c>
      <c r="AF1102" s="379">
        <f t="shared" si="200"/>
        <v>0</v>
      </c>
      <c r="AG1102" s="379">
        <f t="shared" si="200"/>
        <v>0</v>
      </c>
      <c r="AH1102" s="379">
        <f>+SUM(AH1103:AH1112)</f>
        <v>0</v>
      </c>
      <c r="AI1102" s="152"/>
      <c r="AJ1102" s="152"/>
      <c r="AK1102" s="152"/>
      <c r="AL1102" s="152"/>
      <c r="AM1102" s="152"/>
      <c r="AN1102" s="82" t="s">
        <v>1157</v>
      </c>
      <c r="AO1102" s="82"/>
      <c r="AP1102" s="82"/>
      <c r="AQ1102" s="365"/>
      <c r="AR1102" s="82"/>
      <c r="AS1102" s="483"/>
      <c r="AT1102" s="82"/>
      <c r="AU1102" s="666"/>
      <c r="AV1102" s="444"/>
    </row>
    <row r="1103" spans="1:48" ht="36" customHeight="1" outlineLevel="3" x14ac:dyDescent="0.25">
      <c r="A1103" s="63" t="str">
        <f t="shared" si="191"/>
        <v>3.13.0.2.1.58-64</v>
      </c>
      <c r="B1103" s="64">
        <v>3</v>
      </c>
      <c r="C1103" s="64">
        <v>13</v>
      </c>
      <c r="D1103" s="64">
        <v>0</v>
      </c>
      <c r="E1103" s="64">
        <v>2</v>
      </c>
      <c r="F1103" s="64">
        <v>1</v>
      </c>
      <c r="G1103" s="64" t="s">
        <v>64</v>
      </c>
      <c r="H1103" s="65"/>
      <c r="I1103" s="65"/>
      <c r="J1103" s="65"/>
      <c r="K1103" s="67" t="s">
        <v>1308</v>
      </c>
      <c r="L1103" s="64" t="s">
        <v>179</v>
      </c>
      <c r="M1103" s="68" t="s">
        <v>1309</v>
      </c>
      <c r="N1103" s="64" t="s">
        <v>180</v>
      </c>
      <c r="O1103" s="64" t="s">
        <v>38</v>
      </c>
      <c r="P1103" s="69" t="s">
        <v>1310</v>
      </c>
      <c r="Q1103" s="69">
        <v>44301</v>
      </c>
      <c r="R1103" s="64"/>
      <c r="S1103" s="65"/>
      <c r="T1103" s="64"/>
      <c r="U1103" s="75"/>
      <c r="V1103" s="674">
        <v>0</v>
      </c>
      <c r="W1103" s="75"/>
      <c r="X1103" s="75"/>
      <c r="Y1103" s="75"/>
      <c r="Z1103" s="75"/>
      <c r="AA1103" s="75"/>
      <c r="AB1103" s="75"/>
      <c r="AC1103" s="97"/>
      <c r="AD1103" s="97"/>
      <c r="AE1103" s="591"/>
      <c r="AF1103" s="259"/>
      <c r="AG1103" s="510">
        <v>0</v>
      </c>
      <c r="AH1103" s="370">
        <v>0</v>
      </c>
      <c r="AI1103" s="75"/>
      <c r="AJ1103" s="75"/>
      <c r="AK1103" s="75"/>
      <c r="AL1103" s="75"/>
      <c r="AM1103" s="75"/>
      <c r="AN1103" s="64" t="s">
        <v>181</v>
      </c>
      <c r="AO1103" s="64"/>
      <c r="AP1103" s="64"/>
      <c r="AQ1103" s="189"/>
      <c r="AR1103" s="64"/>
      <c r="AS1103" s="476"/>
      <c r="AT1103" s="64"/>
      <c r="AU1103" s="646"/>
      <c r="AV1103" s="185"/>
    </row>
    <row r="1104" spans="1:48" outlineLevel="3" x14ac:dyDescent="0.25">
      <c r="A1104" s="63" t="str">
        <f t="shared" si="191"/>
        <v>3.13.0.2.2.58-64</v>
      </c>
      <c r="B1104" s="64">
        <v>3</v>
      </c>
      <c r="C1104" s="64">
        <v>13</v>
      </c>
      <c r="D1104" s="64">
        <v>0</v>
      </c>
      <c r="E1104" s="64">
        <v>2</v>
      </c>
      <c r="F1104" s="64">
        <v>2</v>
      </c>
      <c r="G1104" s="64" t="s">
        <v>64</v>
      </c>
      <c r="H1104" s="65"/>
      <c r="I1104" s="65"/>
      <c r="J1104" s="65"/>
      <c r="K1104" s="67" t="s">
        <v>1311</v>
      </c>
      <c r="L1104" s="64" t="s">
        <v>179</v>
      </c>
      <c r="M1104" s="68" t="s">
        <v>1312</v>
      </c>
      <c r="N1104" s="64" t="s">
        <v>180</v>
      </c>
      <c r="O1104" s="64" t="s">
        <v>38</v>
      </c>
      <c r="P1104" s="69"/>
      <c r="Q1104" s="69"/>
      <c r="R1104" s="170"/>
      <c r="S1104" s="170"/>
      <c r="T1104" s="170"/>
      <c r="U1104" s="97"/>
      <c r="V1104" s="674">
        <v>0</v>
      </c>
      <c r="W1104" s="97"/>
      <c r="X1104" s="97"/>
      <c r="Y1104" s="97"/>
      <c r="Z1104" s="97"/>
      <c r="AA1104" s="97"/>
      <c r="AB1104" s="97"/>
      <c r="AC1104" s="97"/>
      <c r="AD1104" s="97"/>
      <c r="AE1104" s="591"/>
      <c r="AF1104" s="353"/>
      <c r="AG1104" s="510">
        <v>0</v>
      </c>
      <c r="AH1104" s="370">
        <v>0</v>
      </c>
      <c r="AI1104" s="75"/>
      <c r="AJ1104" s="75"/>
      <c r="AK1104" s="75"/>
      <c r="AL1104" s="75"/>
      <c r="AM1104" s="75"/>
      <c r="AN1104" s="64" t="s">
        <v>181</v>
      </c>
      <c r="AO1104" s="64"/>
      <c r="AP1104" s="64"/>
      <c r="AQ1104" s="189"/>
      <c r="AR1104" s="64"/>
      <c r="AS1104" s="476"/>
      <c r="AT1104" s="64"/>
      <c r="AU1104" s="646"/>
      <c r="AV1104" s="335" t="s">
        <v>1094</v>
      </c>
    </row>
    <row r="1105" spans="1:48" outlineLevel="3" x14ac:dyDescent="0.25">
      <c r="A1105" s="63" t="str">
        <f t="shared" si="191"/>
        <v>3.13.0.2.3.58-64</v>
      </c>
      <c r="B1105" s="64">
        <v>3</v>
      </c>
      <c r="C1105" s="64">
        <v>13</v>
      </c>
      <c r="D1105" s="64">
        <v>0</v>
      </c>
      <c r="E1105" s="64">
        <v>2</v>
      </c>
      <c r="F1105" s="64">
        <v>3</v>
      </c>
      <c r="G1105" s="64" t="s">
        <v>64</v>
      </c>
      <c r="H1105" s="65"/>
      <c r="I1105" s="65"/>
      <c r="J1105" s="65"/>
      <c r="K1105" s="67" t="s">
        <v>1313</v>
      </c>
      <c r="L1105" s="64" t="s">
        <v>179</v>
      </c>
      <c r="M1105" s="68">
        <v>0</v>
      </c>
      <c r="N1105" s="64" t="s">
        <v>180</v>
      </c>
      <c r="O1105" s="64" t="s">
        <v>1314</v>
      </c>
      <c r="P1105" s="69" t="s">
        <v>1315</v>
      </c>
      <c r="Q1105" s="69"/>
      <c r="R1105" s="170"/>
      <c r="S1105" s="170"/>
      <c r="T1105" s="170"/>
      <c r="U1105" s="97"/>
      <c r="V1105" s="674">
        <v>0</v>
      </c>
      <c r="W1105" s="97"/>
      <c r="X1105" s="97"/>
      <c r="Y1105" s="97"/>
      <c r="Z1105" s="97"/>
      <c r="AA1105" s="97"/>
      <c r="AB1105" s="97"/>
      <c r="AC1105" s="97"/>
      <c r="AD1105" s="97"/>
      <c r="AE1105" s="591"/>
      <c r="AF1105" s="353"/>
      <c r="AG1105" s="510">
        <v>0</v>
      </c>
      <c r="AH1105" s="370">
        <v>0</v>
      </c>
      <c r="AI1105" s="75"/>
      <c r="AJ1105" s="75"/>
      <c r="AK1105" s="75"/>
      <c r="AL1105" s="75"/>
      <c r="AM1105" s="75"/>
      <c r="AN1105" s="171" t="s">
        <v>39</v>
      </c>
      <c r="AO1105" s="171"/>
      <c r="AP1105" s="171"/>
      <c r="AQ1105" s="418"/>
      <c r="AS1105" s="484"/>
      <c r="AV1105" s="441"/>
    </row>
    <row r="1106" spans="1:48" outlineLevel="3" x14ac:dyDescent="0.25">
      <c r="A1106" s="63" t="str">
        <f t="shared" si="191"/>
        <v>3.13.0.2.4.58-64</v>
      </c>
      <c r="B1106" s="64">
        <v>3</v>
      </c>
      <c r="C1106" s="64">
        <v>13</v>
      </c>
      <c r="D1106" s="64">
        <v>0</v>
      </c>
      <c r="E1106" s="64">
        <v>2</v>
      </c>
      <c r="F1106" s="64">
        <v>4</v>
      </c>
      <c r="G1106" s="64" t="s">
        <v>64</v>
      </c>
      <c r="H1106" s="65"/>
      <c r="I1106" s="65"/>
      <c r="J1106" s="65"/>
      <c r="K1106" s="67" t="s">
        <v>1316</v>
      </c>
      <c r="L1106" s="64" t="s">
        <v>179</v>
      </c>
      <c r="M1106" s="68">
        <v>0</v>
      </c>
      <c r="N1106" s="64" t="s">
        <v>180</v>
      </c>
      <c r="O1106" s="64" t="s">
        <v>1314</v>
      </c>
      <c r="P1106" s="69"/>
      <c r="Q1106" s="69"/>
      <c r="R1106" s="170"/>
      <c r="S1106" s="170"/>
      <c r="T1106" s="170"/>
      <c r="U1106" s="97"/>
      <c r="V1106" s="674">
        <v>0</v>
      </c>
      <c r="W1106" s="97"/>
      <c r="X1106" s="97"/>
      <c r="Y1106" s="97"/>
      <c r="Z1106" s="97"/>
      <c r="AA1106" s="97"/>
      <c r="AB1106" s="97"/>
      <c r="AC1106" s="97"/>
      <c r="AD1106" s="97"/>
      <c r="AE1106" s="591"/>
      <c r="AF1106" s="353"/>
      <c r="AG1106" s="510">
        <v>0</v>
      </c>
      <c r="AH1106" s="370">
        <v>0</v>
      </c>
      <c r="AI1106" s="75"/>
      <c r="AJ1106" s="75"/>
      <c r="AK1106" s="75"/>
      <c r="AL1106" s="75"/>
      <c r="AM1106" s="75"/>
      <c r="AN1106" s="171" t="s">
        <v>39</v>
      </c>
      <c r="AO1106" s="171"/>
      <c r="AP1106" s="171"/>
      <c r="AQ1106" s="418"/>
      <c r="AS1106" s="484"/>
      <c r="AV1106" s="441"/>
    </row>
    <row r="1107" spans="1:48" outlineLevel="3" x14ac:dyDescent="0.25">
      <c r="A1107" s="63" t="str">
        <f t="shared" si="191"/>
        <v>3.13.0.2.5.0</v>
      </c>
      <c r="B1107" s="64">
        <v>3</v>
      </c>
      <c r="C1107" s="64">
        <v>13</v>
      </c>
      <c r="D1107" s="64">
        <v>0</v>
      </c>
      <c r="E1107" s="64">
        <v>2</v>
      </c>
      <c r="F1107" s="64">
        <v>5</v>
      </c>
      <c r="G1107" s="64">
        <v>0</v>
      </c>
      <c r="H1107" s="65"/>
      <c r="I1107" s="65"/>
      <c r="J1107" s="65"/>
      <c r="K1107" s="65" t="s">
        <v>1317</v>
      </c>
      <c r="L1107" s="64" t="s">
        <v>179</v>
      </c>
      <c r="M1107" s="68" t="s">
        <v>1318</v>
      </c>
      <c r="N1107" s="64" t="s">
        <v>180</v>
      </c>
      <c r="O1107" s="64" t="s">
        <v>1314</v>
      </c>
      <c r="P1107" s="69">
        <v>44228</v>
      </c>
      <c r="Q1107" s="69">
        <v>44255</v>
      </c>
      <c r="R1107" s="170"/>
      <c r="S1107" s="170"/>
      <c r="T1107" s="170"/>
      <c r="U1107" s="97"/>
      <c r="V1107" s="674">
        <v>0</v>
      </c>
      <c r="W1107" s="97"/>
      <c r="X1107" s="97"/>
      <c r="Y1107" s="97"/>
      <c r="Z1107" s="97"/>
      <c r="AA1107" s="97"/>
      <c r="AB1107" s="97"/>
      <c r="AC1107" s="97"/>
      <c r="AD1107" s="97"/>
      <c r="AE1107" s="591"/>
      <c r="AF1107" s="353"/>
      <c r="AG1107" s="510">
        <v>0</v>
      </c>
      <c r="AH1107" s="370">
        <v>0</v>
      </c>
      <c r="AI1107" s="75"/>
      <c r="AJ1107" s="75"/>
      <c r="AK1107" s="75"/>
      <c r="AL1107" s="75"/>
      <c r="AM1107" s="75"/>
      <c r="AN1107" s="171" t="s">
        <v>181</v>
      </c>
      <c r="AO1107" s="171"/>
      <c r="AP1107" s="171"/>
      <c r="AQ1107" s="418"/>
      <c r="AS1107" s="484"/>
      <c r="AV1107" s="335" t="s">
        <v>1094</v>
      </c>
    </row>
    <row r="1108" spans="1:48" outlineLevel="3" x14ac:dyDescent="0.25">
      <c r="A1108" s="63" t="str">
        <f t="shared" si="191"/>
        <v>3.13.0.2.6.0</v>
      </c>
      <c r="B1108" s="64">
        <v>3</v>
      </c>
      <c r="C1108" s="64">
        <v>13</v>
      </c>
      <c r="D1108" s="64">
        <v>0</v>
      </c>
      <c r="E1108" s="64">
        <v>2</v>
      </c>
      <c r="F1108" s="64">
        <v>6</v>
      </c>
      <c r="G1108" s="64">
        <v>0</v>
      </c>
      <c r="H1108" s="65"/>
      <c r="I1108" s="65"/>
      <c r="J1108" s="65"/>
      <c r="K1108" s="65" t="s">
        <v>1319</v>
      </c>
      <c r="L1108" s="64" t="s">
        <v>179</v>
      </c>
      <c r="M1108" s="68" t="s">
        <v>1318</v>
      </c>
      <c r="N1108" s="64" t="s">
        <v>180</v>
      </c>
      <c r="O1108" s="64" t="s">
        <v>1314</v>
      </c>
      <c r="P1108" s="69">
        <v>44228</v>
      </c>
      <c r="Q1108" s="69">
        <v>44255</v>
      </c>
      <c r="R1108" s="170"/>
      <c r="S1108" s="170"/>
      <c r="T1108" s="170"/>
      <c r="U1108" s="97"/>
      <c r="V1108" s="674">
        <v>0</v>
      </c>
      <c r="W1108" s="97"/>
      <c r="X1108" s="97"/>
      <c r="Y1108" s="97"/>
      <c r="Z1108" s="97"/>
      <c r="AA1108" s="97"/>
      <c r="AB1108" s="97"/>
      <c r="AC1108" s="97"/>
      <c r="AD1108" s="97"/>
      <c r="AE1108" s="591"/>
      <c r="AF1108" s="353"/>
      <c r="AG1108" s="510">
        <v>0</v>
      </c>
      <c r="AH1108" s="370">
        <v>0</v>
      </c>
      <c r="AI1108" s="75"/>
      <c r="AJ1108" s="75"/>
      <c r="AK1108" s="75"/>
      <c r="AL1108" s="75"/>
      <c r="AM1108" s="75"/>
      <c r="AN1108" s="171" t="s">
        <v>181</v>
      </c>
      <c r="AO1108" s="171"/>
      <c r="AP1108" s="171"/>
      <c r="AQ1108" s="418"/>
      <c r="AS1108" s="484"/>
      <c r="AV1108" s="335" t="s">
        <v>1094</v>
      </c>
    </row>
    <row r="1109" spans="1:48" outlineLevel="3" x14ac:dyDescent="0.25">
      <c r="A1109" s="63" t="str">
        <f t="shared" si="191"/>
        <v>3.13.0.2.7.0</v>
      </c>
      <c r="B1109" s="64">
        <v>3</v>
      </c>
      <c r="C1109" s="64">
        <v>13</v>
      </c>
      <c r="D1109" s="64">
        <v>0</v>
      </c>
      <c r="E1109" s="64">
        <v>2</v>
      </c>
      <c r="F1109" s="64">
        <v>7</v>
      </c>
      <c r="G1109" s="64">
        <v>0</v>
      </c>
      <c r="H1109" s="65"/>
      <c r="I1109" s="65"/>
      <c r="J1109" s="65"/>
      <c r="K1109" s="65" t="s">
        <v>1320</v>
      </c>
      <c r="L1109" s="64" t="s">
        <v>179</v>
      </c>
      <c r="M1109" s="68" t="s">
        <v>1318</v>
      </c>
      <c r="N1109" s="64" t="s">
        <v>180</v>
      </c>
      <c r="O1109" s="64" t="s">
        <v>1314</v>
      </c>
      <c r="P1109" s="69">
        <v>44228</v>
      </c>
      <c r="Q1109" s="69">
        <v>44255</v>
      </c>
      <c r="R1109" s="170">
        <v>2</v>
      </c>
      <c r="S1109" s="170"/>
      <c r="T1109" s="170">
        <v>2</v>
      </c>
      <c r="U1109" s="97"/>
      <c r="V1109" s="674">
        <v>0</v>
      </c>
      <c r="W1109" s="97"/>
      <c r="X1109" s="97"/>
      <c r="Y1109" s="97"/>
      <c r="Z1109" s="97"/>
      <c r="AA1109" s="97"/>
      <c r="AB1109" s="97"/>
      <c r="AC1109" s="97"/>
      <c r="AD1109" s="97"/>
      <c r="AE1109" s="591"/>
      <c r="AF1109" s="353"/>
      <c r="AG1109" s="510">
        <v>0</v>
      </c>
      <c r="AH1109" s="370">
        <v>0</v>
      </c>
      <c r="AI1109" s="75"/>
      <c r="AJ1109" s="75"/>
      <c r="AK1109" s="75"/>
      <c r="AL1109" s="75"/>
      <c r="AM1109" s="75"/>
      <c r="AN1109" s="171" t="s">
        <v>181</v>
      </c>
      <c r="AO1109" s="171"/>
      <c r="AP1109" s="171"/>
      <c r="AQ1109" s="418"/>
      <c r="AS1109" s="484"/>
      <c r="AV1109" s="185"/>
    </row>
    <row r="1110" spans="1:48" outlineLevel="3" x14ac:dyDescent="0.25">
      <c r="A1110" s="63" t="str">
        <f t="shared" si="191"/>
        <v>3.13.0.2.8.0</v>
      </c>
      <c r="B1110" s="64">
        <v>3</v>
      </c>
      <c r="C1110" s="64">
        <v>13</v>
      </c>
      <c r="D1110" s="64">
        <v>0</v>
      </c>
      <c r="E1110" s="64">
        <v>2</v>
      </c>
      <c r="F1110" s="64">
        <v>8</v>
      </c>
      <c r="G1110" s="64">
        <v>0</v>
      </c>
      <c r="H1110" s="65"/>
      <c r="I1110" s="65"/>
      <c r="J1110" s="65"/>
      <c r="K1110" s="65" t="s">
        <v>1321</v>
      </c>
      <c r="L1110" s="64" t="s">
        <v>179</v>
      </c>
      <c r="M1110" s="68" t="s">
        <v>1318</v>
      </c>
      <c r="N1110" s="64" t="s">
        <v>180</v>
      </c>
      <c r="O1110" s="64" t="s">
        <v>1314</v>
      </c>
      <c r="P1110" s="69">
        <v>44228</v>
      </c>
      <c r="Q1110" s="69">
        <v>44255</v>
      </c>
      <c r="R1110" s="170"/>
      <c r="S1110" s="170"/>
      <c r="T1110" s="170"/>
      <c r="U1110" s="97"/>
      <c r="V1110" s="674">
        <v>0</v>
      </c>
      <c r="W1110" s="97"/>
      <c r="X1110" s="97"/>
      <c r="Y1110" s="97"/>
      <c r="Z1110" s="97"/>
      <c r="AA1110" s="97"/>
      <c r="AB1110" s="97"/>
      <c r="AC1110" s="97"/>
      <c r="AD1110" s="97"/>
      <c r="AE1110" s="591"/>
      <c r="AF1110" s="353"/>
      <c r="AG1110" s="510">
        <v>0</v>
      </c>
      <c r="AH1110" s="370">
        <v>0</v>
      </c>
      <c r="AI1110" s="75"/>
      <c r="AJ1110" s="75"/>
      <c r="AK1110" s="75"/>
      <c r="AL1110" s="75"/>
      <c r="AM1110" s="75"/>
      <c r="AN1110" s="171" t="s">
        <v>181</v>
      </c>
      <c r="AO1110" s="171"/>
      <c r="AP1110" s="171"/>
      <c r="AQ1110" s="418"/>
      <c r="AS1110" s="484"/>
      <c r="AV1110" s="335" t="s">
        <v>127</v>
      </c>
    </row>
    <row r="1111" spans="1:48" outlineLevel="3" x14ac:dyDescent="0.25">
      <c r="A1111" s="63" t="str">
        <f t="shared" si="191"/>
        <v>3.13.0.2.9.0</v>
      </c>
      <c r="B1111" s="64">
        <v>3</v>
      </c>
      <c r="C1111" s="64">
        <v>13</v>
      </c>
      <c r="D1111" s="64">
        <v>0</v>
      </c>
      <c r="E1111" s="64">
        <v>2</v>
      </c>
      <c r="F1111" s="64">
        <v>9</v>
      </c>
      <c r="G1111" s="64">
        <v>0</v>
      </c>
      <c r="H1111" s="65"/>
      <c r="I1111" s="65"/>
      <c r="J1111" s="65"/>
      <c r="K1111" s="65" t="s">
        <v>1322</v>
      </c>
      <c r="L1111" s="64" t="s">
        <v>179</v>
      </c>
      <c r="M1111" s="68" t="s">
        <v>1318</v>
      </c>
      <c r="N1111" s="64" t="s">
        <v>180</v>
      </c>
      <c r="O1111" s="64" t="s">
        <v>1314</v>
      </c>
      <c r="P1111" s="69">
        <v>44228</v>
      </c>
      <c r="Q1111" s="69">
        <v>44255</v>
      </c>
      <c r="R1111" s="170"/>
      <c r="S1111" s="170"/>
      <c r="T1111" s="170"/>
      <c r="U1111" s="97"/>
      <c r="V1111" s="674">
        <v>0</v>
      </c>
      <c r="W1111" s="97"/>
      <c r="X1111" s="97"/>
      <c r="Y1111" s="97"/>
      <c r="Z1111" s="97"/>
      <c r="AA1111" s="97"/>
      <c r="AB1111" s="97"/>
      <c r="AC1111" s="97"/>
      <c r="AD1111" s="97"/>
      <c r="AE1111" s="591"/>
      <c r="AF1111" s="353"/>
      <c r="AG1111" s="510">
        <v>0</v>
      </c>
      <c r="AH1111" s="370">
        <v>0</v>
      </c>
      <c r="AI1111" s="75"/>
      <c r="AJ1111" s="75"/>
      <c r="AK1111" s="75"/>
      <c r="AL1111" s="75"/>
      <c r="AM1111" s="75"/>
      <c r="AN1111" s="171" t="s">
        <v>181</v>
      </c>
      <c r="AO1111" s="171"/>
      <c r="AP1111" s="171"/>
      <c r="AQ1111" s="418"/>
      <c r="AS1111" s="484"/>
      <c r="AV1111" s="185"/>
    </row>
    <row r="1112" spans="1:48" outlineLevel="3" x14ac:dyDescent="0.25">
      <c r="A1112" s="63" t="str">
        <f t="shared" si="191"/>
        <v>3.13.0.2.10.0</v>
      </c>
      <c r="B1112" s="64">
        <v>3</v>
      </c>
      <c r="C1112" s="64">
        <v>13</v>
      </c>
      <c r="D1112" s="64">
        <v>0</v>
      </c>
      <c r="E1112" s="64">
        <v>2</v>
      </c>
      <c r="F1112" s="64">
        <v>10</v>
      </c>
      <c r="G1112" s="64">
        <v>0</v>
      </c>
      <c r="H1112" s="65"/>
      <c r="I1112" s="65"/>
      <c r="J1112" s="65"/>
      <c r="K1112" s="65" t="s">
        <v>1323</v>
      </c>
      <c r="L1112" s="64" t="s">
        <v>179</v>
      </c>
      <c r="M1112" s="68" t="s">
        <v>1324</v>
      </c>
      <c r="N1112" s="64" t="s">
        <v>180</v>
      </c>
      <c r="O1112" s="64" t="s">
        <v>38</v>
      </c>
      <c r="P1112" s="69">
        <v>44228</v>
      </c>
      <c r="Q1112" s="69">
        <v>44255</v>
      </c>
      <c r="R1112" s="170"/>
      <c r="S1112" s="170"/>
      <c r="T1112" s="170"/>
      <c r="U1112" s="172">
        <v>50000</v>
      </c>
      <c r="V1112" s="674">
        <v>0</v>
      </c>
      <c r="W1112" s="97"/>
      <c r="X1112" s="172">
        <v>50000</v>
      </c>
      <c r="Y1112" s="172"/>
      <c r="Z1112" s="97"/>
      <c r="AA1112" s="97"/>
      <c r="AB1112" s="97"/>
      <c r="AC1112" s="97"/>
      <c r="AD1112" s="97"/>
      <c r="AE1112" s="591"/>
      <c r="AF1112" s="353"/>
      <c r="AG1112" s="510">
        <v>0</v>
      </c>
      <c r="AH1112" s="370">
        <v>0</v>
      </c>
      <c r="AI1112" s="75"/>
      <c r="AJ1112" s="75"/>
      <c r="AK1112" s="75"/>
      <c r="AL1112" s="75"/>
      <c r="AM1112" s="75"/>
      <c r="AN1112" s="171" t="s">
        <v>181</v>
      </c>
      <c r="AO1112" s="171"/>
      <c r="AP1112" s="171"/>
      <c r="AQ1112" s="418"/>
      <c r="AS1112" s="484"/>
      <c r="AV1112" s="185"/>
    </row>
    <row r="1113" spans="1:48" outlineLevel="3" x14ac:dyDescent="0.25">
      <c r="A1113" s="63" t="str">
        <f t="shared" si="191"/>
        <v>3.13.0.2.20.0</v>
      </c>
      <c r="B1113" s="64">
        <v>3</v>
      </c>
      <c r="C1113" s="64">
        <v>13</v>
      </c>
      <c r="D1113" s="64">
        <v>0</v>
      </c>
      <c r="E1113" s="64">
        <v>2</v>
      </c>
      <c r="F1113" s="64">
        <v>20</v>
      </c>
      <c r="G1113" s="64">
        <v>0</v>
      </c>
      <c r="H1113" s="65"/>
      <c r="I1113" s="65"/>
      <c r="J1113" s="65"/>
      <c r="K1113" s="185" t="s">
        <v>1325</v>
      </c>
      <c r="L1113" s="64" t="s">
        <v>179</v>
      </c>
      <c r="M1113" s="68" t="s">
        <v>1324</v>
      </c>
      <c r="N1113" s="64" t="s">
        <v>180</v>
      </c>
      <c r="O1113" s="64" t="s">
        <v>38</v>
      </c>
      <c r="P1113" s="69">
        <v>44228</v>
      </c>
      <c r="Q1113" s="69">
        <v>44255</v>
      </c>
      <c r="R1113" s="170"/>
      <c r="S1113" s="170"/>
      <c r="T1113" s="170"/>
      <c r="U1113" s="97"/>
      <c r="V1113" s="674">
        <v>0</v>
      </c>
      <c r="W1113" s="97"/>
      <c r="X1113" s="97"/>
      <c r="Y1113" s="97"/>
      <c r="Z1113" s="97"/>
      <c r="AA1113" s="97"/>
      <c r="AB1113" s="97"/>
      <c r="AC1113" s="97"/>
      <c r="AD1113" s="97"/>
      <c r="AE1113" s="591"/>
      <c r="AF1113" s="353"/>
      <c r="AG1113" s="510">
        <v>0</v>
      </c>
      <c r="AH1113" s="370">
        <v>0</v>
      </c>
      <c r="AI1113" s="75"/>
      <c r="AJ1113" s="75"/>
      <c r="AK1113" s="75"/>
      <c r="AL1113" s="75"/>
      <c r="AM1113" s="75"/>
      <c r="AN1113" s="171" t="s">
        <v>181</v>
      </c>
      <c r="AO1113" s="171"/>
      <c r="AP1113" s="171"/>
      <c r="AQ1113" s="418"/>
      <c r="AS1113" s="484"/>
      <c r="AV1113" s="185"/>
    </row>
    <row r="1114" spans="1:48" outlineLevel="3" x14ac:dyDescent="0.25">
      <c r="A1114" s="63" t="str">
        <f t="shared" si="191"/>
        <v>3.13.0.2.23.0</v>
      </c>
      <c r="B1114" s="64">
        <v>3</v>
      </c>
      <c r="C1114" s="64">
        <v>13</v>
      </c>
      <c r="D1114" s="64">
        <v>0</v>
      </c>
      <c r="E1114" s="64">
        <v>2</v>
      </c>
      <c r="F1114" s="64">
        <v>23</v>
      </c>
      <c r="G1114" s="64">
        <v>0</v>
      </c>
      <c r="H1114" s="65"/>
      <c r="I1114" s="65"/>
      <c r="J1114" s="65"/>
      <c r="K1114" s="185" t="s">
        <v>1326</v>
      </c>
      <c r="L1114" s="64"/>
      <c r="M1114" s="68"/>
      <c r="N1114" s="64"/>
      <c r="O1114" s="64"/>
      <c r="P1114" s="69"/>
      <c r="Q1114" s="69"/>
      <c r="R1114" s="170"/>
      <c r="S1114" s="170"/>
      <c r="T1114" s="170"/>
      <c r="U1114" s="97"/>
      <c r="V1114" s="674">
        <v>0</v>
      </c>
      <c r="W1114" s="97"/>
      <c r="X1114" s="97"/>
      <c r="Y1114" s="97"/>
      <c r="Z1114" s="97"/>
      <c r="AA1114" s="97"/>
      <c r="AB1114" s="97"/>
      <c r="AC1114" s="97"/>
      <c r="AD1114" s="97"/>
      <c r="AE1114" s="591"/>
      <c r="AF1114" s="353"/>
      <c r="AG1114" s="510">
        <v>0</v>
      </c>
      <c r="AH1114" s="370">
        <v>0</v>
      </c>
      <c r="AI1114" s="75"/>
      <c r="AJ1114" s="75"/>
      <c r="AK1114" s="75"/>
      <c r="AL1114" s="75"/>
      <c r="AM1114" s="75"/>
      <c r="AN1114" s="171" t="s">
        <v>181</v>
      </c>
      <c r="AO1114" s="171"/>
      <c r="AP1114" s="171"/>
      <c r="AQ1114" s="418"/>
      <c r="AS1114" s="484"/>
      <c r="AV1114" s="185"/>
    </row>
    <row r="1115" spans="1:48" s="153" customFormat="1" ht="36.75" customHeight="1" outlineLevel="1" x14ac:dyDescent="0.25">
      <c r="A1115" s="148" t="str">
        <f t="shared" si="191"/>
        <v>3.13.0.3.0.0</v>
      </c>
      <c r="B1115" s="82">
        <v>3</v>
      </c>
      <c r="C1115" s="82">
        <v>13</v>
      </c>
      <c r="D1115" s="82">
        <v>0</v>
      </c>
      <c r="E1115" s="82">
        <v>3</v>
      </c>
      <c r="F1115" s="82">
        <v>0</v>
      </c>
      <c r="G1115" s="82">
        <v>0</v>
      </c>
      <c r="H1115" s="149"/>
      <c r="I1115" s="149"/>
      <c r="J1115" s="1291" t="s">
        <v>1873</v>
      </c>
      <c r="K1115" s="1292"/>
      <c r="L1115" s="82" t="s">
        <v>192</v>
      </c>
      <c r="M1115" s="82" t="s">
        <v>1327</v>
      </c>
      <c r="N1115" s="82" t="s">
        <v>1328</v>
      </c>
      <c r="O1115" s="82" t="s">
        <v>38</v>
      </c>
      <c r="P1115" s="82"/>
      <c r="Q1115" s="82"/>
      <c r="R1115" s="82"/>
      <c r="S1115" s="149"/>
      <c r="T1115" s="82"/>
      <c r="U1115" s="379">
        <f>+SUM(U1116:U1117)</f>
        <v>0</v>
      </c>
      <c r="V1115" s="682">
        <f>+SUM(V1116:V1117)</f>
        <v>0</v>
      </c>
      <c r="W1115" s="152"/>
      <c r="X1115" s="152"/>
      <c r="Y1115" s="152"/>
      <c r="Z1115" s="152"/>
      <c r="AA1115" s="152"/>
      <c r="AB1115" s="152"/>
      <c r="AC1115" s="257"/>
      <c r="AD1115" s="257"/>
      <c r="AE1115" s="611"/>
      <c r="AF1115" s="358"/>
      <c r="AG1115" s="512">
        <f>+SUM(AG1116:AG1117)</f>
        <v>0</v>
      </c>
      <c r="AH1115" s="379">
        <f>+SUM(AH1116:AH1117)</f>
        <v>0</v>
      </c>
      <c r="AI1115" s="512">
        <f>+SUM(AI1116:AI1117)</f>
        <v>0</v>
      </c>
      <c r="AJ1115" s="512">
        <f>+SUM(AJ1116:AJ1117)</f>
        <v>0</v>
      </c>
      <c r="AK1115" s="152"/>
      <c r="AL1115" s="152"/>
      <c r="AM1115" s="152"/>
      <c r="AN1115" s="82" t="s">
        <v>39</v>
      </c>
      <c r="AO1115" s="82"/>
      <c r="AP1115" s="82"/>
      <c r="AQ1115" s="365"/>
      <c r="AR1115" s="82"/>
      <c r="AS1115" s="483"/>
      <c r="AT1115" s="82"/>
      <c r="AU1115" s="666"/>
      <c r="AV1115" s="444"/>
    </row>
    <row r="1116" spans="1:48" outlineLevel="2" x14ac:dyDescent="0.25">
      <c r="A1116" s="63" t="str">
        <f t="shared" si="191"/>
        <v>3.13.0.3.1.58-64</v>
      </c>
      <c r="B1116" s="64">
        <v>3</v>
      </c>
      <c r="C1116" s="64">
        <v>13</v>
      </c>
      <c r="D1116" s="64">
        <v>0</v>
      </c>
      <c r="E1116" s="64">
        <v>3</v>
      </c>
      <c r="F1116" s="64">
        <v>1</v>
      </c>
      <c r="G1116" s="64" t="s">
        <v>64</v>
      </c>
      <c r="H1116" s="65"/>
      <c r="I1116" s="65"/>
      <c r="J1116" s="65"/>
      <c r="K1116" s="65" t="s">
        <v>1329</v>
      </c>
      <c r="L1116" s="64" t="s">
        <v>192</v>
      </c>
      <c r="M1116" s="64" t="s">
        <v>1327</v>
      </c>
      <c r="N1116" s="64" t="s">
        <v>1330</v>
      </c>
      <c r="O1116" s="64" t="s">
        <v>38</v>
      </c>
      <c r="P1116" s="64"/>
      <c r="Q1116" s="64"/>
      <c r="R1116" s="64"/>
      <c r="S1116" s="65"/>
      <c r="T1116" s="64"/>
      <c r="U1116" s="370">
        <v>0</v>
      </c>
      <c r="V1116" s="687">
        <v>0</v>
      </c>
      <c r="W1116" s="75"/>
      <c r="X1116" s="75"/>
      <c r="Y1116" s="75"/>
      <c r="Z1116" s="75"/>
      <c r="AA1116" s="75"/>
      <c r="AB1116" s="75"/>
      <c r="AC1116" s="97"/>
      <c r="AD1116" s="97"/>
      <c r="AE1116" s="591"/>
      <c r="AF1116" s="259"/>
      <c r="AG1116" s="510">
        <v>0</v>
      </c>
      <c r="AH1116" s="370">
        <v>0</v>
      </c>
      <c r="AI1116" s="75"/>
      <c r="AJ1116" s="75"/>
      <c r="AK1116" s="75"/>
      <c r="AL1116" s="75"/>
      <c r="AM1116" s="75"/>
      <c r="AN1116" s="64" t="s">
        <v>39</v>
      </c>
      <c r="AO1116" s="64"/>
      <c r="AP1116" s="64"/>
      <c r="AQ1116" s="189"/>
      <c r="AR1116" s="64"/>
      <c r="AS1116" s="476"/>
      <c r="AT1116" s="64"/>
      <c r="AU1116" s="646"/>
      <c r="AV1116" s="185"/>
    </row>
    <row r="1117" spans="1:48" ht="36" customHeight="1" outlineLevel="2" x14ac:dyDescent="0.25">
      <c r="A1117" s="63" t="str">
        <f t="shared" si="191"/>
        <v>3.13.0.3.2.58-64</v>
      </c>
      <c r="B1117" s="64">
        <v>3</v>
      </c>
      <c r="C1117" s="64">
        <v>13</v>
      </c>
      <c r="D1117" s="64">
        <v>0</v>
      </c>
      <c r="E1117" s="64">
        <v>3</v>
      </c>
      <c r="F1117" s="64">
        <v>2</v>
      </c>
      <c r="G1117" s="64" t="s">
        <v>64</v>
      </c>
      <c r="H1117" s="65"/>
      <c r="I1117" s="65"/>
      <c r="J1117" s="66"/>
      <c r="K1117" s="67" t="s">
        <v>1331</v>
      </c>
      <c r="L1117" s="64" t="s">
        <v>192</v>
      </c>
      <c r="M1117" s="64" t="s">
        <v>1332</v>
      </c>
      <c r="N1117" s="64" t="s">
        <v>1330</v>
      </c>
      <c r="O1117" s="64" t="s">
        <v>38</v>
      </c>
      <c r="P1117" s="64"/>
      <c r="Q1117" s="64"/>
      <c r="R1117" s="64"/>
      <c r="S1117" s="65"/>
      <c r="T1117" s="64"/>
      <c r="U1117" s="370">
        <v>0</v>
      </c>
      <c r="V1117" s="687">
        <v>0</v>
      </c>
      <c r="W1117" s="75"/>
      <c r="X1117" s="75"/>
      <c r="Y1117" s="75"/>
      <c r="Z1117" s="75"/>
      <c r="AA1117" s="75"/>
      <c r="AB1117" s="75"/>
      <c r="AC1117" s="97"/>
      <c r="AD1117" s="97"/>
      <c r="AE1117" s="591"/>
      <c r="AF1117" s="259"/>
      <c r="AG1117" s="510">
        <v>0</v>
      </c>
      <c r="AH1117" s="370">
        <v>0</v>
      </c>
      <c r="AI1117" s="75"/>
      <c r="AJ1117" s="75"/>
      <c r="AK1117" s="75"/>
      <c r="AL1117" s="75"/>
      <c r="AM1117" s="75"/>
      <c r="AN1117" s="64" t="s">
        <v>39</v>
      </c>
      <c r="AO1117" s="64"/>
      <c r="AP1117" s="64"/>
      <c r="AQ1117" s="189"/>
      <c r="AR1117" s="64"/>
      <c r="AS1117" s="476"/>
      <c r="AT1117" s="64"/>
      <c r="AU1117" s="646"/>
      <c r="AV1117" s="185"/>
    </row>
    <row r="1118" spans="1:48" s="153" customFormat="1" ht="34.5" customHeight="1" outlineLevel="1" x14ac:dyDescent="0.25">
      <c r="A1118" s="148" t="str">
        <f t="shared" si="191"/>
        <v>3.13.0.4.0.0</v>
      </c>
      <c r="B1118" s="82">
        <v>3</v>
      </c>
      <c r="C1118" s="82">
        <v>13</v>
      </c>
      <c r="D1118" s="82">
        <v>0</v>
      </c>
      <c r="E1118" s="82">
        <v>4</v>
      </c>
      <c r="F1118" s="82">
        <v>0</v>
      </c>
      <c r="G1118" s="82">
        <v>0</v>
      </c>
      <c r="H1118" s="149"/>
      <c r="I1118" s="149"/>
      <c r="J1118" s="149" t="s">
        <v>1333</v>
      </c>
      <c r="K1118" s="83"/>
      <c r="L1118" s="82" t="s">
        <v>72</v>
      </c>
      <c r="M1118" s="82" t="s">
        <v>1334</v>
      </c>
      <c r="N1118" s="82" t="s">
        <v>1223</v>
      </c>
      <c r="O1118" s="82" t="s">
        <v>1335</v>
      </c>
      <c r="P1118" s="82"/>
      <c r="Q1118" s="82"/>
      <c r="R1118" s="82"/>
      <c r="S1118" s="149"/>
      <c r="T1118" s="82"/>
      <c r="U1118" s="379">
        <f>+SUM(U1119:U1121)</f>
        <v>0</v>
      </c>
      <c r="V1118" s="682">
        <f>+SUM(V1119:V1121)</f>
        <v>0</v>
      </c>
      <c r="W1118" s="152"/>
      <c r="X1118" s="152"/>
      <c r="Y1118" s="152"/>
      <c r="Z1118" s="152"/>
      <c r="AA1118" s="152"/>
      <c r="AB1118" s="152"/>
      <c r="AC1118" s="257"/>
      <c r="AD1118" s="257"/>
      <c r="AE1118" s="611"/>
      <c r="AF1118" s="358"/>
      <c r="AG1118" s="512">
        <f>+SUM(AG1119:AG1121)</f>
        <v>0</v>
      </c>
      <c r="AH1118" s="379">
        <f>+SUM(AH1119:AH1121)</f>
        <v>0</v>
      </c>
      <c r="AI1118" s="512">
        <f>+SUM(AI1119:AI1121)</f>
        <v>0</v>
      </c>
      <c r="AJ1118" s="512">
        <f>+SUM(AJ1119:AJ1121)</f>
        <v>0</v>
      </c>
      <c r="AK1118" s="152"/>
      <c r="AL1118" s="152"/>
      <c r="AM1118" s="152"/>
      <c r="AN1118" s="82" t="s">
        <v>39</v>
      </c>
      <c r="AO1118" s="82"/>
      <c r="AP1118" s="82"/>
      <c r="AQ1118" s="365"/>
      <c r="AR1118" s="82"/>
      <c r="AS1118" s="483"/>
      <c r="AT1118" s="82"/>
      <c r="AU1118" s="666"/>
      <c r="AV1118" s="444"/>
    </row>
    <row r="1119" spans="1:48" outlineLevel="3" x14ac:dyDescent="0.25">
      <c r="A1119" s="63" t="str">
        <f t="shared" si="191"/>
        <v>3.13.0.4.1.58-64</v>
      </c>
      <c r="B1119" s="64">
        <v>3</v>
      </c>
      <c r="C1119" s="64">
        <v>13</v>
      </c>
      <c r="D1119" s="64">
        <v>0</v>
      </c>
      <c r="E1119" s="64">
        <v>4</v>
      </c>
      <c r="F1119" s="64">
        <v>1</v>
      </c>
      <c r="G1119" s="64" t="s">
        <v>64</v>
      </c>
      <c r="H1119" s="65"/>
      <c r="I1119" s="65"/>
      <c r="J1119" s="66"/>
      <c r="K1119" s="65" t="s">
        <v>1336</v>
      </c>
      <c r="L1119" s="64" t="s">
        <v>72</v>
      </c>
      <c r="M1119" s="64" t="s">
        <v>1337</v>
      </c>
      <c r="N1119" s="64" t="s">
        <v>1223</v>
      </c>
      <c r="O1119" s="64" t="s">
        <v>359</v>
      </c>
      <c r="P1119" s="64"/>
      <c r="Q1119" s="64"/>
      <c r="R1119" s="64"/>
      <c r="S1119" s="65"/>
      <c r="T1119" s="64"/>
      <c r="U1119" s="370">
        <v>0</v>
      </c>
      <c r="V1119" s="687">
        <v>0</v>
      </c>
      <c r="W1119" s="75"/>
      <c r="X1119" s="75"/>
      <c r="Y1119" s="75"/>
      <c r="Z1119" s="75"/>
      <c r="AA1119" s="75"/>
      <c r="AB1119" s="75"/>
      <c r="AC1119" s="97"/>
      <c r="AD1119" s="97"/>
      <c r="AE1119" s="591"/>
      <c r="AF1119" s="259"/>
      <c r="AG1119" s="510">
        <v>0</v>
      </c>
      <c r="AH1119" s="370">
        <v>0</v>
      </c>
      <c r="AI1119" s="75"/>
      <c r="AJ1119" s="75"/>
      <c r="AK1119" s="75"/>
      <c r="AL1119" s="75"/>
      <c r="AM1119" s="75"/>
      <c r="AN1119" s="64" t="s">
        <v>39</v>
      </c>
      <c r="AO1119" s="64"/>
      <c r="AP1119" s="64"/>
      <c r="AQ1119" s="189"/>
      <c r="AR1119" s="64"/>
      <c r="AS1119" s="476"/>
      <c r="AT1119" s="64"/>
      <c r="AU1119" s="646"/>
      <c r="AV1119" s="185"/>
    </row>
    <row r="1120" spans="1:48" outlineLevel="3" x14ac:dyDescent="0.25">
      <c r="A1120" s="63" t="str">
        <f t="shared" si="191"/>
        <v>3.13.0.4.2.58-64</v>
      </c>
      <c r="B1120" s="64">
        <v>3</v>
      </c>
      <c r="C1120" s="64">
        <v>13</v>
      </c>
      <c r="D1120" s="64">
        <v>0</v>
      </c>
      <c r="E1120" s="64">
        <v>4</v>
      </c>
      <c r="F1120" s="64">
        <v>2</v>
      </c>
      <c r="G1120" s="64" t="s">
        <v>64</v>
      </c>
      <c r="H1120" s="65"/>
      <c r="I1120" s="65"/>
      <c r="J1120" s="66"/>
      <c r="K1120" s="67" t="s">
        <v>1874</v>
      </c>
      <c r="L1120" s="64" t="s">
        <v>72</v>
      </c>
      <c r="M1120" s="68" t="s">
        <v>1338</v>
      </c>
      <c r="N1120" s="64" t="s">
        <v>1223</v>
      </c>
      <c r="O1120" s="64" t="s">
        <v>38</v>
      </c>
      <c r="P1120" s="64"/>
      <c r="Q1120" s="64"/>
      <c r="R1120" s="64"/>
      <c r="S1120" s="65"/>
      <c r="T1120" s="64"/>
      <c r="U1120" s="370">
        <v>0</v>
      </c>
      <c r="V1120" s="687">
        <v>0</v>
      </c>
      <c r="W1120" s="75"/>
      <c r="X1120" s="75"/>
      <c r="Y1120" s="75"/>
      <c r="Z1120" s="75"/>
      <c r="AA1120" s="75"/>
      <c r="AB1120" s="75"/>
      <c r="AC1120" s="97"/>
      <c r="AD1120" s="97"/>
      <c r="AE1120" s="591"/>
      <c r="AF1120" s="259"/>
      <c r="AG1120" s="510">
        <v>0</v>
      </c>
      <c r="AH1120" s="370">
        <v>0</v>
      </c>
      <c r="AI1120" s="75"/>
      <c r="AJ1120" s="75"/>
      <c r="AK1120" s="75"/>
      <c r="AL1120" s="75"/>
      <c r="AM1120" s="75"/>
      <c r="AN1120" s="64" t="s">
        <v>39</v>
      </c>
      <c r="AO1120" s="64"/>
      <c r="AP1120" s="64"/>
      <c r="AQ1120" s="189"/>
      <c r="AR1120" s="64"/>
      <c r="AS1120" s="476"/>
      <c r="AT1120" s="64"/>
      <c r="AU1120" s="646"/>
      <c r="AV1120" s="185"/>
    </row>
    <row r="1121" spans="1:48" outlineLevel="3" x14ac:dyDescent="0.25">
      <c r="A1121" s="63" t="str">
        <f t="shared" si="191"/>
        <v>3.13.0.4.3.58-64</v>
      </c>
      <c r="B1121" s="64">
        <v>3</v>
      </c>
      <c r="C1121" s="64">
        <v>13</v>
      </c>
      <c r="D1121" s="64">
        <v>0</v>
      </c>
      <c r="E1121" s="64">
        <v>4</v>
      </c>
      <c r="F1121" s="64">
        <v>3</v>
      </c>
      <c r="G1121" s="64" t="s">
        <v>64</v>
      </c>
      <c r="H1121" s="65"/>
      <c r="I1121" s="65"/>
      <c r="J1121" s="66"/>
      <c r="K1121" s="65" t="s">
        <v>1339</v>
      </c>
      <c r="L1121" s="64" t="s">
        <v>72</v>
      </c>
      <c r="M1121" s="64" t="s">
        <v>1340</v>
      </c>
      <c r="N1121" s="64" t="s">
        <v>1223</v>
      </c>
      <c r="O1121" s="64" t="s">
        <v>1341</v>
      </c>
      <c r="P1121" s="64"/>
      <c r="Q1121" s="64"/>
      <c r="R1121" s="64"/>
      <c r="S1121" s="65"/>
      <c r="T1121" s="64"/>
      <c r="U1121" s="370">
        <v>0</v>
      </c>
      <c r="V1121" s="687">
        <v>0</v>
      </c>
      <c r="W1121" s="75"/>
      <c r="X1121" s="75"/>
      <c r="Y1121" s="75"/>
      <c r="Z1121" s="75"/>
      <c r="AA1121" s="75"/>
      <c r="AB1121" s="75"/>
      <c r="AC1121" s="97"/>
      <c r="AD1121" s="97"/>
      <c r="AE1121" s="591"/>
      <c r="AF1121" s="259"/>
      <c r="AG1121" s="510">
        <v>0</v>
      </c>
      <c r="AH1121" s="370">
        <v>0</v>
      </c>
      <c r="AI1121" s="75"/>
      <c r="AJ1121" s="75"/>
      <c r="AK1121" s="75"/>
      <c r="AL1121" s="75"/>
      <c r="AM1121" s="75"/>
      <c r="AN1121" s="64" t="s">
        <v>39</v>
      </c>
      <c r="AO1121" s="64"/>
      <c r="AP1121" s="64"/>
      <c r="AQ1121" s="189"/>
      <c r="AR1121" s="64"/>
      <c r="AS1121" s="476"/>
      <c r="AT1121" s="64"/>
      <c r="AU1121" s="646"/>
      <c r="AV1121" s="185"/>
    </row>
    <row r="1122" spans="1:48" s="153" customFormat="1" ht="29.25" customHeight="1" outlineLevel="1" x14ac:dyDescent="0.25">
      <c r="A1122" s="148" t="str">
        <f t="shared" si="191"/>
        <v>3.13.0.5.0.0</v>
      </c>
      <c r="B1122" s="82">
        <v>3</v>
      </c>
      <c r="C1122" s="82">
        <v>13</v>
      </c>
      <c r="D1122" s="82">
        <v>0</v>
      </c>
      <c r="E1122" s="82">
        <v>5</v>
      </c>
      <c r="F1122" s="82">
        <v>0</v>
      </c>
      <c r="G1122" s="82">
        <v>0</v>
      </c>
      <c r="H1122" s="149"/>
      <c r="I1122" s="149"/>
      <c r="J1122" s="1260" t="s">
        <v>1342</v>
      </c>
      <c r="K1122" s="1259"/>
      <c r="L1122" s="82" t="s">
        <v>1343</v>
      </c>
      <c r="M1122" s="82" t="s">
        <v>1344</v>
      </c>
      <c r="N1122" s="83" t="s">
        <v>1345</v>
      </c>
      <c r="O1122" s="83" t="s">
        <v>1346</v>
      </c>
      <c r="P1122" s="82"/>
      <c r="Q1122" s="82"/>
      <c r="R1122" s="82">
        <f>SUM(R1124+R1125+R1127+R1128+R1129+R1130+R1131+R1132+R1133+R1134+R1135+R1136+R1137)</f>
        <v>442</v>
      </c>
      <c r="S1122" s="149"/>
      <c r="T1122" s="82"/>
      <c r="U1122" s="209">
        <f>SUM(U1123:U1138)</f>
        <v>30000</v>
      </c>
      <c r="V1122" s="682">
        <f t="shared" ref="V1122:AG1122" si="201">+SUM(V1123:V1138)</f>
        <v>0</v>
      </c>
      <c r="W1122" s="379">
        <f t="shared" si="201"/>
        <v>174</v>
      </c>
      <c r="X1122" s="379">
        <f t="shared" si="201"/>
        <v>30000</v>
      </c>
      <c r="Y1122" s="379">
        <f t="shared" si="201"/>
        <v>0</v>
      </c>
      <c r="Z1122" s="379">
        <f t="shared" si="201"/>
        <v>114</v>
      </c>
      <c r="AA1122" s="379">
        <f t="shared" si="201"/>
        <v>30000</v>
      </c>
      <c r="AB1122" s="379">
        <f t="shared" si="201"/>
        <v>0</v>
      </c>
      <c r="AC1122" s="379">
        <f t="shared" si="201"/>
        <v>5</v>
      </c>
      <c r="AD1122" s="379">
        <f t="shared" si="201"/>
        <v>20000</v>
      </c>
      <c r="AE1122" s="379">
        <f t="shared" si="201"/>
        <v>0</v>
      </c>
      <c r="AF1122" s="379">
        <f t="shared" si="201"/>
        <v>0</v>
      </c>
      <c r="AG1122" s="379">
        <f t="shared" si="201"/>
        <v>250000</v>
      </c>
      <c r="AH1122" s="379">
        <f>+SUM(AH1123:AH1138)</f>
        <v>0</v>
      </c>
      <c r="AI1122" s="512">
        <f>+SUM(AI1123:AI1138)</f>
        <v>0</v>
      </c>
      <c r="AJ1122" s="512">
        <f>+SUM(AJ1123:AJ1138)</f>
        <v>0</v>
      </c>
      <c r="AK1122" s="152"/>
      <c r="AL1122" s="152"/>
      <c r="AM1122" s="152"/>
      <c r="AN1122" s="82" t="s">
        <v>181</v>
      </c>
      <c r="AO1122" s="82"/>
      <c r="AP1122" s="82"/>
      <c r="AQ1122" s="365"/>
      <c r="AR1122" s="82"/>
      <c r="AS1122" s="483"/>
      <c r="AT1122" s="82"/>
      <c r="AU1122" s="666"/>
      <c r="AV1122" s="444"/>
    </row>
    <row r="1123" spans="1:48" outlineLevel="2" x14ac:dyDescent="0.25">
      <c r="A1123" s="63" t="str">
        <f t="shared" si="191"/>
        <v>3.13.0.5.1.58-64</v>
      </c>
      <c r="B1123" s="64">
        <v>3</v>
      </c>
      <c r="C1123" s="64">
        <v>13</v>
      </c>
      <c r="D1123" s="64">
        <v>0</v>
      </c>
      <c r="E1123" s="64">
        <v>5</v>
      </c>
      <c r="F1123" s="64">
        <v>1</v>
      </c>
      <c r="G1123" s="64" t="s">
        <v>64</v>
      </c>
      <c r="H1123" s="65"/>
      <c r="I1123" s="65"/>
      <c r="J1123" s="66"/>
      <c r="K1123" s="65" t="s">
        <v>1347</v>
      </c>
      <c r="L1123" s="64" t="s">
        <v>1343</v>
      </c>
      <c r="M1123" s="64" t="s">
        <v>1344</v>
      </c>
      <c r="N1123" s="64" t="s">
        <v>1348</v>
      </c>
      <c r="O1123" s="64" t="s">
        <v>44</v>
      </c>
      <c r="P1123" s="64"/>
      <c r="Q1123" s="64"/>
      <c r="R1123" s="64"/>
      <c r="S1123" s="65"/>
      <c r="T1123" s="64"/>
      <c r="U1123" s="75"/>
      <c r="V1123" s="674">
        <v>0</v>
      </c>
      <c r="W1123" s="75"/>
      <c r="X1123" s="75"/>
      <c r="Y1123" s="75"/>
      <c r="Z1123" s="75"/>
      <c r="AA1123" s="75"/>
      <c r="AB1123" s="75"/>
      <c r="AC1123" s="97"/>
      <c r="AD1123" s="97"/>
      <c r="AE1123" s="591"/>
      <c r="AF1123" s="259"/>
      <c r="AG1123" s="510">
        <v>0</v>
      </c>
      <c r="AH1123" s="370">
        <v>0</v>
      </c>
      <c r="AI1123" s="75"/>
      <c r="AJ1123" s="75"/>
      <c r="AK1123" s="75"/>
      <c r="AL1123" s="75"/>
      <c r="AM1123" s="75"/>
      <c r="AN1123" s="64" t="s">
        <v>181</v>
      </c>
      <c r="AO1123" s="64"/>
      <c r="AP1123" s="64"/>
      <c r="AQ1123" s="189"/>
      <c r="AR1123" s="64"/>
      <c r="AS1123" s="476"/>
      <c r="AT1123" s="64"/>
      <c r="AU1123" s="646"/>
      <c r="AV1123" s="185"/>
    </row>
    <row r="1124" spans="1:48" outlineLevel="2" x14ac:dyDescent="0.25">
      <c r="A1124" s="63" t="str">
        <f t="shared" si="191"/>
        <v>3.13.0.5.2.58-64</v>
      </c>
      <c r="B1124" s="64">
        <v>3</v>
      </c>
      <c r="C1124" s="64">
        <v>13</v>
      </c>
      <c r="D1124" s="64">
        <v>0</v>
      </c>
      <c r="E1124" s="64">
        <v>5</v>
      </c>
      <c r="F1124" s="64">
        <v>2</v>
      </c>
      <c r="G1124" s="64" t="s">
        <v>64</v>
      </c>
      <c r="H1124" s="65"/>
      <c r="I1124" s="65"/>
      <c r="J1124" s="66"/>
      <c r="K1124" s="65" t="s">
        <v>1349</v>
      </c>
      <c r="L1124" s="64" t="s">
        <v>1343</v>
      </c>
      <c r="M1124" s="64" t="s">
        <v>1350</v>
      </c>
      <c r="N1124" s="68" t="s">
        <v>1351</v>
      </c>
      <c r="O1124" s="64" t="s">
        <v>1352</v>
      </c>
      <c r="P1124" s="69">
        <v>44201</v>
      </c>
      <c r="Q1124" s="69">
        <v>44232</v>
      </c>
      <c r="R1124" s="64">
        <v>29</v>
      </c>
      <c r="S1124" s="67" t="s">
        <v>1350</v>
      </c>
      <c r="T1124" s="64">
        <v>29</v>
      </c>
      <c r="U1124" s="155">
        <v>10000</v>
      </c>
      <c r="V1124" s="674">
        <v>0</v>
      </c>
      <c r="W1124" s="75"/>
      <c r="X1124" s="75"/>
      <c r="Y1124" s="75"/>
      <c r="Z1124" s="75"/>
      <c r="AA1124" s="75"/>
      <c r="AB1124" s="75"/>
      <c r="AC1124" s="97"/>
      <c r="AD1124" s="97"/>
      <c r="AE1124" s="591"/>
      <c r="AF1124" s="343" t="s">
        <v>1353</v>
      </c>
      <c r="AG1124" s="510">
        <v>10000</v>
      </c>
      <c r="AH1124" s="510">
        <v>0</v>
      </c>
      <c r="AI1124" s="78"/>
      <c r="AJ1124" s="78"/>
      <c r="AK1124" s="78"/>
      <c r="AL1124" s="78"/>
      <c r="AM1124" s="78"/>
      <c r="AN1124" s="64" t="s">
        <v>181</v>
      </c>
      <c r="AO1124" s="64"/>
      <c r="AP1124" s="64"/>
      <c r="AQ1124" s="189"/>
      <c r="AR1124" s="64"/>
      <c r="AS1124" s="476"/>
      <c r="AT1124" s="64"/>
      <c r="AU1124" s="646"/>
      <c r="AV1124" s="185"/>
    </row>
    <row r="1125" spans="1:48" outlineLevel="2" x14ac:dyDescent="0.25">
      <c r="A1125" s="63" t="str">
        <f t="shared" si="191"/>
        <v>3.13.0.5.3.58-64</v>
      </c>
      <c r="B1125" s="64">
        <v>3</v>
      </c>
      <c r="C1125" s="64">
        <v>13</v>
      </c>
      <c r="D1125" s="64">
        <v>0</v>
      </c>
      <c r="E1125" s="64">
        <v>5</v>
      </c>
      <c r="F1125" s="64">
        <v>3</v>
      </c>
      <c r="G1125" s="64" t="s">
        <v>64</v>
      </c>
      <c r="H1125" s="65"/>
      <c r="I1125" s="65"/>
      <c r="J1125" s="66"/>
      <c r="K1125" s="65" t="s">
        <v>1354</v>
      </c>
      <c r="L1125" s="64" t="s">
        <v>1343</v>
      </c>
      <c r="M1125" s="64" t="s">
        <v>1350</v>
      </c>
      <c r="N1125" s="68" t="s">
        <v>1351</v>
      </c>
      <c r="O1125" s="64" t="s">
        <v>1352</v>
      </c>
      <c r="P1125" s="69">
        <v>44232</v>
      </c>
      <c r="Q1125" s="69">
        <v>44260</v>
      </c>
      <c r="R1125" s="64">
        <v>28</v>
      </c>
      <c r="S1125" s="67" t="s">
        <v>1350</v>
      </c>
      <c r="T1125" s="64">
        <v>28</v>
      </c>
      <c r="U1125" s="155">
        <v>10000</v>
      </c>
      <c r="V1125" s="674">
        <v>0</v>
      </c>
      <c r="W1125" s="75"/>
      <c r="X1125" s="75"/>
      <c r="Y1125" s="75"/>
      <c r="Z1125" s="75"/>
      <c r="AA1125" s="75"/>
      <c r="AB1125" s="75"/>
      <c r="AC1125" s="97"/>
      <c r="AD1125" s="97"/>
      <c r="AE1125" s="591"/>
      <c r="AF1125" s="343" t="s">
        <v>1353</v>
      </c>
      <c r="AG1125" s="510">
        <v>10000</v>
      </c>
      <c r="AH1125" s="510">
        <v>0</v>
      </c>
      <c r="AI1125" s="78"/>
      <c r="AJ1125" s="78"/>
      <c r="AK1125" s="78"/>
      <c r="AL1125" s="78"/>
      <c r="AM1125" s="78"/>
      <c r="AN1125" s="64" t="s">
        <v>181</v>
      </c>
      <c r="AO1125" s="64"/>
      <c r="AP1125" s="64"/>
      <c r="AQ1125" s="189"/>
      <c r="AR1125" s="64"/>
      <c r="AS1125" s="476"/>
      <c r="AT1125" s="64"/>
      <c r="AU1125" s="646"/>
      <c r="AV1125" s="185"/>
    </row>
    <row r="1126" spans="1:48" outlineLevel="2" x14ac:dyDescent="0.25">
      <c r="A1126" s="63" t="str">
        <f t="shared" si="191"/>
        <v>3.13.0.5.4.58-64</v>
      </c>
      <c r="B1126" s="64">
        <v>3</v>
      </c>
      <c r="C1126" s="64">
        <v>13</v>
      </c>
      <c r="D1126" s="64">
        <v>0</v>
      </c>
      <c r="E1126" s="64">
        <v>5</v>
      </c>
      <c r="F1126" s="64">
        <v>4</v>
      </c>
      <c r="G1126" s="64" t="s">
        <v>64</v>
      </c>
      <c r="H1126" s="65"/>
      <c r="I1126" s="65"/>
      <c r="J1126" s="66"/>
      <c r="K1126" s="65" t="s">
        <v>1355</v>
      </c>
      <c r="L1126" s="64" t="s">
        <v>1343</v>
      </c>
      <c r="M1126" s="64" t="s">
        <v>1350</v>
      </c>
      <c r="N1126" s="68" t="s">
        <v>1351</v>
      </c>
      <c r="O1126" s="64" t="s">
        <v>1352</v>
      </c>
      <c r="P1126" s="69">
        <v>44260</v>
      </c>
      <c r="Q1126" s="69">
        <v>44291</v>
      </c>
      <c r="R1126" s="64">
        <v>24</v>
      </c>
      <c r="S1126" s="67" t="s">
        <v>1350</v>
      </c>
      <c r="T1126" s="64">
        <v>24</v>
      </c>
      <c r="U1126" s="155">
        <v>10000</v>
      </c>
      <c r="V1126" s="674">
        <v>0</v>
      </c>
      <c r="W1126" s="75"/>
      <c r="X1126" s="75"/>
      <c r="Y1126" s="75"/>
      <c r="Z1126" s="75"/>
      <c r="AA1126" s="75"/>
      <c r="AB1126" s="75"/>
      <c r="AC1126" s="97"/>
      <c r="AD1126" s="97"/>
      <c r="AE1126" s="591"/>
      <c r="AF1126" s="343" t="s">
        <v>1353</v>
      </c>
      <c r="AG1126" s="510">
        <v>10000</v>
      </c>
      <c r="AH1126" s="510">
        <v>0</v>
      </c>
      <c r="AI1126" s="78"/>
      <c r="AJ1126" s="78"/>
      <c r="AK1126" s="78"/>
      <c r="AL1126" s="78"/>
      <c r="AM1126" s="78"/>
      <c r="AN1126" s="64" t="s">
        <v>181</v>
      </c>
      <c r="AO1126" s="64"/>
      <c r="AP1126" s="64"/>
      <c r="AQ1126" s="189"/>
      <c r="AR1126" s="64"/>
      <c r="AS1126" s="476"/>
      <c r="AT1126" s="64"/>
      <c r="AU1126" s="646"/>
      <c r="AV1126" s="185"/>
    </row>
    <row r="1127" spans="1:48" outlineLevel="2" x14ac:dyDescent="0.25">
      <c r="A1127" s="63" t="str">
        <f t="shared" si="191"/>
        <v>3.13.0.5.5.58-64</v>
      </c>
      <c r="B1127" s="64">
        <v>3</v>
      </c>
      <c r="C1127" s="64">
        <v>13</v>
      </c>
      <c r="D1127" s="64">
        <v>0</v>
      </c>
      <c r="E1127" s="64">
        <v>5</v>
      </c>
      <c r="F1127" s="64">
        <v>5</v>
      </c>
      <c r="G1127" s="64" t="s">
        <v>64</v>
      </c>
      <c r="H1127" s="65"/>
      <c r="I1127" s="65"/>
      <c r="J1127" s="66"/>
      <c r="K1127" s="65" t="s">
        <v>1356</v>
      </c>
      <c r="L1127" s="64" t="s">
        <v>1343</v>
      </c>
      <c r="M1127" s="64" t="s">
        <v>1350</v>
      </c>
      <c r="N1127" s="68" t="s">
        <v>1351</v>
      </c>
      <c r="O1127" s="64" t="s">
        <v>1352</v>
      </c>
      <c r="P1127" s="69">
        <v>43926</v>
      </c>
      <c r="Q1127" s="69">
        <v>44321</v>
      </c>
      <c r="R1127" s="64">
        <v>9</v>
      </c>
      <c r="S1127" s="67" t="s">
        <v>1350</v>
      </c>
      <c r="T1127" s="64"/>
      <c r="U1127" s="75"/>
      <c r="V1127" s="674">
        <v>0</v>
      </c>
      <c r="W1127" s="75">
        <v>9</v>
      </c>
      <c r="X1127" s="155">
        <v>10000</v>
      </c>
      <c r="Y1127" s="155"/>
      <c r="Z1127" s="75"/>
      <c r="AA1127" s="75"/>
      <c r="AB1127" s="75"/>
      <c r="AC1127" s="97"/>
      <c r="AD1127" s="97"/>
      <c r="AE1127" s="591"/>
      <c r="AF1127" s="343" t="s">
        <v>1353</v>
      </c>
      <c r="AG1127" s="510">
        <v>10000</v>
      </c>
      <c r="AH1127" s="510">
        <v>0</v>
      </c>
      <c r="AI1127" s="78"/>
      <c r="AJ1127" s="78"/>
      <c r="AK1127" s="78"/>
      <c r="AL1127" s="78"/>
      <c r="AM1127" s="78"/>
      <c r="AN1127" s="64" t="s">
        <v>181</v>
      </c>
      <c r="AO1127" s="64"/>
      <c r="AP1127" s="64"/>
      <c r="AQ1127" s="189"/>
      <c r="AR1127" s="64"/>
      <c r="AS1127" s="476"/>
      <c r="AT1127" s="64"/>
      <c r="AU1127" s="646"/>
      <c r="AV1127" s="185"/>
    </row>
    <row r="1128" spans="1:48" outlineLevel="2" x14ac:dyDescent="0.25">
      <c r="A1128" s="63" t="str">
        <f t="shared" si="191"/>
        <v>3.13.0.5.6.58-64</v>
      </c>
      <c r="B1128" s="64">
        <v>3</v>
      </c>
      <c r="C1128" s="64">
        <v>13</v>
      </c>
      <c r="D1128" s="64">
        <v>0</v>
      </c>
      <c r="E1128" s="64">
        <v>5</v>
      </c>
      <c r="F1128" s="64">
        <v>6</v>
      </c>
      <c r="G1128" s="64" t="s">
        <v>64</v>
      </c>
      <c r="H1128" s="65"/>
      <c r="I1128" s="65"/>
      <c r="J1128" s="66"/>
      <c r="K1128" s="65" t="s">
        <v>1357</v>
      </c>
      <c r="L1128" s="64" t="s">
        <v>1343</v>
      </c>
      <c r="M1128" s="64" t="s">
        <v>1350</v>
      </c>
      <c r="N1128" s="64" t="s">
        <v>1351</v>
      </c>
      <c r="O1128" s="64" t="s">
        <v>1352</v>
      </c>
      <c r="P1128" s="69">
        <v>44321</v>
      </c>
      <c r="Q1128" s="69">
        <v>44352</v>
      </c>
      <c r="R1128" s="64">
        <v>27</v>
      </c>
      <c r="S1128" s="67" t="s">
        <v>1350</v>
      </c>
      <c r="T1128" s="64"/>
      <c r="U1128" s="75"/>
      <c r="V1128" s="674">
        <v>0</v>
      </c>
      <c r="W1128" s="75">
        <v>27</v>
      </c>
      <c r="X1128" s="155">
        <v>10000</v>
      </c>
      <c r="Y1128" s="155"/>
      <c r="Z1128" s="75"/>
      <c r="AA1128" s="75"/>
      <c r="AB1128" s="75"/>
      <c r="AC1128" s="97"/>
      <c r="AD1128" s="97"/>
      <c r="AE1128" s="591"/>
      <c r="AF1128" s="343" t="s">
        <v>1353</v>
      </c>
      <c r="AG1128" s="510">
        <v>10000</v>
      </c>
      <c r="AH1128" s="510">
        <v>0</v>
      </c>
      <c r="AI1128" s="78"/>
      <c r="AJ1128" s="78"/>
      <c r="AK1128" s="78"/>
      <c r="AL1128" s="78"/>
      <c r="AM1128" s="78"/>
      <c r="AN1128" s="64" t="s">
        <v>181</v>
      </c>
      <c r="AO1128" s="64"/>
      <c r="AP1128" s="64"/>
      <c r="AQ1128" s="189"/>
      <c r="AR1128" s="64"/>
      <c r="AS1128" s="476"/>
      <c r="AT1128" s="64"/>
      <c r="AU1128" s="646"/>
      <c r="AV1128" s="185"/>
    </row>
    <row r="1129" spans="1:48" outlineLevel="2" x14ac:dyDescent="0.25">
      <c r="A1129" s="63" t="str">
        <f t="shared" si="191"/>
        <v>3.13.0.5.7.58-64</v>
      </c>
      <c r="B1129" s="64">
        <v>3</v>
      </c>
      <c r="C1129" s="64">
        <v>13</v>
      </c>
      <c r="D1129" s="64">
        <v>0</v>
      </c>
      <c r="E1129" s="64">
        <v>5</v>
      </c>
      <c r="F1129" s="64">
        <v>7</v>
      </c>
      <c r="G1129" s="64" t="s">
        <v>64</v>
      </c>
      <c r="H1129" s="65"/>
      <c r="I1129" s="65"/>
      <c r="J1129" s="66"/>
      <c r="K1129" s="65" t="s">
        <v>1358</v>
      </c>
      <c r="L1129" s="64" t="s">
        <v>1343</v>
      </c>
      <c r="M1129" s="64" t="s">
        <v>1350</v>
      </c>
      <c r="N1129" s="64" t="s">
        <v>1351</v>
      </c>
      <c r="O1129" s="64" t="s">
        <v>1352</v>
      </c>
      <c r="P1129" s="69">
        <v>44352</v>
      </c>
      <c r="Q1129" s="69">
        <v>44382</v>
      </c>
      <c r="R1129" s="64">
        <v>108</v>
      </c>
      <c r="S1129" s="67" t="s">
        <v>1350</v>
      </c>
      <c r="T1129" s="64"/>
      <c r="U1129" s="75"/>
      <c r="V1129" s="674">
        <v>0</v>
      </c>
      <c r="W1129" s="75">
        <v>108</v>
      </c>
      <c r="X1129" s="155">
        <v>10000</v>
      </c>
      <c r="Y1129" s="155"/>
      <c r="Z1129" s="75"/>
      <c r="AA1129" s="75"/>
      <c r="AB1129" s="75"/>
      <c r="AC1129" s="97"/>
      <c r="AD1129" s="97"/>
      <c r="AE1129" s="591"/>
      <c r="AF1129" s="343" t="s">
        <v>1353</v>
      </c>
      <c r="AG1129" s="510">
        <v>10000</v>
      </c>
      <c r="AH1129" s="510">
        <v>0</v>
      </c>
      <c r="AI1129" s="78"/>
      <c r="AJ1129" s="78"/>
      <c r="AK1129" s="78"/>
      <c r="AL1129" s="78"/>
      <c r="AM1129" s="78"/>
      <c r="AN1129" s="64" t="s">
        <v>181</v>
      </c>
      <c r="AO1129" s="64"/>
      <c r="AP1129" s="64"/>
      <c r="AQ1129" s="189"/>
      <c r="AR1129" s="64"/>
      <c r="AS1129" s="476"/>
      <c r="AT1129" s="64"/>
      <c r="AU1129" s="646"/>
      <c r="AV1129" s="185"/>
    </row>
    <row r="1130" spans="1:48" outlineLevel="2" x14ac:dyDescent="0.25">
      <c r="A1130" s="63" t="str">
        <f t="shared" si="191"/>
        <v>3.13.0.5.8.58-64</v>
      </c>
      <c r="B1130" s="64">
        <v>3</v>
      </c>
      <c r="C1130" s="64">
        <v>13</v>
      </c>
      <c r="D1130" s="64">
        <v>0</v>
      </c>
      <c r="E1130" s="64">
        <v>5</v>
      </c>
      <c r="F1130" s="64">
        <v>8</v>
      </c>
      <c r="G1130" s="64" t="s">
        <v>64</v>
      </c>
      <c r="H1130" s="65"/>
      <c r="I1130" s="65"/>
      <c r="J1130" s="66"/>
      <c r="K1130" s="65" t="s">
        <v>1359</v>
      </c>
      <c r="L1130" s="64" t="s">
        <v>1343</v>
      </c>
      <c r="M1130" s="64" t="s">
        <v>1350</v>
      </c>
      <c r="N1130" s="64" t="s">
        <v>1351</v>
      </c>
      <c r="O1130" s="64" t="s">
        <v>1352</v>
      </c>
      <c r="P1130" s="69">
        <v>44382</v>
      </c>
      <c r="Q1130" s="69">
        <v>44444</v>
      </c>
      <c r="R1130" s="64">
        <v>41</v>
      </c>
      <c r="S1130" s="67" t="s">
        <v>1350</v>
      </c>
      <c r="T1130" s="64"/>
      <c r="U1130" s="75"/>
      <c r="V1130" s="674">
        <v>0</v>
      </c>
      <c r="W1130" s="75"/>
      <c r="X1130" s="75"/>
      <c r="Y1130" s="75"/>
      <c r="Z1130" s="75">
        <v>41</v>
      </c>
      <c r="AA1130" s="155">
        <v>10000</v>
      </c>
      <c r="AB1130" s="155"/>
      <c r="AC1130" s="97"/>
      <c r="AD1130" s="97"/>
      <c r="AE1130" s="591"/>
      <c r="AF1130" s="343" t="s">
        <v>1353</v>
      </c>
      <c r="AG1130" s="510">
        <v>10000</v>
      </c>
      <c r="AH1130" s="510">
        <v>0</v>
      </c>
      <c r="AI1130" s="78"/>
      <c r="AJ1130" s="78"/>
      <c r="AK1130" s="78"/>
      <c r="AL1130" s="78"/>
      <c r="AM1130" s="78"/>
      <c r="AN1130" s="64" t="s">
        <v>181</v>
      </c>
      <c r="AO1130" s="64"/>
      <c r="AP1130" s="64"/>
      <c r="AQ1130" s="189"/>
      <c r="AR1130" s="64"/>
      <c r="AS1130" s="476"/>
      <c r="AT1130" s="64"/>
      <c r="AU1130" s="646"/>
      <c r="AV1130" s="185"/>
    </row>
    <row r="1131" spans="1:48" outlineLevel="2" x14ac:dyDescent="0.25">
      <c r="A1131" s="63" t="str">
        <f t="shared" si="191"/>
        <v>3.13.0.5.9.58-64</v>
      </c>
      <c r="B1131" s="64">
        <v>3</v>
      </c>
      <c r="C1131" s="64">
        <v>13</v>
      </c>
      <c r="D1131" s="64">
        <v>0</v>
      </c>
      <c r="E1131" s="64">
        <v>5</v>
      </c>
      <c r="F1131" s="64">
        <v>9</v>
      </c>
      <c r="G1131" s="64" t="s">
        <v>64</v>
      </c>
      <c r="H1131" s="65"/>
      <c r="I1131" s="65"/>
      <c r="J1131" s="66"/>
      <c r="K1131" s="65" t="s">
        <v>1360</v>
      </c>
      <c r="L1131" s="64" t="s">
        <v>1343</v>
      </c>
      <c r="M1131" s="64" t="s">
        <v>1350</v>
      </c>
      <c r="N1131" s="64" t="s">
        <v>1351</v>
      </c>
      <c r="O1131" s="64" t="s">
        <v>1352</v>
      </c>
      <c r="P1131" s="69">
        <v>44413</v>
      </c>
      <c r="Q1131" s="69">
        <v>44444</v>
      </c>
      <c r="R1131" s="64">
        <v>16</v>
      </c>
      <c r="S1131" s="67" t="s">
        <v>1350</v>
      </c>
      <c r="T1131" s="64"/>
      <c r="U1131" s="75"/>
      <c r="V1131" s="674">
        <v>0</v>
      </c>
      <c r="W1131" s="75"/>
      <c r="X1131" s="75"/>
      <c r="Y1131" s="75"/>
      <c r="Z1131" s="75">
        <v>16</v>
      </c>
      <c r="AA1131" s="155">
        <v>10000</v>
      </c>
      <c r="AB1131" s="155"/>
      <c r="AC1131" s="97"/>
      <c r="AD1131" s="97"/>
      <c r="AE1131" s="591"/>
      <c r="AF1131" s="343" t="s">
        <v>1353</v>
      </c>
      <c r="AG1131" s="510">
        <v>10000</v>
      </c>
      <c r="AH1131" s="510">
        <v>0</v>
      </c>
      <c r="AI1131" s="78"/>
      <c r="AJ1131" s="78"/>
      <c r="AK1131" s="78"/>
      <c r="AL1131" s="78"/>
      <c r="AM1131" s="78"/>
      <c r="AN1131" s="64" t="s">
        <v>181</v>
      </c>
      <c r="AO1131" s="64"/>
      <c r="AP1131" s="64"/>
      <c r="AQ1131" s="189"/>
      <c r="AR1131" s="64"/>
      <c r="AS1131" s="476"/>
      <c r="AT1131" s="64"/>
      <c r="AU1131" s="646"/>
      <c r="AV1131" s="185"/>
    </row>
    <row r="1132" spans="1:48" outlineLevel="2" x14ac:dyDescent="0.25">
      <c r="A1132" s="63" t="str">
        <f t="shared" si="191"/>
        <v>3.13.0.5.10.58-64</v>
      </c>
      <c r="B1132" s="64">
        <v>3</v>
      </c>
      <c r="C1132" s="64">
        <v>13</v>
      </c>
      <c r="D1132" s="64">
        <v>0</v>
      </c>
      <c r="E1132" s="64">
        <v>5</v>
      </c>
      <c r="F1132" s="64">
        <v>10</v>
      </c>
      <c r="G1132" s="64" t="s">
        <v>64</v>
      </c>
      <c r="H1132" s="65"/>
      <c r="I1132" s="65"/>
      <c r="J1132" s="65"/>
      <c r="K1132" s="65" t="s">
        <v>1361</v>
      </c>
      <c r="L1132" s="64" t="s">
        <v>1343</v>
      </c>
      <c r="M1132" s="64" t="s">
        <v>1350</v>
      </c>
      <c r="N1132" s="64" t="s">
        <v>1351</v>
      </c>
      <c r="O1132" s="64" t="s">
        <v>1352</v>
      </c>
      <c r="P1132" s="69">
        <v>44444</v>
      </c>
      <c r="Q1132" s="69">
        <v>44505</v>
      </c>
      <c r="R1132" s="64">
        <v>4</v>
      </c>
      <c r="S1132" s="67" t="s">
        <v>1350</v>
      </c>
      <c r="T1132" s="64"/>
      <c r="U1132" s="75"/>
      <c r="V1132" s="674">
        <v>0</v>
      </c>
      <c r="W1132" s="75"/>
      <c r="X1132" s="75"/>
      <c r="Y1132" s="75"/>
      <c r="Z1132" s="75"/>
      <c r="AA1132" s="155">
        <v>10000</v>
      </c>
      <c r="AB1132" s="155"/>
      <c r="AC1132" s="97"/>
      <c r="AD1132" s="97"/>
      <c r="AE1132" s="591"/>
      <c r="AF1132" s="343" t="s">
        <v>1353</v>
      </c>
      <c r="AG1132" s="510">
        <v>10000</v>
      </c>
      <c r="AH1132" s="510">
        <v>0</v>
      </c>
      <c r="AI1132" s="78"/>
      <c r="AJ1132" s="78"/>
      <c r="AK1132" s="78"/>
      <c r="AL1132" s="78"/>
      <c r="AM1132" s="78"/>
      <c r="AN1132" s="64" t="s">
        <v>181</v>
      </c>
      <c r="AO1132" s="64"/>
      <c r="AP1132" s="64"/>
      <c r="AQ1132" s="189"/>
      <c r="AR1132" s="64"/>
      <c r="AS1132" s="476"/>
      <c r="AT1132" s="64"/>
      <c r="AU1132" s="646"/>
      <c r="AV1132" s="185"/>
    </row>
    <row r="1133" spans="1:48" outlineLevel="2" x14ac:dyDescent="0.25">
      <c r="A1133" s="63" t="str">
        <f t="shared" si="191"/>
        <v>3.13.0.5.11.58-64</v>
      </c>
      <c r="B1133" s="64">
        <v>3</v>
      </c>
      <c r="C1133" s="64">
        <v>13</v>
      </c>
      <c r="D1133" s="64">
        <v>0</v>
      </c>
      <c r="E1133" s="64">
        <v>5</v>
      </c>
      <c r="F1133" s="64">
        <v>11</v>
      </c>
      <c r="G1133" s="64" t="s">
        <v>64</v>
      </c>
      <c r="H1133" s="65"/>
      <c r="I1133" s="65"/>
      <c r="J1133" s="66"/>
      <c r="K1133" s="65" t="s">
        <v>1362</v>
      </c>
      <c r="L1133" s="64" t="s">
        <v>1343</v>
      </c>
      <c r="M1133" s="64" t="s">
        <v>1350</v>
      </c>
      <c r="N1133" s="64" t="s">
        <v>1351</v>
      </c>
      <c r="O1133" s="64" t="s">
        <v>1352</v>
      </c>
      <c r="P1133" s="69">
        <v>44474</v>
      </c>
      <c r="Q1133" s="69">
        <v>44505</v>
      </c>
      <c r="R1133" s="64">
        <v>20</v>
      </c>
      <c r="S1133" s="67" t="s">
        <v>1350</v>
      </c>
      <c r="T1133" s="64"/>
      <c r="U1133" s="75"/>
      <c r="V1133" s="674">
        <v>0</v>
      </c>
      <c r="W1133" s="75"/>
      <c r="X1133" s="75"/>
      <c r="Y1133" s="75"/>
      <c r="Z1133" s="75"/>
      <c r="AA1133" s="75"/>
      <c r="AB1133" s="75"/>
      <c r="AC1133" s="97"/>
      <c r="AD1133" s="155">
        <v>10000</v>
      </c>
      <c r="AE1133" s="599"/>
      <c r="AF1133" s="343" t="s">
        <v>1353</v>
      </c>
      <c r="AG1133" s="510">
        <v>10000</v>
      </c>
      <c r="AH1133" s="510">
        <v>0</v>
      </c>
      <c r="AI1133" s="78"/>
      <c r="AJ1133" s="78"/>
      <c r="AK1133" s="78"/>
      <c r="AL1133" s="78"/>
      <c r="AM1133" s="78"/>
      <c r="AN1133" s="64" t="s">
        <v>181</v>
      </c>
      <c r="AO1133" s="64"/>
      <c r="AP1133" s="64"/>
      <c r="AQ1133" s="189"/>
      <c r="AR1133" s="64"/>
      <c r="AS1133" s="476"/>
      <c r="AT1133" s="64"/>
      <c r="AU1133" s="646"/>
      <c r="AV1133" s="185"/>
    </row>
    <row r="1134" spans="1:48" outlineLevel="2" x14ac:dyDescent="0.25">
      <c r="A1134" s="63" t="str">
        <f t="shared" si="191"/>
        <v>3.13.0.5.12.58-64</v>
      </c>
      <c r="B1134" s="64">
        <v>3</v>
      </c>
      <c r="C1134" s="64">
        <v>13</v>
      </c>
      <c r="D1134" s="64">
        <v>0</v>
      </c>
      <c r="E1134" s="64">
        <v>5</v>
      </c>
      <c r="F1134" s="64">
        <v>12</v>
      </c>
      <c r="G1134" s="64" t="s">
        <v>64</v>
      </c>
      <c r="H1134" s="65"/>
      <c r="I1134" s="65"/>
      <c r="J1134" s="66"/>
      <c r="K1134" s="65" t="s">
        <v>1363</v>
      </c>
      <c r="L1134" s="64" t="s">
        <v>1343</v>
      </c>
      <c r="M1134" s="64" t="s">
        <v>1350</v>
      </c>
      <c r="N1134" s="64" t="s">
        <v>1351</v>
      </c>
      <c r="O1134" s="64" t="s">
        <v>1352</v>
      </c>
      <c r="P1134" s="69">
        <v>44505</v>
      </c>
      <c r="Q1134" s="69">
        <v>44535</v>
      </c>
      <c r="R1134" s="64">
        <v>15</v>
      </c>
      <c r="S1134" s="67" t="s">
        <v>1350</v>
      </c>
      <c r="T1134" s="64"/>
      <c r="U1134" s="75"/>
      <c r="V1134" s="674">
        <v>0</v>
      </c>
      <c r="W1134" s="75"/>
      <c r="X1134" s="75"/>
      <c r="Y1134" s="75"/>
      <c r="Z1134" s="75"/>
      <c r="AA1134" s="75"/>
      <c r="AB1134" s="75"/>
      <c r="AC1134" s="97"/>
      <c r="AD1134" s="155">
        <v>10000</v>
      </c>
      <c r="AE1134" s="599"/>
      <c r="AF1134" s="343" t="s">
        <v>1364</v>
      </c>
      <c r="AG1134" s="510">
        <v>10000</v>
      </c>
      <c r="AH1134" s="510">
        <v>0</v>
      </c>
      <c r="AI1134" s="78"/>
      <c r="AJ1134" s="78"/>
      <c r="AK1134" s="78"/>
      <c r="AL1134" s="78"/>
      <c r="AM1134" s="78"/>
      <c r="AN1134" s="64" t="s">
        <v>181</v>
      </c>
      <c r="AO1134" s="64"/>
      <c r="AP1134" s="64"/>
      <c r="AQ1134" s="189"/>
      <c r="AR1134" s="64"/>
      <c r="AS1134" s="476"/>
      <c r="AT1134" s="64"/>
      <c r="AU1134" s="646"/>
      <c r="AV1134" s="185"/>
    </row>
    <row r="1135" spans="1:48" outlineLevel="2" x14ac:dyDescent="0.25">
      <c r="A1135" s="63" t="str">
        <f t="shared" si="191"/>
        <v>3.13.0.5.13.58-64</v>
      </c>
      <c r="B1135" s="64">
        <v>3</v>
      </c>
      <c r="C1135" s="64">
        <v>13</v>
      </c>
      <c r="D1135" s="64">
        <v>0</v>
      </c>
      <c r="E1135" s="64">
        <v>5</v>
      </c>
      <c r="F1135" s="64">
        <v>13</v>
      </c>
      <c r="G1135" s="64" t="s">
        <v>64</v>
      </c>
      <c r="H1135" s="65"/>
      <c r="I1135" s="65"/>
      <c r="J1135" s="65"/>
      <c r="K1135" s="65" t="s">
        <v>1365</v>
      </c>
      <c r="L1135" s="64" t="s">
        <v>1343</v>
      </c>
      <c r="M1135" s="64" t="s">
        <v>1350</v>
      </c>
      <c r="N1135" s="64" t="s">
        <v>1351</v>
      </c>
      <c r="O1135" s="64" t="s">
        <v>1352</v>
      </c>
      <c r="P1135" s="69">
        <v>44535</v>
      </c>
      <c r="Q1135" s="69">
        <v>44201</v>
      </c>
      <c r="R1135" s="64">
        <v>15</v>
      </c>
      <c r="S1135" s="67" t="s">
        <v>1350</v>
      </c>
      <c r="T1135" s="64"/>
      <c r="U1135" s="155">
        <f>+AH1135/4</f>
        <v>0</v>
      </c>
      <c r="V1135" s="674">
        <v>0</v>
      </c>
      <c r="W1135" s="155"/>
      <c r="X1135" s="155">
        <f>+AH1135/4</f>
        <v>0</v>
      </c>
      <c r="Y1135" s="155"/>
      <c r="Z1135" s="155">
        <v>3</v>
      </c>
      <c r="AA1135" s="155">
        <f>+AH1135/4</f>
        <v>0</v>
      </c>
      <c r="AB1135" s="155"/>
      <c r="AC1135" s="172"/>
      <c r="AD1135" s="172">
        <f>+AH1135/4</f>
        <v>0</v>
      </c>
      <c r="AE1135" s="612"/>
      <c r="AF1135" s="343" t="s">
        <v>1366</v>
      </c>
      <c r="AG1135" s="510">
        <v>35000</v>
      </c>
      <c r="AH1135" s="510">
        <v>0</v>
      </c>
      <c r="AI1135" s="78"/>
      <c r="AJ1135" s="78"/>
      <c r="AK1135" s="78"/>
      <c r="AL1135" s="78"/>
      <c r="AM1135" s="78"/>
      <c r="AN1135" s="64" t="s">
        <v>181</v>
      </c>
      <c r="AO1135" s="64"/>
      <c r="AP1135" s="64"/>
      <c r="AQ1135" s="189"/>
      <c r="AR1135" s="64"/>
      <c r="AS1135" s="476"/>
      <c r="AT1135" s="64"/>
      <c r="AU1135" s="646"/>
      <c r="AV1135" s="185"/>
    </row>
    <row r="1136" spans="1:48" outlineLevel="2" x14ac:dyDescent="0.25">
      <c r="A1136" s="63" t="str">
        <f t="shared" si="191"/>
        <v>3.13.0.5.14.58-64</v>
      </c>
      <c r="B1136" s="64">
        <v>3</v>
      </c>
      <c r="C1136" s="64">
        <v>13</v>
      </c>
      <c r="D1136" s="64">
        <v>0</v>
      </c>
      <c r="E1136" s="64">
        <v>5</v>
      </c>
      <c r="F1136" s="64">
        <v>14</v>
      </c>
      <c r="G1136" s="64" t="s">
        <v>64</v>
      </c>
      <c r="H1136" s="65"/>
      <c r="I1136" s="65"/>
      <c r="J1136" s="66"/>
      <c r="K1136" s="65" t="s">
        <v>1367</v>
      </c>
      <c r="L1136" s="64" t="s">
        <v>1343</v>
      </c>
      <c r="M1136" s="64" t="s">
        <v>177</v>
      </c>
      <c r="N1136" s="64" t="s">
        <v>1351</v>
      </c>
      <c r="O1136" s="64" t="s">
        <v>1368</v>
      </c>
      <c r="P1136" s="69">
        <v>44197</v>
      </c>
      <c r="Q1136" s="69">
        <v>44560</v>
      </c>
      <c r="R1136" s="64">
        <v>50</v>
      </c>
      <c r="S1136" s="67" t="s">
        <v>1369</v>
      </c>
      <c r="T1136" s="64">
        <v>11</v>
      </c>
      <c r="U1136" s="155">
        <f>+AH1136/4</f>
        <v>0</v>
      </c>
      <c r="V1136" s="674">
        <v>0</v>
      </c>
      <c r="W1136" s="155">
        <v>14</v>
      </c>
      <c r="X1136" s="155">
        <f>+AH1136/4</f>
        <v>0</v>
      </c>
      <c r="Y1136" s="155"/>
      <c r="Z1136" s="155">
        <v>3</v>
      </c>
      <c r="AA1136" s="155">
        <f>+AH1136/4</f>
        <v>0</v>
      </c>
      <c r="AB1136" s="155"/>
      <c r="AC1136" s="172"/>
      <c r="AD1136" s="172">
        <f>+AH1136/4</f>
        <v>0</v>
      </c>
      <c r="AE1136" s="612"/>
      <c r="AF1136" s="343" t="s">
        <v>1353</v>
      </c>
      <c r="AG1136" s="510">
        <v>35000</v>
      </c>
      <c r="AH1136" s="510">
        <v>0</v>
      </c>
      <c r="AI1136" s="78"/>
      <c r="AJ1136" s="78"/>
      <c r="AK1136" s="78"/>
      <c r="AL1136" s="78"/>
      <c r="AM1136" s="78"/>
      <c r="AN1136" s="64" t="s">
        <v>181</v>
      </c>
      <c r="AO1136" s="64"/>
      <c r="AP1136" s="64"/>
      <c r="AQ1136" s="189"/>
      <c r="AR1136" s="64"/>
      <c r="AS1136" s="476"/>
      <c r="AT1136" s="64"/>
      <c r="AU1136" s="646"/>
      <c r="AV1136" s="185"/>
    </row>
    <row r="1137" spans="1:48" ht="30" outlineLevel="2" x14ac:dyDescent="0.25">
      <c r="A1137" s="63" t="str">
        <f t="shared" si="191"/>
        <v>3.13.0.5.15.58-64</v>
      </c>
      <c r="B1137" s="64">
        <v>3</v>
      </c>
      <c r="C1137" s="64">
        <v>13</v>
      </c>
      <c r="D1137" s="64">
        <v>0</v>
      </c>
      <c r="E1137" s="64">
        <v>5</v>
      </c>
      <c r="F1137" s="64">
        <v>15</v>
      </c>
      <c r="G1137" s="64" t="s">
        <v>64</v>
      </c>
      <c r="H1137" s="65"/>
      <c r="I1137" s="65"/>
      <c r="J1137" s="66"/>
      <c r="K1137" s="67" t="s">
        <v>1370</v>
      </c>
      <c r="L1137" s="64" t="s">
        <v>1343</v>
      </c>
      <c r="M1137" s="64" t="s">
        <v>177</v>
      </c>
      <c r="N1137" s="64" t="s">
        <v>1351</v>
      </c>
      <c r="O1137" s="64" t="s">
        <v>179</v>
      </c>
      <c r="P1137" s="69">
        <v>44197</v>
      </c>
      <c r="Q1137" s="69">
        <v>44560</v>
      </c>
      <c r="R1137" s="64">
        <v>80</v>
      </c>
      <c r="S1137" s="67" t="s">
        <v>1369</v>
      </c>
      <c r="T1137" s="64"/>
      <c r="U1137" s="155">
        <f t="shared" ref="U1137:U1138" si="202">+AH1137/4</f>
        <v>0</v>
      </c>
      <c r="V1137" s="674">
        <v>0</v>
      </c>
      <c r="W1137" s="155"/>
      <c r="X1137" s="155">
        <f t="shared" ref="X1137:X1138" si="203">+AH1137/4</f>
        <v>0</v>
      </c>
      <c r="Y1137" s="155"/>
      <c r="Z1137" s="155">
        <v>22</v>
      </c>
      <c r="AA1137" s="155">
        <f t="shared" ref="AA1137:AA1138" si="204">+AH1137/4</f>
        <v>0</v>
      </c>
      <c r="AB1137" s="155"/>
      <c r="AC1137" s="172">
        <v>5</v>
      </c>
      <c r="AD1137" s="172">
        <f t="shared" ref="AD1137:AD1138" si="205">+AH1137/4</f>
        <v>0</v>
      </c>
      <c r="AE1137" s="612"/>
      <c r="AF1137" s="343" t="s">
        <v>1353</v>
      </c>
      <c r="AG1137" s="510">
        <v>35000</v>
      </c>
      <c r="AH1137" s="510">
        <v>0</v>
      </c>
      <c r="AI1137" s="78"/>
      <c r="AJ1137" s="78"/>
      <c r="AK1137" s="78"/>
      <c r="AL1137" s="78"/>
      <c r="AM1137" s="78"/>
      <c r="AN1137" s="64" t="s">
        <v>181</v>
      </c>
      <c r="AO1137" s="64"/>
      <c r="AP1137" s="64"/>
      <c r="AQ1137" s="189"/>
      <c r="AR1137" s="64"/>
      <c r="AS1137" s="476"/>
      <c r="AT1137" s="64"/>
      <c r="AU1137" s="646"/>
      <c r="AV1137" s="185"/>
    </row>
    <row r="1138" spans="1:48" ht="30" outlineLevel="2" x14ac:dyDescent="0.25">
      <c r="A1138" s="63" t="str">
        <f t="shared" si="191"/>
        <v>3.13.0.5.16.58-65</v>
      </c>
      <c r="B1138" s="64">
        <v>3</v>
      </c>
      <c r="C1138" s="64">
        <v>13</v>
      </c>
      <c r="D1138" s="64">
        <v>0</v>
      </c>
      <c r="E1138" s="64">
        <v>5</v>
      </c>
      <c r="F1138" s="64">
        <v>16</v>
      </c>
      <c r="G1138" s="64" t="s">
        <v>946</v>
      </c>
      <c r="H1138" s="65"/>
      <c r="I1138" s="65"/>
      <c r="J1138" s="66"/>
      <c r="K1138" s="67" t="s">
        <v>1371</v>
      </c>
      <c r="L1138" s="64" t="s">
        <v>1343</v>
      </c>
      <c r="M1138" s="64" t="s">
        <v>1372</v>
      </c>
      <c r="N1138" s="64" t="s">
        <v>1351</v>
      </c>
      <c r="O1138" s="64" t="s">
        <v>1368</v>
      </c>
      <c r="P1138" s="69">
        <v>44197</v>
      </c>
      <c r="Q1138" s="69">
        <v>44560</v>
      </c>
      <c r="R1138" s="64">
        <v>46</v>
      </c>
      <c r="S1138" s="67" t="s">
        <v>1373</v>
      </c>
      <c r="T1138" s="64"/>
      <c r="U1138" s="155">
        <f t="shared" si="202"/>
        <v>0</v>
      </c>
      <c r="V1138" s="674">
        <v>0</v>
      </c>
      <c r="W1138" s="155">
        <v>16</v>
      </c>
      <c r="X1138" s="155">
        <f t="shared" si="203"/>
        <v>0</v>
      </c>
      <c r="Y1138" s="155"/>
      <c r="Z1138" s="155">
        <v>29</v>
      </c>
      <c r="AA1138" s="155">
        <f t="shared" si="204"/>
        <v>0</v>
      </c>
      <c r="AB1138" s="155"/>
      <c r="AC1138" s="172"/>
      <c r="AD1138" s="172">
        <f t="shared" si="205"/>
        <v>0</v>
      </c>
      <c r="AE1138" s="612"/>
      <c r="AF1138" s="343" t="s">
        <v>1353</v>
      </c>
      <c r="AG1138" s="510">
        <v>35000</v>
      </c>
      <c r="AH1138" s="510">
        <v>0</v>
      </c>
      <c r="AI1138" s="78"/>
      <c r="AJ1138" s="78"/>
      <c r="AK1138" s="78"/>
      <c r="AL1138" s="78"/>
      <c r="AM1138" s="78"/>
      <c r="AN1138" s="64" t="s">
        <v>181</v>
      </c>
      <c r="AO1138" s="64"/>
      <c r="AP1138" s="64"/>
      <c r="AQ1138" s="189"/>
      <c r="AR1138" s="64"/>
      <c r="AS1138" s="476"/>
      <c r="AT1138" s="64"/>
      <c r="AU1138" s="646"/>
      <c r="AV1138" s="185"/>
    </row>
    <row r="1139" spans="1:48" s="153" customFormat="1" ht="15" customHeight="1" outlineLevel="1" x14ac:dyDescent="0.25">
      <c r="A1139" s="148" t="str">
        <f t="shared" si="191"/>
        <v>3.13.0.6.0.0</v>
      </c>
      <c r="B1139" s="82">
        <v>3</v>
      </c>
      <c r="C1139" s="82">
        <v>13</v>
      </c>
      <c r="D1139" s="82">
        <v>0</v>
      </c>
      <c r="E1139" s="82">
        <v>6</v>
      </c>
      <c r="F1139" s="82">
        <v>0</v>
      </c>
      <c r="G1139" s="82">
        <v>0</v>
      </c>
      <c r="H1139" s="149"/>
      <c r="I1139" s="149"/>
      <c r="J1139" s="1289" t="s">
        <v>1374</v>
      </c>
      <c r="K1139" s="1290"/>
      <c r="L1139" s="82" t="s">
        <v>1026</v>
      </c>
      <c r="M1139" s="82" t="s">
        <v>1375</v>
      </c>
      <c r="N1139" s="82" t="s">
        <v>1376</v>
      </c>
      <c r="O1139" s="82" t="s">
        <v>1377</v>
      </c>
      <c r="P1139" s="84">
        <v>44562</v>
      </c>
      <c r="Q1139" s="84">
        <v>44926</v>
      </c>
      <c r="R1139" s="82">
        <f>+SUM(R1141+R1140)</f>
        <v>22</v>
      </c>
      <c r="S1139" s="149"/>
      <c r="T1139" s="82"/>
      <c r="U1139" s="379">
        <f t="shared" ref="U1139:AG1139" si="206">+SUM(U1140:U1141)</f>
        <v>0</v>
      </c>
      <c r="V1139" s="682">
        <f t="shared" si="206"/>
        <v>0</v>
      </c>
      <c r="W1139" s="379">
        <f t="shared" si="206"/>
        <v>0</v>
      </c>
      <c r="X1139" s="379">
        <f t="shared" si="206"/>
        <v>0</v>
      </c>
      <c r="Y1139" s="379">
        <f t="shared" si="206"/>
        <v>0</v>
      </c>
      <c r="Z1139" s="379">
        <f t="shared" si="206"/>
        <v>0</v>
      </c>
      <c r="AA1139" s="379">
        <f t="shared" si="206"/>
        <v>0</v>
      </c>
      <c r="AB1139" s="379">
        <f t="shared" si="206"/>
        <v>0</v>
      </c>
      <c r="AC1139" s="379">
        <f t="shared" si="206"/>
        <v>0</v>
      </c>
      <c r="AD1139" s="379">
        <f t="shared" si="206"/>
        <v>0</v>
      </c>
      <c r="AE1139" s="379">
        <f t="shared" si="206"/>
        <v>0</v>
      </c>
      <c r="AF1139" s="379">
        <f t="shared" si="206"/>
        <v>0</v>
      </c>
      <c r="AG1139" s="379">
        <f t="shared" si="206"/>
        <v>0</v>
      </c>
      <c r="AH1139" s="379">
        <f>+SUM(AH1140:AH1141)</f>
        <v>0</v>
      </c>
      <c r="AI1139" s="512">
        <f>+SUM(AI1140:AI1141)</f>
        <v>0</v>
      </c>
      <c r="AJ1139" s="512">
        <f>+SUM(AJ1140:AJ1141)</f>
        <v>0</v>
      </c>
      <c r="AK1139" s="152"/>
      <c r="AL1139" s="152"/>
      <c r="AM1139" s="152"/>
      <c r="AN1139" s="82" t="s">
        <v>181</v>
      </c>
      <c r="AO1139" s="82"/>
      <c r="AP1139" s="82"/>
      <c r="AQ1139" s="365"/>
      <c r="AR1139" s="82"/>
      <c r="AS1139" s="483"/>
      <c r="AT1139" s="82"/>
      <c r="AU1139" s="666"/>
      <c r="AV1139" s="444"/>
    </row>
    <row r="1140" spans="1:48" ht="15" customHeight="1" outlineLevel="4" x14ac:dyDescent="0.25">
      <c r="A1140" s="63" t="str">
        <f t="shared" si="191"/>
        <v>3.13.0.6.1.58-64</v>
      </c>
      <c r="B1140" s="64">
        <v>3</v>
      </c>
      <c r="C1140" s="64">
        <v>13</v>
      </c>
      <c r="D1140" s="64">
        <v>0</v>
      </c>
      <c r="E1140" s="64">
        <v>6</v>
      </c>
      <c r="F1140" s="64">
        <v>1</v>
      </c>
      <c r="G1140" s="64" t="s">
        <v>64</v>
      </c>
      <c r="H1140" s="65"/>
      <c r="I1140" s="65"/>
      <c r="J1140" s="65"/>
      <c r="K1140" s="65" t="s">
        <v>1378</v>
      </c>
      <c r="L1140" s="64" t="s">
        <v>1026</v>
      </c>
      <c r="M1140" s="64" t="s">
        <v>1375</v>
      </c>
      <c r="N1140" s="64" t="s">
        <v>1376</v>
      </c>
      <c r="O1140" s="64" t="s">
        <v>1379</v>
      </c>
      <c r="P1140" s="69">
        <v>44197</v>
      </c>
      <c r="Q1140" s="69">
        <v>44561</v>
      </c>
      <c r="R1140" s="64">
        <v>10</v>
      </c>
      <c r="S1140" s="65" t="s">
        <v>1380</v>
      </c>
      <c r="T1140" s="64"/>
      <c r="U1140" s="75">
        <v>0</v>
      </c>
      <c r="V1140" s="674">
        <v>0</v>
      </c>
      <c r="W1140" s="75"/>
      <c r="X1140" s="75"/>
      <c r="Y1140" s="75"/>
      <c r="Z1140" s="75"/>
      <c r="AA1140" s="75"/>
      <c r="AB1140" s="75"/>
      <c r="AC1140" s="97"/>
      <c r="AD1140" s="97"/>
      <c r="AE1140" s="591"/>
      <c r="AF1140" s="259"/>
      <c r="AG1140" s="510">
        <v>0</v>
      </c>
      <c r="AH1140" s="370">
        <v>0</v>
      </c>
      <c r="AI1140" s="75"/>
      <c r="AJ1140" s="75"/>
      <c r="AK1140" s="75"/>
      <c r="AL1140" s="75"/>
      <c r="AM1140" s="75"/>
      <c r="AN1140" s="64" t="s">
        <v>181</v>
      </c>
      <c r="AO1140" s="64"/>
      <c r="AP1140" s="64"/>
      <c r="AQ1140" s="189"/>
      <c r="AR1140" s="64"/>
      <c r="AS1140" s="476"/>
      <c r="AT1140" s="64"/>
      <c r="AU1140" s="646"/>
      <c r="AV1140" s="185"/>
    </row>
    <row r="1141" spans="1:48" ht="15" customHeight="1" outlineLevel="4" x14ac:dyDescent="0.25">
      <c r="A1141" s="63" t="str">
        <f t="shared" si="191"/>
        <v>3.13.0.6.2.58-64</v>
      </c>
      <c r="B1141" s="64">
        <v>3</v>
      </c>
      <c r="C1141" s="64">
        <v>13</v>
      </c>
      <c r="D1141" s="64">
        <v>0</v>
      </c>
      <c r="E1141" s="64">
        <v>6</v>
      </c>
      <c r="F1141" s="64">
        <v>2</v>
      </c>
      <c r="G1141" s="64" t="s">
        <v>64</v>
      </c>
      <c r="H1141" s="65"/>
      <c r="I1141" s="65"/>
      <c r="J1141" s="65"/>
      <c r="K1141" s="65" t="s">
        <v>1381</v>
      </c>
      <c r="L1141" s="64" t="s">
        <v>1026</v>
      </c>
      <c r="M1141" s="64" t="s">
        <v>299</v>
      </c>
      <c r="N1141" s="64" t="s">
        <v>1376</v>
      </c>
      <c r="O1141" s="64" t="s">
        <v>1382</v>
      </c>
      <c r="P1141" s="69">
        <v>44197</v>
      </c>
      <c r="Q1141" s="69">
        <v>44561</v>
      </c>
      <c r="R1141" s="64">
        <v>12</v>
      </c>
      <c r="S1141" s="65" t="s">
        <v>1383</v>
      </c>
      <c r="T1141" s="64"/>
      <c r="U1141" s="75">
        <v>0</v>
      </c>
      <c r="V1141" s="674">
        <v>0</v>
      </c>
      <c r="W1141" s="75"/>
      <c r="X1141" s="75"/>
      <c r="Y1141" s="75"/>
      <c r="Z1141" s="75"/>
      <c r="AA1141" s="75"/>
      <c r="AB1141" s="75"/>
      <c r="AC1141" s="97"/>
      <c r="AD1141" s="97"/>
      <c r="AE1141" s="591"/>
      <c r="AF1141" s="259"/>
      <c r="AG1141" s="510">
        <v>0</v>
      </c>
      <c r="AH1141" s="370">
        <v>0</v>
      </c>
      <c r="AI1141" s="75"/>
      <c r="AJ1141" s="75"/>
      <c r="AK1141" s="75"/>
      <c r="AL1141" s="75"/>
      <c r="AM1141" s="75"/>
      <c r="AN1141" s="64" t="s">
        <v>181</v>
      </c>
      <c r="AO1141" s="64"/>
      <c r="AP1141" s="64"/>
      <c r="AQ1141" s="189"/>
      <c r="AR1141" s="64"/>
      <c r="AS1141" s="476"/>
      <c r="AT1141" s="64"/>
      <c r="AU1141" s="646"/>
      <c r="AV1141" s="185"/>
    </row>
    <row r="1142" spans="1:48" s="153" customFormat="1" ht="15" customHeight="1" outlineLevel="1" x14ac:dyDescent="0.25">
      <c r="A1142" s="148" t="str">
        <f t="shared" si="191"/>
        <v>3.13.0.7.0.0</v>
      </c>
      <c r="B1142" s="82">
        <v>3</v>
      </c>
      <c r="C1142" s="82">
        <v>13</v>
      </c>
      <c r="D1142" s="82">
        <v>0</v>
      </c>
      <c r="E1142" s="82">
        <v>7</v>
      </c>
      <c r="F1142" s="82">
        <v>0</v>
      </c>
      <c r="G1142" s="82">
        <v>0</v>
      </c>
      <c r="H1142" s="149"/>
      <c r="I1142" s="149"/>
      <c r="J1142" s="1260" t="s">
        <v>1384</v>
      </c>
      <c r="K1142" s="1259"/>
      <c r="L1142" s="82" t="s">
        <v>1385</v>
      </c>
      <c r="M1142" s="82" t="s">
        <v>1139</v>
      </c>
      <c r="N1142" s="82" t="s">
        <v>1386</v>
      </c>
      <c r="O1142" s="82" t="s">
        <v>830</v>
      </c>
      <c r="P1142" s="84">
        <v>44562</v>
      </c>
      <c r="Q1142" s="84">
        <v>44926</v>
      </c>
      <c r="R1142" s="82"/>
      <c r="S1142" s="149"/>
      <c r="T1142" s="82"/>
      <c r="U1142" s="152">
        <f>SUM(U1143:U1148)</f>
        <v>4374999.2200000007</v>
      </c>
      <c r="V1142" s="682">
        <f t="shared" ref="V1142:AG1142" si="207">+SUM(V1143:V1148)</f>
        <v>0</v>
      </c>
      <c r="W1142" s="379">
        <f t="shared" si="207"/>
        <v>1</v>
      </c>
      <c r="X1142" s="379">
        <f t="shared" si="207"/>
        <v>125000</v>
      </c>
      <c r="Y1142" s="379">
        <f t="shared" si="207"/>
        <v>0</v>
      </c>
      <c r="Z1142" s="379">
        <f t="shared" si="207"/>
        <v>0</v>
      </c>
      <c r="AA1142" s="379">
        <f t="shared" si="207"/>
        <v>125000</v>
      </c>
      <c r="AB1142" s="379">
        <f t="shared" si="207"/>
        <v>0</v>
      </c>
      <c r="AC1142" s="379">
        <f t="shared" si="207"/>
        <v>0</v>
      </c>
      <c r="AD1142" s="379">
        <f t="shared" si="207"/>
        <v>125000</v>
      </c>
      <c r="AE1142" s="379">
        <f t="shared" si="207"/>
        <v>0</v>
      </c>
      <c r="AF1142" s="379">
        <f t="shared" si="207"/>
        <v>0</v>
      </c>
      <c r="AG1142" s="379">
        <f t="shared" si="207"/>
        <v>7235000</v>
      </c>
      <c r="AH1142" s="379">
        <f>+SUM(AH1143:AH1148)</f>
        <v>4749999.2200000007</v>
      </c>
      <c r="AI1142" s="512">
        <f>+SUM(AI1143:AI1148)</f>
        <v>0</v>
      </c>
      <c r="AJ1142" s="512">
        <f>+SUM(AJ1143:AJ1148)</f>
        <v>0</v>
      </c>
      <c r="AK1142" s="152"/>
      <c r="AL1142" s="152"/>
      <c r="AM1142" s="152"/>
      <c r="AN1142" s="82" t="s">
        <v>39</v>
      </c>
      <c r="AO1142" s="82"/>
      <c r="AP1142" s="82"/>
      <c r="AQ1142" s="365"/>
      <c r="AR1142" s="82"/>
      <c r="AS1142" s="483"/>
      <c r="AT1142" s="82"/>
      <c r="AU1142" s="666"/>
      <c r="AV1142" s="444"/>
    </row>
    <row r="1143" spans="1:48" outlineLevel="2" x14ac:dyDescent="0.25">
      <c r="A1143" s="63" t="str">
        <f t="shared" si="191"/>
        <v>3.13.0.7.1.58-64</v>
      </c>
      <c r="B1143" s="64">
        <v>3</v>
      </c>
      <c r="C1143" s="64">
        <v>13</v>
      </c>
      <c r="D1143" s="64">
        <v>0</v>
      </c>
      <c r="E1143" s="64">
        <v>7</v>
      </c>
      <c r="F1143" s="64">
        <v>1</v>
      </c>
      <c r="G1143" s="100" t="s">
        <v>64</v>
      </c>
      <c r="H1143" s="65"/>
      <c r="I1143" s="65"/>
      <c r="J1143" s="66"/>
      <c r="K1143" s="65" t="s">
        <v>1387</v>
      </c>
      <c r="L1143" s="64" t="s">
        <v>1388</v>
      </c>
      <c r="M1143" s="64" t="s">
        <v>299</v>
      </c>
      <c r="N1143" s="64" t="s">
        <v>1386</v>
      </c>
      <c r="O1143" s="64" t="s">
        <v>1368</v>
      </c>
      <c r="P1143" s="69">
        <v>44197</v>
      </c>
      <c r="Q1143" s="69">
        <v>44561</v>
      </c>
      <c r="R1143" s="64">
        <v>12</v>
      </c>
      <c r="S1143" s="65" t="s">
        <v>767</v>
      </c>
      <c r="T1143" s="64"/>
      <c r="U1143" s="75">
        <f>+AH1143</f>
        <v>2249999.2200000002</v>
      </c>
      <c r="V1143" s="674">
        <v>0</v>
      </c>
      <c r="W1143" s="75"/>
      <c r="X1143" s="75"/>
      <c r="Y1143" s="75"/>
      <c r="Z1143" s="75"/>
      <c r="AA1143" s="75"/>
      <c r="AB1143" s="75"/>
      <c r="AC1143" s="97"/>
      <c r="AD1143" s="97"/>
      <c r="AE1143" s="591"/>
      <c r="AF1143" s="259"/>
      <c r="AG1143" s="510">
        <v>2500000</v>
      </c>
      <c r="AH1143" s="370">
        <v>2249999.2200000002</v>
      </c>
      <c r="AI1143" s="75"/>
      <c r="AJ1143" s="75"/>
      <c r="AK1143" s="75"/>
      <c r="AL1143" s="75"/>
      <c r="AM1143" s="75"/>
      <c r="AN1143" s="64" t="s">
        <v>39</v>
      </c>
      <c r="AO1143" s="64"/>
      <c r="AP1143" s="64"/>
      <c r="AQ1143" s="189"/>
      <c r="AR1143" s="64"/>
      <c r="AS1143" s="476"/>
      <c r="AT1143" s="64"/>
      <c r="AU1143" s="646"/>
      <c r="AV1143" s="185"/>
    </row>
    <row r="1144" spans="1:48" outlineLevel="2" x14ac:dyDescent="0.25">
      <c r="A1144" s="63" t="str">
        <f>CONCATENATE(B1144,".",C1144,".",D1144,".",E1144,".",F1144,".",G1144)</f>
        <v>3.13.0.7.2.58-64</v>
      </c>
      <c r="B1144" s="64">
        <v>3</v>
      </c>
      <c r="C1144" s="64">
        <v>13</v>
      </c>
      <c r="D1144" s="64">
        <v>0</v>
      </c>
      <c r="E1144" s="64">
        <v>7</v>
      </c>
      <c r="F1144" s="64">
        <v>2</v>
      </c>
      <c r="G1144" s="100" t="s">
        <v>64</v>
      </c>
      <c r="H1144" s="65"/>
      <c r="I1144" s="65"/>
      <c r="J1144" s="66"/>
      <c r="K1144" s="65" t="s">
        <v>1389</v>
      </c>
      <c r="L1144" s="64" t="s">
        <v>1388</v>
      </c>
      <c r="M1144" s="64" t="s">
        <v>299</v>
      </c>
      <c r="N1144" s="64" t="s">
        <v>1386</v>
      </c>
      <c r="O1144" s="64" t="s">
        <v>1368</v>
      </c>
      <c r="P1144" s="69">
        <v>44197</v>
      </c>
      <c r="Q1144" s="69">
        <v>44561</v>
      </c>
      <c r="R1144" s="64">
        <v>12</v>
      </c>
      <c r="S1144" s="65" t="s">
        <v>1390</v>
      </c>
      <c r="T1144" s="64"/>
      <c r="U1144" s="155">
        <f>+AH1144/2</f>
        <v>0</v>
      </c>
      <c r="V1144" s="674">
        <v>0</v>
      </c>
      <c r="W1144" s="75"/>
      <c r="X1144" s="155">
        <f>+AH1144/2</f>
        <v>0</v>
      </c>
      <c r="Y1144" s="155"/>
      <c r="Z1144" s="75"/>
      <c r="AA1144" s="75"/>
      <c r="AB1144" s="75"/>
      <c r="AC1144" s="97"/>
      <c r="AD1144" s="97"/>
      <c r="AE1144" s="591"/>
      <c r="AF1144" s="259"/>
      <c r="AG1144" s="510">
        <v>1000000</v>
      </c>
      <c r="AH1144" s="370">
        <v>0</v>
      </c>
      <c r="AI1144" s="75"/>
      <c r="AJ1144" s="75"/>
      <c r="AK1144" s="75"/>
      <c r="AL1144" s="75"/>
      <c r="AM1144" s="75"/>
      <c r="AN1144" s="64" t="s">
        <v>39</v>
      </c>
      <c r="AO1144" s="64"/>
      <c r="AP1144" s="64"/>
      <c r="AQ1144" s="189"/>
      <c r="AR1144" s="64"/>
      <c r="AS1144" s="476"/>
      <c r="AT1144" s="64"/>
      <c r="AU1144" s="646"/>
      <c r="AV1144" s="185"/>
    </row>
    <row r="1145" spans="1:48" outlineLevel="2" x14ac:dyDescent="0.25">
      <c r="A1145" s="63" t="str">
        <f t="shared" si="191"/>
        <v>3.13.0.7.3.58-64</v>
      </c>
      <c r="B1145" s="64">
        <v>3</v>
      </c>
      <c r="C1145" s="64">
        <v>13</v>
      </c>
      <c r="D1145" s="64">
        <v>0</v>
      </c>
      <c r="E1145" s="64">
        <v>7</v>
      </c>
      <c r="F1145" s="64">
        <v>3</v>
      </c>
      <c r="G1145" s="100" t="s">
        <v>64</v>
      </c>
      <c r="H1145" s="65"/>
      <c r="I1145" s="65"/>
      <c r="J1145" s="66"/>
      <c r="K1145" s="65" t="s">
        <v>1391</v>
      </c>
      <c r="L1145" s="64" t="s">
        <v>1388</v>
      </c>
      <c r="M1145" s="64" t="s">
        <v>73</v>
      </c>
      <c r="N1145" s="64" t="s">
        <v>1386</v>
      </c>
      <c r="O1145" s="64" t="s">
        <v>1368</v>
      </c>
      <c r="P1145" s="69">
        <v>44197</v>
      </c>
      <c r="Q1145" s="69">
        <v>44561</v>
      </c>
      <c r="R1145" s="64">
        <v>1</v>
      </c>
      <c r="S1145" s="65" t="s">
        <v>1392</v>
      </c>
      <c r="T1145" s="64"/>
      <c r="U1145" s="75">
        <f>$AH$1145/4</f>
        <v>0</v>
      </c>
      <c r="V1145" s="674">
        <v>0</v>
      </c>
      <c r="W1145" s="75"/>
      <c r="X1145" s="75">
        <f>$AH$1145/4</f>
        <v>0</v>
      </c>
      <c r="Y1145" s="75"/>
      <c r="Z1145" s="75"/>
      <c r="AA1145" s="75">
        <f>$AH$1145/4</f>
        <v>0</v>
      </c>
      <c r="AB1145" s="75"/>
      <c r="AC1145" s="97"/>
      <c r="AD1145" s="75">
        <f>$AH$1145/4</f>
        <v>0</v>
      </c>
      <c r="AE1145" s="592"/>
      <c r="AF1145" s="259"/>
      <c r="AG1145" s="510">
        <v>1100000</v>
      </c>
      <c r="AH1145" s="370">
        <v>0</v>
      </c>
      <c r="AI1145" s="75"/>
      <c r="AJ1145" s="75"/>
      <c r="AK1145" s="75"/>
      <c r="AL1145" s="75"/>
      <c r="AM1145" s="75"/>
      <c r="AN1145" s="64" t="s">
        <v>39</v>
      </c>
      <c r="AO1145" s="64"/>
      <c r="AP1145" s="64"/>
      <c r="AQ1145" s="189"/>
      <c r="AR1145" s="64"/>
      <c r="AS1145" s="476"/>
      <c r="AT1145" s="64"/>
      <c r="AU1145" s="646"/>
      <c r="AV1145" s="185"/>
    </row>
    <row r="1146" spans="1:48" outlineLevel="2" x14ac:dyDescent="0.25">
      <c r="A1146" s="63" t="str">
        <f t="shared" si="191"/>
        <v>3.13.0.7.4.58-64</v>
      </c>
      <c r="B1146" s="64">
        <v>3</v>
      </c>
      <c r="C1146" s="64">
        <v>13</v>
      </c>
      <c r="D1146" s="64">
        <v>0</v>
      </c>
      <c r="E1146" s="64">
        <v>7</v>
      </c>
      <c r="F1146" s="64">
        <v>4</v>
      </c>
      <c r="G1146" s="100" t="s">
        <v>64</v>
      </c>
      <c r="H1146" s="65"/>
      <c r="I1146" s="65"/>
      <c r="J1146" s="66"/>
      <c r="K1146" s="65" t="s">
        <v>1393</v>
      </c>
      <c r="L1146" s="64" t="s">
        <v>1388</v>
      </c>
      <c r="M1146" s="64" t="s">
        <v>299</v>
      </c>
      <c r="N1146" s="64" t="s">
        <v>1386</v>
      </c>
      <c r="O1146" s="64" t="s">
        <v>1368</v>
      </c>
      <c r="P1146" s="69">
        <v>44197</v>
      </c>
      <c r="Q1146" s="69">
        <v>44561</v>
      </c>
      <c r="R1146" s="64">
        <v>1</v>
      </c>
      <c r="S1146" s="65" t="s">
        <v>767</v>
      </c>
      <c r="T1146" s="64"/>
      <c r="U1146" s="75">
        <f>$AH$1146/4</f>
        <v>125000</v>
      </c>
      <c r="V1146" s="674">
        <v>0</v>
      </c>
      <c r="W1146" s="75"/>
      <c r="X1146" s="75">
        <f>$AH$1146/4</f>
        <v>125000</v>
      </c>
      <c r="Y1146" s="75"/>
      <c r="Z1146" s="75"/>
      <c r="AA1146" s="75">
        <f>$AH$1146/4</f>
        <v>125000</v>
      </c>
      <c r="AB1146" s="75"/>
      <c r="AC1146" s="97"/>
      <c r="AD1146" s="75">
        <f>$AH$1146/4</f>
        <v>125000</v>
      </c>
      <c r="AE1146" s="592"/>
      <c r="AF1146" s="259"/>
      <c r="AG1146" s="510">
        <v>500000</v>
      </c>
      <c r="AH1146" s="370">
        <v>500000</v>
      </c>
      <c r="AI1146" s="75"/>
      <c r="AJ1146" s="75"/>
      <c r="AK1146" s="75"/>
      <c r="AL1146" s="75"/>
      <c r="AM1146" s="75"/>
      <c r="AN1146" s="64" t="s">
        <v>39</v>
      </c>
      <c r="AO1146" s="64"/>
      <c r="AP1146" s="64"/>
      <c r="AQ1146" s="189"/>
      <c r="AR1146" s="64"/>
      <c r="AS1146" s="476"/>
      <c r="AT1146" s="64"/>
      <c r="AU1146" s="646"/>
      <c r="AV1146" s="185"/>
    </row>
    <row r="1147" spans="1:48" ht="30" outlineLevel="2" x14ac:dyDescent="0.25">
      <c r="A1147" s="63" t="str">
        <f t="shared" si="191"/>
        <v>3.13.0.7.6.0</v>
      </c>
      <c r="B1147" s="64">
        <v>3</v>
      </c>
      <c r="C1147" s="64">
        <v>13</v>
      </c>
      <c r="D1147" s="64">
        <v>0</v>
      </c>
      <c r="E1147" s="64">
        <v>7</v>
      </c>
      <c r="F1147" s="64">
        <v>6</v>
      </c>
      <c r="G1147" s="100">
        <v>0</v>
      </c>
      <c r="H1147" s="65"/>
      <c r="I1147" s="65"/>
      <c r="J1147" s="65"/>
      <c r="K1147" s="67" t="s">
        <v>1394</v>
      </c>
      <c r="L1147" s="64" t="s">
        <v>1388</v>
      </c>
      <c r="M1147" s="64" t="s">
        <v>73</v>
      </c>
      <c r="N1147" s="64" t="s">
        <v>1395</v>
      </c>
      <c r="O1147" s="64" t="s">
        <v>1368</v>
      </c>
      <c r="P1147" s="69">
        <v>44197</v>
      </c>
      <c r="Q1147" s="69">
        <v>44561</v>
      </c>
      <c r="R1147" s="170">
        <v>1</v>
      </c>
      <c r="S1147" s="170" t="s">
        <v>1396</v>
      </c>
      <c r="T1147" s="170"/>
      <c r="U1147" s="75">
        <f>+AH1147</f>
        <v>2000000</v>
      </c>
      <c r="V1147" s="674">
        <v>0</v>
      </c>
      <c r="W1147" s="97">
        <v>1</v>
      </c>
      <c r="X1147" s="75"/>
      <c r="Y1147" s="75"/>
      <c r="Z1147" s="97"/>
      <c r="AA1147" s="75"/>
      <c r="AB1147" s="75"/>
      <c r="AC1147" s="97"/>
      <c r="AD1147" s="75"/>
      <c r="AE1147" s="592"/>
      <c r="AF1147" s="353" t="s">
        <v>1397</v>
      </c>
      <c r="AG1147" s="524">
        <v>865000</v>
      </c>
      <c r="AH1147" s="388">
        <v>2000000</v>
      </c>
      <c r="AI1147" s="258"/>
      <c r="AJ1147" s="258"/>
      <c r="AK1147" s="258"/>
      <c r="AL1147" s="258"/>
      <c r="AM1147" s="258"/>
      <c r="AN1147" s="171" t="s">
        <v>39</v>
      </c>
      <c r="AO1147" s="171"/>
      <c r="AP1147" s="171"/>
      <c r="AQ1147" s="418"/>
      <c r="AS1147" s="484"/>
      <c r="AV1147" s="459" t="s">
        <v>1398</v>
      </c>
    </row>
    <row r="1148" spans="1:48" ht="30" outlineLevel="2" x14ac:dyDescent="0.25">
      <c r="A1148" s="63" t="str">
        <f t="shared" si="191"/>
        <v>3.13.0.7.7.58-64</v>
      </c>
      <c r="B1148" s="64">
        <v>3</v>
      </c>
      <c r="C1148" s="64">
        <v>13</v>
      </c>
      <c r="D1148" s="64">
        <v>0</v>
      </c>
      <c r="E1148" s="64">
        <v>7</v>
      </c>
      <c r="F1148" s="64">
        <v>7</v>
      </c>
      <c r="G1148" s="100" t="s">
        <v>64</v>
      </c>
      <c r="H1148" s="65" t="s">
        <v>330</v>
      </c>
      <c r="I1148" s="65"/>
      <c r="J1148" s="65"/>
      <c r="K1148" s="67" t="s">
        <v>1399</v>
      </c>
      <c r="L1148" s="64" t="s">
        <v>1388</v>
      </c>
      <c r="M1148" s="64" t="s">
        <v>135</v>
      </c>
      <c r="N1148" s="64" t="s">
        <v>1386</v>
      </c>
      <c r="O1148" s="64" t="s">
        <v>1400</v>
      </c>
      <c r="P1148" s="69">
        <v>44197</v>
      </c>
      <c r="Q1148" s="69">
        <v>44561</v>
      </c>
      <c r="R1148" s="170"/>
      <c r="S1148" s="170" t="s">
        <v>1401</v>
      </c>
      <c r="T1148" s="170"/>
      <c r="U1148" s="75">
        <f>$AH$1148/4</f>
        <v>0</v>
      </c>
      <c r="V1148" s="674">
        <v>0</v>
      </c>
      <c r="W1148" s="97"/>
      <c r="X1148" s="75">
        <f>$AH$1148/4</f>
        <v>0</v>
      </c>
      <c r="Y1148" s="75"/>
      <c r="Z1148" s="97"/>
      <c r="AA1148" s="75">
        <f>$AH$1148/4</f>
        <v>0</v>
      </c>
      <c r="AB1148" s="75"/>
      <c r="AC1148" s="97"/>
      <c r="AD1148" s="75">
        <f>$AH$1148/4</f>
        <v>0</v>
      </c>
      <c r="AE1148" s="592"/>
      <c r="AF1148" s="353"/>
      <c r="AG1148" s="510">
        <v>1270000</v>
      </c>
      <c r="AH1148" s="510">
        <v>0</v>
      </c>
      <c r="AI1148" s="258"/>
      <c r="AJ1148" s="258"/>
      <c r="AK1148" s="258"/>
      <c r="AL1148" s="258"/>
      <c r="AM1148" s="258"/>
      <c r="AN1148" s="171" t="s">
        <v>39</v>
      </c>
      <c r="AO1148" s="171"/>
      <c r="AP1148" s="171"/>
      <c r="AQ1148" s="418"/>
      <c r="AS1148" s="484"/>
      <c r="AV1148" s="185"/>
    </row>
    <row r="1149" spans="1:48" s="153" customFormat="1" ht="15" customHeight="1" outlineLevel="1" x14ac:dyDescent="0.25">
      <c r="A1149" s="148" t="str">
        <f t="shared" si="191"/>
        <v>3.13.0.8.0.0</v>
      </c>
      <c r="B1149" s="82">
        <v>3</v>
      </c>
      <c r="C1149" s="82">
        <v>13</v>
      </c>
      <c r="D1149" s="82">
        <v>0</v>
      </c>
      <c r="E1149" s="82">
        <v>8</v>
      </c>
      <c r="F1149" s="82">
        <v>0</v>
      </c>
      <c r="G1149" s="82">
        <v>0</v>
      </c>
      <c r="H1149" s="149"/>
      <c r="I1149" s="149"/>
      <c r="J1149" s="1260" t="s">
        <v>1193</v>
      </c>
      <c r="K1149" s="1259"/>
      <c r="L1149" s="82" t="s">
        <v>208</v>
      </c>
      <c r="M1149" s="82" t="s">
        <v>1195</v>
      </c>
      <c r="N1149" s="82" t="s">
        <v>198</v>
      </c>
      <c r="O1149" s="82" t="s">
        <v>359</v>
      </c>
      <c r="P1149" s="82"/>
      <c r="Q1149" s="82"/>
      <c r="R1149" s="82"/>
      <c r="S1149" s="149"/>
      <c r="T1149" s="82"/>
      <c r="U1149" s="379">
        <f t="shared" ref="U1149:AG1149" si="208">SUM(U1150:U1152)</f>
        <v>0</v>
      </c>
      <c r="V1149" s="682">
        <f t="shared" si="208"/>
        <v>0</v>
      </c>
      <c r="W1149" s="379">
        <f t="shared" si="208"/>
        <v>14</v>
      </c>
      <c r="X1149" s="379">
        <f t="shared" si="208"/>
        <v>0</v>
      </c>
      <c r="Y1149" s="379">
        <f t="shared" si="208"/>
        <v>0</v>
      </c>
      <c r="Z1149" s="379">
        <f t="shared" si="208"/>
        <v>14</v>
      </c>
      <c r="AA1149" s="379">
        <f t="shared" si="208"/>
        <v>0</v>
      </c>
      <c r="AB1149" s="379">
        <f t="shared" si="208"/>
        <v>0</v>
      </c>
      <c r="AC1149" s="379">
        <f t="shared" si="208"/>
        <v>15</v>
      </c>
      <c r="AD1149" s="379">
        <f t="shared" si="208"/>
        <v>0</v>
      </c>
      <c r="AE1149" s="379">
        <f t="shared" si="208"/>
        <v>0</v>
      </c>
      <c r="AF1149" s="379">
        <f t="shared" si="208"/>
        <v>0</v>
      </c>
      <c r="AG1149" s="379">
        <f t="shared" si="208"/>
        <v>0</v>
      </c>
      <c r="AH1149" s="379">
        <f>SUM(AH1150:AH1152)</f>
        <v>0</v>
      </c>
      <c r="AI1149" s="152"/>
      <c r="AJ1149" s="152"/>
      <c r="AK1149" s="152"/>
      <c r="AL1149" s="152"/>
      <c r="AM1149" s="152"/>
      <c r="AN1149" s="82" t="s">
        <v>39</v>
      </c>
      <c r="AO1149" s="82"/>
      <c r="AP1149" s="82"/>
      <c r="AQ1149" s="365"/>
      <c r="AR1149" s="82"/>
      <c r="AS1149" s="483"/>
      <c r="AT1149" s="82"/>
      <c r="AU1149" s="666"/>
      <c r="AV1149" s="444"/>
    </row>
    <row r="1150" spans="1:48" ht="15" customHeight="1" outlineLevel="3" x14ac:dyDescent="0.25">
      <c r="A1150" s="63" t="str">
        <f t="shared" si="191"/>
        <v>3.13.0.8.1.58-64</v>
      </c>
      <c r="B1150" s="64">
        <v>3</v>
      </c>
      <c r="C1150" s="64">
        <v>13</v>
      </c>
      <c r="D1150" s="64">
        <v>0</v>
      </c>
      <c r="E1150" s="64">
        <v>8</v>
      </c>
      <c r="F1150" s="64">
        <v>1</v>
      </c>
      <c r="G1150" s="64" t="s">
        <v>64</v>
      </c>
      <c r="H1150" s="65"/>
      <c r="I1150" s="65"/>
      <c r="J1150" s="66"/>
      <c r="K1150" s="65" t="s">
        <v>1402</v>
      </c>
      <c r="L1150" s="64" t="s">
        <v>208</v>
      </c>
      <c r="M1150" s="64" t="s">
        <v>1195</v>
      </c>
      <c r="N1150" s="64" t="s">
        <v>198</v>
      </c>
      <c r="O1150" s="64" t="s">
        <v>359</v>
      </c>
      <c r="P1150" s="69">
        <v>44197</v>
      </c>
      <c r="Q1150" s="69">
        <v>44561</v>
      </c>
      <c r="R1150" s="64">
        <f>T1150+W1150+Z1150+AC1150</f>
        <v>52</v>
      </c>
      <c r="S1150" s="65" t="s">
        <v>760</v>
      </c>
      <c r="T1150" s="64">
        <v>13</v>
      </c>
      <c r="U1150" s="75">
        <v>0</v>
      </c>
      <c r="V1150" s="674">
        <v>0</v>
      </c>
      <c r="W1150" s="75">
        <v>13</v>
      </c>
      <c r="X1150" s="75"/>
      <c r="Y1150" s="75"/>
      <c r="Z1150" s="75">
        <v>13</v>
      </c>
      <c r="AA1150" s="75"/>
      <c r="AB1150" s="75"/>
      <c r="AC1150" s="97">
        <v>13</v>
      </c>
      <c r="AD1150" s="97"/>
      <c r="AE1150" s="591"/>
      <c r="AF1150" s="259" t="s">
        <v>765</v>
      </c>
      <c r="AG1150" s="510">
        <v>0</v>
      </c>
      <c r="AH1150" s="370">
        <v>0</v>
      </c>
      <c r="AI1150" s="75"/>
      <c r="AJ1150" s="75"/>
      <c r="AK1150" s="75"/>
      <c r="AL1150" s="75"/>
      <c r="AM1150" s="75"/>
      <c r="AN1150" s="64" t="s">
        <v>39</v>
      </c>
      <c r="AO1150" s="64"/>
      <c r="AP1150" s="64"/>
      <c r="AQ1150" s="189"/>
      <c r="AR1150" s="64"/>
      <c r="AS1150" s="476"/>
      <c r="AT1150" s="64"/>
      <c r="AU1150" s="646"/>
      <c r="AV1150" s="185" t="s">
        <v>1029</v>
      </c>
    </row>
    <row r="1151" spans="1:48" ht="15" customHeight="1" outlineLevel="3" x14ac:dyDescent="0.25">
      <c r="A1151" s="63" t="str">
        <f>CONCATENATE(B1151,".",C1151,".",D1151,".",E1151,".",F1151,".",G1151)</f>
        <v>3.13.0.8.2.58-64</v>
      </c>
      <c r="B1151" s="64">
        <v>3</v>
      </c>
      <c r="C1151" s="64">
        <v>13</v>
      </c>
      <c r="D1151" s="64">
        <v>0</v>
      </c>
      <c r="E1151" s="64">
        <v>8</v>
      </c>
      <c r="F1151" s="64">
        <v>2</v>
      </c>
      <c r="G1151" s="64" t="s">
        <v>64</v>
      </c>
      <c r="H1151" s="65"/>
      <c r="I1151" s="65"/>
      <c r="J1151" s="66"/>
      <c r="K1151" s="65" t="s">
        <v>1403</v>
      </c>
      <c r="L1151" s="64" t="s">
        <v>208</v>
      </c>
      <c r="M1151" s="64" t="s">
        <v>1195</v>
      </c>
      <c r="N1151" s="64" t="s">
        <v>198</v>
      </c>
      <c r="O1151" s="64" t="s">
        <v>359</v>
      </c>
      <c r="P1151" s="69">
        <v>44197</v>
      </c>
      <c r="Q1151" s="69">
        <v>44561</v>
      </c>
      <c r="R1151" s="64">
        <f>T1151+W1151+Z1151+AC1151</f>
        <v>4</v>
      </c>
      <c r="S1151" s="65" t="s">
        <v>760</v>
      </c>
      <c r="T1151" s="64">
        <v>1</v>
      </c>
      <c r="U1151" s="75">
        <v>0</v>
      </c>
      <c r="V1151" s="674">
        <v>0</v>
      </c>
      <c r="W1151" s="75">
        <v>1</v>
      </c>
      <c r="X1151" s="75"/>
      <c r="Y1151" s="75"/>
      <c r="Z1151" s="75">
        <v>1</v>
      </c>
      <c r="AA1151" s="75"/>
      <c r="AB1151" s="75"/>
      <c r="AC1151" s="97">
        <v>1</v>
      </c>
      <c r="AD1151" s="97"/>
      <c r="AE1151" s="591"/>
      <c r="AF1151" s="259" t="s">
        <v>765</v>
      </c>
      <c r="AG1151" s="510">
        <v>0</v>
      </c>
      <c r="AH1151" s="370">
        <v>0</v>
      </c>
      <c r="AI1151" s="75"/>
      <c r="AJ1151" s="75"/>
      <c r="AK1151" s="75"/>
      <c r="AL1151" s="75"/>
      <c r="AM1151" s="75"/>
      <c r="AN1151" s="64" t="s">
        <v>39</v>
      </c>
      <c r="AO1151" s="64"/>
      <c r="AP1151" s="64"/>
      <c r="AQ1151" s="189"/>
      <c r="AR1151" s="64"/>
      <c r="AS1151" s="476"/>
      <c r="AT1151" s="64"/>
      <c r="AU1151" s="646"/>
      <c r="AV1151" s="185" t="s">
        <v>1029</v>
      </c>
    </row>
    <row r="1152" spans="1:48" ht="15" customHeight="1" outlineLevel="3" x14ac:dyDescent="0.25">
      <c r="A1152" s="63" t="str">
        <f t="shared" si="191"/>
        <v>3.13.0.8.3.58-64</v>
      </c>
      <c r="B1152" s="64">
        <v>3</v>
      </c>
      <c r="C1152" s="64">
        <v>13</v>
      </c>
      <c r="D1152" s="64">
        <v>0</v>
      </c>
      <c r="E1152" s="64">
        <v>8</v>
      </c>
      <c r="F1152" s="64">
        <v>3</v>
      </c>
      <c r="G1152" s="64" t="s">
        <v>64</v>
      </c>
      <c r="H1152" s="65"/>
      <c r="I1152" s="65"/>
      <c r="J1152" s="66"/>
      <c r="K1152" s="65" t="s">
        <v>1404</v>
      </c>
      <c r="L1152" s="64" t="s">
        <v>208</v>
      </c>
      <c r="M1152" s="64" t="s">
        <v>1195</v>
      </c>
      <c r="N1152" s="64" t="s">
        <v>198</v>
      </c>
      <c r="O1152" s="64" t="s">
        <v>359</v>
      </c>
      <c r="P1152" s="69">
        <v>44197</v>
      </c>
      <c r="Q1152" s="69">
        <v>44561</v>
      </c>
      <c r="R1152" s="64">
        <f>T1152+W1152+Z1152+AC1152</f>
        <v>1</v>
      </c>
      <c r="S1152" s="65" t="s">
        <v>760</v>
      </c>
      <c r="T1152" s="64">
        <v>0</v>
      </c>
      <c r="U1152" s="75">
        <v>0</v>
      </c>
      <c r="V1152" s="674">
        <v>0</v>
      </c>
      <c r="W1152" s="75">
        <v>0</v>
      </c>
      <c r="X1152" s="75"/>
      <c r="Y1152" s="75"/>
      <c r="Z1152" s="75">
        <v>0</v>
      </c>
      <c r="AA1152" s="75"/>
      <c r="AB1152" s="75"/>
      <c r="AC1152" s="97">
        <v>1</v>
      </c>
      <c r="AD1152" s="97"/>
      <c r="AE1152" s="591"/>
      <c r="AF1152" s="259" t="s">
        <v>765</v>
      </c>
      <c r="AG1152" s="510">
        <v>0</v>
      </c>
      <c r="AH1152" s="370">
        <v>0</v>
      </c>
      <c r="AI1152" s="75"/>
      <c r="AJ1152" s="75"/>
      <c r="AK1152" s="75"/>
      <c r="AL1152" s="75"/>
      <c r="AM1152" s="75"/>
      <c r="AN1152" s="64" t="s">
        <v>39</v>
      </c>
      <c r="AO1152" s="64"/>
      <c r="AP1152" s="64"/>
      <c r="AQ1152" s="189"/>
      <c r="AR1152" s="64"/>
      <c r="AS1152" s="476"/>
      <c r="AT1152" s="64"/>
      <c r="AU1152" s="646"/>
      <c r="AV1152" s="185" t="s">
        <v>1029</v>
      </c>
    </row>
    <row r="1153" spans="1:48" s="153" customFormat="1" ht="15" customHeight="1" outlineLevel="1" x14ac:dyDescent="0.25">
      <c r="A1153" s="148" t="str">
        <f t="shared" si="191"/>
        <v>3.13.0.9.0.0</v>
      </c>
      <c r="B1153" s="82">
        <v>3</v>
      </c>
      <c r="C1153" s="82">
        <v>13</v>
      </c>
      <c r="D1153" s="82">
        <v>0</v>
      </c>
      <c r="E1153" s="82">
        <v>9</v>
      </c>
      <c r="F1153" s="82">
        <v>0</v>
      </c>
      <c r="G1153" s="82">
        <v>0</v>
      </c>
      <c r="H1153" s="149"/>
      <c r="I1153" s="149"/>
      <c r="J1153" s="1260" t="s">
        <v>1405</v>
      </c>
      <c r="K1153" s="1259"/>
      <c r="L1153" s="82" t="s">
        <v>208</v>
      </c>
      <c r="M1153" s="82"/>
      <c r="N1153" s="82"/>
      <c r="O1153" s="82"/>
      <c r="P1153" s="82"/>
      <c r="Q1153" s="82"/>
      <c r="R1153" s="82"/>
      <c r="S1153" s="149"/>
      <c r="T1153" s="82"/>
      <c r="U1153" s="379">
        <f t="shared" ref="U1153:AG1153" si="209">SUM(U1154:U1155)</f>
        <v>0</v>
      </c>
      <c r="V1153" s="682">
        <f t="shared" si="209"/>
        <v>0</v>
      </c>
      <c r="W1153" s="379">
        <f t="shared" si="209"/>
        <v>6</v>
      </c>
      <c r="X1153" s="379">
        <f t="shared" si="209"/>
        <v>0</v>
      </c>
      <c r="Y1153" s="379">
        <f t="shared" si="209"/>
        <v>0</v>
      </c>
      <c r="Z1153" s="379">
        <f t="shared" si="209"/>
        <v>6</v>
      </c>
      <c r="AA1153" s="379">
        <f t="shared" si="209"/>
        <v>0</v>
      </c>
      <c r="AB1153" s="379">
        <f t="shared" si="209"/>
        <v>0</v>
      </c>
      <c r="AC1153" s="379">
        <f t="shared" si="209"/>
        <v>6</v>
      </c>
      <c r="AD1153" s="379">
        <f t="shared" si="209"/>
        <v>0</v>
      </c>
      <c r="AE1153" s="379">
        <f t="shared" si="209"/>
        <v>0</v>
      </c>
      <c r="AF1153" s="379">
        <f t="shared" si="209"/>
        <v>0</v>
      </c>
      <c r="AG1153" s="379">
        <f t="shared" si="209"/>
        <v>0</v>
      </c>
      <c r="AH1153" s="379">
        <f>SUM(AH1154:AH1155)</f>
        <v>0</v>
      </c>
      <c r="AI1153" s="152"/>
      <c r="AJ1153" s="152"/>
      <c r="AK1153" s="152"/>
      <c r="AL1153" s="152"/>
      <c r="AM1153" s="152"/>
      <c r="AN1153" s="82" t="s">
        <v>39</v>
      </c>
      <c r="AO1153" s="82"/>
      <c r="AP1153" s="82"/>
      <c r="AQ1153" s="365"/>
      <c r="AR1153" s="82"/>
      <c r="AS1153" s="483"/>
      <c r="AT1153" s="82"/>
      <c r="AU1153" s="666"/>
      <c r="AV1153" s="444"/>
    </row>
    <row r="1154" spans="1:48" ht="15" customHeight="1" outlineLevel="2" x14ac:dyDescent="0.25">
      <c r="A1154" s="63" t="str">
        <f t="shared" si="191"/>
        <v>3.13.0.9.1.58-64</v>
      </c>
      <c r="B1154" s="64">
        <v>3</v>
      </c>
      <c r="C1154" s="64">
        <v>13</v>
      </c>
      <c r="D1154" s="64">
        <v>0</v>
      </c>
      <c r="E1154" s="64">
        <v>9</v>
      </c>
      <c r="F1154" s="64">
        <v>1</v>
      </c>
      <c r="G1154" s="64" t="s">
        <v>64</v>
      </c>
      <c r="H1154" s="65"/>
      <c r="I1154" s="65"/>
      <c r="J1154" s="66"/>
      <c r="K1154" s="65" t="s">
        <v>1406</v>
      </c>
      <c r="L1154" s="64" t="s">
        <v>208</v>
      </c>
      <c r="M1154" s="64" t="s">
        <v>1195</v>
      </c>
      <c r="N1154" s="64" t="s">
        <v>1407</v>
      </c>
      <c r="O1154" s="64" t="s">
        <v>359</v>
      </c>
      <c r="P1154" s="69">
        <v>44221</v>
      </c>
      <c r="Q1154" s="69">
        <v>44555</v>
      </c>
      <c r="R1154" s="64">
        <f>T1154+W1154+Z1154+AC1154</f>
        <v>12</v>
      </c>
      <c r="S1154" s="65" t="s">
        <v>760</v>
      </c>
      <c r="T1154" s="64">
        <v>3</v>
      </c>
      <c r="U1154" s="75">
        <v>0</v>
      </c>
      <c r="V1154" s="674">
        <v>0</v>
      </c>
      <c r="W1154" s="75">
        <v>3</v>
      </c>
      <c r="X1154" s="75"/>
      <c r="Y1154" s="75"/>
      <c r="Z1154" s="75">
        <v>3</v>
      </c>
      <c r="AA1154" s="75"/>
      <c r="AB1154" s="75"/>
      <c r="AC1154" s="97">
        <v>3</v>
      </c>
      <c r="AD1154" s="97"/>
      <c r="AE1154" s="591"/>
      <c r="AF1154" s="259" t="s">
        <v>765</v>
      </c>
      <c r="AG1154" s="510">
        <v>0</v>
      </c>
      <c r="AH1154" s="370">
        <v>0</v>
      </c>
      <c r="AI1154" s="75"/>
      <c r="AJ1154" s="75"/>
      <c r="AK1154" s="75"/>
      <c r="AL1154" s="75"/>
      <c r="AM1154" s="75"/>
      <c r="AN1154" s="64" t="s">
        <v>39</v>
      </c>
      <c r="AO1154" s="64"/>
      <c r="AP1154" s="64"/>
      <c r="AQ1154" s="189"/>
      <c r="AR1154" s="64"/>
      <c r="AS1154" s="476"/>
      <c r="AT1154" s="64"/>
      <c r="AU1154" s="646"/>
      <c r="AV1154" s="185"/>
    </row>
    <row r="1155" spans="1:48" ht="15" customHeight="1" outlineLevel="2" x14ac:dyDescent="0.25">
      <c r="A1155" s="63" t="str">
        <f t="shared" si="191"/>
        <v>3.13.0.9.2.58-64</v>
      </c>
      <c r="B1155" s="64">
        <v>3</v>
      </c>
      <c r="C1155" s="64">
        <v>13</v>
      </c>
      <c r="D1155" s="64">
        <v>0</v>
      </c>
      <c r="E1155" s="64">
        <v>9</v>
      </c>
      <c r="F1155" s="64">
        <v>2</v>
      </c>
      <c r="G1155" s="64" t="s">
        <v>64</v>
      </c>
      <c r="H1155" s="65"/>
      <c r="I1155" s="65"/>
      <c r="J1155" s="66"/>
      <c r="K1155" s="65" t="s">
        <v>1408</v>
      </c>
      <c r="L1155" s="64" t="s">
        <v>208</v>
      </c>
      <c r="M1155" s="64" t="s">
        <v>1195</v>
      </c>
      <c r="N1155" s="64" t="s">
        <v>1407</v>
      </c>
      <c r="O1155" s="64" t="s">
        <v>359</v>
      </c>
      <c r="P1155" s="69">
        <v>44222</v>
      </c>
      <c r="Q1155" s="69">
        <v>44556</v>
      </c>
      <c r="R1155" s="64">
        <f>T1155+W1155+Z1155+AC1155</f>
        <v>12</v>
      </c>
      <c r="S1155" s="65" t="s">
        <v>760</v>
      </c>
      <c r="T1155" s="64">
        <v>3</v>
      </c>
      <c r="U1155" s="75">
        <v>0</v>
      </c>
      <c r="V1155" s="674">
        <v>0</v>
      </c>
      <c r="W1155" s="75">
        <v>3</v>
      </c>
      <c r="X1155" s="75"/>
      <c r="Y1155" s="75"/>
      <c r="Z1155" s="75">
        <v>3</v>
      </c>
      <c r="AA1155" s="75"/>
      <c r="AB1155" s="75"/>
      <c r="AC1155" s="97">
        <v>3</v>
      </c>
      <c r="AD1155" s="97"/>
      <c r="AE1155" s="591"/>
      <c r="AF1155" s="259" t="s">
        <v>765</v>
      </c>
      <c r="AG1155" s="510">
        <v>0</v>
      </c>
      <c r="AH1155" s="370">
        <v>0</v>
      </c>
      <c r="AI1155" s="75"/>
      <c r="AJ1155" s="75"/>
      <c r="AK1155" s="75"/>
      <c r="AL1155" s="75"/>
      <c r="AM1155" s="75"/>
      <c r="AN1155" s="64" t="s">
        <v>39</v>
      </c>
      <c r="AO1155" s="64"/>
      <c r="AP1155" s="64"/>
      <c r="AQ1155" s="189"/>
      <c r="AR1155" s="64"/>
      <c r="AS1155" s="476"/>
      <c r="AT1155" s="64"/>
      <c r="AU1155" s="646"/>
      <c r="AV1155" s="185"/>
    </row>
    <row r="1156" spans="1:48" s="153" customFormat="1" ht="36" customHeight="1" outlineLevel="1" x14ac:dyDescent="0.25">
      <c r="A1156" s="108" t="str">
        <f t="shared" si="191"/>
        <v>3.14.0.0.0.0</v>
      </c>
      <c r="B1156" s="109">
        <v>3</v>
      </c>
      <c r="C1156" s="109">
        <v>14</v>
      </c>
      <c r="D1156" s="109">
        <v>0</v>
      </c>
      <c r="E1156" s="109">
        <v>0</v>
      </c>
      <c r="F1156" s="109">
        <v>0</v>
      </c>
      <c r="G1156" s="109">
        <v>0</v>
      </c>
      <c r="H1156" s="110"/>
      <c r="I1156" s="1258" t="s">
        <v>1409</v>
      </c>
      <c r="J1156" s="1259"/>
      <c r="K1156" s="1259"/>
      <c r="L1156" s="109" t="s">
        <v>1410</v>
      </c>
      <c r="M1156" s="109">
        <v>0</v>
      </c>
      <c r="N1156" s="109">
        <v>0</v>
      </c>
      <c r="O1156" s="109">
        <v>0</v>
      </c>
      <c r="P1156" s="109"/>
      <c r="Q1156" s="109"/>
      <c r="R1156" s="109"/>
      <c r="S1156" s="110"/>
      <c r="T1156" s="109"/>
      <c r="U1156" s="374">
        <f t="shared" ref="U1156:AG1156" si="210">+SUM(U1162+U1160+U1157+U1167)</f>
        <v>375000</v>
      </c>
      <c r="V1156" s="686">
        <f t="shared" si="210"/>
        <v>0</v>
      </c>
      <c r="W1156" s="374">
        <f t="shared" si="210"/>
        <v>1</v>
      </c>
      <c r="X1156" s="374">
        <f t="shared" si="210"/>
        <v>375000</v>
      </c>
      <c r="Y1156" s="374">
        <f t="shared" si="210"/>
        <v>0</v>
      </c>
      <c r="Z1156" s="374">
        <f t="shared" si="210"/>
        <v>0</v>
      </c>
      <c r="AA1156" s="374">
        <f t="shared" si="210"/>
        <v>375000</v>
      </c>
      <c r="AB1156" s="374">
        <f t="shared" si="210"/>
        <v>0</v>
      </c>
      <c r="AC1156" s="374">
        <f t="shared" si="210"/>
        <v>0</v>
      </c>
      <c r="AD1156" s="374">
        <f t="shared" si="210"/>
        <v>375000</v>
      </c>
      <c r="AE1156" s="374">
        <f t="shared" si="210"/>
        <v>0</v>
      </c>
      <c r="AF1156" s="374">
        <f t="shared" si="210"/>
        <v>0</v>
      </c>
      <c r="AG1156" s="374">
        <f t="shared" si="210"/>
        <v>3000000</v>
      </c>
      <c r="AH1156" s="374">
        <f>+SUM(AH1162+AH1160+AH1157+AH1167)</f>
        <v>1500000</v>
      </c>
      <c r="AI1156" s="514">
        <f>+SUM(AI1162+AI1160+AI1157+AI1167)</f>
        <v>0</v>
      </c>
      <c r="AJ1156" s="514">
        <f>+SUM(AJ1162+AJ1160+AJ1157+AJ1167)</f>
        <v>0</v>
      </c>
      <c r="AK1156" s="112"/>
      <c r="AL1156" s="112"/>
      <c r="AM1156" s="112"/>
      <c r="AN1156" s="109" t="s">
        <v>181</v>
      </c>
      <c r="AO1156" s="109"/>
      <c r="AP1156" s="109"/>
      <c r="AQ1156" s="411"/>
      <c r="AR1156" s="109"/>
      <c r="AS1156" s="473"/>
      <c r="AT1156" s="109"/>
      <c r="AU1156" s="659"/>
      <c r="AV1156" s="429" t="s">
        <v>1411</v>
      </c>
    </row>
    <row r="1157" spans="1:48" s="153" customFormat="1" ht="25.5" customHeight="1" outlineLevel="1" x14ac:dyDescent="0.25">
      <c r="A1157" s="148" t="str">
        <f t="shared" si="191"/>
        <v>3.14.0.1.0.0</v>
      </c>
      <c r="B1157" s="82">
        <v>3</v>
      </c>
      <c r="C1157" s="82">
        <v>14</v>
      </c>
      <c r="D1157" s="82">
        <v>0</v>
      </c>
      <c r="E1157" s="82">
        <v>1</v>
      </c>
      <c r="F1157" s="82">
        <v>0</v>
      </c>
      <c r="G1157" s="82">
        <v>0</v>
      </c>
      <c r="H1157" s="149"/>
      <c r="I1157" s="149"/>
      <c r="J1157" s="1260" t="s">
        <v>1412</v>
      </c>
      <c r="K1157" s="1259"/>
      <c r="L1157" s="82" t="s">
        <v>1410</v>
      </c>
      <c r="M1157" s="82" t="s">
        <v>1413</v>
      </c>
      <c r="N1157" s="82" t="s">
        <v>1414</v>
      </c>
      <c r="O1157" s="84" t="s">
        <v>1415</v>
      </c>
      <c r="P1157" s="84"/>
      <c r="Q1157" s="84"/>
      <c r="R1157" s="82" t="s">
        <v>887</v>
      </c>
      <c r="S1157" s="149" t="s">
        <v>1416</v>
      </c>
      <c r="T1157" s="82" t="s">
        <v>887</v>
      </c>
      <c r="U1157" s="379">
        <f>+SUM(U1158:U1159)</f>
        <v>0</v>
      </c>
      <c r="V1157" s="682">
        <f t="shared" ref="V1157:AG1157" si="211">+SUM(V1158:V1159)</f>
        <v>0</v>
      </c>
      <c r="W1157" s="379">
        <f t="shared" si="211"/>
        <v>0</v>
      </c>
      <c r="X1157" s="379">
        <f t="shared" si="211"/>
        <v>0</v>
      </c>
      <c r="Y1157" s="379">
        <f t="shared" si="211"/>
        <v>0</v>
      </c>
      <c r="Z1157" s="379">
        <f t="shared" si="211"/>
        <v>0</v>
      </c>
      <c r="AA1157" s="379">
        <f t="shared" si="211"/>
        <v>0</v>
      </c>
      <c r="AB1157" s="379">
        <f t="shared" si="211"/>
        <v>0</v>
      </c>
      <c r="AC1157" s="379">
        <f t="shared" si="211"/>
        <v>0</v>
      </c>
      <c r="AD1157" s="379">
        <f t="shared" si="211"/>
        <v>0</v>
      </c>
      <c r="AE1157" s="379">
        <f t="shared" si="211"/>
        <v>0</v>
      </c>
      <c r="AF1157" s="379">
        <f t="shared" si="211"/>
        <v>0</v>
      </c>
      <c r="AG1157" s="379">
        <f t="shared" si="211"/>
        <v>0</v>
      </c>
      <c r="AH1157" s="379">
        <f>+SUM(AH1158:AH1159)</f>
        <v>0</v>
      </c>
      <c r="AI1157" s="512">
        <f>+SUM(AI1158:AI1159)</f>
        <v>0</v>
      </c>
      <c r="AJ1157" s="512">
        <f>+SUM(AJ1158:AJ1159)</f>
        <v>0</v>
      </c>
      <c r="AK1157" s="152"/>
      <c r="AL1157" s="152"/>
      <c r="AM1157" s="152"/>
      <c r="AN1157" s="82" t="s">
        <v>181</v>
      </c>
      <c r="AO1157" s="82"/>
      <c r="AP1157" s="82"/>
      <c r="AQ1157" s="365"/>
      <c r="AR1157" s="82"/>
      <c r="AS1157" s="483"/>
      <c r="AT1157" s="82"/>
      <c r="AU1157" s="666"/>
      <c r="AV1157" s="444"/>
    </row>
    <row r="1158" spans="1:48" ht="39" customHeight="1" outlineLevel="3" x14ac:dyDescent="0.25">
      <c r="A1158" s="63" t="str">
        <f t="shared" si="191"/>
        <v>3.14.0.1.1.0</v>
      </c>
      <c r="B1158" s="64">
        <v>3</v>
      </c>
      <c r="C1158" s="64">
        <v>14</v>
      </c>
      <c r="D1158" s="64">
        <v>0</v>
      </c>
      <c r="E1158" s="64">
        <v>1</v>
      </c>
      <c r="F1158" s="64">
        <v>1</v>
      </c>
      <c r="G1158" s="64">
        <v>0</v>
      </c>
      <c r="H1158" s="65"/>
      <c r="I1158" s="65"/>
      <c r="J1158" s="66"/>
      <c r="K1158" s="67" t="s">
        <v>1417</v>
      </c>
      <c r="L1158" s="64" t="s">
        <v>1410</v>
      </c>
      <c r="M1158" s="64" t="s">
        <v>1418</v>
      </c>
      <c r="N1158" s="64" t="s">
        <v>1414</v>
      </c>
      <c r="O1158" s="64" t="s">
        <v>44</v>
      </c>
      <c r="P1158" s="69">
        <v>44197</v>
      </c>
      <c r="Q1158" s="69">
        <v>44531</v>
      </c>
      <c r="R1158" s="64" t="s">
        <v>887</v>
      </c>
      <c r="S1158" s="65" t="s">
        <v>1419</v>
      </c>
      <c r="T1158" s="64" t="s">
        <v>887</v>
      </c>
      <c r="U1158" s="75">
        <v>0</v>
      </c>
      <c r="V1158" s="674">
        <v>0</v>
      </c>
      <c r="W1158" s="75"/>
      <c r="X1158" s="75"/>
      <c r="Y1158" s="75"/>
      <c r="Z1158" s="75"/>
      <c r="AA1158" s="75"/>
      <c r="AB1158" s="75"/>
      <c r="AC1158" s="97"/>
      <c r="AD1158" s="97"/>
      <c r="AE1158" s="591"/>
      <c r="AF1158" s="259"/>
      <c r="AG1158" s="510">
        <v>0</v>
      </c>
      <c r="AH1158" s="370">
        <v>0</v>
      </c>
      <c r="AI1158" s="75"/>
      <c r="AJ1158" s="75">
        <v>0</v>
      </c>
      <c r="AK1158" s="75"/>
      <c r="AL1158" s="75"/>
      <c r="AM1158" s="75"/>
      <c r="AN1158" s="64" t="s">
        <v>181</v>
      </c>
      <c r="AO1158" s="64"/>
      <c r="AP1158" s="64"/>
      <c r="AQ1158" s="189"/>
      <c r="AR1158" s="64"/>
      <c r="AS1158" s="476"/>
      <c r="AT1158" s="64"/>
      <c r="AU1158" s="646"/>
      <c r="AV1158" s="185"/>
    </row>
    <row r="1159" spans="1:48" outlineLevel="3" x14ac:dyDescent="0.25">
      <c r="A1159" s="63" t="str">
        <f t="shared" si="191"/>
        <v>3.14.0.1.2.0</v>
      </c>
      <c r="B1159" s="64">
        <v>3</v>
      </c>
      <c r="C1159" s="64">
        <v>14</v>
      </c>
      <c r="D1159" s="64">
        <v>0</v>
      </c>
      <c r="E1159" s="64">
        <v>1</v>
      </c>
      <c r="F1159" s="64">
        <v>2</v>
      </c>
      <c r="G1159" s="64">
        <v>0</v>
      </c>
      <c r="H1159" s="65"/>
      <c r="I1159" s="65"/>
      <c r="J1159" s="66"/>
      <c r="K1159" s="65" t="s">
        <v>1420</v>
      </c>
      <c r="L1159" s="64" t="s">
        <v>1410</v>
      </c>
      <c r="M1159" s="64" t="s">
        <v>1421</v>
      </c>
      <c r="N1159" s="64"/>
      <c r="O1159" s="64"/>
      <c r="P1159" s="69"/>
      <c r="Q1159" s="69"/>
      <c r="R1159" s="64"/>
      <c r="S1159" s="65"/>
      <c r="T1159" s="64"/>
      <c r="U1159" s="75">
        <v>0</v>
      </c>
      <c r="V1159" s="674">
        <v>0</v>
      </c>
      <c r="W1159" s="75"/>
      <c r="X1159" s="75"/>
      <c r="Y1159" s="75"/>
      <c r="Z1159" s="75"/>
      <c r="AA1159" s="75"/>
      <c r="AB1159" s="75"/>
      <c r="AC1159" s="97"/>
      <c r="AD1159" s="97"/>
      <c r="AE1159" s="591"/>
      <c r="AF1159" s="259"/>
      <c r="AG1159" s="510">
        <v>0</v>
      </c>
      <c r="AH1159" s="370">
        <v>0</v>
      </c>
      <c r="AI1159" s="75"/>
      <c r="AJ1159" s="75">
        <v>0</v>
      </c>
      <c r="AK1159" s="75"/>
      <c r="AL1159" s="75"/>
      <c r="AM1159" s="75"/>
      <c r="AN1159" s="64" t="s">
        <v>181</v>
      </c>
      <c r="AO1159" s="64"/>
      <c r="AP1159" s="64"/>
      <c r="AQ1159" s="189"/>
      <c r="AR1159" s="64"/>
      <c r="AS1159" s="476"/>
      <c r="AT1159" s="64"/>
      <c r="AU1159" s="646"/>
      <c r="AV1159" s="185"/>
    </row>
    <row r="1160" spans="1:48" s="153" customFormat="1" ht="27" customHeight="1" outlineLevel="1" x14ac:dyDescent="0.25">
      <c r="A1160" s="148" t="str">
        <f t="shared" si="191"/>
        <v>3.14.0.2.0.0</v>
      </c>
      <c r="B1160" s="82">
        <v>3</v>
      </c>
      <c r="C1160" s="82">
        <v>14</v>
      </c>
      <c r="D1160" s="82">
        <v>0</v>
      </c>
      <c r="E1160" s="82">
        <v>2</v>
      </c>
      <c r="F1160" s="82">
        <v>0</v>
      </c>
      <c r="G1160" s="82">
        <v>0</v>
      </c>
      <c r="H1160" s="149"/>
      <c r="I1160" s="149"/>
      <c r="J1160" s="1260" t="s">
        <v>1422</v>
      </c>
      <c r="K1160" s="1259"/>
      <c r="L1160" s="82" t="s">
        <v>1410</v>
      </c>
      <c r="M1160" s="82" t="s">
        <v>1413</v>
      </c>
      <c r="N1160" s="82" t="s">
        <v>1414</v>
      </c>
      <c r="O1160" s="84" t="s">
        <v>1415</v>
      </c>
      <c r="P1160" s="84">
        <v>44562</v>
      </c>
      <c r="Q1160" s="84">
        <v>44926</v>
      </c>
      <c r="R1160" s="82" t="s">
        <v>887</v>
      </c>
      <c r="S1160" s="82" t="s">
        <v>1416</v>
      </c>
      <c r="T1160" s="82" t="s">
        <v>887</v>
      </c>
      <c r="U1160" s="379">
        <f t="shared" ref="U1160:AG1160" si="212">+SUM(U1161)</f>
        <v>375000</v>
      </c>
      <c r="V1160" s="682">
        <f t="shared" si="212"/>
        <v>0</v>
      </c>
      <c r="W1160" s="379">
        <f t="shared" si="212"/>
        <v>0</v>
      </c>
      <c r="X1160" s="379">
        <f t="shared" si="212"/>
        <v>375000</v>
      </c>
      <c r="Y1160" s="379">
        <f t="shared" si="212"/>
        <v>0</v>
      </c>
      <c r="Z1160" s="379">
        <f t="shared" si="212"/>
        <v>0</v>
      </c>
      <c r="AA1160" s="379">
        <f t="shared" si="212"/>
        <v>375000</v>
      </c>
      <c r="AB1160" s="379">
        <f t="shared" si="212"/>
        <v>0</v>
      </c>
      <c r="AC1160" s="379">
        <f t="shared" si="212"/>
        <v>0</v>
      </c>
      <c r="AD1160" s="379">
        <f t="shared" si="212"/>
        <v>375000</v>
      </c>
      <c r="AE1160" s="379">
        <f t="shared" si="212"/>
        <v>0</v>
      </c>
      <c r="AF1160" s="379">
        <f t="shared" si="212"/>
        <v>0</v>
      </c>
      <c r="AG1160" s="379">
        <f t="shared" si="212"/>
        <v>2500000</v>
      </c>
      <c r="AH1160" s="379">
        <f>+SUM(AH1161)</f>
        <v>1500000</v>
      </c>
      <c r="AI1160" s="512">
        <f>+SUM(AI1161)</f>
        <v>0</v>
      </c>
      <c r="AJ1160" s="512">
        <f>+SUM(AJ1161)</f>
        <v>0</v>
      </c>
      <c r="AK1160" s="152"/>
      <c r="AL1160" s="152"/>
      <c r="AM1160" s="152"/>
      <c r="AN1160" s="82" t="s">
        <v>181</v>
      </c>
      <c r="AO1160" s="82"/>
      <c r="AP1160" s="82"/>
      <c r="AQ1160" s="365"/>
      <c r="AR1160" s="82"/>
      <c r="AS1160" s="483"/>
      <c r="AT1160" s="82"/>
      <c r="AU1160" s="666"/>
      <c r="AV1160" s="444"/>
    </row>
    <row r="1161" spans="1:48" s="272" customFormat="1" ht="56.25" customHeight="1" outlineLevel="2" x14ac:dyDescent="0.25">
      <c r="A1161" s="64" t="str">
        <f t="shared" si="191"/>
        <v>3.14.0.2.1.0</v>
      </c>
      <c r="B1161" s="64">
        <v>3</v>
      </c>
      <c r="C1161" s="64">
        <v>14</v>
      </c>
      <c r="D1161" s="64">
        <v>0</v>
      </c>
      <c r="E1161" s="64">
        <v>2</v>
      </c>
      <c r="F1161" s="64">
        <v>1</v>
      </c>
      <c r="G1161" s="100">
        <v>0</v>
      </c>
      <c r="H1161" s="64"/>
      <c r="I1161" s="64"/>
      <c r="J1161" s="270"/>
      <c r="K1161" s="65" t="s">
        <v>1423</v>
      </c>
      <c r="L1161" s="64" t="s">
        <v>1410</v>
      </c>
      <c r="M1161" s="64" t="s">
        <v>76</v>
      </c>
      <c r="N1161" s="64" t="s">
        <v>1297</v>
      </c>
      <c r="O1161" s="64" t="s">
        <v>1424</v>
      </c>
      <c r="P1161" s="69">
        <v>44197</v>
      </c>
      <c r="Q1161" s="69">
        <v>44561</v>
      </c>
      <c r="R1161" s="64">
        <v>3</v>
      </c>
      <c r="S1161" s="64" t="s">
        <v>73</v>
      </c>
      <c r="T1161" s="64">
        <v>3</v>
      </c>
      <c r="U1161" s="75">
        <f>$AH$1161/4</f>
        <v>375000</v>
      </c>
      <c r="V1161" s="674">
        <v>0</v>
      </c>
      <c r="W1161" s="75"/>
      <c r="X1161" s="75">
        <f>$AH$1161/4</f>
        <v>375000</v>
      </c>
      <c r="Y1161" s="75"/>
      <c r="Z1161" s="75"/>
      <c r="AA1161" s="75">
        <f>$AH$1161/4</f>
        <v>375000</v>
      </c>
      <c r="AB1161" s="75"/>
      <c r="AC1161" s="75"/>
      <c r="AD1161" s="75">
        <f>$AH$1161/4</f>
        <v>375000</v>
      </c>
      <c r="AE1161" s="592"/>
      <c r="AF1161" s="189"/>
      <c r="AG1161" s="524">
        <v>2500000</v>
      </c>
      <c r="AH1161" s="388">
        <v>1500000</v>
      </c>
      <c r="AI1161" s="258"/>
      <c r="AJ1161" s="258">
        <v>0</v>
      </c>
      <c r="AK1161" s="271"/>
      <c r="AL1161" s="271"/>
      <c r="AM1161" s="271"/>
      <c r="AN1161" s="64" t="s">
        <v>181</v>
      </c>
      <c r="AO1161" s="64"/>
      <c r="AP1161" s="64"/>
      <c r="AQ1161" s="189"/>
      <c r="AR1161" s="64"/>
      <c r="AS1161" s="476"/>
      <c r="AT1161" s="64"/>
      <c r="AU1161" s="646"/>
      <c r="AV1161" s="460"/>
    </row>
    <row r="1162" spans="1:48" s="153" customFormat="1" ht="24" customHeight="1" outlineLevel="1" x14ac:dyDescent="0.25">
      <c r="A1162" s="148" t="str">
        <f t="shared" si="191"/>
        <v>3.14.1.3.0.0</v>
      </c>
      <c r="B1162" s="82">
        <v>3</v>
      </c>
      <c r="C1162" s="82">
        <v>14</v>
      </c>
      <c r="D1162" s="82">
        <v>1</v>
      </c>
      <c r="E1162" s="82">
        <v>3</v>
      </c>
      <c r="F1162" s="82">
        <v>0</v>
      </c>
      <c r="G1162" s="82">
        <v>0</v>
      </c>
      <c r="H1162" s="149"/>
      <c r="I1162" s="149"/>
      <c r="J1162" s="1260" t="s">
        <v>1425</v>
      </c>
      <c r="K1162" s="1259"/>
      <c r="L1162" s="82" t="s">
        <v>1410</v>
      </c>
      <c r="M1162" s="82" t="s">
        <v>1426</v>
      </c>
      <c r="N1162" s="82" t="s">
        <v>1414</v>
      </c>
      <c r="O1162" s="82" t="s">
        <v>1415</v>
      </c>
      <c r="P1162" s="84">
        <v>44562</v>
      </c>
      <c r="Q1162" s="84">
        <v>44926</v>
      </c>
      <c r="R1162" s="82" t="s">
        <v>887</v>
      </c>
      <c r="S1162" s="82" t="s">
        <v>1416</v>
      </c>
      <c r="T1162" s="148" t="s">
        <v>887</v>
      </c>
      <c r="U1162" s="152">
        <f>SUM(U1163:U1166)</f>
        <v>0</v>
      </c>
      <c r="V1162" s="682">
        <f t="shared" ref="V1162:AG1162" si="213">+SUM(V1163:V1166)</f>
        <v>0</v>
      </c>
      <c r="W1162" s="379">
        <f t="shared" si="213"/>
        <v>0</v>
      </c>
      <c r="X1162" s="379">
        <f t="shared" si="213"/>
        <v>0</v>
      </c>
      <c r="Y1162" s="379">
        <f t="shared" si="213"/>
        <v>0</v>
      </c>
      <c r="Z1162" s="379">
        <f t="shared" si="213"/>
        <v>0</v>
      </c>
      <c r="AA1162" s="379">
        <f t="shared" si="213"/>
        <v>0</v>
      </c>
      <c r="AB1162" s="379">
        <f t="shared" si="213"/>
        <v>0</v>
      </c>
      <c r="AC1162" s="379">
        <f t="shared" si="213"/>
        <v>0</v>
      </c>
      <c r="AD1162" s="379">
        <f t="shared" si="213"/>
        <v>0</v>
      </c>
      <c r="AE1162" s="379">
        <f t="shared" si="213"/>
        <v>0</v>
      </c>
      <c r="AF1162" s="379">
        <f t="shared" si="213"/>
        <v>0</v>
      </c>
      <c r="AG1162" s="379">
        <f t="shared" si="213"/>
        <v>500000</v>
      </c>
      <c r="AH1162" s="379">
        <f t="shared" ref="AH1162:AM1162" si="214">+SUM(AH1163:AH1166)</f>
        <v>0</v>
      </c>
      <c r="AI1162" s="512">
        <f t="shared" si="214"/>
        <v>0</v>
      </c>
      <c r="AJ1162" s="512">
        <f t="shared" si="214"/>
        <v>0</v>
      </c>
      <c r="AK1162" s="512">
        <f t="shared" si="214"/>
        <v>0</v>
      </c>
      <c r="AL1162" s="512">
        <f t="shared" si="214"/>
        <v>0</v>
      </c>
      <c r="AM1162" s="512">
        <f t="shared" si="214"/>
        <v>0</v>
      </c>
      <c r="AN1162" s="82" t="s">
        <v>181</v>
      </c>
      <c r="AO1162" s="82"/>
      <c r="AP1162" s="82"/>
      <c r="AQ1162" s="365"/>
      <c r="AR1162" s="82"/>
      <c r="AS1162" s="483"/>
      <c r="AT1162" s="82"/>
      <c r="AU1162" s="666"/>
      <c r="AV1162" s="444"/>
    </row>
    <row r="1163" spans="1:48" ht="26.25" customHeight="1" outlineLevel="3" x14ac:dyDescent="0.25">
      <c r="A1163" s="63" t="str">
        <f t="shared" si="191"/>
        <v>3.14.1.3.1.0</v>
      </c>
      <c r="B1163" s="64">
        <v>3</v>
      </c>
      <c r="C1163" s="64">
        <v>14</v>
      </c>
      <c r="D1163" s="64">
        <v>1</v>
      </c>
      <c r="E1163" s="64">
        <v>3</v>
      </c>
      <c r="F1163" s="64">
        <v>1</v>
      </c>
      <c r="G1163" s="64">
        <v>0</v>
      </c>
      <c r="H1163" s="65"/>
      <c r="I1163" s="65"/>
      <c r="J1163" s="65"/>
      <c r="K1163" s="65" t="s">
        <v>1875</v>
      </c>
      <c r="L1163" s="64" t="s">
        <v>1410</v>
      </c>
      <c r="M1163" s="64" t="s">
        <v>1427</v>
      </c>
      <c r="N1163" s="64" t="s">
        <v>1428</v>
      </c>
      <c r="O1163" s="68" t="s">
        <v>1429</v>
      </c>
      <c r="P1163" s="69">
        <v>44197</v>
      </c>
      <c r="Q1163" s="69">
        <v>44561</v>
      </c>
      <c r="R1163" s="64" t="s">
        <v>887</v>
      </c>
      <c r="S1163" s="65" t="s">
        <v>1430</v>
      </c>
      <c r="T1163" s="64"/>
      <c r="U1163" s="75">
        <v>0</v>
      </c>
      <c r="V1163" s="674">
        <v>0</v>
      </c>
      <c r="W1163" s="75"/>
      <c r="X1163" s="75"/>
      <c r="Y1163" s="75"/>
      <c r="Z1163" s="75"/>
      <c r="AA1163" s="75"/>
      <c r="AB1163" s="75"/>
      <c r="AC1163" s="97"/>
      <c r="AD1163" s="97"/>
      <c r="AE1163" s="591"/>
      <c r="AF1163" s="259"/>
      <c r="AG1163" s="510">
        <v>0</v>
      </c>
      <c r="AH1163" s="370">
        <v>0</v>
      </c>
      <c r="AI1163" s="75"/>
      <c r="AJ1163" s="75">
        <v>0</v>
      </c>
      <c r="AK1163" s="75"/>
      <c r="AL1163" s="75"/>
      <c r="AM1163" s="75"/>
      <c r="AN1163" s="64" t="s">
        <v>181</v>
      </c>
      <c r="AO1163" s="64"/>
      <c r="AP1163" s="64"/>
      <c r="AQ1163" s="413"/>
      <c r="AR1163" s="165"/>
      <c r="AS1163" s="475"/>
      <c r="AT1163" s="64"/>
      <c r="AU1163" s="646"/>
      <c r="AV1163" s="185"/>
    </row>
    <row r="1164" spans="1:48" outlineLevel="3" x14ac:dyDescent="0.25">
      <c r="A1164" s="63" t="str">
        <f t="shared" si="191"/>
        <v>3.14.1.3.2.0</v>
      </c>
      <c r="B1164" s="64">
        <v>3</v>
      </c>
      <c r="C1164" s="64">
        <v>14</v>
      </c>
      <c r="D1164" s="64">
        <v>1</v>
      </c>
      <c r="E1164" s="64">
        <v>3</v>
      </c>
      <c r="F1164" s="64">
        <v>2</v>
      </c>
      <c r="G1164" s="64">
        <v>0</v>
      </c>
      <c r="H1164" s="65"/>
      <c r="I1164" s="65"/>
      <c r="J1164" s="65"/>
      <c r="K1164" s="65" t="s">
        <v>1876</v>
      </c>
      <c r="L1164" s="64" t="s">
        <v>1410</v>
      </c>
      <c r="M1164" s="64" t="s">
        <v>299</v>
      </c>
      <c r="N1164" s="64" t="s">
        <v>1428</v>
      </c>
      <c r="O1164" s="64" t="s">
        <v>1429</v>
      </c>
      <c r="P1164" s="69">
        <v>44197</v>
      </c>
      <c r="Q1164" s="69">
        <v>44561</v>
      </c>
      <c r="R1164" s="64" t="s">
        <v>887</v>
      </c>
      <c r="S1164" s="65" t="s">
        <v>1431</v>
      </c>
      <c r="T1164" s="64"/>
      <c r="U1164" s="75">
        <v>0</v>
      </c>
      <c r="V1164" s="674">
        <v>0</v>
      </c>
      <c r="W1164" s="75"/>
      <c r="X1164" s="75"/>
      <c r="Y1164" s="75"/>
      <c r="Z1164" s="75"/>
      <c r="AA1164" s="75"/>
      <c r="AB1164" s="75"/>
      <c r="AC1164" s="97"/>
      <c r="AD1164" s="97"/>
      <c r="AE1164" s="591"/>
      <c r="AF1164" s="259"/>
      <c r="AG1164" s="510">
        <v>0</v>
      </c>
      <c r="AH1164" s="370">
        <v>0</v>
      </c>
      <c r="AI1164" s="75"/>
      <c r="AJ1164" s="75">
        <v>0</v>
      </c>
      <c r="AK1164" s="75"/>
      <c r="AL1164" s="75"/>
      <c r="AM1164" s="75"/>
      <c r="AN1164" s="64" t="s">
        <v>181</v>
      </c>
      <c r="AO1164" s="64"/>
      <c r="AP1164" s="189"/>
      <c r="AQ1164" s="64"/>
      <c r="AR1164" s="64"/>
      <c r="AS1164" s="64"/>
      <c r="AT1164" s="460"/>
      <c r="AU1164" s="646"/>
      <c r="AV1164" s="185"/>
    </row>
    <row r="1165" spans="1:48" ht="30" customHeight="1" outlineLevel="3" x14ac:dyDescent="0.25">
      <c r="A1165" s="63" t="str">
        <f t="shared" si="191"/>
        <v>3.14.1.3.3.0</v>
      </c>
      <c r="B1165" s="64">
        <v>3</v>
      </c>
      <c r="C1165" s="64">
        <v>14</v>
      </c>
      <c r="D1165" s="64">
        <v>1</v>
      </c>
      <c r="E1165" s="64">
        <v>3</v>
      </c>
      <c r="F1165" s="64">
        <v>3</v>
      </c>
      <c r="G1165" s="64">
        <v>0</v>
      </c>
      <c r="H1165" s="65"/>
      <c r="I1165" s="65"/>
      <c r="J1165" s="65"/>
      <c r="K1165" s="65" t="s">
        <v>1877</v>
      </c>
      <c r="L1165" s="64" t="s">
        <v>1410</v>
      </c>
      <c r="M1165" s="64" t="s">
        <v>76</v>
      </c>
      <c r="N1165" s="64" t="s">
        <v>74</v>
      </c>
      <c r="O1165" s="64" t="s">
        <v>1432</v>
      </c>
      <c r="P1165" s="69">
        <v>44197</v>
      </c>
      <c r="Q1165" s="69">
        <v>44377</v>
      </c>
      <c r="R1165" s="64" t="s">
        <v>887</v>
      </c>
      <c r="S1165" s="65" t="s">
        <v>73</v>
      </c>
      <c r="T1165" s="64"/>
      <c r="U1165" s="75">
        <v>0</v>
      </c>
      <c r="V1165" s="674">
        <v>0</v>
      </c>
      <c r="W1165" s="75"/>
      <c r="X1165" s="75"/>
      <c r="Y1165" s="75"/>
      <c r="Z1165" s="75"/>
      <c r="AA1165" s="75"/>
      <c r="AB1165" s="75"/>
      <c r="AC1165" s="97"/>
      <c r="AD1165" s="75"/>
      <c r="AE1165" s="592"/>
      <c r="AF1165" s="343" t="s">
        <v>1433</v>
      </c>
      <c r="AG1165" s="510">
        <v>500000</v>
      </c>
      <c r="AH1165" s="370">
        <v>0</v>
      </c>
      <c r="AI1165" s="75"/>
      <c r="AJ1165" s="75">
        <v>0</v>
      </c>
      <c r="AK1165" s="75"/>
      <c r="AL1165" s="75"/>
      <c r="AM1165" s="75"/>
      <c r="AN1165" s="64" t="s">
        <v>181</v>
      </c>
      <c r="AO1165" s="64"/>
      <c r="AP1165" s="64"/>
      <c r="AQ1165" s="416"/>
      <c r="AR1165" s="245"/>
      <c r="AS1165" s="480"/>
      <c r="AT1165" s="64"/>
      <c r="AU1165" s="646"/>
      <c r="AV1165" s="185" t="s">
        <v>589</v>
      </c>
    </row>
    <row r="1166" spans="1:48" ht="14.25" customHeight="1" outlineLevel="3" x14ac:dyDescent="0.25">
      <c r="A1166" s="63" t="str">
        <f t="shared" si="191"/>
        <v>3.14.1.3.4.0</v>
      </c>
      <c r="B1166" s="64">
        <v>3</v>
      </c>
      <c r="C1166" s="64">
        <v>14</v>
      </c>
      <c r="D1166" s="64">
        <v>1</v>
      </c>
      <c r="E1166" s="64">
        <v>3</v>
      </c>
      <c r="F1166" s="64">
        <v>4</v>
      </c>
      <c r="G1166" s="64">
        <v>0</v>
      </c>
      <c r="H1166" s="65"/>
      <c r="I1166" s="65"/>
      <c r="J1166" s="65"/>
      <c r="K1166" s="65" t="s">
        <v>1434</v>
      </c>
      <c r="L1166" s="64" t="s">
        <v>1410</v>
      </c>
      <c r="M1166" s="64" t="s">
        <v>76</v>
      </c>
      <c r="N1166" s="64" t="s">
        <v>74</v>
      </c>
      <c r="O1166" s="64" t="s">
        <v>1432</v>
      </c>
      <c r="P1166" s="69">
        <v>44197</v>
      </c>
      <c r="Q1166" s="69">
        <v>44377</v>
      </c>
      <c r="R1166" s="64" t="s">
        <v>887</v>
      </c>
      <c r="S1166" s="65" t="s">
        <v>73</v>
      </c>
      <c r="T1166" s="64"/>
      <c r="U1166" s="75">
        <v>0</v>
      </c>
      <c r="V1166" s="674">
        <v>0</v>
      </c>
      <c r="W1166" s="75"/>
      <c r="X1166" s="75"/>
      <c r="Y1166" s="75"/>
      <c r="Z1166" s="75"/>
      <c r="AA1166" s="75"/>
      <c r="AB1166" s="75"/>
      <c r="AC1166" s="97"/>
      <c r="AD1166" s="97"/>
      <c r="AE1166" s="591"/>
      <c r="AF1166" s="259" t="s">
        <v>1435</v>
      </c>
      <c r="AG1166" s="510">
        <v>0</v>
      </c>
      <c r="AH1166" s="370">
        <v>0</v>
      </c>
      <c r="AI1166" s="75"/>
      <c r="AJ1166" s="75">
        <v>0</v>
      </c>
      <c r="AK1166" s="75"/>
      <c r="AL1166" s="75"/>
      <c r="AM1166" s="75"/>
      <c r="AN1166" s="64" t="s">
        <v>181</v>
      </c>
      <c r="AO1166" s="64"/>
      <c r="AP1166" s="64"/>
      <c r="AQ1166" s="189"/>
      <c r="AR1166" s="64"/>
      <c r="AS1166" s="476"/>
      <c r="AT1166" s="64"/>
      <c r="AU1166" s="646"/>
      <c r="AV1166" s="185"/>
    </row>
    <row r="1167" spans="1:48" s="153" customFormat="1" ht="15" customHeight="1" outlineLevel="1" x14ac:dyDescent="0.25">
      <c r="A1167" s="148" t="str">
        <f t="shared" si="191"/>
        <v>3.14.0.4.0.0</v>
      </c>
      <c r="B1167" s="82">
        <v>3</v>
      </c>
      <c r="C1167" s="82">
        <v>14</v>
      </c>
      <c r="D1167" s="82">
        <v>0</v>
      </c>
      <c r="E1167" s="82">
        <v>4</v>
      </c>
      <c r="F1167" s="82">
        <v>0</v>
      </c>
      <c r="G1167" s="82">
        <v>0</v>
      </c>
      <c r="H1167" s="149"/>
      <c r="I1167" s="149"/>
      <c r="J1167" s="1260" t="s">
        <v>1436</v>
      </c>
      <c r="K1167" s="1259"/>
      <c r="L1167" s="82" t="s">
        <v>1410</v>
      </c>
      <c r="M1167" s="82" t="s">
        <v>299</v>
      </c>
      <c r="N1167" s="82" t="s">
        <v>1437</v>
      </c>
      <c r="O1167" s="83" t="s">
        <v>1438</v>
      </c>
      <c r="P1167" s="84"/>
      <c r="Q1167" s="84"/>
      <c r="R1167" s="82"/>
      <c r="S1167" s="149"/>
      <c r="T1167" s="82"/>
      <c r="U1167" s="379">
        <f>SUM(U1168:U1169)</f>
        <v>0</v>
      </c>
      <c r="V1167" s="682">
        <f t="shared" ref="V1167:AG1167" si="215">SUM(V1168:V1169)</f>
        <v>0</v>
      </c>
      <c r="W1167" s="379">
        <f t="shared" si="215"/>
        <v>1</v>
      </c>
      <c r="X1167" s="379">
        <f t="shared" si="215"/>
        <v>0</v>
      </c>
      <c r="Y1167" s="379">
        <f t="shared" si="215"/>
        <v>0</v>
      </c>
      <c r="Z1167" s="379">
        <f t="shared" si="215"/>
        <v>0</v>
      </c>
      <c r="AA1167" s="379">
        <f t="shared" si="215"/>
        <v>0</v>
      </c>
      <c r="AB1167" s="379">
        <f t="shared" si="215"/>
        <v>0</v>
      </c>
      <c r="AC1167" s="379">
        <f t="shared" si="215"/>
        <v>0</v>
      </c>
      <c r="AD1167" s="379">
        <f t="shared" si="215"/>
        <v>0</v>
      </c>
      <c r="AE1167" s="379">
        <f t="shared" si="215"/>
        <v>0</v>
      </c>
      <c r="AF1167" s="379">
        <f t="shared" si="215"/>
        <v>0</v>
      </c>
      <c r="AG1167" s="379">
        <f t="shared" si="215"/>
        <v>0</v>
      </c>
      <c r="AH1167" s="379">
        <f>SUM(AH1168:AH1169)</f>
        <v>0</v>
      </c>
      <c r="AI1167" s="512">
        <f>SUM(AI1168:AI1169)</f>
        <v>0</v>
      </c>
      <c r="AJ1167" s="512">
        <f>SUM(AJ1168:AJ1169)</f>
        <v>0</v>
      </c>
      <c r="AK1167" s="152"/>
      <c r="AL1167" s="152"/>
      <c r="AM1167" s="152"/>
      <c r="AN1167" s="82" t="s">
        <v>181</v>
      </c>
      <c r="AO1167" s="82"/>
      <c r="AP1167" s="82"/>
      <c r="AQ1167" s="365"/>
      <c r="AR1167" s="82"/>
      <c r="AS1167" s="483"/>
      <c r="AT1167" s="82"/>
      <c r="AU1167" s="666"/>
      <c r="AV1167" s="444"/>
    </row>
    <row r="1168" spans="1:48" ht="15" customHeight="1" outlineLevel="2" x14ac:dyDescent="0.25">
      <c r="A1168" s="63" t="str">
        <f t="shared" si="191"/>
        <v>3.14.0.4.1.58-64</v>
      </c>
      <c r="B1168" s="64">
        <v>3</v>
      </c>
      <c r="C1168" s="64">
        <v>14</v>
      </c>
      <c r="D1168" s="64">
        <v>0</v>
      </c>
      <c r="E1168" s="64">
        <v>4</v>
      </c>
      <c r="F1168" s="64">
        <v>1</v>
      </c>
      <c r="G1168" s="64" t="s">
        <v>64</v>
      </c>
      <c r="H1168" s="65"/>
      <c r="I1168" s="65"/>
      <c r="J1168" s="65"/>
      <c r="K1168" s="65" t="s">
        <v>1439</v>
      </c>
      <c r="L1168" s="64" t="s">
        <v>1410</v>
      </c>
      <c r="M1168" s="64" t="s">
        <v>299</v>
      </c>
      <c r="N1168" s="64" t="s">
        <v>1437</v>
      </c>
      <c r="O1168" s="64" t="s">
        <v>38</v>
      </c>
      <c r="P1168" s="69">
        <v>44197</v>
      </c>
      <c r="Q1168" s="69">
        <v>44561</v>
      </c>
      <c r="R1168" s="170" t="s">
        <v>887</v>
      </c>
      <c r="S1168" s="170" t="s">
        <v>299</v>
      </c>
      <c r="T1168" s="170" t="s">
        <v>887</v>
      </c>
      <c r="U1168" s="97">
        <v>0</v>
      </c>
      <c r="V1168" s="674">
        <v>0</v>
      </c>
      <c r="W1168" s="97"/>
      <c r="X1168" s="97"/>
      <c r="Y1168" s="97"/>
      <c r="Z1168" s="97"/>
      <c r="AA1168" s="97"/>
      <c r="AB1168" s="97"/>
      <c r="AC1168" s="97"/>
      <c r="AD1168" s="97"/>
      <c r="AE1168" s="591"/>
      <c r="AF1168" s="353"/>
      <c r="AG1168" s="510">
        <v>0</v>
      </c>
      <c r="AH1168" s="510">
        <v>0</v>
      </c>
      <c r="AI1168" s="258"/>
      <c r="AJ1168" s="258">
        <v>0</v>
      </c>
      <c r="AK1168" s="258"/>
      <c r="AL1168" s="258"/>
      <c r="AM1168" s="258"/>
      <c r="AN1168" s="171" t="s">
        <v>181</v>
      </c>
      <c r="AO1168" s="171"/>
      <c r="AP1168" s="171"/>
      <c r="AQ1168" s="418"/>
      <c r="AS1168" s="484"/>
      <c r="AV1168" s="185"/>
    </row>
    <row r="1169" spans="1:48" ht="15" customHeight="1" outlineLevel="2" x14ac:dyDescent="0.25">
      <c r="A1169" s="63" t="str">
        <f t="shared" si="191"/>
        <v>3.14.0.4.2.58-64</v>
      </c>
      <c r="B1169" s="64">
        <v>3</v>
      </c>
      <c r="C1169" s="64">
        <v>14</v>
      </c>
      <c r="D1169" s="64">
        <v>0</v>
      </c>
      <c r="E1169" s="64">
        <v>4</v>
      </c>
      <c r="F1169" s="64">
        <v>2</v>
      </c>
      <c r="G1169" s="64" t="s">
        <v>64</v>
      </c>
      <c r="H1169" s="65"/>
      <c r="I1169" s="65"/>
      <c r="J1169" s="65"/>
      <c r="K1169" s="65" t="s">
        <v>1440</v>
      </c>
      <c r="L1169" s="64" t="s">
        <v>72</v>
      </c>
      <c r="M1169" s="64" t="s">
        <v>76</v>
      </c>
      <c r="N1169" s="64" t="s">
        <v>74</v>
      </c>
      <c r="O1169" s="64" t="s">
        <v>1438</v>
      </c>
      <c r="P1169" s="69">
        <v>44287</v>
      </c>
      <c r="Q1169" s="69" t="s">
        <v>1441</v>
      </c>
      <c r="R1169" s="170">
        <v>1</v>
      </c>
      <c r="S1169" s="170" t="s">
        <v>73</v>
      </c>
      <c r="T1169" s="170">
        <v>0</v>
      </c>
      <c r="U1169" s="97">
        <v>0</v>
      </c>
      <c r="V1169" s="674">
        <v>0</v>
      </c>
      <c r="W1169" s="97">
        <v>1</v>
      </c>
      <c r="X1169" s="97"/>
      <c r="Y1169" s="97"/>
      <c r="Z1169" s="97"/>
      <c r="AA1169" s="97"/>
      <c r="AB1169" s="97"/>
      <c r="AC1169" s="97"/>
      <c r="AD1169" s="97"/>
      <c r="AE1169" s="591"/>
      <c r="AF1169" s="353"/>
      <c r="AG1169" s="510">
        <v>0</v>
      </c>
      <c r="AH1169" s="370">
        <v>0</v>
      </c>
      <c r="AI1169" s="75"/>
      <c r="AJ1169" s="75">
        <v>0</v>
      </c>
      <c r="AK1169" s="75"/>
      <c r="AL1169" s="75"/>
      <c r="AM1169" s="75"/>
      <c r="AN1169" s="171" t="s">
        <v>181</v>
      </c>
      <c r="AO1169" s="171"/>
      <c r="AP1169" s="171"/>
      <c r="AQ1169" s="418"/>
      <c r="AS1169" s="484"/>
      <c r="AV1169" s="185"/>
    </row>
    <row r="1170" spans="1:48" s="153" customFormat="1" ht="15" customHeight="1" x14ac:dyDescent="0.25">
      <c r="A1170" s="246" t="str">
        <f t="shared" si="191"/>
        <v>4.0.0.0.0.0</v>
      </c>
      <c r="B1170" s="44">
        <v>4</v>
      </c>
      <c r="C1170" s="44">
        <v>0</v>
      </c>
      <c r="D1170" s="44">
        <v>0</v>
      </c>
      <c r="E1170" s="44">
        <v>0</v>
      </c>
      <c r="F1170" s="44">
        <v>0</v>
      </c>
      <c r="G1170" s="44">
        <v>0</v>
      </c>
      <c r="H1170" s="1269" t="s">
        <v>1442</v>
      </c>
      <c r="I1170" s="1270"/>
      <c r="J1170" s="1270"/>
      <c r="K1170" s="1271"/>
      <c r="L1170" s="44" t="s">
        <v>1443</v>
      </c>
      <c r="M1170" s="44">
        <v>0</v>
      </c>
      <c r="N1170" s="44" t="s">
        <v>1444</v>
      </c>
      <c r="O1170" s="44" t="s">
        <v>1445</v>
      </c>
      <c r="P1170" s="44"/>
      <c r="Q1170" s="44"/>
      <c r="R1170" s="44"/>
      <c r="S1170" s="247"/>
      <c r="T1170" s="44"/>
      <c r="U1170" s="248">
        <f>+U1171+U1316+U1358</f>
        <v>41822370.683666669</v>
      </c>
      <c r="V1170" s="691">
        <f t="shared" ref="V1170:AG1170" si="216">+V1171+V1316+V1358</f>
        <v>29391615.100000001</v>
      </c>
      <c r="W1170" s="391">
        <f t="shared" si="216"/>
        <v>38752874</v>
      </c>
      <c r="X1170" s="391">
        <f t="shared" si="216"/>
        <v>-9897815.3203333337</v>
      </c>
      <c r="Y1170" s="391">
        <f t="shared" si="216"/>
        <v>0</v>
      </c>
      <c r="Z1170" s="391" t="e">
        <f t="shared" si="216"/>
        <v>#REF!</v>
      </c>
      <c r="AA1170" s="391">
        <f t="shared" si="216"/>
        <v>2925020.6816666666</v>
      </c>
      <c r="AB1170" s="391">
        <f t="shared" si="216"/>
        <v>0</v>
      </c>
      <c r="AC1170" s="391">
        <f t="shared" si="216"/>
        <v>29678829</v>
      </c>
      <c r="AD1170" s="391">
        <f t="shared" si="216"/>
        <v>7587279.0150000006</v>
      </c>
      <c r="AE1170" s="391">
        <f t="shared" si="216"/>
        <v>0</v>
      </c>
      <c r="AF1170" s="391">
        <f t="shared" si="216"/>
        <v>0</v>
      </c>
      <c r="AG1170" s="391">
        <f t="shared" si="216"/>
        <v>134469249.99999997</v>
      </c>
      <c r="AH1170" s="391">
        <f t="shared" ref="AH1170" si="217">+AH1171+AH1316+AH1358</f>
        <v>32970416.060000002</v>
      </c>
      <c r="AI1170" s="527">
        <f>+AI1171+AI1316+AI1358</f>
        <v>0</v>
      </c>
      <c r="AJ1170" s="527">
        <f>+AJ1171+AJ1316+AJ1358</f>
        <v>29391615.100000001</v>
      </c>
      <c r="AK1170" s="273"/>
      <c r="AL1170" s="273"/>
      <c r="AM1170" s="273"/>
      <c r="AN1170" s="44" t="s">
        <v>181</v>
      </c>
      <c r="AO1170" s="44"/>
      <c r="AP1170" s="44"/>
      <c r="AQ1170" s="420"/>
      <c r="AR1170" s="44"/>
      <c r="AS1170" s="486"/>
      <c r="AT1170" s="44"/>
      <c r="AU1170" s="658"/>
      <c r="AV1170" s="426"/>
    </row>
    <row r="1171" spans="1:48" s="153" customFormat="1" ht="32.25" customHeight="1" outlineLevel="2" x14ac:dyDescent="0.25">
      <c r="A1171" s="108" t="str">
        <f t="shared" si="191"/>
        <v>4.14.3.0.0.0</v>
      </c>
      <c r="B1171" s="109">
        <v>4</v>
      </c>
      <c r="C1171" s="109">
        <v>14</v>
      </c>
      <c r="D1171" s="109">
        <v>3</v>
      </c>
      <c r="E1171" s="109">
        <v>0</v>
      </c>
      <c r="F1171" s="109">
        <v>0</v>
      </c>
      <c r="G1171" s="109">
        <v>0</v>
      </c>
      <c r="H1171" s="110"/>
      <c r="I1171" s="1265" t="s">
        <v>1446</v>
      </c>
      <c r="J1171" s="1266"/>
      <c r="K1171" s="1267"/>
      <c r="L1171" s="109" t="s">
        <v>612</v>
      </c>
      <c r="M1171" s="109">
        <v>0</v>
      </c>
      <c r="N1171" s="109" t="s">
        <v>1444</v>
      </c>
      <c r="O1171" s="109">
        <v>0</v>
      </c>
      <c r="P1171" s="109"/>
      <c r="Q1171" s="109"/>
      <c r="R1171" s="109"/>
      <c r="S1171" s="110"/>
      <c r="T1171" s="109"/>
      <c r="U1171" s="112">
        <f>+U1172+U1181+U1190+U1199+U1208+U1217+U1226+U1235+U1285+U1290+U1296+U1301+U1306+U1311</f>
        <v>39894804.017000005</v>
      </c>
      <c r="V1171" s="692">
        <f t="shared" ref="V1171:AG1171" si="218">+V1172+V1181+V1190+V1199+V1208+V1217+V1226+V1235+V1285+V1290+V1296+V1301+V1306+V1311</f>
        <v>28409415.100000001</v>
      </c>
      <c r="W1171" s="392">
        <f t="shared" si="218"/>
        <v>38752750</v>
      </c>
      <c r="X1171" s="392">
        <f t="shared" si="218"/>
        <v>-11622381.987</v>
      </c>
      <c r="Y1171" s="392">
        <f t="shared" si="218"/>
        <v>0</v>
      </c>
      <c r="Z1171" s="392" t="e">
        <f t="shared" si="218"/>
        <v>#REF!</v>
      </c>
      <c r="AA1171" s="392">
        <f t="shared" si="218"/>
        <v>2369354.0150000001</v>
      </c>
      <c r="AB1171" s="392">
        <f t="shared" si="218"/>
        <v>0</v>
      </c>
      <c r="AC1171" s="392">
        <f t="shared" si="218"/>
        <v>29678750</v>
      </c>
      <c r="AD1171" s="392">
        <f t="shared" si="218"/>
        <v>7512279.0150000006</v>
      </c>
      <c r="AE1171" s="392">
        <f t="shared" si="218"/>
        <v>0</v>
      </c>
      <c r="AF1171" s="392">
        <f t="shared" si="218"/>
        <v>0</v>
      </c>
      <c r="AG1171" s="392">
        <f t="shared" si="218"/>
        <v>130186449.99999997</v>
      </c>
      <c r="AH1171" s="392">
        <f>+AH1172+AH1181+AH1190+AH1199+AH1208+AH1217+AH1226+AH1235+AH1285+AH1290+AH1296+AH1301+AH1306+AH1311</f>
        <v>28687616.060000002</v>
      </c>
      <c r="AI1171" s="528">
        <f>+AI1172+AI1181+AI1190+AI1199+AI1208+AI1217+AI1226+AI1235+AI1285+AI1290+AI1296+AI1301+AI1306+AI1311</f>
        <v>0</v>
      </c>
      <c r="AJ1171" s="528">
        <f>+AJ1172+AJ1181+AJ1190+AJ1199+AJ1208+AJ1217+AJ1226+AJ1235+AJ1285+AJ1290+AJ1296+AJ1301+AJ1306+AJ1311</f>
        <v>28409415.100000001</v>
      </c>
      <c r="AK1171" s="274"/>
      <c r="AL1171" s="274"/>
      <c r="AM1171" s="274"/>
      <c r="AN1171" s="109" t="s">
        <v>181</v>
      </c>
      <c r="AO1171" s="109"/>
      <c r="AP1171" s="109"/>
      <c r="AQ1171" s="411"/>
      <c r="AR1171" s="109"/>
      <c r="AS1171" s="473"/>
      <c r="AT1171" s="109"/>
      <c r="AU1171" s="659"/>
      <c r="AV1171" s="445"/>
    </row>
    <row r="1172" spans="1:48" ht="48.75" customHeight="1" outlineLevel="2" x14ac:dyDescent="0.25">
      <c r="A1172" s="148" t="str">
        <f t="shared" si="191"/>
        <v>4.14.3.1.0.0</v>
      </c>
      <c r="B1172" s="82">
        <v>4</v>
      </c>
      <c r="C1172" s="82">
        <v>14</v>
      </c>
      <c r="D1172" s="82">
        <v>3</v>
      </c>
      <c r="E1172" s="82">
        <v>1</v>
      </c>
      <c r="F1172" s="82">
        <v>0</v>
      </c>
      <c r="G1172" s="82">
        <v>0</v>
      </c>
      <c r="H1172" s="148"/>
      <c r="I1172" s="148"/>
      <c r="J1172" s="1260" t="s">
        <v>1447</v>
      </c>
      <c r="K1172" s="1259"/>
      <c r="L1172" s="251" t="s">
        <v>1448</v>
      </c>
      <c r="M1172" s="251" t="s">
        <v>1449</v>
      </c>
      <c r="N1172" s="251" t="s">
        <v>1444</v>
      </c>
      <c r="O1172" s="251" t="s">
        <v>1445</v>
      </c>
      <c r="P1172" s="275"/>
      <c r="Q1172" s="275"/>
      <c r="R1172" s="275"/>
      <c r="S1172" s="275"/>
      <c r="T1172" s="275"/>
      <c r="U1172" s="178">
        <f>SUM(U1173:U1180)</f>
        <v>8342127</v>
      </c>
      <c r="V1172" s="682">
        <f t="shared" ref="V1172:AG1172" si="219">+SUM(V1173:V1180)</f>
        <v>7398616.4400000004</v>
      </c>
      <c r="W1172" s="380">
        <f t="shared" si="219"/>
        <v>20421250</v>
      </c>
      <c r="X1172" s="380">
        <f t="shared" si="219"/>
        <v>1028350</v>
      </c>
      <c r="Y1172" s="380">
        <f t="shared" si="219"/>
        <v>0</v>
      </c>
      <c r="Z1172" s="380">
        <f t="shared" si="219"/>
        <v>4459600</v>
      </c>
      <c r="AA1172" s="380">
        <f t="shared" si="219"/>
        <v>960350</v>
      </c>
      <c r="AB1172" s="380">
        <f t="shared" si="219"/>
        <v>0</v>
      </c>
      <c r="AC1172" s="380">
        <f t="shared" si="219"/>
        <v>5260450</v>
      </c>
      <c r="AD1172" s="380">
        <f t="shared" si="219"/>
        <v>2515850</v>
      </c>
      <c r="AE1172" s="380">
        <f t="shared" si="219"/>
        <v>0</v>
      </c>
      <c r="AF1172" s="380">
        <f t="shared" si="219"/>
        <v>0</v>
      </c>
      <c r="AG1172" s="380">
        <f t="shared" si="219"/>
        <v>17647566.666666664</v>
      </c>
      <c r="AH1172" s="380">
        <f>+SUM(AH1173:AH1180)</f>
        <v>5296900</v>
      </c>
      <c r="AI1172" s="513">
        <f>+SUM(AI1173:AI1180)</f>
        <v>0</v>
      </c>
      <c r="AJ1172" s="513">
        <f>+SUM(AJ1173:AJ1180)</f>
        <v>7398616.4400000004</v>
      </c>
      <c r="AK1172" s="198"/>
      <c r="AL1172" s="198"/>
      <c r="AM1172" s="198"/>
      <c r="AN1172" s="82" t="s">
        <v>181</v>
      </c>
      <c r="AO1172" s="82"/>
      <c r="AP1172" s="82"/>
      <c r="AQ1172" s="365"/>
      <c r="AR1172" s="82"/>
      <c r="AS1172" s="483"/>
      <c r="AT1172" s="82"/>
      <c r="AU1172" s="666"/>
      <c r="AV1172" s="449" t="s">
        <v>1450</v>
      </c>
    </row>
    <row r="1173" spans="1:48" ht="15" customHeight="1" outlineLevel="3" x14ac:dyDescent="0.25">
      <c r="A1173" s="63" t="str">
        <f t="shared" si="191"/>
        <v>4.14.3.1.1.58</v>
      </c>
      <c r="B1173" s="64">
        <v>4</v>
      </c>
      <c r="C1173" s="64">
        <v>14</v>
      </c>
      <c r="D1173" s="64">
        <v>3</v>
      </c>
      <c r="E1173" s="64">
        <v>1</v>
      </c>
      <c r="F1173" s="64">
        <v>1</v>
      </c>
      <c r="G1173" s="64">
        <v>58</v>
      </c>
      <c r="H1173" s="65"/>
      <c r="I1173" s="65"/>
      <c r="J1173" s="66"/>
      <c r="K1173" s="65" t="s">
        <v>1451</v>
      </c>
      <c r="L1173" s="64" t="s">
        <v>1452</v>
      </c>
      <c r="M1173" s="64" t="s">
        <v>1453</v>
      </c>
      <c r="N1173" s="64" t="s">
        <v>1444</v>
      </c>
      <c r="O1173" s="64" t="s">
        <v>1204</v>
      </c>
      <c r="P1173" s="69">
        <v>44571</v>
      </c>
      <c r="Q1173" s="69">
        <v>44925</v>
      </c>
      <c r="R1173" s="124">
        <v>13000</v>
      </c>
      <c r="S1173" s="65" t="s">
        <v>1454</v>
      </c>
      <c r="T1173" s="64"/>
      <c r="U1173" s="75"/>
      <c r="V1173" s="674">
        <f>+AJ1173</f>
        <v>0</v>
      </c>
      <c r="W1173" s="75">
        <v>7150</v>
      </c>
      <c r="X1173" s="75"/>
      <c r="Y1173" s="75"/>
      <c r="Z1173" s="75"/>
      <c r="AA1173" s="75"/>
      <c r="AB1173" s="75"/>
      <c r="AC1173" s="97">
        <v>5850</v>
      </c>
      <c r="AD1173" s="97"/>
      <c r="AE1173" s="591"/>
      <c r="AF1173" s="259"/>
      <c r="AG1173" s="510">
        <v>0</v>
      </c>
      <c r="AH1173" s="370">
        <v>0</v>
      </c>
      <c r="AI1173" s="75"/>
      <c r="AJ1173" s="75"/>
      <c r="AK1173" s="75"/>
      <c r="AL1173" s="75"/>
      <c r="AM1173" s="75"/>
      <c r="AN1173" s="98" t="s">
        <v>181</v>
      </c>
      <c r="AO1173" s="98"/>
      <c r="AP1173" s="98"/>
      <c r="AQ1173" s="184"/>
      <c r="AR1173" s="98"/>
      <c r="AS1173" s="481"/>
      <c r="AT1173" s="98"/>
      <c r="AU1173" s="646"/>
      <c r="AV1173" s="441"/>
    </row>
    <row r="1174" spans="1:48" ht="15" customHeight="1" outlineLevel="3" x14ac:dyDescent="0.25">
      <c r="A1174" s="63" t="str">
        <f t="shared" si="191"/>
        <v>4.14.3.1.2.58</v>
      </c>
      <c r="B1174" s="64">
        <v>4</v>
      </c>
      <c r="C1174" s="64">
        <v>14</v>
      </c>
      <c r="D1174" s="64">
        <v>3</v>
      </c>
      <c r="E1174" s="64">
        <v>1</v>
      </c>
      <c r="F1174" s="64">
        <v>2</v>
      </c>
      <c r="G1174" s="100">
        <v>58</v>
      </c>
      <c r="H1174" s="65"/>
      <c r="I1174" s="65"/>
      <c r="J1174" s="66"/>
      <c r="K1174" s="65" t="s">
        <v>1455</v>
      </c>
      <c r="L1174" s="64" t="s">
        <v>1452</v>
      </c>
      <c r="M1174" s="64" t="s">
        <v>535</v>
      </c>
      <c r="N1174" s="64" t="s">
        <v>1444</v>
      </c>
      <c r="O1174" s="64" t="s">
        <v>1335</v>
      </c>
      <c r="P1174" s="69">
        <v>44571</v>
      </c>
      <c r="Q1174" s="69">
        <v>44925</v>
      </c>
      <c r="R1174" s="124">
        <f>676000/2</f>
        <v>338000</v>
      </c>
      <c r="S1174" s="65" t="s">
        <v>1456</v>
      </c>
      <c r="T1174" s="64"/>
      <c r="U1174" s="75"/>
      <c r="V1174" s="674">
        <f t="shared" ref="V1174:V1234" si="220">+AJ1174</f>
        <v>0</v>
      </c>
      <c r="W1174" s="75">
        <f>+($R1174/2)*4.5</f>
        <v>760500</v>
      </c>
      <c r="X1174" s="157"/>
      <c r="Y1174" s="157"/>
      <c r="Z1174" s="157">
        <f>+(R1174/2)*4.5</f>
        <v>760500</v>
      </c>
      <c r="AA1174" s="157"/>
      <c r="AB1174" s="157"/>
      <c r="AC1174" s="97"/>
      <c r="AD1174" s="97"/>
      <c r="AE1174" s="591"/>
      <c r="AF1174" s="259" t="s">
        <v>535</v>
      </c>
      <c r="AG1174" s="510">
        <v>1521000</v>
      </c>
      <c r="AH1174" s="370">
        <v>0</v>
      </c>
      <c r="AI1174" s="75"/>
      <c r="AJ1174" s="75"/>
      <c r="AK1174" s="75"/>
      <c r="AL1174" s="75"/>
      <c r="AM1174" s="75"/>
      <c r="AN1174" s="64" t="s">
        <v>181</v>
      </c>
      <c r="AO1174" s="64"/>
      <c r="AP1174" s="64"/>
      <c r="AQ1174" s="64"/>
      <c r="AR1174" s="64"/>
      <c r="AS1174" s="64"/>
      <c r="AT1174" s="64"/>
      <c r="AU1174" s="646"/>
      <c r="AV1174" s="493"/>
    </row>
    <row r="1175" spans="1:48" outlineLevel="3" x14ac:dyDescent="0.25">
      <c r="A1175" s="63" t="str">
        <f t="shared" si="191"/>
        <v>4.14.3.1.3.58</v>
      </c>
      <c r="B1175" s="64">
        <v>4</v>
      </c>
      <c r="C1175" s="64">
        <v>14</v>
      </c>
      <c r="D1175" s="64">
        <v>3</v>
      </c>
      <c r="E1175" s="64">
        <v>1</v>
      </c>
      <c r="F1175" s="64">
        <v>3</v>
      </c>
      <c r="G1175" s="100">
        <v>58</v>
      </c>
      <c r="H1175" s="65"/>
      <c r="I1175" s="65"/>
      <c r="J1175" s="66"/>
      <c r="K1175" s="65" t="s">
        <v>1457</v>
      </c>
      <c r="L1175" s="64" t="s">
        <v>72</v>
      </c>
      <c r="M1175" s="64" t="s">
        <v>1458</v>
      </c>
      <c r="N1175" s="64" t="s">
        <v>1444</v>
      </c>
      <c r="O1175" s="64" t="s">
        <v>1445</v>
      </c>
      <c r="P1175" s="69">
        <v>44571</v>
      </c>
      <c r="Q1175" s="69">
        <v>44925</v>
      </c>
      <c r="R1175" s="124">
        <v>420</v>
      </c>
      <c r="S1175" s="65" t="s">
        <v>1459</v>
      </c>
      <c r="T1175" s="124">
        <f>420*125*22*12/4</f>
        <v>3465000</v>
      </c>
      <c r="U1175" s="75">
        <f>$AH1175/4</f>
        <v>726250</v>
      </c>
      <c r="V1175" s="674">
        <f t="shared" si="220"/>
        <v>0</v>
      </c>
      <c r="W1175" s="75">
        <f>420*125*22*12/4</f>
        <v>3465000</v>
      </c>
      <c r="X1175" s="75">
        <f>$AH1175/4</f>
        <v>726250</v>
      </c>
      <c r="Y1175" s="75"/>
      <c r="Z1175" s="75">
        <f>420*125*22*12/4</f>
        <v>3465000</v>
      </c>
      <c r="AA1175" s="75">
        <f>$AH1175/4</f>
        <v>726250</v>
      </c>
      <c r="AB1175" s="75"/>
      <c r="AC1175" s="75">
        <f>420*125*22*12/4</f>
        <v>3465000</v>
      </c>
      <c r="AD1175" s="75">
        <f>$AH1175/4</f>
        <v>726250</v>
      </c>
      <c r="AE1175" s="592"/>
      <c r="AF1175" s="259" t="s">
        <v>1457</v>
      </c>
      <c r="AG1175" s="510">
        <v>1155000</v>
      </c>
      <c r="AH1175" s="370">
        <v>2905000</v>
      </c>
      <c r="AI1175" s="75"/>
      <c r="AJ1175" s="75"/>
      <c r="AK1175" s="75"/>
      <c r="AL1175" s="75"/>
      <c r="AM1175" s="75"/>
      <c r="AN1175" s="64" t="s">
        <v>181</v>
      </c>
      <c r="AO1175" s="64"/>
      <c r="AP1175" s="64"/>
      <c r="AQ1175" s="64"/>
      <c r="AR1175" s="64"/>
      <c r="AS1175" s="64"/>
      <c r="AT1175" s="64"/>
      <c r="AU1175" s="646"/>
      <c r="AV1175" s="494"/>
    </row>
    <row r="1176" spans="1:48" ht="14.45" customHeight="1" outlineLevel="3" x14ac:dyDescent="0.25">
      <c r="A1176" s="63" t="str">
        <f t="shared" si="191"/>
        <v>4.14.3.1.4.58</v>
      </c>
      <c r="B1176" s="64">
        <v>4</v>
      </c>
      <c r="C1176" s="64">
        <v>14</v>
      </c>
      <c r="D1176" s="64">
        <v>3</v>
      </c>
      <c r="E1176" s="64">
        <v>1</v>
      </c>
      <c r="F1176" s="64">
        <v>4</v>
      </c>
      <c r="G1176" s="64">
        <v>58</v>
      </c>
      <c r="H1176" s="65"/>
      <c r="I1176" s="65"/>
      <c r="J1176" s="66"/>
      <c r="K1176" s="67" t="s">
        <v>1460</v>
      </c>
      <c r="L1176" s="64" t="s">
        <v>72</v>
      </c>
      <c r="M1176" s="64" t="s">
        <v>76</v>
      </c>
      <c r="N1176" s="64" t="s">
        <v>1444</v>
      </c>
      <c r="O1176" s="64" t="s">
        <v>1445</v>
      </c>
      <c r="P1176" s="69">
        <v>44571</v>
      </c>
      <c r="Q1176" s="69">
        <v>44925</v>
      </c>
      <c r="R1176" s="124">
        <v>2</v>
      </c>
      <c r="S1176" s="65" t="s">
        <v>1461</v>
      </c>
      <c r="T1176" s="124">
        <f>+AH1176/2</f>
        <v>100000</v>
      </c>
      <c r="U1176" s="75">
        <f>$AH1176/2</f>
        <v>100000</v>
      </c>
      <c r="V1176" s="702">
        <f t="shared" si="220"/>
        <v>15966.44</v>
      </c>
      <c r="W1176" s="75"/>
      <c r="X1176" s="75"/>
      <c r="Y1176" s="75"/>
      <c r="Z1176" s="75">
        <f>+AH1176/2</f>
        <v>100000</v>
      </c>
      <c r="AA1176" s="75">
        <f>$AH1176/2</f>
        <v>100000</v>
      </c>
      <c r="AB1176" s="75"/>
      <c r="AC1176" s="97"/>
      <c r="AD1176" s="97"/>
      <c r="AE1176" s="591"/>
      <c r="AF1176" s="259" t="s">
        <v>1462</v>
      </c>
      <c r="AG1176" s="510">
        <v>536666.66666666663</v>
      </c>
      <c r="AH1176" s="370">
        <v>200000</v>
      </c>
      <c r="AI1176" s="75"/>
      <c r="AJ1176" s="75">
        <v>15966.44</v>
      </c>
      <c r="AK1176" s="75"/>
      <c r="AL1176" s="75"/>
      <c r="AM1176" s="75"/>
      <c r="AN1176" s="64" t="s">
        <v>181</v>
      </c>
      <c r="AO1176" s="64" t="s">
        <v>1819</v>
      </c>
      <c r="AP1176" s="68" t="s">
        <v>1824</v>
      </c>
      <c r="AQ1176" s="68" t="s">
        <v>1825</v>
      </c>
      <c r="AR1176" s="189" t="s">
        <v>1826</v>
      </c>
      <c r="AS1176" s="69">
        <v>44509</v>
      </c>
      <c r="AT1176" s="553">
        <v>44441</v>
      </c>
      <c r="AU1176" s="646">
        <v>124</v>
      </c>
      <c r="AV1176" s="495"/>
    </row>
    <row r="1177" spans="1:48" s="212" customFormat="1" ht="17.25" customHeight="1" outlineLevel="3" x14ac:dyDescent="0.25">
      <c r="A1177" s="210" t="str">
        <f t="shared" si="191"/>
        <v>4.14.3.1.5.58</v>
      </c>
      <c r="B1177" s="136">
        <v>4</v>
      </c>
      <c r="C1177" s="136">
        <v>14</v>
      </c>
      <c r="D1177" s="136">
        <v>3</v>
      </c>
      <c r="E1177" s="136">
        <v>1</v>
      </c>
      <c r="F1177" s="136">
        <v>5</v>
      </c>
      <c r="G1177" s="136">
        <v>58</v>
      </c>
      <c r="H1177" s="125"/>
      <c r="I1177" s="125"/>
      <c r="J1177" s="213"/>
      <c r="K1177" s="125" t="s">
        <v>1463</v>
      </c>
      <c r="L1177" s="136" t="s">
        <v>1452</v>
      </c>
      <c r="M1177" s="136" t="s">
        <v>1464</v>
      </c>
      <c r="N1177" s="136" t="s">
        <v>1444</v>
      </c>
      <c r="O1177" s="136" t="s">
        <v>1204</v>
      </c>
      <c r="P1177" s="214">
        <v>44571</v>
      </c>
      <c r="Q1177" s="214">
        <v>44925</v>
      </c>
      <c r="R1177" s="136">
        <v>12</v>
      </c>
      <c r="S1177" s="125" t="s">
        <v>1465</v>
      </c>
      <c r="T1177" s="124">
        <f>+$AH1177/4</f>
        <v>134100</v>
      </c>
      <c r="U1177" s="75">
        <f>$AH1177/4</f>
        <v>134100</v>
      </c>
      <c r="V1177" s="674">
        <f t="shared" si="220"/>
        <v>0</v>
      </c>
      <c r="W1177" s="75">
        <f>+$AH1177/4</f>
        <v>134100</v>
      </c>
      <c r="X1177" s="75">
        <f>$AH1177/4</f>
        <v>134100</v>
      </c>
      <c r="Y1177" s="75"/>
      <c r="Z1177" s="75">
        <f>+$AH1177/4</f>
        <v>134100</v>
      </c>
      <c r="AA1177" s="75">
        <f>$AH1177/4</f>
        <v>134100</v>
      </c>
      <c r="AB1177" s="75"/>
      <c r="AC1177" s="75">
        <f>+$AH1177/4</f>
        <v>134100</v>
      </c>
      <c r="AD1177" s="75">
        <f>$AH1177/4</f>
        <v>134100</v>
      </c>
      <c r="AE1177" s="592"/>
      <c r="AF1177" s="349" t="s">
        <v>1466</v>
      </c>
      <c r="AG1177" s="510">
        <v>536400</v>
      </c>
      <c r="AH1177" s="370">
        <v>536400</v>
      </c>
      <c r="AI1177" s="75"/>
      <c r="AJ1177" s="75"/>
      <c r="AK1177" s="75"/>
      <c r="AL1177" s="75"/>
      <c r="AM1177" s="75"/>
      <c r="AN1177" s="64" t="s">
        <v>181</v>
      </c>
      <c r="AO1177" s="64"/>
      <c r="AP1177" s="64"/>
      <c r="AQ1177" s="64"/>
      <c r="AR1177" s="64"/>
      <c r="AS1177" s="64"/>
      <c r="AT1177" s="64"/>
      <c r="AU1177" s="646"/>
      <c r="AV1177" s="491"/>
    </row>
    <row r="1178" spans="1:48" ht="15" customHeight="1" outlineLevel="3" x14ac:dyDescent="0.25">
      <c r="A1178" s="63" t="str">
        <f t="shared" si="191"/>
        <v>4.14.3.1.6.58</v>
      </c>
      <c r="B1178" s="64">
        <v>4</v>
      </c>
      <c r="C1178" s="64">
        <v>14</v>
      </c>
      <c r="D1178" s="64">
        <v>3</v>
      </c>
      <c r="E1178" s="64">
        <v>1</v>
      </c>
      <c r="F1178" s="64">
        <v>6</v>
      </c>
      <c r="G1178" s="64">
        <v>58</v>
      </c>
      <c r="H1178" s="65"/>
      <c r="I1178" s="65"/>
      <c r="J1178" s="66"/>
      <c r="K1178" s="65" t="s">
        <v>1467</v>
      </c>
      <c r="L1178" s="64" t="s">
        <v>264</v>
      </c>
      <c r="M1178" s="64" t="s">
        <v>144</v>
      </c>
      <c r="N1178" s="64" t="s">
        <v>265</v>
      </c>
      <c r="O1178" s="64" t="s">
        <v>668</v>
      </c>
      <c r="P1178" s="69">
        <v>44571</v>
      </c>
      <c r="Q1178" s="69">
        <v>44925</v>
      </c>
      <c r="R1178" s="64">
        <v>385</v>
      </c>
      <c r="S1178" s="65" t="s">
        <v>1468</v>
      </c>
      <c r="T1178" s="64"/>
      <c r="U1178" s="75"/>
      <c r="V1178" s="674">
        <f t="shared" si="220"/>
        <v>0</v>
      </c>
      <c r="W1178" s="75"/>
      <c r="X1178" s="75"/>
      <c r="Y1178" s="75"/>
      <c r="Z1178" s="75"/>
      <c r="AA1178" s="75"/>
      <c r="AB1178" s="75"/>
      <c r="AC1178" s="97">
        <f>+AH1178</f>
        <v>1655500</v>
      </c>
      <c r="AD1178" s="97">
        <f>+AH1178</f>
        <v>1655500</v>
      </c>
      <c r="AE1178" s="591"/>
      <c r="AF1178" s="259" t="s">
        <v>1469</v>
      </c>
      <c r="AG1178" s="510">
        <v>1655500</v>
      </c>
      <c r="AH1178" s="370">
        <v>1655500</v>
      </c>
      <c r="AI1178" s="75"/>
      <c r="AJ1178" s="75"/>
      <c r="AK1178" s="75"/>
      <c r="AL1178" s="75"/>
      <c r="AM1178" s="75"/>
      <c r="AN1178" s="64" t="s">
        <v>181</v>
      </c>
      <c r="AO1178" s="64"/>
      <c r="AP1178" s="64"/>
      <c r="AQ1178" s="64"/>
      <c r="AR1178" s="64"/>
      <c r="AS1178" s="64"/>
      <c r="AT1178" s="64"/>
      <c r="AU1178" s="646"/>
      <c r="AV1178" s="491"/>
    </row>
    <row r="1179" spans="1:48" ht="14.45" customHeight="1" outlineLevel="3" x14ac:dyDescent="0.25">
      <c r="A1179" s="63" t="str">
        <f t="shared" si="191"/>
        <v>4.14.3.1.7.58</v>
      </c>
      <c r="B1179" s="64">
        <v>4</v>
      </c>
      <c r="C1179" s="64">
        <v>14</v>
      </c>
      <c r="D1179" s="64">
        <v>3</v>
      </c>
      <c r="E1179" s="64">
        <v>1</v>
      </c>
      <c r="F1179" s="64">
        <v>7</v>
      </c>
      <c r="G1179" s="64">
        <v>58</v>
      </c>
      <c r="H1179" s="65"/>
      <c r="I1179" s="65"/>
      <c r="J1179" s="65"/>
      <c r="K1179" s="65" t="s">
        <v>1883</v>
      </c>
      <c r="L1179" s="64" t="s">
        <v>264</v>
      </c>
      <c r="M1179" s="64" t="s">
        <v>144</v>
      </c>
      <c r="N1179" s="64" t="s">
        <v>265</v>
      </c>
      <c r="O1179" s="64" t="s">
        <v>668</v>
      </c>
      <c r="P1179" s="69">
        <v>44571</v>
      </c>
      <c r="Q1179" s="69">
        <v>44925</v>
      </c>
      <c r="R1179" s="124">
        <v>385</v>
      </c>
      <c r="S1179" s="65" t="s">
        <v>1470</v>
      </c>
      <c r="T1179" s="124">
        <f>+(35*500*22*12)+(385*450*22*12)/4</f>
        <v>16054500</v>
      </c>
      <c r="U1179" s="78">
        <v>7381777</v>
      </c>
      <c r="V1179" s="702">
        <f t="shared" si="220"/>
        <v>7382650</v>
      </c>
      <c r="W1179" s="75">
        <f>+(35*500*22*12)+(385*450*22*12)/4</f>
        <v>16054500</v>
      </c>
      <c r="X1179" s="78">
        <f>(8*20*350)*3</f>
        <v>168000</v>
      </c>
      <c r="Y1179" s="276"/>
      <c r="Z1179" s="75"/>
      <c r="AA1179" s="276">
        <v>0</v>
      </c>
      <c r="AB1179" s="276"/>
      <c r="AC1179" s="75"/>
      <c r="AD1179" s="276">
        <v>0</v>
      </c>
      <c r="AE1179" s="613"/>
      <c r="AF1179" s="259" t="s">
        <v>1471</v>
      </c>
      <c r="AG1179" s="510">
        <v>12243000</v>
      </c>
      <c r="AH1179" s="370">
        <v>0</v>
      </c>
      <c r="AI1179" s="78"/>
      <c r="AJ1179" s="78">
        <f>2550500+2117800+1271300+1443050</f>
        <v>7382650</v>
      </c>
      <c r="AK1179" s="276"/>
      <c r="AL1179" s="276"/>
      <c r="AM1179" s="276"/>
      <c r="AN1179" s="64" t="s">
        <v>181</v>
      </c>
      <c r="AO1179" s="533" t="s">
        <v>1839</v>
      </c>
      <c r="AP1179" s="533" t="s">
        <v>649</v>
      </c>
      <c r="AQ1179" s="533" t="s">
        <v>649</v>
      </c>
      <c r="AR1179" s="554">
        <v>44562</v>
      </c>
      <c r="AS1179" s="554">
        <v>44561</v>
      </c>
      <c r="AT1179" s="64" t="s">
        <v>1814</v>
      </c>
      <c r="AU1179" s="646" t="s">
        <v>2008</v>
      </c>
      <c r="AV1179" s="638" t="s">
        <v>2004</v>
      </c>
    </row>
    <row r="1180" spans="1:48" ht="23.45" customHeight="1" outlineLevel="3" x14ac:dyDescent="0.25">
      <c r="A1180" s="63" t="str">
        <f t="shared" si="191"/>
        <v>4.14.3.1.8.58</v>
      </c>
      <c r="B1180" s="64">
        <v>4</v>
      </c>
      <c r="C1180" s="64">
        <v>14</v>
      </c>
      <c r="D1180" s="64">
        <v>3</v>
      </c>
      <c r="E1180" s="64">
        <v>1</v>
      </c>
      <c r="F1180" s="64">
        <v>8</v>
      </c>
      <c r="G1180" s="64">
        <v>58</v>
      </c>
      <c r="H1180" s="65"/>
      <c r="I1180" s="65"/>
      <c r="J1180" s="65"/>
      <c r="K1180" s="125" t="s">
        <v>1472</v>
      </c>
      <c r="L1180" s="64" t="s">
        <v>72</v>
      </c>
      <c r="M1180" s="64" t="s">
        <v>1473</v>
      </c>
      <c r="N1180" s="64" t="s">
        <v>1249</v>
      </c>
      <c r="O1180" s="64" t="s">
        <v>72</v>
      </c>
      <c r="P1180" s="69">
        <v>44571</v>
      </c>
      <c r="Q1180" s="69">
        <v>44925</v>
      </c>
      <c r="R1180" s="124"/>
      <c r="S1180" s="65"/>
      <c r="T1180" s="124"/>
      <c r="U1180" s="75"/>
      <c r="V1180" s="674">
        <f t="shared" si="220"/>
        <v>0</v>
      </c>
      <c r="W1180" s="75"/>
      <c r="X1180" s="75"/>
      <c r="Y1180" s="75"/>
      <c r="Z1180" s="75"/>
      <c r="AA1180" s="75"/>
      <c r="AB1180" s="75"/>
      <c r="AC1180" s="97"/>
      <c r="AD1180" s="97"/>
      <c r="AE1180" s="591"/>
      <c r="AF1180" s="259"/>
      <c r="AG1180" s="510">
        <v>0</v>
      </c>
      <c r="AH1180" s="370">
        <v>0</v>
      </c>
      <c r="AI1180" s="75"/>
      <c r="AJ1180" s="75"/>
      <c r="AK1180" s="75"/>
      <c r="AL1180" s="75"/>
      <c r="AM1180" s="75"/>
      <c r="AN1180" s="64" t="s">
        <v>181</v>
      </c>
      <c r="AO1180" s="64"/>
      <c r="AP1180" s="64"/>
      <c r="AQ1180" s="64"/>
      <c r="AR1180" s="64"/>
      <c r="AS1180" s="64"/>
      <c r="AT1180" s="64"/>
      <c r="AU1180" s="646"/>
      <c r="AV1180" s="491"/>
    </row>
    <row r="1181" spans="1:48" s="153" customFormat="1" ht="74.25" customHeight="1" outlineLevel="2" x14ac:dyDescent="0.25">
      <c r="A1181" s="148" t="str">
        <f t="shared" si="191"/>
        <v>4.14.3.2.0.0</v>
      </c>
      <c r="B1181" s="82">
        <v>4</v>
      </c>
      <c r="C1181" s="82">
        <v>14</v>
      </c>
      <c r="D1181" s="82">
        <v>3</v>
      </c>
      <c r="E1181" s="82">
        <v>2</v>
      </c>
      <c r="F1181" s="82">
        <v>0</v>
      </c>
      <c r="G1181" s="82">
        <v>0</v>
      </c>
      <c r="H1181" s="149"/>
      <c r="I1181" s="149"/>
      <c r="J1181" s="1260" t="s">
        <v>1474</v>
      </c>
      <c r="K1181" s="1259"/>
      <c r="L1181" s="82" t="s">
        <v>1475</v>
      </c>
      <c r="M1181" s="83" t="s">
        <v>1449</v>
      </c>
      <c r="N1181" s="83" t="s">
        <v>1444</v>
      </c>
      <c r="O1181" s="82" t="s">
        <v>1445</v>
      </c>
      <c r="P1181" s="82"/>
      <c r="Q1181" s="82"/>
      <c r="R1181" s="82"/>
      <c r="S1181" s="149"/>
      <c r="T1181" s="82"/>
      <c r="U1181" s="209">
        <f>SUM(U1182:U1189)</f>
        <v>5036691.0149999997</v>
      </c>
      <c r="V1181" s="682">
        <f t="shared" ref="V1181:AG1181" si="221">+SUM(V1182:V1189)</f>
        <v>3191866.44</v>
      </c>
      <c r="W1181" s="380">
        <f t="shared" si="221"/>
        <v>11769125</v>
      </c>
      <c r="X1181" s="380">
        <f t="shared" si="221"/>
        <v>599754.01500000001</v>
      </c>
      <c r="Y1181" s="380">
        <f t="shared" si="221"/>
        <v>0</v>
      </c>
      <c r="Z1181" s="380">
        <f t="shared" si="221"/>
        <v>11863900</v>
      </c>
      <c r="AA1181" s="380">
        <f t="shared" si="221"/>
        <v>699754.01500000001</v>
      </c>
      <c r="AB1181" s="380">
        <f t="shared" si="221"/>
        <v>0</v>
      </c>
      <c r="AC1181" s="380">
        <f t="shared" si="221"/>
        <v>14286075</v>
      </c>
      <c r="AD1181" s="380">
        <f t="shared" si="221"/>
        <v>599754.01500000001</v>
      </c>
      <c r="AE1181" s="380">
        <f t="shared" si="221"/>
        <v>0</v>
      </c>
      <c r="AF1181" s="380">
        <f t="shared" si="221"/>
        <v>0</v>
      </c>
      <c r="AG1181" s="380">
        <f t="shared" si="221"/>
        <v>20203150</v>
      </c>
      <c r="AH1181" s="380">
        <f>+SUM(AH1182:AH1189)</f>
        <v>2599016.06</v>
      </c>
      <c r="AI1181" s="198"/>
      <c r="AJ1181" s="198">
        <f>SUM(AJ1182:AJ1189)</f>
        <v>3191866.44</v>
      </c>
      <c r="AK1181" s="198"/>
      <c r="AL1181" s="198"/>
      <c r="AM1181" s="198"/>
      <c r="AN1181" s="82" t="s">
        <v>181</v>
      </c>
      <c r="AO1181" s="320"/>
      <c r="AP1181" s="320"/>
      <c r="AQ1181" s="423"/>
      <c r="AR1181" s="82"/>
      <c r="AS1181" s="489"/>
      <c r="AT1181" s="82"/>
      <c r="AU1181" s="666"/>
      <c r="AV1181" s="491"/>
    </row>
    <row r="1182" spans="1:48" ht="15" customHeight="1" outlineLevel="3" x14ac:dyDescent="0.25">
      <c r="A1182" s="63" t="str">
        <f t="shared" si="191"/>
        <v>4.14.3.2.1.59</v>
      </c>
      <c r="B1182" s="64">
        <v>4</v>
      </c>
      <c r="C1182" s="64">
        <v>14</v>
      </c>
      <c r="D1182" s="64">
        <v>3</v>
      </c>
      <c r="E1182" s="64">
        <v>2</v>
      </c>
      <c r="F1182" s="64">
        <v>1</v>
      </c>
      <c r="G1182" s="64">
        <v>59</v>
      </c>
      <c r="H1182" s="65"/>
      <c r="I1182" s="65"/>
      <c r="J1182" s="66"/>
      <c r="K1182" s="65" t="s">
        <v>1451</v>
      </c>
      <c r="L1182" s="64" t="s">
        <v>1452</v>
      </c>
      <c r="M1182" s="64" t="s">
        <v>1453</v>
      </c>
      <c r="N1182" s="64" t="s">
        <v>1444</v>
      </c>
      <c r="O1182" s="64" t="s">
        <v>1204</v>
      </c>
      <c r="P1182" s="69">
        <v>44571</v>
      </c>
      <c r="Q1182" s="69">
        <v>44925</v>
      </c>
      <c r="R1182" s="277">
        <v>95000</v>
      </c>
      <c r="S1182" s="170" t="s">
        <v>1454</v>
      </c>
      <c r="T1182" s="98"/>
      <c r="U1182" s="154"/>
      <c r="V1182" s="674">
        <f t="shared" si="220"/>
        <v>0</v>
      </c>
      <c r="W1182" s="97">
        <v>5225</v>
      </c>
      <c r="X1182" s="97"/>
      <c r="Y1182" s="97"/>
      <c r="Z1182" s="97"/>
      <c r="AA1182" s="97"/>
      <c r="AB1182" s="97"/>
      <c r="AC1182" s="97">
        <v>4275</v>
      </c>
      <c r="AD1182" s="97"/>
      <c r="AE1182" s="591"/>
      <c r="AF1182" s="353"/>
      <c r="AG1182" s="518">
        <v>0</v>
      </c>
      <c r="AH1182" s="377">
        <v>0</v>
      </c>
      <c r="AI1182" s="132"/>
      <c r="AJ1182" s="132"/>
      <c r="AK1182" s="132"/>
      <c r="AL1182" s="132"/>
      <c r="AM1182" s="132"/>
      <c r="AN1182" s="64" t="s">
        <v>181</v>
      </c>
      <c r="AO1182" s="64"/>
      <c r="AP1182" s="64"/>
      <c r="AQ1182" s="64"/>
      <c r="AR1182" s="64"/>
      <c r="AS1182" s="64"/>
      <c r="AT1182" s="64"/>
      <c r="AU1182" s="646"/>
      <c r="AV1182" s="491"/>
    </row>
    <row r="1183" spans="1:48" ht="15" customHeight="1" outlineLevel="3" x14ac:dyDescent="0.25">
      <c r="A1183" s="63" t="str">
        <f t="shared" si="191"/>
        <v>4.14.3.2.2.59</v>
      </c>
      <c r="B1183" s="64">
        <v>4</v>
      </c>
      <c r="C1183" s="64">
        <v>14</v>
      </c>
      <c r="D1183" s="64">
        <v>3</v>
      </c>
      <c r="E1183" s="64">
        <v>2</v>
      </c>
      <c r="F1183" s="64">
        <v>2</v>
      </c>
      <c r="G1183" s="100">
        <v>59</v>
      </c>
      <c r="H1183" s="65"/>
      <c r="I1183" s="65"/>
      <c r="J1183" s="66"/>
      <c r="K1183" s="65" t="s">
        <v>1455</v>
      </c>
      <c r="L1183" s="64" t="s">
        <v>1452</v>
      </c>
      <c r="M1183" s="64" t="s">
        <v>535</v>
      </c>
      <c r="N1183" s="64" t="s">
        <v>1444</v>
      </c>
      <c r="O1183" s="64" t="s">
        <v>1335</v>
      </c>
      <c r="P1183" s="69">
        <v>44571</v>
      </c>
      <c r="Q1183" s="69">
        <v>44925</v>
      </c>
      <c r="R1183" s="124">
        <f>494000/2</f>
        <v>247000</v>
      </c>
      <c r="S1183" s="65" t="s">
        <v>1456</v>
      </c>
      <c r="T1183" s="64"/>
      <c r="U1183" s="75"/>
      <c r="V1183" s="674">
        <f t="shared" si="220"/>
        <v>0</v>
      </c>
      <c r="W1183" s="75">
        <f>+AH1183/2</f>
        <v>0</v>
      </c>
      <c r="X1183" s="75"/>
      <c r="Y1183" s="75"/>
      <c r="Z1183" s="75">
        <f>+AH1183/2</f>
        <v>0</v>
      </c>
      <c r="AA1183" s="75"/>
      <c r="AB1183" s="75"/>
      <c r="AC1183" s="97"/>
      <c r="AD1183" s="97"/>
      <c r="AE1183" s="591"/>
      <c r="AF1183" s="259" t="s">
        <v>535</v>
      </c>
      <c r="AG1183" s="518">
        <v>1111500</v>
      </c>
      <c r="AH1183" s="377">
        <v>0</v>
      </c>
      <c r="AI1183" s="132"/>
      <c r="AJ1183" s="132"/>
      <c r="AK1183" s="132"/>
      <c r="AL1183" s="132"/>
      <c r="AM1183" s="132"/>
      <c r="AN1183" s="64" t="s">
        <v>181</v>
      </c>
      <c r="AO1183" s="64"/>
      <c r="AP1183" s="64"/>
      <c r="AQ1183" s="64"/>
      <c r="AR1183" s="64"/>
      <c r="AS1183" s="64"/>
      <c r="AT1183" s="64"/>
      <c r="AU1183" s="646"/>
      <c r="AV1183" s="491"/>
    </row>
    <row r="1184" spans="1:48" outlineLevel="3" x14ac:dyDescent="0.25">
      <c r="A1184" s="63" t="str">
        <f t="shared" si="191"/>
        <v>4.14.3.2.3.59</v>
      </c>
      <c r="B1184" s="64">
        <v>4</v>
      </c>
      <c r="C1184" s="64">
        <v>14</v>
      </c>
      <c r="D1184" s="64">
        <v>3</v>
      </c>
      <c r="E1184" s="64">
        <v>2</v>
      </c>
      <c r="F1184" s="64">
        <v>3</v>
      </c>
      <c r="G1184" s="100">
        <v>59</v>
      </c>
      <c r="H1184" s="65"/>
      <c r="I1184" s="65"/>
      <c r="J1184" s="66"/>
      <c r="K1184" s="65" t="s">
        <v>1457</v>
      </c>
      <c r="L1184" s="64" t="s">
        <v>72</v>
      </c>
      <c r="M1184" s="64" t="s">
        <v>1458</v>
      </c>
      <c r="N1184" s="64" t="s">
        <v>1444</v>
      </c>
      <c r="O1184" s="64" t="s">
        <v>1445</v>
      </c>
      <c r="P1184" s="69">
        <v>44571</v>
      </c>
      <c r="Q1184" s="69">
        <v>44925</v>
      </c>
      <c r="R1184" s="124">
        <v>252</v>
      </c>
      <c r="S1184" s="65" t="s">
        <v>1459</v>
      </c>
      <c r="T1184" s="278">
        <f>252*125*22*12/4</f>
        <v>2079000</v>
      </c>
      <c r="U1184" s="97">
        <f>$AH1184/4</f>
        <v>547554.01500000001</v>
      </c>
      <c r="V1184" s="674">
        <f t="shared" si="220"/>
        <v>0</v>
      </c>
      <c r="W1184" s="97">
        <f>252*125*22*12/4</f>
        <v>2079000</v>
      </c>
      <c r="X1184" s="97">
        <f>$AH1184/4</f>
        <v>547554.01500000001</v>
      </c>
      <c r="Y1184" s="97"/>
      <c r="Z1184" s="97">
        <f>252*125*22*12/4</f>
        <v>2079000</v>
      </c>
      <c r="AA1184" s="97">
        <f>$AH1184/4</f>
        <v>547554.01500000001</v>
      </c>
      <c r="AB1184" s="97"/>
      <c r="AC1184" s="97">
        <f>252*125*22*12/4</f>
        <v>2079000</v>
      </c>
      <c r="AD1184" s="97">
        <f>$AH1184/4</f>
        <v>547554.01500000001</v>
      </c>
      <c r="AE1184" s="591"/>
      <c r="AF1184" s="259" t="s">
        <v>1457</v>
      </c>
      <c r="AG1184" s="518">
        <v>693000</v>
      </c>
      <c r="AH1184" s="377">
        <v>2190216.06</v>
      </c>
      <c r="AI1184" s="132"/>
      <c r="AJ1184" s="132"/>
      <c r="AK1184" s="132"/>
      <c r="AL1184" s="132"/>
      <c r="AM1184" s="132"/>
      <c r="AN1184" s="64" t="s">
        <v>181</v>
      </c>
      <c r="AO1184" s="64"/>
      <c r="AP1184" s="64"/>
      <c r="AQ1184" s="64"/>
      <c r="AR1184" s="64"/>
      <c r="AS1184" s="64"/>
      <c r="AT1184" s="64"/>
      <c r="AU1184" s="646"/>
      <c r="AV1184" s="494"/>
    </row>
    <row r="1185" spans="1:48" ht="14.45" customHeight="1" outlineLevel="3" x14ac:dyDescent="0.25">
      <c r="A1185" s="63" t="str">
        <f t="shared" si="191"/>
        <v>4.14.3.2.4.59</v>
      </c>
      <c r="B1185" s="64">
        <v>4</v>
      </c>
      <c r="C1185" s="64">
        <v>14</v>
      </c>
      <c r="D1185" s="64">
        <v>3</v>
      </c>
      <c r="E1185" s="64">
        <v>2</v>
      </c>
      <c r="F1185" s="64">
        <v>4</v>
      </c>
      <c r="G1185" s="64">
        <v>59</v>
      </c>
      <c r="H1185" s="65"/>
      <c r="I1185" s="65"/>
      <c r="J1185" s="66"/>
      <c r="K1185" s="67" t="s">
        <v>1460</v>
      </c>
      <c r="L1185" s="64" t="s">
        <v>72</v>
      </c>
      <c r="M1185" s="64" t="s">
        <v>76</v>
      </c>
      <c r="N1185" s="64" t="s">
        <v>1444</v>
      </c>
      <c r="O1185" s="64" t="s">
        <v>1445</v>
      </c>
      <c r="P1185" s="69">
        <v>44571</v>
      </c>
      <c r="Q1185" s="69">
        <v>44925</v>
      </c>
      <c r="R1185" s="124">
        <v>2</v>
      </c>
      <c r="S1185" s="65" t="s">
        <v>1461</v>
      </c>
      <c r="T1185" s="279">
        <f>+AH1185/2</f>
        <v>100000</v>
      </c>
      <c r="U1185" s="97">
        <f>$AH1185/2</f>
        <v>100000</v>
      </c>
      <c r="V1185" s="702">
        <f t="shared" si="220"/>
        <v>15966.44</v>
      </c>
      <c r="W1185" s="75"/>
      <c r="X1185" s="75"/>
      <c r="Y1185" s="75"/>
      <c r="Z1185" s="75">
        <f>+AH1185/2</f>
        <v>100000</v>
      </c>
      <c r="AA1185" s="75">
        <f>+AH1185/2</f>
        <v>100000</v>
      </c>
      <c r="AB1185" s="75"/>
      <c r="AC1185" s="97"/>
      <c r="AD1185" s="97"/>
      <c r="AE1185" s="591"/>
      <c r="AF1185" s="259" t="s">
        <v>1462</v>
      </c>
      <c r="AG1185" s="518">
        <v>322000</v>
      </c>
      <c r="AH1185" s="370">
        <v>200000</v>
      </c>
      <c r="AI1185" s="132"/>
      <c r="AJ1185" s="552">
        <v>15966.44</v>
      </c>
      <c r="AK1185" s="555"/>
      <c r="AL1185" s="555"/>
      <c r="AM1185" s="555"/>
      <c r="AN1185" s="533" t="s">
        <v>181</v>
      </c>
      <c r="AO1185" s="533" t="s">
        <v>1819</v>
      </c>
      <c r="AP1185" s="538" t="s">
        <v>1824</v>
      </c>
      <c r="AQ1185" s="538" t="s">
        <v>1825</v>
      </c>
      <c r="AR1185" s="189" t="s">
        <v>1826</v>
      </c>
      <c r="AS1185" s="554">
        <v>44509</v>
      </c>
      <c r="AT1185" s="554">
        <v>44441</v>
      </c>
      <c r="AU1185" s="646">
        <v>124</v>
      </c>
      <c r="AV1185" s="495"/>
    </row>
    <row r="1186" spans="1:48" s="212" customFormat="1" ht="17.25" customHeight="1" outlineLevel="3" x14ac:dyDescent="0.25">
      <c r="A1186" s="210" t="str">
        <f t="shared" si="191"/>
        <v>4.14.3.2.5.59</v>
      </c>
      <c r="B1186" s="136">
        <v>4</v>
      </c>
      <c r="C1186" s="136">
        <v>14</v>
      </c>
      <c r="D1186" s="136">
        <v>3</v>
      </c>
      <c r="E1186" s="136">
        <v>2</v>
      </c>
      <c r="F1186" s="136">
        <v>5</v>
      </c>
      <c r="G1186" s="136">
        <v>59</v>
      </c>
      <c r="H1186" s="125"/>
      <c r="I1186" s="125"/>
      <c r="J1186" s="213"/>
      <c r="K1186" s="125" t="s">
        <v>1463</v>
      </c>
      <c r="L1186" s="136" t="s">
        <v>1452</v>
      </c>
      <c r="M1186" s="136" t="s">
        <v>1464</v>
      </c>
      <c r="N1186" s="136" t="s">
        <v>1444</v>
      </c>
      <c r="O1186" s="136" t="s">
        <v>1204</v>
      </c>
      <c r="P1186" s="214">
        <v>44571</v>
      </c>
      <c r="Q1186" s="214">
        <v>44925</v>
      </c>
      <c r="R1186" s="136">
        <v>12</v>
      </c>
      <c r="S1186" s="125" t="s">
        <v>1465</v>
      </c>
      <c r="T1186" s="124">
        <f>+$AH1186/4</f>
        <v>52200</v>
      </c>
      <c r="U1186" s="97">
        <f>$AH1186/4</f>
        <v>52200</v>
      </c>
      <c r="V1186" s="674">
        <f t="shared" si="220"/>
        <v>0</v>
      </c>
      <c r="W1186" s="75">
        <f>+$AH1186/4</f>
        <v>52200</v>
      </c>
      <c r="X1186" s="97">
        <f>$AH1186/4</f>
        <v>52200</v>
      </c>
      <c r="Y1186" s="97"/>
      <c r="Z1186" s="75">
        <f>+$AH1186/4</f>
        <v>52200</v>
      </c>
      <c r="AA1186" s="97">
        <f>$AH1186/4</f>
        <v>52200</v>
      </c>
      <c r="AB1186" s="97"/>
      <c r="AC1186" s="75">
        <f>+$AH1186/4</f>
        <v>52200</v>
      </c>
      <c r="AD1186" s="97">
        <f>$AH1186/4</f>
        <v>52200</v>
      </c>
      <c r="AE1186" s="591"/>
      <c r="AF1186" s="349" t="s">
        <v>1466</v>
      </c>
      <c r="AG1186" s="518">
        <v>208800</v>
      </c>
      <c r="AH1186" s="377">
        <v>208800</v>
      </c>
      <c r="AI1186" s="132"/>
      <c r="AJ1186" s="132"/>
      <c r="AK1186" s="132"/>
      <c r="AL1186" s="132"/>
      <c r="AM1186" s="132"/>
      <c r="AN1186" s="136" t="s">
        <v>181</v>
      </c>
      <c r="AO1186" s="136"/>
      <c r="AP1186" s="136"/>
      <c r="AQ1186" s="136"/>
      <c r="AR1186" s="136"/>
      <c r="AS1186" s="136"/>
      <c r="AT1186" s="136"/>
      <c r="AU1186" s="646"/>
      <c r="AV1186" s="491"/>
    </row>
    <row r="1187" spans="1:48" ht="15" customHeight="1" outlineLevel="3" x14ac:dyDescent="0.25">
      <c r="A1187" s="63" t="str">
        <f t="shared" si="191"/>
        <v>4.14.3.2.6.59</v>
      </c>
      <c r="B1187" s="64">
        <v>4</v>
      </c>
      <c r="C1187" s="64">
        <v>14</v>
      </c>
      <c r="D1187" s="64">
        <v>3</v>
      </c>
      <c r="E1187" s="64">
        <v>2</v>
      </c>
      <c r="F1187" s="64">
        <v>6</v>
      </c>
      <c r="G1187" s="64">
        <v>59</v>
      </c>
      <c r="H1187" s="65"/>
      <c r="I1187" s="65"/>
      <c r="J1187" s="66"/>
      <c r="K1187" s="65" t="s">
        <v>1467</v>
      </c>
      <c r="L1187" s="64" t="s">
        <v>264</v>
      </c>
      <c r="M1187" s="64" t="s">
        <v>144</v>
      </c>
      <c r="N1187" s="64" t="s">
        <v>1476</v>
      </c>
      <c r="O1187" s="64" t="s">
        <v>668</v>
      </c>
      <c r="P1187" s="69">
        <v>44571</v>
      </c>
      <c r="Q1187" s="69">
        <v>44925</v>
      </c>
      <c r="R1187" s="64">
        <v>252</v>
      </c>
      <c r="S1187" s="65" t="s">
        <v>1468</v>
      </c>
      <c r="T1187" s="64"/>
      <c r="U1187" s="97"/>
      <c r="V1187" s="674">
        <f t="shared" si="220"/>
        <v>0</v>
      </c>
      <c r="W1187" s="75"/>
      <c r="X1187" s="75"/>
      <c r="Y1187" s="75"/>
      <c r="Z1187" s="75"/>
      <c r="AA1187" s="75"/>
      <c r="AB1187" s="75"/>
      <c r="AC1187" s="132">
        <f>+(21*500*22)+(231*450*22)</f>
        <v>2517900</v>
      </c>
      <c r="AD1187" s="132"/>
      <c r="AE1187" s="598"/>
      <c r="AF1187" s="259"/>
      <c r="AG1187" s="518">
        <v>1374450</v>
      </c>
      <c r="AH1187" s="377">
        <v>0</v>
      </c>
      <c r="AI1187" s="132"/>
      <c r="AJ1187" s="132"/>
      <c r="AK1187" s="132"/>
      <c r="AL1187" s="132"/>
      <c r="AM1187" s="132"/>
      <c r="AN1187" s="64" t="s">
        <v>181</v>
      </c>
      <c r="AO1187" s="64"/>
      <c r="AP1187" s="64"/>
      <c r="AQ1187" s="64"/>
      <c r="AR1187" s="64"/>
      <c r="AS1187" s="64"/>
      <c r="AT1187" s="64"/>
      <c r="AU1187" s="646"/>
      <c r="AV1187" s="491"/>
    </row>
    <row r="1188" spans="1:48" ht="20.100000000000001" customHeight="1" outlineLevel="3" x14ac:dyDescent="0.25">
      <c r="A1188" s="63" t="str">
        <f t="shared" si="191"/>
        <v>4.14.3.2.7.59</v>
      </c>
      <c r="B1188" s="64">
        <v>4</v>
      </c>
      <c r="C1188" s="64">
        <v>14</v>
      </c>
      <c r="D1188" s="64">
        <v>3</v>
      </c>
      <c r="E1188" s="64">
        <v>2</v>
      </c>
      <c r="F1188" s="64">
        <v>7</v>
      </c>
      <c r="G1188" s="64">
        <v>59</v>
      </c>
      <c r="H1188" s="65"/>
      <c r="I1188" s="65"/>
      <c r="J1188" s="65"/>
      <c r="K1188" s="65" t="s">
        <v>1884</v>
      </c>
      <c r="L1188" s="64" t="s">
        <v>264</v>
      </c>
      <c r="M1188" s="64" t="s">
        <v>144</v>
      </c>
      <c r="N1188" s="64" t="s">
        <v>265</v>
      </c>
      <c r="O1188" s="64" t="s">
        <v>668</v>
      </c>
      <c r="P1188" s="69">
        <v>44571</v>
      </c>
      <c r="Q1188" s="69">
        <v>44925</v>
      </c>
      <c r="R1188" s="124">
        <v>231</v>
      </c>
      <c r="S1188" s="65" t="s">
        <v>1470</v>
      </c>
      <c r="T1188" s="225">
        <f>+(21*500*22*12)+(231*450*22*12)/4</f>
        <v>9632700</v>
      </c>
      <c r="U1188" s="78">
        <v>4336937</v>
      </c>
      <c r="V1188" s="702">
        <f t="shared" si="220"/>
        <v>3175900</v>
      </c>
      <c r="W1188" s="132">
        <f>+(21*500*22*12)+(231*450*22*12)/4</f>
        <v>9632700</v>
      </c>
      <c r="X1188" s="78"/>
      <c r="Y1188" s="280"/>
      <c r="Z1188" s="132">
        <f>+(21*500*22*12)+(231*450*22*12)/4</f>
        <v>9632700</v>
      </c>
      <c r="AA1188" s="280">
        <v>0</v>
      </c>
      <c r="AB1188" s="280"/>
      <c r="AC1188" s="132">
        <f>+(21*500*22*12)+(231*450*22*12)/4</f>
        <v>9632700</v>
      </c>
      <c r="AD1188" s="280">
        <v>0</v>
      </c>
      <c r="AE1188" s="614"/>
      <c r="AF1188" s="259" t="s">
        <v>1477</v>
      </c>
      <c r="AG1188" s="518">
        <v>16493400</v>
      </c>
      <c r="AH1188" s="370">
        <v>0</v>
      </c>
      <c r="AI1188" s="565"/>
      <c r="AJ1188" s="565">
        <f>1188450+1019650+967800</f>
        <v>3175900</v>
      </c>
      <c r="AK1188" s="281"/>
      <c r="AL1188" s="281"/>
      <c r="AM1188" s="281"/>
      <c r="AN1188" s="64" t="s">
        <v>181</v>
      </c>
      <c r="AO1188" s="533" t="s">
        <v>1839</v>
      </c>
      <c r="AP1188" s="533" t="s">
        <v>649</v>
      </c>
      <c r="AQ1188" s="533" t="s">
        <v>649</v>
      </c>
      <c r="AR1188" s="554">
        <v>44562</v>
      </c>
      <c r="AS1188" s="554">
        <v>44561</v>
      </c>
      <c r="AT1188" s="64" t="s">
        <v>1814</v>
      </c>
      <c r="AU1188" s="646" t="s">
        <v>2001</v>
      </c>
      <c r="AV1188" s="638" t="s">
        <v>2002</v>
      </c>
    </row>
    <row r="1189" spans="1:48" s="284" customFormat="1" ht="27.6" customHeight="1" outlineLevel="3" x14ac:dyDescent="0.25">
      <c r="A1189" s="210" t="str">
        <f t="shared" si="191"/>
        <v>4.14.3.2.8.59</v>
      </c>
      <c r="B1189" s="136">
        <v>4</v>
      </c>
      <c r="C1189" s="136">
        <v>14</v>
      </c>
      <c r="D1189" s="136">
        <v>3</v>
      </c>
      <c r="E1189" s="136">
        <v>2</v>
      </c>
      <c r="F1189" s="136">
        <v>8</v>
      </c>
      <c r="G1189" s="136">
        <v>59</v>
      </c>
      <c r="H1189" s="133"/>
      <c r="I1189" s="133"/>
      <c r="J1189" s="133"/>
      <c r="K1189" s="125" t="s">
        <v>1472</v>
      </c>
      <c r="L1189" s="136" t="s">
        <v>72</v>
      </c>
      <c r="M1189" s="136" t="s">
        <v>1473</v>
      </c>
      <c r="N1189" s="136" t="s">
        <v>1249</v>
      </c>
      <c r="O1189" s="136" t="s">
        <v>72</v>
      </c>
      <c r="P1189" s="214">
        <v>44571</v>
      </c>
      <c r="Q1189" s="214">
        <v>44925</v>
      </c>
      <c r="R1189" s="282"/>
      <c r="S1189" s="133"/>
      <c r="T1189" s="282"/>
      <c r="U1189" s="127"/>
      <c r="V1189" s="674">
        <f t="shared" si="220"/>
        <v>0</v>
      </c>
      <c r="W1189" s="127"/>
      <c r="X1189" s="127"/>
      <c r="Y1189" s="127"/>
      <c r="Z1189" s="127"/>
      <c r="AA1189" s="127"/>
      <c r="AB1189" s="127"/>
      <c r="AC1189" s="283"/>
      <c r="AD1189" s="283"/>
      <c r="AE1189" s="615"/>
      <c r="AF1189" s="366"/>
      <c r="AG1189" s="518">
        <v>0</v>
      </c>
      <c r="AH1189" s="377">
        <v>0</v>
      </c>
      <c r="AI1189" s="132"/>
      <c r="AJ1189" s="132"/>
      <c r="AK1189" s="132"/>
      <c r="AL1189" s="132"/>
      <c r="AM1189" s="132"/>
      <c r="AN1189" s="136" t="s">
        <v>181</v>
      </c>
      <c r="AO1189" s="321"/>
      <c r="AP1189" s="321"/>
      <c r="AQ1189" s="317"/>
      <c r="AR1189" s="571"/>
      <c r="AS1189" s="478"/>
      <c r="AT1189" s="136"/>
      <c r="AU1189" s="646"/>
      <c r="AV1189" s="491"/>
    </row>
    <row r="1190" spans="1:48" s="153" customFormat="1" ht="51.75" customHeight="1" outlineLevel="2" x14ac:dyDescent="0.25">
      <c r="A1190" s="148" t="str">
        <f t="shared" si="191"/>
        <v>4.14.3.3.0.0</v>
      </c>
      <c r="B1190" s="82">
        <v>4</v>
      </c>
      <c r="C1190" s="82">
        <v>14</v>
      </c>
      <c r="D1190" s="82">
        <v>3</v>
      </c>
      <c r="E1190" s="82">
        <v>3</v>
      </c>
      <c r="F1190" s="82">
        <v>0</v>
      </c>
      <c r="G1190" s="82">
        <v>0</v>
      </c>
      <c r="H1190" s="149"/>
      <c r="I1190" s="149"/>
      <c r="J1190" s="1260" t="s">
        <v>1478</v>
      </c>
      <c r="K1190" s="1259"/>
      <c r="L1190" s="82" t="s">
        <v>1475</v>
      </c>
      <c r="M1190" s="83" t="s">
        <v>1449</v>
      </c>
      <c r="N1190" s="82" t="s">
        <v>1444</v>
      </c>
      <c r="O1190" s="82" t="s">
        <v>1445</v>
      </c>
      <c r="P1190" s="82"/>
      <c r="Q1190" s="82"/>
      <c r="R1190" s="82"/>
      <c r="S1190" s="149"/>
      <c r="T1190" s="82"/>
      <c r="U1190" s="209">
        <f>SUM(U1191:U1198)</f>
        <v>5302955</v>
      </c>
      <c r="V1190" s="682">
        <f t="shared" ref="V1190:AG1190" si="222">+SUM(V1191:V1198)</f>
        <v>2112366.44</v>
      </c>
      <c r="W1190" s="380">
        <f t="shared" si="222"/>
        <v>160600</v>
      </c>
      <c r="X1190" s="380">
        <f t="shared" si="222"/>
        <v>-2754555</v>
      </c>
      <c r="Y1190" s="380">
        <f t="shared" si="222"/>
        <v>0</v>
      </c>
      <c r="Z1190" s="380">
        <f t="shared" si="222"/>
        <v>570200</v>
      </c>
      <c r="AA1190" s="380">
        <f t="shared" si="222"/>
        <v>152200</v>
      </c>
      <c r="AB1190" s="380">
        <f t="shared" si="222"/>
        <v>0</v>
      </c>
      <c r="AC1190" s="380">
        <f t="shared" si="222"/>
        <v>1233900</v>
      </c>
      <c r="AD1190" s="380">
        <f t="shared" si="222"/>
        <v>641250</v>
      </c>
      <c r="AE1190" s="380">
        <f t="shared" si="222"/>
        <v>0</v>
      </c>
      <c r="AF1190" s="380">
        <f t="shared" si="222"/>
        <v>0</v>
      </c>
      <c r="AG1190" s="380">
        <f t="shared" si="222"/>
        <v>17330100</v>
      </c>
      <c r="AH1190" s="380">
        <f>+SUM(AH1191:AH1198)</f>
        <v>3930900</v>
      </c>
      <c r="AI1190" s="513">
        <f>+SUM(AI1191:AI1198)</f>
        <v>0</v>
      </c>
      <c r="AJ1190" s="513">
        <f>+SUM(AJ1191:AJ1198)</f>
        <v>2112366.44</v>
      </c>
      <c r="AK1190" s="198"/>
      <c r="AL1190" s="198"/>
      <c r="AM1190" s="198"/>
      <c r="AN1190" s="82" t="s">
        <v>181</v>
      </c>
      <c r="AO1190" s="82"/>
      <c r="AP1190" s="82"/>
      <c r="AQ1190" s="82"/>
      <c r="AR1190" s="82"/>
      <c r="AS1190" s="82"/>
      <c r="AT1190" s="82"/>
      <c r="AU1190" s="666"/>
      <c r="AV1190" s="491"/>
    </row>
    <row r="1191" spans="1:48" ht="15" customHeight="1" outlineLevel="3" x14ac:dyDescent="0.25">
      <c r="A1191" s="63" t="str">
        <f t="shared" si="191"/>
        <v>4.14.3.3.1.63</v>
      </c>
      <c r="B1191" s="64">
        <v>4</v>
      </c>
      <c r="C1191" s="64">
        <v>14</v>
      </c>
      <c r="D1191" s="64">
        <v>3</v>
      </c>
      <c r="E1191" s="64">
        <v>3</v>
      </c>
      <c r="F1191" s="64">
        <v>1</v>
      </c>
      <c r="G1191" s="64">
        <v>63</v>
      </c>
      <c r="H1191" s="65"/>
      <c r="I1191" s="65"/>
      <c r="J1191" s="66"/>
      <c r="K1191" s="65" t="s">
        <v>1451</v>
      </c>
      <c r="L1191" s="64" t="s">
        <v>1452</v>
      </c>
      <c r="M1191" s="64" t="s">
        <v>1453</v>
      </c>
      <c r="N1191" s="64" t="s">
        <v>1444</v>
      </c>
      <c r="O1191" s="64" t="s">
        <v>1204</v>
      </c>
      <c r="P1191" s="69">
        <v>44571</v>
      </c>
      <c r="Q1191" s="69">
        <v>44925</v>
      </c>
      <c r="R1191" s="170">
        <v>8000</v>
      </c>
      <c r="S1191" s="170" t="s">
        <v>1454</v>
      </c>
      <c r="T1191" s="98">
        <v>0</v>
      </c>
      <c r="U1191" s="75">
        <f>$AH1191/4</f>
        <v>0</v>
      </c>
      <c r="V1191" s="674">
        <f t="shared" si="220"/>
        <v>0</v>
      </c>
      <c r="W1191" s="97">
        <v>4400</v>
      </c>
      <c r="X1191" s="97"/>
      <c r="Y1191" s="97"/>
      <c r="Z1191" s="97"/>
      <c r="AA1191" s="97"/>
      <c r="AB1191" s="97"/>
      <c r="AC1191" s="97">
        <v>3600</v>
      </c>
      <c r="AD1191" s="97"/>
      <c r="AE1191" s="591"/>
      <c r="AF1191" s="259"/>
      <c r="AG1191" s="518">
        <v>0</v>
      </c>
      <c r="AH1191" s="377">
        <v>0</v>
      </c>
      <c r="AI1191" s="132"/>
      <c r="AJ1191" s="132"/>
      <c r="AK1191" s="132"/>
      <c r="AL1191" s="132"/>
      <c r="AM1191" s="132"/>
      <c r="AN1191" s="64" t="s">
        <v>181</v>
      </c>
      <c r="AO1191" s="319"/>
      <c r="AP1191" s="319"/>
      <c r="AQ1191" s="316"/>
      <c r="AR1191" s="245"/>
      <c r="AS1191" s="272"/>
      <c r="AT1191" s="64"/>
      <c r="AU1191" s="646"/>
      <c r="AV1191" s="491"/>
    </row>
    <row r="1192" spans="1:48" ht="15" customHeight="1" outlineLevel="3" x14ac:dyDescent="0.25">
      <c r="A1192" s="63" t="str">
        <f t="shared" si="191"/>
        <v>4.14.3.3.2.63</v>
      </c>
      <c r="B1192" s="64">
        <v>4</v>
      </c>
      <c r="C1192" s="64">
        <v>14</v>
      </c>
      <c r="D1192" s="64">
        <v>3</v>
      </c>
      <c r="E1192" s="64">
        <v>3</v>
      </c>
      <c r="F1192" s="64">
        <v>2</v>
      </c>
      <c r="G1192" s="100">
        <v>63</v>
      </c>
      <c r="H1192" s="65"/>
      <c r="I1192" s="65"/>
      <c r="J1192" s="66"/>
      <c r="K1192" s="65" t="s">
        <v>1455</v>
      </c>
      <c r="L1192" s="64" t="s">
        <v>1452</v>
      </c>
      <c r="M1192" s="64" t="s">
        <v>535</v>
      </c>
      <c r="N1192" s="64" t="s">
        <v>1444</v>
      </c>
      <c r="O1192" s="64" t="s">
        <v>1335</v>
      </c>
      <c r="P1192" s="69">
        <v>44571</v>
      </c>
      <c r="Q1192" s="69">
        <v>44925</v>
      </c>
      <c r="R1192" s="124">
        <f>416000/2</f>
        <v>208000</v>
      </c>
      <c r="S1192" s="65" t="s">
        <v>1456</v>
      </c>
      <c r="T1192" s="285"/>
      <c r="U1192" s="75"/>
      <c r="V1192" s="674">
        <f t="shared" si="220"/>
        <v>0</v>
      </c>
      <c r="W1192" s="286">
        <f>+R1192/2</f>
        <v>104000</v>
      </c>
      <c r="X1192" s="179">
        <f>$AH1192/2</f>
        <v>0</v>
      </c>
      <c r="Y1192" s="179"/>
      <c r="Z1192" s="286">
        <f>+R1192/2</f>
        <v>104000</v>
      </c>
      <c r="AA1192" s="179">
        <f>$AH1192/2</f>
        <v>0</v>
      </c>
      <c r="AB1192" s="179"/>
      <c r="AC1192" s="97"/>
      <c r="AD1192" s="97"/>
      <c r="AE1192" s="591"/>
      <c r="AF1192" s="259" t="s">
        <v>535</v>
      </c>
      <c r="AG1192" s="518">
        <v>936000</v>
      </c>
      <c r="AH1192" s="377">
        <v>0</v>
      </c>
      <c r="AI1192" s="132"/>
      <c r="AJ1192" s="132"/>
      <c r="AK1192" s="132"/>
      <c r="AL1192" s="132"/>
      <c r="AM1192" s="132"/>
      <c r="AN1192" s="64" t="s">
        <v>181</v>
      </c>
      <c r="AO1192" s="319"/>
      <c r="AP1192" s="319"/>
      <c r="AQ1192" s="316"/>
      <c r="AR1192" s="64"/>
      <c r="AS1192" s="272"/>
      <c r="AT1192" s="64"/>
      <c r="AU1192" s="646"/>
      <c r="AV1192" s="491"/>
    </row>
    <row r="1193" spans="1:48" ht="14.45" customHeight="1" outlineLevel="3" x14ac:dyDescent="0.25">
      <c r="A1193" s="63" t="str">
        <f t="shared" si="191"/>
        <v>4.14.3.3.3.63</v>
      </c>
      <c r="B1193" s="64">
        <v>4</v>
      </c>
      <c r="C1193" s="64">
        <v>14</v>
      </c>
      <c r="D1193" s="64">
        <v>3</v>
      </c>
      <c r="E1193" s="64">
        <v>3</v>
      </c>
      <c r="F1193" s="64">
        <v>3</v>
      </c>
      <c r="G1193" s="100">
        <v>63</v>
      </c>
      <c r="H1193" s="65"/>
      <c r="I1193" s="65"/>
      <c r="J1193" s="66"/>
      <c r="K1193" s="65" t="s">
        <v>1457</v>
      </c>
      <c r="L1193" s="64" t="s">
        <v>72</v>
      </c>
      <c r="M1193" s="64" t="s">
        <v>1458</v>
      </c>
      <c r="N1193" s="64" t="s">
        <v>1444</v>
      </c>
      <c r="O1193" s="64" t="s">
        <v>1445</v>
      </c>
      <c r="P1193" s="69">
        <v>44571</v>
      </c>
      <c r="Q1193" s="69">
        <v>44925</v>
      </c>
      <c r="R1193" s="124">
        <v>216</v>
      </c>
      <c r="S1193" s="65" t="s">
        <v>1459</v>
      </c>
      <c r="T1193" s="124"/>
      <c r="U1193" s="75">
        <f>+AH1193</f>
        <v>2344000</v>
      </c>
      <c r="V1193" s="674">
        <f t="shared" si="220"/>
        <v>0</v>
      </c>
      <c r="W1193" s="75"/>
      <c r="X1193" s="75"/>
      <c r="Y1193" s="75"/>
      <c r="Z1193" s="75"/>
      <c r="AA1193" s="75"/>
      <c r="AB1193" s="75"/>
      <c r="AC1193" s="97"/>
      <c r="AD1193" s="75"/>
      <c r="AE1193" s="592"/>
      <c r="AF1193" s="259" t="s">
        <v>1457</v>
      </c>
      <c r="AG1193" s="518">
        <v>594000</v>
      </c>
      <c r="AH1193" s="377">
        <v>2344000</v>
      </c>
      <c r="AI1193" s="132"/>
      <c r="AJ1193" s="132"/>
      <c r="AK1193" s="132"/>
      <c r="AL1193" s="132"/>
      <c r="AM1193" s="132"/>
      <c r="AN1193" s="64" t="s">
        <v>181</v>
      </c>
      <c r="AO1193" s="319"/>
      <c r="AP1193" s="319"/>
      <c r="AQ1193" s="316"/>
      <c r="AR1193" s="64"/>
      <c r="AS1193" s="272"/>
      <c r="AT1193" s="64"/>
      <c r="AU1193" s="646"/>
      <c r="AV1193" s="494"/>
    </row>
    <row r="1194" spans="1:48" ht="14.45" customHeight="1" outlineLevel="3" x14ac:dyDescent="0.25">
      <c r="A1194" s="63" t="str">
        <f t="shared" si="191"/>
        <v>4.14.3.3.4.63</v>
      </c>
      <c r="B1194" s="64">
        <v>4</v>
      </c>
      <c r="C1194" s="64">
        <v>14</v>
      </c>
      <c r="D1194" s="64">
        <v>3</v>
      </c>
      <c r="E1194" s="64">
        <v>3</v>
      </c>
      <c r="F1194" s="64">
        <v>4</v>
      </c>
      <c r="G1194" s="64">
        <v>63</v>
      </c>
      <c r="H1194" s="65"/>
      <c r="I1194" s="65"/>
      <c r="J1194" s="66"/>
      <c r="K1194" s="67" t="s">
        <v>1460</v>
      </c>
      <c r="L1194" s="64" t="s">
        <v>72</v>
      </c>
      <c r="M1194" s="64" t="s">
        <v>76</v>
      </c>
      <c r="N1194" s="64" t="s">
        <v>1444</v>
      </c>
      <c r="O1194" s="64" t="s">
        <v>1445</v>
      </c>
      <c r="P1194" s="69">
        <v>44571</v>
      </c>
      <c r="Q1194" s="69">
        <v>44925</v>
      </c>
      <c r="R1194" s="124">
        <v>2</v>
      </c>
      <c r="S1194" s="65" t="s">
        <v>1461</v>
      </c>
      <c r="T1194" s="225">
        <f>18*23000</f>
        <v>414000</v>
      </c>
      <c r="U1194" s="75">
        <f>$AH1194/2</f>
        <v>100000</v>
      </c>
      <c r="V1194" s="702">
        <f t="shared" si="220"/>
        <v>15966.44</v>
      </c>
      <c r="W1194" s="75"/>
      <c r="X1194" s="75"/>
      <c r="Y1194" s="75"/>
      <c r="Z1194" s="132">
        <f>18*23000</f>
        <v>414000</v>
      </c>
      <c r="AA1194" s="75">
        <f>$AH1194/2</f>
        <v>100000</v>
      </c>
      <c r="AB1194" s="75"/>
      <c r="AC1194" s="97"/>
      <c r="AD1194" s="97"/>
      <c r="AE1194" s="591"/>
      <c r="AF1194" s="259" t="s">
        <v>1462</v>
      </c>
      <c r="AG1194" s="518">
        <v>276000</v>
      </c>
      <c r="AH1194" s="370">
        <v>200000</v>
      </c>
      <c r="AI1194" s="132"/>
      <c r="AJ1194" s="552">
        <v>15966.44</v>
      </c>
      <c r="AK1194" s="132"/>
      <c r="AL1194" s="132"/>
      <c r="AM1194" s="132"/>
      <c r="AN1194" s="64" t="s">
        <v>181</v>
      </c>
      <c r="AO1194" s="319" t="s">
        <v>1819</v>
      </c>
      <c r="AP1194" s="319" t="s">
        <v>1824</v>
      </c>
      <c r="AQ1194" s="316" t="s">
        <v>1825</v>
      </c>
      <c r="AR1194" s="189" t="s">
        <v>1826</v>
      </c>
      <c r="AS1194" s="554">
        <v>44509</v>
      </c>
      <c r="AT1194" s="554">
        <v>44441</v>
      </c>
      <c r="AU1194" s="646">
        <v>124</v>
      </c>
      <c r="AV1194" s="495"/>
    </row>
    <row r="1195" spans="1:48" s="212" customFormat="1" ht="17.25" customHeight="1" outlineLevel="3" x14ac:dyDescent="0.25">
      <c r="A1195" s="210" t="str">
        <f t="shared" si="191"/>
        <v>4.14.3.3.5.63</v>
      </c>
      <c r="B1195" s="136">
        <v>4</v>
      </c>
      <c r="C1195" s="136">
        <v>14</v>
      </c>
      <c r="D1195" s="136">
        <v>3</v>
      </c>
      <c r="E1195" s="136">
        <v>3</v>
      </c>
      <c r="F1195" s="136">
        <v>5</v>
      </c>
      <c r="G1195" s="136">
        <v>63</v>
      </c>
      <c r="H1195" s="125"/>
      <c r="I1195" s="125"/>
      <c r="J1195" s="213"/>
      <c r="K1195" s="125" t="s">
        <v>1463</v>
      </c>
      <c r="L1195" s="136" t="s">
        <v>1452</v>
      </c>
      <c r="M1195" s="136" t="s">
        <v>1464</v>
      </c>
      <c r="N1195" s="136" t="s">
        <v>1444</v>
      </c>
      <c r="O1195" s="136" t="s">
        <v>1204</v>
      </c>
      <c r="P1195" s="214">
        <v>44571</v>
      </c>
      <c r="Q1195" s="214">
        <v>44925</v>
      </c>
      <c r="R1195" s="136">
        <v>12</v>
      </c>
      <c r="S1195" s="125" t="s">
        <v>1465</v>
      </c>
      <c r="T1195" s="124">
        <f>+$AH1195/4</f>
        <v>52200</v>
      </c>
      <c r="U1195" s="75">
        <f>$AH1195/4</f>
        <v>52200</v>
      </c>
      <c r="V1195" s="674">
        <f t="shared" si="220"/>
        <v>0</v>
      </c>
      <c r="W1195" s="75">
        <f>+$AH1195/4</f>
        <v>52200</v>
      </c>
      <c r="X1195" s="75">
        <f>$AH1195/4</f>
        <v>52200</v>
      </c>
      <c r="Y1195" s="75"/>
      <c r="Z1195" s="75">
        <f>+$AH1195/4</f>
        <v>52200</v>
      </c>
      <c r="AA1195" s="75">
        <f>$AH1195/4</f>
        <v>52200</v>
      </c>
      <c r="AB1195" s="75"/>
      <c r="AC1195" s="75">
        <f>+$AH1195/4</f>
        <v>52200</v>
      </c>
      <c r="AD1195" s="75">
        <f>$AH1195/4</f>
        <v>52200</v>
      </c>
      <c r="AE1195" s="592"/>
      <c r="AF1195" s="349" t="s">
        <v>1466</v>
      </c>
      <c r="AG1195" s="518">
        <v>208800</v>
      </c>
      <c r="AH1195" s="377">
        <v>208800</v>
      </c>
      <c r="AI1195" s="132"/>
      <c r="AJ1195" s="132"/>
      <c r="AK1195" s="132"/>
      <c r="AL1195" s="132"/>
      <c r="AM1195" s="132"/>
      <c r="AN1195" s="136" t="s">
        <v>181</v>
      </c>
      <c r="AO1195" s="321"/>
      <c r="AP1195" s="321"/>
      <c r="AQ1195" s="317"/>
      <c r="AR1195" s="136"/>
      <c r="AS1195" s="478"/>
      <c r="AT1195" s="136"/>
      <c r="AU1195" s="646"/>
      <c r="AV1195" s="491"/>
    </row>
    <row r="1196" spans="1:48" ht="15" customHeight="1" outlineLevel="3" x14ac:dyDescent="0.25">
      <c r="A1196" s="63" t="str">
        <f t="shared" si="191"/>
        <v>4.14.3.3.6.63</v>
      </c>
      <c r="B1196" s="64">
        <v>4</v>
      </c>
      <c r="C1196" s="64">
        <v>14</v>
      </c>
      <c r="D1196" s="64">
        <v>3</v>
      </c>
      <c r="E1196" s="64">
        <v>3</v>
      </c>
      <c r="F1196" s="64">
        <v>6</v>
      </c>
      <c r="G1196" s="64">
        <v>63</v>
      </c>
      <c r="H1196" s="65"/>
      <c r="I1196" s="65"/>
      <c r="J1196" s="66"/>
      <c r="K1196" s="65" t="s">
        <v>1467</v>
      </c>
      <c r="L1196" s="64" t="s">
        <v>264</v>
      </c>
      <c r="M1196" s="64" t="s">
        <v>144</v>
      </c>
      <c r="N1196" s="64" t="s">
        <v>265</v>
      </c>
      <c r="O1196" s="64" t="s">
        <v>668</v>
      </c>
      <c r="P1196" s="69">
        <v>44571</v>
      </c>
      <c r="Q1196" s="69">
        <v>44925</v>
      </c>
      <c r="R1196" s="64">
        <v>216</v>
      </c>
      <c r="S1196" s="65" t="s">
        <v>1468</v>
      </c>
      <c r="T1196" s="64"/>
      <c r="U1196" s="75"/>
      <c r="V1196" s="674">
        <f t="shared" si="220"/>
        <v>0</v>
      </c>
      <c r="W1196" s="75"/>
      <c r="X1196" s="75"/>
      <c r="Y1196" s="75"/>
      <c r="Z1196" s="75"/>
      <c r="AA1196" s="75"/>
      <c r="AB1196" s="75"/>
      <c r="AC1196" s="97">
        <f>+AH1196</f>
        <v>1178100</v>
      </c>
      <c r="AD1196" s="97">
        <f>+AH1196/2</f>
        <v>589050</v>
      </c>
      <c r="AE1196" s="591"/>
      <c r="AF1196" s="259" t="s">
        <v>1469</v>
      </c>
      <c r="AG1196" s="518">
        <v>1178100</v>
      </c>
      <c r="AH1196" s="377">
        <v>1178100</v>
      </c>
      <c r="AI1196" s="132"/>
      <c r="AJ1196" s="132"/>
      <c r="AK1196" s="132"/>
      <c r="AL1196" s="132"/>
      <c r="AM1196" s="132"/>
      <c r="AN1196" s="64" t="s">
        <v>181</v>
      </c>
      <c r="AO1196" s="319"/>
      <c r="AP1196" s="319"/>
      <c r="AQ1196" s="316"/>
      <c r="AR1196" s="64"/>
      <c r="AS1196" s="272"/>
      <c r="AT1196" s="64"/>
      <c r="AU1196" s="646"/>
      <c r="AV1196" s="491"/>
    </row>
    <row r="1197" spans="1:48" ht="14.45" customHeight="1" outlineLevel="3" x14ac:dyDescent="0.25">
      <c r="A1197" s="63" t="str">
        <f t="shared" si="191"/>
        <v>4.14.3.3.7.63</v>
      </c>
      <c r="B1197" s="64">
        <v>4</v>
      </c>
      <c r="C1197" s="64">
        <v>14</v>
      </c>
      <c r="D1197" s="64">
        <v>3</v>
      </c>
      <c r="E1197" s="64">
        <v>3</v>
      </c>
      <c r="F1197" s="64">
        <v>7</v>
      </c>
      <c r="G1197" s="64">
        <v>63</v>
      </c>
      <c r="H1197" s="65"/>
      <c r="I1197" s="65"/>
      <c r="J1197" s="65"/>
      <c r="K1197" s="65" t="s">
        <v>1882</v>
      </c>
      <c r="L1197" s="64" t="s">
        <v>264</v>
      </c>
      <c r="M1197" s="64" t="s">
        <v>144</v>
      </c>
      <c r="N1197" s="64" t="s">
        <v>265</v>
      </c>
      <c r="O1197" s="64" t="s">
        <v>668</v>
      </c>
      <c r="P1197" s="69">
        <v>44571</v>
      </c>
      <c r="Q1197" s="69">
        <v>44925</v>
      </c>
      <c r="R1197" s="124">
        <v>198</v>
      </c>
      <c r="S1197" s="65" t="s">
        <v>1470</v>
      </c>
      <c r="T1197" s="124">
        <f>+$AH1197/4</f>
        <v>0</v>
      </c>
      <c r="U1197" s="78">
        <v>2806755</v>
      </c>
      <c r="V1197" s="702">
        <f t="shared" si="220"/>
        <v>2096400</v>
      </c>
      <c r="W1197" s="75">
        <f>+$AH1197/4</f>
        <v>0</v>
      </c>
      <c r="X1197" s="78">
        <f>+AH1197-U1197</f>
        <v>-2806755</v>
      </c>
      <c r="Y1197" s="253"/>
      <c r="Z1197" s="75">
        <f>+$AH1197/4</f>
        <v>0</v>
      </c>
      <c r="AA1197" s="253">
        <v>0</v>
      </c>
      <c r="AB1197" s="253"/>
      <c r="AC1197" s="75">
        <f>+$AH1197/4</f>
        <v>0</v>
      </c>
      <c r="AD1197" s="253">
        <v>0</v>
      </c>
      <c r="AE1197" s="608"/>
      <c r="AF1197" s="259" t="s">
        <v>1479</v>
      </c>
      <c r="AG1197" s="518">
        <v>14137200</v>
      </c>
      <c r="AH1197" s="370">
        <v>0</v>
      </c>
      <c r="AI1197" s="565"/>
      <c r="AJ1197" s="565">
        <f>990200+590850+515350</f>
        <v>2096400</v>
      </c>
      <c r="AK1197" s="281"/>
      <c r="AL1197" s="281"/>
      <c r="AM1197" s="281"/>
      <c r="AN1197" s="64" t="s">
        <v>181</v>
      </c>
      <c r="AO1197" s="533" t="s">
        <v>1839</v>
      </c>
      <c r="AP1197" s="533" t="s">
        <v>649</v>
      </c>
      <c r="AQ1197" s="533" t="s">
        <v>649</v>
      </c>
      <c r="AR1197" s="554">
        <v>44562</v>
      </c>
      <c r="AS1197" s="554">
        <v>44561</v>
      </c>
      <c r="AT1197" s="64" t="s">
        <v>1814</v>
      </c>
      <c r="AU1197" s="646" t="s">
        <v>1940</v>
      </c>
      <c r="AV1197" s="67" t="s">
        <v>1941</v>
      </c>
    </row>
    <row r="1198" spans="1:48" s="284" customFormat="1" ht="32.1" customHeight="1" outlineLevel="3" x14ac:dyDescent="0.25">
      <c r="A1198" s="210" t="str">
        <f t="shared" si="191"/>
        <v>4.14.3.3.8.63</v>
      </c>
      <c r="B1198" s="136">
        <v>4</v>
      </c>
      <c r="C1198" s="136">
        <v>14</v>
      </c>
      <c r="D1198" s="136">
        <v>3</v>
      </c>
      <c r="E1198" s="136">
        <v>3</v>
      </c>
      <c r="F1198" s="136">
        <v>8</v>
      </c>
      <c r="G1198" s="136">
        <v>63</v>
      </c>
      <c r="H1198" s="133"/>
      <c r="I1198" s="133"/>
      <c r="J1198" s="133"/>
      <c r="K1198" s="125" t="s">
        <v>1472</v>
      </c>
      <c r="L1198" s="136" t="s">
        <v>72</v>
      </c>
      <c r="M1198" s="136" t="s">
        <v>1473</v>
      </c>
      <c r="N1198" s="136" t="s">
        <v>1249</v>
      </c>
      <c r="O1198" s="136" t="s">
        <v>72</v>
      </c>
      <c r="P1198" s="214">
        <v>44571</v>
      </c>
      <c r="Q1198" s="214">
        <v>44925</v>
      </c>
      <c r="R1198" s="282"/>
      <c r="S1198" s="133"/>
      <c r="T1198" s="282"/>
      <c r="U1198" s="75">
        <f>$AH1198/4</f>
        <v>0</v>
      </c>
      <c r="V1198" s="674">
        <f t="shared" si="220"/>
        <v>0</v>
      </c>
      <c r="W1198" s="127"/>
      <c r="X1198" s="127"/>
      <c r="Y1198" s="127"/>
      <c r="Z1198" s="127"/>
      <c r="AA1198" s="127"/>
      <c r="AB1198" s="127"/>
      <c r="AC1198" s="283"/>
      <c r="AD1198" s="283"/>
      <c r="AE1198" s="615"/>
      <c r="AF1198" s="366"/>
      <c r="AG1198" s="518">
        <v>0</v>
      </c>
      <c r="AH1198" s="377">
        <v>0</v>
      </c>
      <c r="AI1198" s="132"/>
      <c r="AJ1198" s="132"/>
      <c r="AK1198" s="132"/>
      <c r="AL1198" s="132"/>
      <c r="AM1198" s="132"/>
      <c r="AN1198" s="136" t="s">
        <v>181</v>
      </c>
      <c r="AO1198" s="136"/>
      <c r="AP1198" s="136"/>
      <c r="AQ1198" s="136"/>
      <c r="AR1198" s="136"/>
      <c r="AS1198" s="136"/>
      <c r="AT1198" s="136"/>
      <c r="AU1198" s="646"/>
      <c r="AV1198" s="491"/>
    </row>
    <row r="1199" spans="1:48" s="153" customFormat="1" ht="50.25" customHeight="1" outlineLevel="2" x14ac:dyDescent="0.25">
      <c r="A1199" s="148" t="str">
        <f t="shared" si="191"/>
        <v>4.14.3.4.0.0</v>
      </c>
      <c r="B1199" s="82">
        <v>4</v>
      </c>
      <c r="C1199" s="82">
        <v>14</v>
      </c>
      <c r="D1199" s="82">
        <v>3</v>
      </c>
      <c r="E1199" s="82">
        <v>4</v>
      </c>
      <c r="F1199" s="82">
        <v>0</v>
      </c>
      <c r="G1199" s="82">
        <v>0</v>
      </c>
      <c r="H1199" s="149"/>
      <c r="I1199" s="149"/>
      <c r="J1199" s="1260" t="s">
        <v>1480</v>
      </c>
      <c r="K1199" s="1259"/>
      <c r="L1199" s="82" t="s">
        <v>1475</v>
      </c>
      <c r="M1199" s="83" t="s">
        <v>1449</v>
      </c>
      <c r="N1199" s="82" t="s">
        <v>1444</v>
      </c>
      <c r="O1199" s="82" t="s">
        <v>1445</v>
      </c>
      <c r="P1199" s="82"/>
      <c r="Q1199" s="82"/>
      <c r="R1199" s="82"/>
      <c r="S1199" s="149"/>
      <c r="T1199" s="82"/>
      <c r="U1199" s="513">
        <f t="shared" ref="U1199:AI1199" si="223">+SUM(U1200:U1207)</f>
        <v>4578610.0010000002</v>
      </c>
      <c r="V1199" s="693">
        <f t="shared" si="223"/>
        <v>1960116.44</v>
      </c>
      <c r="W1199" s="513">
        <f t="shared" si="223"/>
        <v>4039675</v>
      </c>
      <c r="X1199" s="513">
        <f t="shared" si="223"/>
        <v>-1807910.0009999997</v>
      </c>
      <c r="Y1199" s="513">
        <f t="shared" si="223"/>
        <v>0</v>
      </c>
      <c r="Z1199" s="513">
        <f t="shared" si="223"/>
        <v>4654350</v>
      </c>
      <c r="AA1199" s="513">
        <f t="shared" si="223"/>
        <v>114850</v>
      </c>
      <c r="AB1199" s="513">
        <f t="shared" si="223"/>
        <v>0</v>
      </c>
      <c r="AC1199" s="513">
        <f t="shared" si="223"/>
        <v>1787175</v>
      </c>
      <c r="AD1199" s="513">
        <f t="shared" si="223"/>
        <v>1782000</v>
      </c>
      <c r="AE1199" s="513">
        <f t="shared" si="223"/>
        <v>0</v>
      </c>
      <c r="AF1199" s="513">
        <f t="shared" si="223"/>
        <v>0</v>
      </c>
      <c r="AG1199" s="513">
        <f t="shared" si="223"/>
        <v>19802250</v>
      </c>
      <c r="AH1199" s="513">
        <f>+SUM(AH1200:AH1207)</f>
        <v>4667550</v>
      </c>
      <c r="AI1199" s="513">
        <f t="shared" si="223"/>
        <v>0</v>
      </c>
      <c r="AJ1199" s="513">
        <f t="shared" ref="AJ1199:AM1199" si="224">+SUM(AJ1200:AJ1207)</f>
        <v>1960116.44</v>
      </c>
      <c r="AK1199" s="513">
        <f t="shared" si="224"/>
        <v>0</v>
      </c>
      <c r="AL1199" s="513">
        <f t="shared" si="224"/>
        <v>0</v>
      </c>
      <c r="AM1199" s="513">
        <f t="shared" si="224"/>
        <v>0</v>
      </c>
      <c r="AN1199" s="82" t="s">
        <v>181</v>
      </c>
      <c r="AO1199" s="82"/>
      <c r="AP1199" s="82"/>
      <c r="AQ1199" s="82"/>
      <c r="AR1199" s="82"/>
      <c r="AS1199" s="82"/>
      <c r="AT1199" s="82"/>
      <c r="AU1199" s="666"/>
      <c r="AV1199" s="491"/>
    </row>
    <row r="1200" spans="1:48" ht="15" customHeight="1" outlineLevel="4" x14ac:dyDescent="0.25">
      <c r="A1200" s="63" t="str">
        <f t="shared" si="191"/>
        <v>4.14.3.4.1.64</v>
      </c>
      <c r="B1200" s="64">
        <v>4</v>
      </c>
      <c r="C1200" s="64">
        <v>14</v>
      </c>
      <c r="D1200" s="64">
        <v>3</v>
      </c>
      <c r="E1200" s="64">
        <v>4</v>
      </c>
      <c r="F1200" s="64">
        <v>1</v>
      </c>
      <c r="G1200" s="64">
        <v>64</v>
      </c>
      <c r="H1200" s="65"/>
      <c r="I1200" s="65"/>
      <c r="J1200" s="66"/>
      <c r="K1200" s="65" t="s">
        <v>1451</v>
      </c>
      <c r="L1200" s="64" t="s">
        <v>1452</v>
      </c>
      <c r="M1200" s="64" t="s">
        <v>1453</v>
      </c>
      <c r="N1200" s="64" t="s">
        <v>1444</v>
      </c>
      <c r="O1200" s="64" t="s">
        <v>1204</v>
      </c>
      <c r="P1200" s="69">
        <v>44571</v>
      </c>
      <c r="Q1200" s="69">
        <v>44925</v>
      </c>
      <c r="R1200" s="170">
        <v>11500</v>
      </c>
      <c r="S1200" s="170" t="s">
        <v>1454</v>
      </c>
      <c r="T1200" s="98">
        <v>0</v>
      </c>
      <c r="U1200" s="179">
        <f>+$AH1200/4</f>
        <v>0</v>
      </c>
      <c r="V1200" s="674">
        <f t="shared" si="220"/>
        <v>0</v>
      </c>
      <c r="W1200" s="97">
        <v>6325</v>
      </c>
      <c r="X1200" s="97"/>
      <c r="Y1200" s="97"/>
      <c r="Z1200" s="97"/>
      <c r="AA1200" s="97"/>
      <c r="AB1200" s="97"/>
      <c r="AC1200" s="97">
        <v>5175</v>
      </c>
      <c r="AD1200" s="97"/>
      <c r="AE1200" s="591"/>
      <c r="AF1200" s="259"/>
      <c r="AG1200" s="518">
        <v>0</v>
      </c>
      <c r="AH1200" s="370">
        <v>0</v>
      </c>
      <c r="AI1200" s="75"/>
      <c r="AJ1200" s="75"/>
      <c r="AK1200" s="75"/>
      <c r="AL1200" s="75"/>
      <c r="AM1200" s="75"/>
      <c r="AN1200" s="64" t="s">
        <v>181</v>
      </c>
      <c r="AO1200" s="64"/>
      <c r="AP1200" s="64"/>
      <c r="AQ1200" s="64"/>
      <c r="AR1200" s="64"/>
      <c r="AS1200" s="64"/>
      <c r="AT1200" s="64"/>
      <c r="AU1200" s="646"/>
      <c r="AV1200" s="491"/>
    </row>
    <row r="1201" spans="1:48" ht="15" customHeight="1" outlineLevel="4" x14ac:dyDescent="0.25">
      <c r="A1201" s="63" t="str">
        <f t="shared" si="191"/>
        <v>4.14.3.4.2.64</v>
      </c>
      <c r="B1201" s="64">
        <v>4</v>
      </c>
      <c r="C1201" s="64">
        <v>14</v>
      </c>
      <c r="D1201" s="64">
        <v>3</v>
      </c>
      <c r="E1201" s="64">
        <v>4</v>
      </c>
      <c r="F1201" s="64">
        <v>2</v>
      </c>
      <c r="G1201" s="100">
        <v>64</v>
      </c>
      <c r="H1201" s="65"/>
      <c r="I1201" s="65"/>
      <c r="J1201" s="65"/>
      <c r="K1201" s="65" t="s">
        <v>1455</v>
      </c>
      <c r="L1201" s="64" t="s">
        <v>1452</v>
      </c>
      <c r="M1201" s="64" t="s">
        <v>535</v>
      </c>
      <c r="N1201" s="64" t="s">
        <v>1444</v>
      </c>
      <c r="O1201" s="64" t="s">
        <v>1335</v>
      </c>
      <c r="P1201" s="69">
        <v>44571</v>
      </c>
      <c r="Q1201" s="69">
        <v>44925</v>
      </c>
      <c r="R1201" s="170">
        <f>598000/2</f>
        <v>299000</v>
      </c>
      <c r="S1201" s="170" t="s">
        <v>1456</v>
      </c>
      <c r="U1201" s="179"/>
      <c r="V1201" s="674">
        <f t="shared" si="220"/>
        <v>0</v>
      </c>
      <c r="W1201" s="75">
        <f>+$R1201*4.5</f>
        <v>1345500</v>
      </c>
      <c r="X1201" s="179">
        <f>+$AH1201/2</f>
        <v>0</v>
      </c>
      <c r="Y1201" s="179"/>
      <c r="Z1201" s="75">
        <f>+$R1201*4.5</f>
        <v>1345500</v>
      </c>
      <c r="AA1201" s="179">
        <f>+$AH1201/2</f>
        <v>0</v>
      </c>
      <c r="AB1201" s="179"/>
      <c r="AC1201" s="97"/>
      <c r="AD1201" s="97"/>
      <c r="AE1201" s="591"/>
      <c r="AF1201" s="353" t="s">
        <v>535</v>
      </c>
      <c r="AG1201" s="518">
        <v>1345500</v>
      </c>
      <c r="AH1201" s="370">
        <v>0</v>
      </c>
      <c r="AI1201" s="75"/>
      <c r="AJ1201" s="75"/>
      <c r="AK1201" s="75"/>
      <c r="AL1201" s="75"/>
      <c r="AM1201" s="75"/>
      <c r="AN1201" s="171" t="s">
        <v>181</v>
      </c>
      <c r="AO1201" s="171"/>
      <c r="AP1201" s="171"/>
      <c r="AQ1201" s="171"/>
      <c r="AS1201" s="171"/>
      <c r="AV1201" s="491"/>
    </row>
    <row r="1202" spans="1:48" ht="14.45" customHeight="1" outlineLevel="4" x14ac:dyDescent="0.25">
      <c r="A1202" s="63" t="str">
        <f t="shared" si="191"/>
        <v>4.14.3.4.3.64</v>
      </c>
      <c r="B1202" s="64">
        <v>4</v>
      </c>
      <c r="C1202" s="64">
        <v>14</v>
      </c>
      <c r="D1202" s="64">
        <v>3</v>
      </c>
      <c r="E1202" s="64">
        <v>4</v>
      </c>
      <c r="F1202" s="64">
        <v>3</v>
      </c>
      <c r="G1202" s="100">
        <v>64</v>
      </c>
      <c r="H1202" s="65"/>
      <c r="I1202" s="65"/>
      <c r="J1202" s="66"/>
      <c r="K1202" s="65" t="s">
        <v>1457</v>
      </c>
      <c r="L1202" s="64" t="s">
        <v>72</v>
      </c>
      <c r="M1202" s="64" t="s">
        <v>1458</v>
      </c>
      <c r="N1202" s="64" t="s">
        <v>1444</v>
      </c>
      <c r="O1202" s="64" t="s">
        <v>1445</v>
      </c>
      <c r="P1202" s="69">
        <v>44571</v>
      </c>
      <c r="Q1202" s="69">
        <v>44925</v>
      </c>
      <c r="R1202" s="124">
        <v>324</v>
      </c>
      <c r="S1202" s="65" t="s">
        <v>1459</v>
      </c>
      <c r="T1202" s="225">
        <f>324*125*22*12/4</f>
        <v>2673000</v>
      </c>
      <c r="U1202" s="179">
        <f>+$AH1202/2</f>
        <v>1320500</v>
      </c>
      <c r="V1202" s="674">
        <f t="shared" si="220"/>
        <v>0</v>
      </c>
      <c r="W1202" s="132">
        <f>324*125*22*12/4</f>
        <v>2673000</v>
      </c>
      <c r="X1202" s="179">
        <f>+$AH1202/2</f>
        <v>1320500</v>
      </c>
      <c r="Y1202" s="179"/>
      <c r="Z1202" s="132">
        <f>324*125*22*12/4</f>
        <v>2673000</v>
      </c>
      <c r="AA1202" s="179"/>
      <c r="AB1202" s="179"/>
      <c r="AC1202" s="132"/>
      <c r="AD1202" s="179"/>
      <c r="AE1202" s="616"/>
      <c r="AF1202" s="259" t="s">
        <v>1457</v>
      </c>
      <c r="AG1202" s="518">
        <v>891000</v>
      </c>
      <c r="AH1202" s="377">
        <v>2641000</v>
      </c>
      <c r="AI1202" s="132"/>
      <c r="AJ1202" s="132"/>
      <c r="AK1202" s="132"/>
      <c r="AL1202" s="132"/>
      <c r="AM1202" s="132"/>
      <c r="AN1202" s="64" t="s">
        <v>181</v>
      </c>
      <c r="AO1202" s="64"/>
      <c r="AP1202" s="64"/>
      <c r="AQ1202" s="64"/>
      <c r="AR1202" s="64"/>
      <c r="AS1202" s="64"/>
      <c r="AT1202" s="64"/>
      <c r="AU1202" s="646"/>
      <c r="AV1202" s="494"/>
    </row>
    <row r="1203" spans="1:48" ht="14.45" customHeight="1" outlineLevel="4" x14ac:dyDescent="0.25">
      <c r="A1203" s="63" t="str">
        <f t="shared" si="191"/>
        <v>4.14.3.4.4.64</v>
      </c>
      <c r="B1203" s="64">
        <v>4</v>
      </c>
      <c r="C1203" s="64">
        <v>14</v>
      </c>
      <c r="D1203" s="64">
        <v>3</v>
      </c>
      <c r="E1203" s="64">
        <v>4</v>
      </c>
      <c r="F1203" s="64">
        <v>4</v>
      </c>
      <c r="G1203" s="64">
        <v>64</v>
      </c>
      <c r="H1203" s="65"/>
      <c r="I1203" s="65"/>
      <c r="J1203" s="66"/>
      <c r="K1203" s="67" t="s">
        <v>1460</v>
      </c>
      <c r="L1203" s="64" t="s">
        <v>72</v>
      </c>
      <c r="M1203" s="64" t="s">
        <v>76</v>
      </c>
      <c r="N1203" s="64" t="s">
        <v>1444</v>
      </c>
      <c r="O1203" s="64" t="s">
        <v>1445</v>
      </c>
      <c r="P1203" s="69">
        <v>44571</v>
      </c>
      <c r="Q1203" s="69">
        <v>44925</v>
      </c>
      <c r="R1203" s="124">
        <v>2</v>
      </c>
      <c r="S1203" s="65" t="s">
        <v>1461</v>
      </c>
      <c r="T1203" s="225">
        <f>27*23000</f>
        <v>621000</v>
      </c>
      <c r="U1203" s="179">
        <f>+$AH1203/2</f>
        <v>100000</v>
      </c>
      <c r="V1203" s="702">
        <f t="shared" si="220"/>
        <v>15966.44</v>
      </c>
      <c r="W1203" s="75"/>
      <c r="X1203" s="75"/>
      <c r="Y1203" s="75"/>
      <c r="Z1203" s="132">
        <f>27*23000</f>
        <v>621000</v>
      </c>
      <c r="AA1203" s="179">
        <f>+$AH1203/2</f>
        <v>100000</v>
      </c>
      <c r="AB1203" s="179"/>
      <c r="AC1203" s="97"/>
      <c r="AD1203" s="97"/>
      <c r="AE1203" s="591"/>
      <c r="AF1203" s="259" t="s">
        <v>1462</v>
      </c>
      <c r="AG1203" s="518">
        <v>414000</v>
      </c>
      <c r="AH1203" s="370">
        <v>200000</v>
      </c>
      <c r="AI1203" s="132"/>
      <c r="AJ1203" s="552">
        <v>15966.44</v>
      </c>
      <c r="AK1203" s="132"/>
      <c r="AL1203" s="132"/>
      <c r="AM1203" s="132"/>
      <c r="AN1203" s="64" t="s">
        <v>181</v>
      </c>
      <c r="AO1203" s="64" t="s">
        <v>1819</v>
      </c>
      <c r="AP1203" s="64" t="s">
        <v>1824</v>
      </c>
      <c r="AQ1203" s="64" t="s">
        <v>1825</v>
      </c>
      <c r="AR1203" s="189" t="s">
        <v>1826</v>
      </c>
      <c r="AS1203" s="554">
        <v>44509</v>
      </c>
      <c r="AT1203" s="554">
        <v>44441</v>
      </c>
      <c r="AU1203" s="646">
        <v>124</v>
      </c>
      <c r="AV1203" s="495"/>
    </row>
    <row r="1204" spans="1:48" s="212" customFormat="1" ht="17.25" customHeight="1" outlineLevel="3" x14ac:dyDescent="0.25">
      <c r="A1204" s="210" t="str">
        <f t="shared" si="191"/>
        <v>4.14.3.4.5.64</v>
      </c>
      <c r="B1204" s="136">
        <v>4</v>
      </c>
      <c r="C1204" s="136">
        <v>14</v>
      </c>
      <c r="D1204" s="136">
        <v>3</v>
      </c>
      <c r="E1204" s="136">
        <v>4</v>
      </c>
      <c r="F1204" s="136">
        <v>5</v>
      </c>
      <c r="G1204" s="136">
        <v>64</v>
      </c>
      <c r="H1204" s="125"/>
      <c r="I1204" s="125"/>
      <c r="J1204" s="213"/>
      <c r="K1204" s="125" t="s">
        <v>1463</v>
      </c>
      <c r="L1204" s="136" t="s">
        <v>1452</v>
      </c>
      <c r="M1204" s="136" t="s">
        <v>1464</v>
      </c>
      <c r="N1204" s="136" t="s">
        <v>1444</v>
      </c>
      <c r="O1204" s="136" t="s">
        <v>1204</v>
      </c>
      <c r="P1204" s="214">
        <v>44571</v>
      </c>
      <c r="Q1204" s="214">
        <v>44925</v>
      </c>
      <c r="R1204" s="136">
        <v>12</v>
      </c>
      <c r="S1204" s="125" t="s">
        <v>1465</v>
      </c>
      <c r="T1204" s="124">
        <f>+$AH1204/4</f>
        <v>14850</v>
      </c>
      <c r="U1204" s="179">
        <f>+$AH1204/4</f>
        <v>14850</v>
      </c>
      <c r="V1204" s="674">
        <f t="shared" si="220"/>
        <v>0</v>
      </c>
      <c r="W1204" s="75">
        <f>+$AH1204/4</f>
        <v>14850</v>
      </c>
      <c r="X1204" s="179">
        <f>+$AH1204/4</f>
        <v>14850</v>
      </c>
      <c r="Y1204" s="179"/>
      <c r="Z1204" s="75">
        <f>+$AH1204/4</f>
        <v>14850</v>
      </c>
      <c r="AA1204" s="179">
        <f>+$AH1204/4</f>
        <v>14850</v>
      </c>
      <c r="AB1204" s="179"/>
      <c r="AC1204" s="75">
        <f>+$AH1204/4</f>
        <v>14850</v>
      </c>
      <c r="AD1204" s="179">
        <f>+$AH1204/4</f>
        <v>14850</v>
      </c>
      <c r="AE1204" s="616"/>
      <c r="AF1204" s="349" t="s">
        <v>1466</v>
      </c>
      <c r="AG1204" s="518">
        <v>59400</v>
      </c>
      <c r="AH1204" s="377">
        <v>59400</v>
      </c>
      <c r="AI1204" s="132"/>
      <c r="AJ1204" s="132"/>
      <c r="AK1204" s="132"/>
      <c r="AL1204" s="132"/>
      <c r="AM1204" s="132"/>
      <c r="AN1204" s="136" t="s">
        <v>181</v>
      </c>
      <c r="AO1204" s="136"/>
      <c r="AP1204" s="136"/>
      <c r="AQ1204" s="136"/>
      <c r="AR1204" s="136"/>
      <c r="AS1204" s="136"/>
      <c r="AT1204" s="136"/>
      <c r="AU1204" s="646"/>
      <c r="AV1204" s="491"/>
    </row>
    <row r="1205" spans="1:48" ht="15" customHeight="1" outlineLevel="4" x14ac:dyDescent="0.25">
      <c r="A1205" s="63" t="str">
        <f t="shared" si="191"/>
        <v>4.14.3.4.6.64</v>
      </c>
      <c r="B1205" s="64">
        <v>4</v>
      </c>
      <c r="C1205" s="64">
        <v>14</v>
      </c>
      <c r="D1205" s="64">
        <v>3</v>
      </c>
      <c r="E1205" s="64">
        <v>4</v>
      </c>
      <c r="F1205" s="64">
        <v>6</v>
      </c>
      <c r="G1205" s="64">
        <v>64</v>
      </c>
      <c r="H1205" s="65"/>
      <c r="I1205" s="65"/>
      <c r="J1205" s="66"/>
      <c r="K1205" s="65" t="s">
        <v>1467</v>
      </c>
      <c r="L1205" s="64" t="s">
        <v>264</v>
      </c>
      <c r="M1205" s="64" t="s">
        <v>144</v>
      </c>
      <c r="N1205" s="64" t="s">
        <v>265</v>
      </c>
      <c r="O1205" s="64" t="s">
        <v>668</v>
      </c>
      <c r="P1205" s="69">
        <v>44571</v>
      </c>
      <c r="Q1205" s="69">
        <v>44925</v>
      </c>
      <c r="R1205" s="64">
        <v>324</v>
      </c>
      <c r="S1205" s="65" t="s">
        <v>1468</v>
      </c>
      <c r="T1205" s="64"/>
      <c r="U1205" s="179"/>
      <c r="V1205" s="674">
        <f t="shared" si="220"/>
        <v>0</v>
      </c>
      <c r="W1205" s="75"/>
      <c r="X1205" s="75"/>
      <c r="Y1205" s="75"/>
      <c r="Z1205" s="75"/>
      <c r="AA1205" s="75"/>
      <c r="AB1205" s="75"/>
      <c r="AC1205" s="97">
        <f>+AH1205</f>
        <v>1767150</v>
      </c>
      <c r="AD1205" s="97">
        <f>+AH1205</f>
        <v>1767150</v>
      </c>
      <c r="AE1205" s="591"/>
      <c r="AF1205" s="259" t="s">
        <v>1469</v>
      </c>
      <c r="AG1205" s="518">
        <v>1767150</v>
      </c>
      <c r="AH1205" s="377">
        <v>1767150</v>
      </c>
      <c r="AI1205" s="132"/>
      <c r="AJ1205" s="132"/>
      <c r="AK1205" s="132"/>
      <c r="AL1205" s="132"/>
      <c r="AM1205" s="132"/>
      <c r="AN1205" s="64" t="s">
        <v>181</v>
      </c>
      <c r="AO1205" s="64"/>
      <c r="AP1205" s="64"/>
      <c r="AQ1205" s="64"/>
      <c r="AR1205" s="64"/>
      <c r="AS1205" s="64"/>
      <c r="AT1205" s="64"/>
      <c r="AU1205" s="646"/>
      <c r="AV1205" s="491"/>
    </row>
    <row r="1206" spans="1:48" ht="14.45" customHeight="1" outlineLevel="4" x14ac:dyDescent="0.25">
      <c r="A1206" s="63" t="str">
        <f t="shared" si="191"/>
        <v>4.14.3.4.7.64</v>
      </c>
      <c r="B1206" s="64">
        <v>4</v>
      </c>
      <c r="C1206" s="64">
        <v>14</v>
      </c>
      <c r="D1206" s="64">
        <v>3</v>
      </c>
      <c r="E1206" s="64">
        <v>4</v>
      </c>
      <c r="F1206" s="64">
        <v>7</v>
      </c>
      <c r="G1206" s="64">
        <v>64</v>
      </c>
      <c r="H1206" s="65"/>
      <c r="I1206" s="65"/>
      <c r="J1206" s="65"/>
      <c r="K1206" s="65" t="s">
        <v>1885</v>
      </c>
      <c r="L1206" s="64" t="s">
        <v>264</v>
      </c>
      <c r="M1206" s="64" t="s">
        <v>144</v>
      </c>
      <c r="N1206" s="64" t="s">
        <v>1476</v>
      </c>
      <c r="O1206" s="64" t="s">
        <v>668</v>
      </c>
      <c r="P1206" s="69">
        <v>44571</v>
      </c>
      <c r="Q1206" s="69">
        <v>44925</v>
      </c>
      <c r="R1206" s="124">
        <v>297</v>
      </c>
      <c r="S1206" s="65" t="s">
        <v>1470</v>
      </c>
      <c r="T1206" s="225">
        <f>+$AH1206/4</f>
        <v>0</v>
      </c>
      <c r="U1206" s="78">
        <v>3143260.0009999997</v>
      </c>
      <c r="V1206" s="674">
        <f t="shared" si="220"/>
        <v>1944150</v>
      </c>
      <c r="W1206" s="132">
        <f>+$AH1206/4</f>
        <v>0</v>
      </c>
      <c r="X1206" s="78">
        <f>+AH1206-U1206</f>
        <v>-3143260.0009999997</v>
      </c>
      <c r="Y1206" s="253"/>
      <c r="Z1206" s="132">
        <f>+$AH1206/4</f>
        <v>0</v>
      </c>
      <c r="AA1206" s="253">
        <v>0</v>
      </c>
      <c r="AB1206" s="253"/>
      <c r="AC1206" s="132">
        <f>+$AH1206/4</f>
        <v>0</v>
      </c>
      <c r="AD1206" s="253">
        <v>0</v>
      </c>
      <c r="AE1206" s="608"/>
      <c r="AF1206" s="259" t="s">
        <v>672</v>
      </c>
      <c r="AG1206" s="518">
        <v>15325200</v>
      </c>
      <c r="AH1206" s="370">
        <v>0</v>
      </c>
      <c r="AI1206" s="565"/>
      <c r="AJ1206" s="565">
        <f>486250+848950+608950</f>
        <v>1944150</v>
      </c>
      <c r="AK1206" s="281"/>
      <c r="AL1206" s="281"/>
      <c r="AM1206" s="281"/>
      <c r="AN1206" s="64" t="s">
        <v>181</v>
      </c>
      <c r="AO1206" s="543" t="s">
        <v>1839</v>
      </c>
      <c r="AP1206" s="543" t="s">
        <v>649</v>
      </c>
      <c r="AQ1206" s="543" t="s">
        <v>649</v>
      </c>
      <c r="AR1206" s="554">
        <v>44562</v>
      </c>
      <c r="AS1206" s="554">
        <v>44561</v>
      </c>
      <c r="AT1206" s="64" t="s">
        <v>1814</v>
      </c>
      <c r="AU1206" s="646" t="s">
        <v>2003</v>
      </c>
      <c r="AV1206" s="67" t="s">
        <v>2002</v>
      </c>
    </row>
    <row r="1207" spans="1:48" ht="32.1" customHeight="1" outlineLevel="3" x14ac:dyDescent="0.25">
      <c r="A1207" s="63" t="str">
        <f t="shared" si="191"/>
        <v>4.14.3.4.8.64</v>
      </c>
      <c r="B1207" s="64">
        <v>4</v>
      </c>
      <c r="C1207" s="64">
        <v>14</v>
      </c>
      <c r="D1207" s="64">
        <v>3</v>
      </c>
      <c r="E1207" s="64">
        <v>4</v>
      </c>
      <c r="F1207" s="64">
        <v>8</v>
      </c>
      <c r="G1207" s="64">
        <v>64</v>
      </c>
      <c r="H1207" s="65"/>
      <c r="I1207" s="65"/>
      <c r="J1207" s="65"/>
      <c r="K1207" s="125" t="s">
        <v>1472</v>
      </c>
      <c r="L1207" s="64" t="s">
        <v>72</v>
      </c>
      <c r="M1207" s="64" t="s">
        <v>1473</v>
      </c>
      <c r="N1207" s="64" t="s">
        <v>1249</v>
      </c>
      <c r="O1207" s="64" t="s">
        <v>72</v>
      </c>
      <c r="P1207" s="69">
        <v>44571</v>
      </c>
      <c r="Q1207" s="69">
        <v>44925</v>
      </c>
      <c r="R1207" s="124"/>
      <c r="S1207" s="65"/>
      <c r="T1207" s="124"/>
      <c r="U1207" s="179">
        <f>+$AH1207/4</f>
        <v>0</v>
      </c>
      <c r="V1207" s="674">
        <f t="shared" si="220"/>
        <v>0</v>
      </c>
      <c r="W1207" s="75"/>
      <c r="X1207" s="75"/>
      <c r="Y1207" s="75"/>
      <c r="Z1207" s="75"/>
      <c r="AA1207" s="75"/>
      <c r="AB1207" s="75"/>
      <c r="AC1207" s="97"/>
      <c r="AD1207" s="97"/>
      <c r="AE1207" s="591"/>
      <c r="AF1207" s="259"/>
      <c r="AG1207" s="518">
        <v>0</v>
      </c>
      <c r="AH1207" s="370">
        <v>0</v>
      </c>
      <c r="AI1207" s="75"/>
      <c r="AJ1207" s="75"/>
      <c r="AK1207" s="75"/>
      <c r="AL1207" s="75"/>
      <c r="AM1207" s="75"/>
      <c r="AN1207" s="64" t="s">
        <v>181</v>
      </c>
      <c r="AO1207" s="64"/>
      <c r="AP1207" s="64"/>
      <c r="AQ1207" s="64"/>
      <c r="AR1207" s="64"/>
      <c r="AS1207" s="64"/>
      <c r="AT1207" s="64"/>
      <c r="AU1207" s="646"/>
      <c r="AV1207" s="491"/>
    </row>
    <row r="1208" spans="1:48" s="153" customFormat="1" ht="46.5" customHeight="1" outlineLevel="2" x14ac:dyDescent="0.25">
      <c r="A1208" s="148" t="str">
        <f t="shared" si="191"/>
        <v>4.14.3.5.0.0</v>
      </c>
      <c r="B1208" s="82">
        <v>4</v>
      </c>
      <c r="C1208" s="82">
        <v>14</v>
      </c>
      <c r="D1208" s="82">
        <v>3</v>
      </c>
      <c r="E1208" s="82">
        <v>5</v>
      </c>
      <c r="F1208" s="82">
        <v>0</v>
      </c>
      <c r="G1208" s="82">
        <v>0</v>
      </c>
      <c r="H1208" s="149"/>
      <c r="I1208" s="149"/>
      <c r="J1208" s="1260" t="s">
        <v>1481</v>
      </c>
      <c r="K1208" s="1259"/>
      <c r="L1208" s="82" t="s">
        <v>1475</v>
      </c>
      <c r="M1208" s="83" t="s">
        <v>1449</v>
      </c>
      <c r="N1208" s="82" t="s">
        <v>1444</v>
      </c>
      <c r="O1208" s="82" t="s">
        <v>1445</v>
      </c>
      <c r="P1208" s="82"/>
      <c r="Q1208" s="82"/>
      <c r="R1208" s="82"/>
      <c r="S1208" s="149"/>
      <c r="T1208" s="82"/>
      <c r="U1208" s="513">
        <f t="shared" ref="U1208:AI1208" si="225">+SUM(U1209:U1216)</f>
        <v>5637805.0010000002</v>
      </c>
      <c r="V1208" s="693">
        <f t="shared" si="225"/>
        <v>4346116.4400000004</v>
      </c>
      <c r="W1208" s="513">
        <f t="shared" si="225"/>
        <v>869510</v>
      </c>
      <c r="X1208" s="513">
        <f t="shared" si="225"/>
        <v>-2825405.0009999997</v>
      </c>
      <c r="Y1208" s="513">
        <f t="shared" si="225"/>
        <v>0</v>
      </c>
      <c r="Z1208" s="513" t="e">
        <f t="shared" si="225"/>
        <v>#REF!</v>
      </c>
      <c r="AA1208" s="513">
        <f t="shared" si="225"/>
        <v>152200</v>
      </c>
      <c r="AB1208" s="513">
        <f t="shared" si="225"/>
        <v>0</v>
      </c>
      <c r="AC1208" s="513">
        <f t="shared" si="225"/>
        <v>1759390</v>
      </c>
      <c r="AD1208" s="513">
        <f t="shared" si="225"/>
        <v>903050</v>
      </c>
      <c r="AE1208" s="513">
        <f t="shared" si="225"/>
        <v>0</v>
      </c>
      <c r="AF1208" s="513">
        <f t="shared" si="225"/>
        <v>0</v>
      </c>
      <c r="AG1208" s="513">
        <f t="shared" si="225"/>
        <v>19352166.666666664</v>
      </c>
      <c r="AH1208" s="513">
        <f>+SUM(AH1209:AH1216)</f>
        <v>4718500</v>
      </c>
      <c r="AI1208" s="513">
        <f t="shared" si="225"/>
        <v>0</v>
      </c>
      <c r="AJ1208" s="513">
        <f>+SUM(AJ1209:AJ1216)</f>
        <v>4346116.4400000004</v>
      </c>
      <c r="AK1208" s="198"/>
      <c r="AL1208" s="198"/>
      <c r="AM1208" s="198"/>
      <c r="AN1208" s="82" t="s">
        <v>181</v>
      </c>
      <c r="AO1208" s="82"/>
      <c r="AP1208" s="82"/>
      <c r="AQ1208" s="82"/>
      <c r="AR1208" s="82"/>
      <c r="AS1208" s="489"/>
      <c r="AT1208" s="82"/>
      <c r="AU1208" s="666"/>
      <c r="AV1208" s="491"/>
    </row>
    <row r="1209" spans="1:48" ht="15" customHeight="1" outlineLevel="3" x14ac:dyDescent="0.25">
      <c r="A1209" s="63" t="str">
        <f t="shared" si="191"/>
        <v>4.14.3.5.1.61</v>
      </c>
      <c r="B1209" s="64">
        <v>4</v>
      </c>
      <c r="C1209" s="64">
        <v>14</v>
      </c>
      <c r="D1209" s="64">
        <v>3</v>
      </c>
      <c r="E1209" s="64">
        <v>5</v>
      </c>
      <c r="F1209" s="64">
        <v>1</v>
      </c>
      <c r="G1209" s="64">
        <v>61</v>
      </c>
      <c r="H1209" s="65"/>
      <c r="I1209" s="65"/>
      <c r="J1209" s="66"/>
      <c r="K1209" s="65" t="s">
        <v>1451</v>
      </c>
      <c r="L1209" s="64" t="s">
        <v>1452</v>
      </c>
      <c r="M1209" s="64" t="s">
        <v>1453</v>
      </c>
      <c r="N1209" s="64" t="s">
        <v>1444</v>
      </c>
      <c r="O1209" s="64" t="s">
        <v>1204</v>
      </c>
      <c r="P1209" s="69">
        <v>44571</v>
      </c>
      <c r="Q1209" s="69">
        <v>44925</v>
      </c>
      <c r="R1209" s="124">
        <v>12200</v>
      </c>
      <c r="S1209" s="170" t="s">
        <v>1454</v>
      </c>
      <c r="T1209" s="98">
        <v>0</v>
      </c>
      <c r="U1209" s="179">
        <f>$AH1209/4</f>
        <v>0</v>
      </c>
      <c r="V1209" s="674">
        <f t="shared" si="220"/>
        <v>0</v>
      </c>
      <c r="W1209" s="97">
        <v>6710</v>
      </c>
      <c r="X1209" s="97"/>
      <c r="Y1209" s="97"/>
      <c r="Z1209" s="97"/>
      <c r="AA1209" s="97"/>
      <c r="AB1209" s="97"/>
      <c r="AC1209" s="97">
        <v>5490</v>
      </c>
      <c r="AD1209" s="97"/>
      <c r="AE1209" s="591"/>
      <c r="AF1209" s="259"/>
      <c r="AG1209" s="518">
        <v>0</v>
      </c>
      <c r="AH1209" s="370">
        <v>0</v>
      </c>
      <c r="AI1209" s="75"/>
      <c r="AJ1209" s="75"/>
      <c r="AK1209" s="75"/>
      <c r="AL1209" s="75"/>
      <c r="AM1209" s="75"/>
      <c r="AN1209" s="64" t="s">
        <v>181</v>
      </c>
      <c r="AO1209" s="64"/>
      <c r="AP1209" s="64"/>
      <c r="AQ1209" s="64"/>
      <c r="AR1209" s="64"/>
      <c r="AS1209" s="64"/>
      <c r="AT1209" s="64"/>
      <c r="AU1209" s="646"/>
      <c r="AV1209" s="491"/>
    </row>
    <row r="1210" spans="1:48" ht="14.45" customHeight="1" outlineLevel="3" x14ac:dyDescent="0.25">
      <c r="A1210" s="63" t="str">
        <f t="shared" si="191"/>
        <v>4.14.3.5.2.61</v>
      </c>
      <c r="B1210" s="64">
        <v>4</v>
      </c>
      <c r="C1210" s="64">
        <v>14</v>
      </c>
      <c r="D1210" s="64">
        <v>3</v>
      </c>
      <c r="E1210" s="64">
        <v>5</v>
      </c>
      <c r="F1210" s="64">
        <v>2</v>
      </c>
      <c r="G1210" s="100">
        <v>61</v>
      </c>
      <c r="H1210" s="65"/>
      <c r="I1210" s="65"/>
      <c r="J1210" s="66"/>
      <c r="K1210" s="65" t="s">
        <v>1455</v>
      </c>
      <c r="L1210" s="64" t="s">
        <v>1452</v>
      </c>
      <c r="M1210" s="64" t="s">
        <v>535</v>
      </c>
      <c r="N1210" s="64" t="s">
        <v>1444</v>
      </c>
      <c r="O1210" s="64" t="s">
        <v>1335</v>
      </c>
      <c r="P1210" s="69">
        <v>44571</v>
      </c>
      <c r="Q1210" s="69">
        <v>44925</v>
      </c>
      <c r="R1210" s="124">
        <f>634400/2</f>
        <v>317200</v>
      </c>
      <c r="S1210" s="65" t="s">
        <v>1456</v>
      </c>
      <c r="T1210" s="64"/>
      <c r="U1210" s="179"/>
      <c r="V1210" s="674">
        <f t="shared" si="220"/>
        <v>0</v>
      </c>
      <c r="W1210" s="75">
        <f>+R1210/2</f>
        <v>158600</v>
      </c>
      <c r="X1210" s="179">
        <f>$AH1210/2</f>
        <v>0</v>
      </c>
      <c r="Y1210" s="179"/>
      <c r="Z1210" s="75">
        <f>+R1210/2</f>
        <v>158600</v>
      </c>
      <c r="AA1210" s="179">
        <f>$AH1210/2</f>
        <v>0</v>
      </c>
      <c r="AB1210" s="179"/>
      <c r="AC1210" s="97"/>
      <c r="AD1210" s="97"/>
      <c r="AE1210" s="591"/>
      <c r="AF1210" s="259" t="s">
        <v>535</v>
      </c>
      <c r="AG1210" s="518">
        <v>1427400</v>
      </c>
      <c r="AH1210" s="377">
        <v>0</v>
      </c>
      <c r="AI1210" s="132"/>
      <c r="AJ1210" s="132"/>
      <c r="AK1210" s="132"/>
      <c r="AL1210" s="132"/>
      <c r="AM1210" s="132"/>
      <c r="AN1210" s="64" t="s">
        <v>181</v>
      </c>
      <c r="AO1210" s="64"/>
      <c r="AP1210" s="64"/>
      <c r="AQ1210" s="64"/>
      <c r="AR1210" s="64"/>
      <c r="AS1210" s="64"/>
      <c r="AT1210" s="64"/>
      <c r="AU1210" s="646"/>
      <c r="AV1210" s="491"/>
    </row>
    <row r="1211" spans="1:48" ht="14.45" customHeight="1" outlineLevel="3" x14ac:dyDescent="0.25">
      <c r="A1211" s="63" t="str">
        <f t="shared" si="191"/>
        <v>4.14.3.5.3.61</v>
      </c>
      <c r="B1211" s="64">
        <v>4</v>
      </c>
      <c r="C1211" s="64">
        <v>14</v>
      </c>
      <c r="D1211" s="64">
        <v>3</v>
      </c>
      <c r="E1211" s="64">
        <v>5</v>
      </c>
      <c r="F1211" s="64">
        <v>3</v>
      </c>
      <c r="G1211" s="100">
        <v>61</v>
      </c>
      <c r="H1211" s="65"/>
      <c r="I1211" s="65"/>
      <c r="J1211" s="66"/>
      <c r="K1211" s="65" t="s">
        <v>1457</v>
      </c>
      <c r="L1211" s="64" t="s">
        <v>72</v>
      </c>
      <c r="M1211" s="64" t="s">
        <v>1458</v>
      </c>
      <c r="N1211" s="64" t="s">
        <v>1444</v>
      </c>
      <c r="O1211" s="64" t="s">
        <v>1445</v>
      </c>
      <c r="P1211" s="69">
        <v>44571</v>
      </c>
      <c r="Q1211" s="69">
        <v>44925</v>
      </c>
      <c r="R1211" s="124">
        <v>312</v>
      </c>
      <c r="S1211" s="65" t="s">
        <v>1459</v>
      </c>
      <c r="T1211" s="225">
        <f>+$AH1211/4</f>
        <v>652000</v>
      </c>
      <c r="U1211" s="179">
        <f>$AH1211/2</f>
        <v>1304000</v>
      </c>
      <c r="V1211" s="674">
        <f t="shared" si="220"/>
        <v>0</v>
      </c>
      <c r="W1211" s="132">
        <f>+$AH1211/4</f>
        <v>652000</v>
      </c>
      <c r="X1211" s="179">
        <f>$AH1211/2</f>
        <v>1304000</v>
      </c>
      <c r="Y1211" s="179"/>
      <c r="Z1211" s="132">
        <f>+$AH1211/4</f>
        <v>652000</v>
      </c>
      <c r="AA1211" s="179"/>
      <c r="AB1211" s="179"/>
      <c r="AC1211" s="132"/>
      <c r="AD1211" s="179"/>
      <c r="AE1211" s="616"/>
      <c r="AF1211" s="259" t="s">
        <v>1457</v>
      </c>
      <c r="AG1211" s="518">
        <v>858000</v>
      </c>
      <c r="AH1211" s="377">
        <v>2608000</v>
      </c>
      <c r="AI1211" s="132"/>
      <c r="AJ1211" s="132"/>
      <c r="AK1211" s="132"/>
      <c r="AL1211" s="132"/>
      <c r="AM1211" s="132"/>
      <c r="AN1211" s="64" t="s">
        <v>181</v>
      </c>
      <c r="AO1211" s="64"/>
      <c r="AP1211" s="64"/>
      <c r="AQ1211" s="64"/>
      <c r="AR1211" s="64"/>
      <c r="AS1211" s="64"/>
      <c r="AT1211" s="64"/>
      <c r="AU1211" s="646"/>
      <c r="AV1211" s="494"/>
    </row>
    <row r="1212" spans="1:48" ht="14.45" customHeight="1" outlineLevel="3" x14ac:dyDescent="0.25">
      <c r="A1212" s="63" t="str">
        <f t="shared" si="191"/>
        <v>4.14.3.5.4.61</v>
      </c>
      <c r="B1212" s="64">
        <v>4</v>
      </c>
      <c r="C1212" s="64">
        <v>14</v>
      </c>
      <c r="D1212" s="64">
        <v>3</v>
      </c>
      <c r="E1212" s="64">
        <v>5</v>
      </c>
      <c r="F1212" s="64">
        <v>4</v>
      </c>
      <c r="G1212" s="64">
        <v>61</v>
      </c>
      <c r="H1212" s="65"/>
      <c r="I1212" s="65"/>
      <c r="J1212" s="66"/>
      <c r="K1212" s="67" t="s">
        <v>1460</v>
      </c>
      <c r="L1212" s="64" t="s">
        <v>72</v>
      </c>
      <c r="M1212" s="64" t="s">
        <v>76</v>
      </c>
      <c r="N1212" s="64" t="s">
        <v>1444</v>
      </c>
      <c r="O1212" s="64" t="s">
        <v>1445</v>
      </c>
      <c r="P1212" s="69">
        <v>44571</v>
      </c>
      <c r="Q1212" s="69">
        <v>44925</v>
      </c>
      <c r="R1212" s="124">
        <v>2</v>
      </c>
      <c r="S1212" s="65" t="s">
        <v>1461</v>
      </c>
      <c r="T1212" s="124">
        <f>26*23000</f>
        <v>598000</v>
      </c>
      <c r="U1212" s="179">
        <f>$AH1212/2</f>
        <v>100000</v>
      </c>
      <c r="V1212" s="702">
        <f t="shared" si="220"/>
        <v>15966.44</v>
      </c>
      <c r="W1212" s="75"/>
      <c r="X1212" s="75"/>
      <c r="Y1212" s="75"/>
      <c r="Z1212" s="75">
        <f>26*23000</f>
        <v>598000</v>
      </c>
      <c r="AA1212" s="179">
        <f>$AH1212/2</f>
        <v>100000</v>
      </c>
      <c r="AB1212" s="179"/>
      <c r="AC1212" s="97"/>
      <c r="AD1212" s="97"/>
      <c r="AE1212" s="591"/>
      <c r="AF1212" s="259" t="s">
        <v>1462</v>
      </c>
      <c r="AG1212" s="518">
        <v>398666.66666666669</v>
      </c>
      <c r="AH1212" s="370">
        <v>200000</v>
      </c>
      <c r="AI1212" s="132"/>
      <c r="AJ1212" s="552">
        <v>15966.44</v>
      </c>
      <c r="AK1212" s="132"/>
      <c r="AL1212" s="132"/>
      <c r="AM1212" s="132"/>
      <c r="AN1212" s="64" t="s">
        <v>181</v>
      </c>
      <c r="AO1212" s="64" t="s">
        <v>1819</v>
      </c>
      <c r="AP1212" s="64" t="s">
        <v>1824</v>
      </c>
      <c r="AQ1212" s="64" t="s">
        <v>1825</v>
      </c>
      <c r="AR1212" s="189" t="s">
        <v>1826</v>
      </c>
      <c r="AS1212" s="554">
        <v>44509</v>
      </c>
      <c r="AT1212" s="554">
        <v>44441</v>
      </c>
      <c r="AU1212" s="646">
        <v>124</v>
      </c>
      <c r="AV1212" s="495"/>
    </row>
    <row r="1213" spans="1:48" s="212" customFormat="1" ht="17.25" customHeight="1" outlineLevel="3" x14ac:dyDescent="0.25">
      <c r="A1213" s="210" t="str">
        <f t="shared" si="191"/>
        <v>4.14.3.5.5.61</v>
      </c>
      <c r="B1213" s="136">
        <v>4</v>
      </c>
      <c r="C1213" s="136">
        <v>14</v>
      </c>
      <c r="D1213" s="136">
        <v>3</v>
      </c>
      <c r="E1213" s="136">
        <v>5</v>
      </c>
      <c r="F1213" s="136">
        <v>5</v>
      </c>
      <c r="G1213" s="136">
        <v>61</v>
      </c>
      <c r="H1213" s="125"/>
      <c r="I1213" s="125"/>
      <c r="J1213" s="213"/>
      <c r="K1213" s="125" t="s">
        <v>1463</v>
      </c>
      <c r="L1213" s="136" t="s">
        <v>1452</v>
      </c>
      <c r="M1213" s="136" t="s">
        <v>1464</v>
      </c>
      <c r="N1213" s="136" t="s">
        <v>1444</v>
      </c>
      <c r="O1213" s="136" t="s">
        <v>1204</v>
      </c>
      <c r="P1213" s="214">
        <v>44571</v>
      </c>
      <c r="Q1213" s="214">
        <v>44925</v>
      </c>
      <c r="R1213" s="136">
        <v>12</v>
      </c>
      <c r="S1213" s="125" t="s">
        <v>1465</v>
      </c>
      <c r="T1213" s="124">
        <f>+$AH1213/4</f>
        <v>52200</v>
      </c>
      <c r="U1213" s="179">
        <f>$AH1213/4</f>
        <v>52200</v>
      </c>
      <c r="V1213" s="674">
        <f t="shared" si="220"/>
        <v>0</v>
      </c>
      <c r="W1213" s="75">
        <f>+$AH1213/4</f>
        <v>52200</v>
      </c>
      <c r="X1213" s="179">
        <f>$AH1213/4</f>
        <v>52200</v>
      </c>
      <c r="Y1213" s="179"/>
      <c r="Z1213" s="75">
        <f>+$AH1213/4</f>
        <v>52200</v>
      </c>
      <c r="AA1213" s="179">
        <f>$AH1213/4</f>
        <v>52200</v>
      </c>
      <c r="AB1213" s="179"/>
      <c r="AC1213" s="75">
        <f>+$AH1213/4</f>
        <v>52200</v>
      </c>
      <c r="AD1213" s="179">
        <f>$AH1213/4</f>
        <v>52200</v>
      </c>
      <c r="AE1213" s="616"/>
      <c r="AF1213" s="349" t="s">
        <v>1466</v>
      </c>
      <c r="AG1213" s="518">
        <v>208800</v>
      </c>
      <c r="AH1213" s="377">
        <v>208800</v>
      </c>
      <c r="AI1213" s="132"/>
      <c r="AJ1213" s="132"/>
      <c r="AK1213" s="132"/>
      <c r="AL1213" s="132"/>
      <c r="AM1213" s="132"/>
      <c r="AN1213" s="136" t="s">
        <v>181</v>
      </c>
      <c r="AO1213" s="136"/>
      <c r="AP1213" s="136"/>
      <c r="AQ1213" s="136"/>
      <c r="AR1213" s="136"/>
      <c r="AS1213" s="136"/>
      <c r="AT1213" s="136"/>
      <c r="AU1213" s="646"/>
      <c r="AV1213" s="491"/>
    </row>
    <row r="1214" spans="1:48" ht="14.45" customHeight="1" outlineLevel="3" x14ac:dyDescent="0.25">
      <c r="A1214" s="63" t="str">
        <f t="shared" si="191"/>
        <v>4.14.3.5.6.61</v>
      </c>
      <c r="B1214" s="64">
        <v>4</v>
      </c>
      <c r="C1214" s="64">
        <v>14</v>
      </c>
      <c r="D1214" s="64">
        <v>3</v>
      </c>
      <c r="E1214" s="64">
        <v>5</v>
      </c>
      <c r="F1214" s="64">
        <v>6</v>
      </c>
      <c r="G1214" s="64">
        <v>61</v>
      </c>
      <c r="H1214" s="65"/>
      <c r="I1214" s="65"/>
      <c r="J1214" s="66"/>
      <c r="K1214" s="65" t="s">
        <v>1467</v>
      </c>
      <c r="L1214" s="64" t="s">
        <v>264</v>
      </c>
      <c r="M1214" s="64" t="s">
        <v>144</v>
      </c>
      <c r="N1214" s="64" t="s">
        <v>265</v>
      </c>
      <c r="O1214" s="64" t="s">
        <v>668</v>
      </c>
      <c r="P1214" s="69">
        <v>44571</v>
      </c>
      <c r="Q1214" s="69">
        <v>44925</v>
      </c>
      <c r="R1214" s="64">
        <v>312</v>
      </c>
      <c r="S1214" s="65" t="s">
        <v>1468</v>
      </c>
      <c r="T1214" s="64"/>
      <c r="U1214" s="179"/>
      <c r="V1214" s="674">
        <f t="shared" si="220"/>
        <v>0</v>
      </c>
      <c r="W1214" s="75"/>
      <c r="X1214" s="75"/>
      <c r="Y1214" s="75"/>
      <c r="Z1214" s="75"/>
      <c r="AA1214" s="75"/>
      <c r="AB1214" s="75"/>
      <c r="AC1214" s="97">
        <f>+AH1214</f>
        <v>1701700</v>
      </c>
      <c r="AD1214" s="97">
        <f>+AH1214/2</f>
        <v>850850</v>
      </c>
      <c r="AE1214" s="591"/>
      <c r="AF1214" s="259" t="s">
        <v>1469</v>
      </c>
      <c r="AG1214" s="518">
        <v>1701700</v>
      </c>
      <c r="AH1214" s="377">
        <v>1701700</v>
      </c>
      <c r="AI1214" s="132"/>
      <c r="AJ1214" s="132"/>
      <c r="AK1214" s="132"/>
      <c r="AL1214" s="132"/>
      <c r="AM1214" s="132"/>
      <c r="AN1214" s="64" t="s">
        <v>181</v>
      </c>
      <c r="AO1214" s="64"/>
      <c r="AP1214" s="64"/>
      <c r="AQ1214" s="64"/>
      <c r="AR1214" s="64"/>
      <c r="AS1214" s="64"/>
      <c r="AT1214" s="64"/>
      <c r="AU1214" s="646"/>
      <c r="AV1214" s="491"/>
    </row>
    <row r="1215" spans="1:48" ht="14.45" customHeight="1" outlineLevel="3" x14ac:dyDescent="0.25">
      <c r="A1215" s="63" t="str">
        <f t="shared" si="191"/>
        <v>4.14.3.5.7.61</v>
      </c>
      <c r="B1215" s="64">
        <v>4</v>
      </c>
      <c r="C1215" s="64">
        <v>14</v>
      </c>
      <c r="D1215" s="64">
        <v>3</v>
      </c>
      <c r="E1215" s="64">
        <v>5</v>
      </c>
      <c r="F1215" s="64">
        <v>7</v>
      </c>
      <c r="G1215" s="64">
        <v>61</v>
      </c>
      <c r="H1215" s="65"/>
      <c r="I1215" s="65"/>
      <c r="J1215" s="65"/>
      <c r="K1215" s="125" t="s">
        <v>1886</v>
      </c>
      <c r="L1215" s="64" t="s">
        <v>264</v>
      </c>
      <c r="M1215" s="64" t="s">
        <v>144</v>
      </c>
      <c r="N1215" s="64" t="s">
        <v>265</v>
      </c>
      <c r="O1215" s="64" t="s">
        <v>668</v>
      </c>
      <c r="P1215" s="69">
        <v>44571</v>
      </c>
      <c r="Q1215" s="69">
        <v>44925</v>
      </c>
      <c r="R1215" s="124">
        <v>286</v>
      </c>
      <c r="S1215" s="65" t="s">
        <v>1470</v>
      </c>
      <c r="T1215" s="124" t="e">
        <f>+#REF!/4</f>
        <v>#REF!</v>
      </c>
      <c r="U1215" s="78">
        <v>4181605.0009999997</v>
      </c>
      <c r="V1215" s="702">
        <f t="shared" si="220"/>
        <v>4330150</v>
      </c>
      <c r="W1215" s="75">
        <v>0</v>
      </c>
      <c r="X1215" s="78">
        <f>+AH1215-U1215</f>
        <v>-4181605.0009999997</v>
      </c>
      <c r="Y1215" s="253"/>
      <c r="Z1215" s="75" t="e">
        <f>+#REF!/4</f>
        <v>#REF!</v>
      </c>
      <c r="AA1215" s="253">
        <v>0</v>
      </c>
      <c r="AB1215" s="253"/>
      <c r="AC1215" s="75">
        <v>0</v>
      </c>
      <c r="AD1215" s="253">
        <v>0</v>
      </c>
      <c r="AE1215" s="608"/>
      <c r="AF1215" s="259" t="s">
        <v>672</v>
      </c>
      <c r="AG1215" s="518">
        <v>14757600</v>
      </c>
      <c r="AH1215" s="370">
        <v>0</v>
      </c>
      <c r="AI1215" s="565"/>
      <c r="AJ1215" s="565">
        <f>1592000+782350+743750+1212050</f>
        <v>4330150</v>
      </c>
      <c r="AK1215" s="281"/>
      <c r="AL1215" s="281"/>
      <c r="AM1215" s="281"/>
      <c r="AN1215" s="64" t="s">
        <v>181</v>
      </c>
      <c r="AO1215" s="533" t="s">
        <v>1839</v>
      </c>
      <c r="AP1215" s="533" t="s">
        <v>649</v>
      </c>
      <c r="AQ1215" s="533" t="s">
        <v>649</v>
      </c>
      <c r="AR1215" s="554">
        <v>44562</v>
      </c>
      <c r="AS1215" s="554">
        <v>44561</v>
      </c>
      <c r="AT1215" s="64" t="s">
        <v>1814</v>
      </c>
      <c r="AU1215" s="646" t="s">
        <v>2005</v>
      </c>
      <c r="AV1215" s="336" t="s">
        <v>2004</v>
      </c>
    </row>
    <row r="1216" spans="1:48" s="284" customFormat="1" ht="35.450000000000003" customHeight="1" outlineLevel="3" x14ac:dyDescent="0.25">
      <c r="A1216" s="210" t="str">
        <f t="shared" si="191"/>
        <v>4.14.3.5.8.61</v>
      </c>
      <c r="B1216" s="136">
        <v>4</v>
      </c>
      <c r="C1216" s="136">
        <v>14</v>
      </c>
      <c r="D1216" s="136">
        <v>3</v>
      </c>
      <c r="E1216" s="136">
        <v>5</v>
      </c>
      <c r="F1216" s="136">
        <v>8</v>
      </c>
      <c r="G1216" s="136">
        <v>61</v>
      </c>
      <c r="H1216" s="133"/>
      <c r="I1216" s="133"/>
      <c r="J1216" s="133"/>
      <c r="K1216" s="125" t="s">
        <v>1472</v>
      </c>
      <c r="L1216" s="136" t="s">
        <v>72</v>
      </c>
      <c r="M1216" s="136" t="s">
        <v>1473</v>
      </c>
      <c r="N1216" s="136" t="s">
        <v>1249</v>
      </c>
      <c r="O1216" s="136" t="s">
        <v>72</v>
      </c>
      <c r="P1216" s="214">
        <v>44571</v>
      </c>
      <c r="Q1216" s="214">
        <v>44925</v>
      </c>
      <c r="R1216" s="282"/>
      <c r="S1216" s="133"/>
      <c r="T1216" s="282"/>
      <c r="U1216" s="179">
        <f>$AH1216/4</f>
        <v>0</v>
      </c>
      <c r="V1216" s="674">
        <f t="shared" si="220"/>
        <v>0</v>
      </c>
      <c r="W1216" s="127"/>
      <c r="X1216" s="127"/>
      <c r="Y1216" s="127"/>
      <c r="Z1216" s="127"/>
      <c r="AA1216" s="127"/>
      <c r="AB1216" s="127"/>
      <c r="AC1216" s="283"/>
      <c r="AD1216" s="283"/>
      <c r="AE1216" s="615"/>
      <c r="AF1216" s="366"/>
      <c r="AG1216" s="518">
        <v>0</v>
      </c>
      <c r="AH1216" s="377">
        <v>0</v>
      </c>
      <c r="AI1216" s="132"/>
      <c r="AJ1216" s="132"/>
      <c r="AK1216" s="132"/>
      <c r="AL1216" s="132"/>
      <c r="AM1216" s="132"/>
      <c r="AN1216" s="136" t="s">
        <v>181</v>
      </c>
      <c r="AO1216" s="136"/>
      <c r="AP1216" s="136"/>
      <c r="AQ1216" s="136"/>
      <c r="AR1216" s="136"/>
      <c r="AS1216" s="136"/>
      <c r="AT1216" s="136"/>
      <c r="AU1216" s="646"/>
      <c r="AV1216" s="491"/>
    </row>
    <row r="1217" spans="1:48" s="153" customFormat="1" ht="54.75" customHeight="1" outlineLevel="2" x14ac:dyDescent="0.25">
      <c r="A1217" s="148" t="str">
        <f t="shared" si="191"/>
        <v>4.14.3.6.0.0</v>
      </c>
      <c r="B1217" s="82">
        <v>4</v>
      </c>
      <c r="C1217" s="82">
        <v>14</v>
      </c>
      <c r="D1217" s="82">
        <v>3</v>
      </c>
      <c r="E1217" s="82">
        <v>6</v>
      </c>
      <c r="F1217" s="82">
        <v>0</v>
      </c>
      <c r="G1217" s="82">
        <v>0</v>
      </c>
      <c r="H1217" s="149"/>
      <c r="I1217" s="149"/>
      <c r="J1217" s="1260" t="s">
        <v>1482</v>
      </c>
      <c r="K1217" s="1259"/>
      <c r="L1217" s="82" t="s">
        <v>1475</v>
      </c>
      <c r="M1217" s="83" t="s">
        <v>1449</v>
      </c>
      <c r="N1217" s="83" t="s">
        <v>1444</v>
      </c>
      <c r="O1217" s="82" t="s">
        <v>1445</v>
      </c>
      <c r="P1217" s="82"/>
      <c r="Q1217" s="82"/>
      <c r="R1217" s="82"/>
      <c r="S1217" s="149"/>
      <c r="T1217" s="82"/>
      <c r="U1217" s="152">
        <f>SUM(U1218:U1225)</f>
        <v>8205116</v>
      </c>
      <c r="V1217" s="693">
        <f t="shared" ref="V1217:AI1217" si="226">+SUM(V1218:V1225)</f>
        <v>7638616.4400000004</v>
      </c>
      <c r="W1217" s="513">
        <f t="shared" si="226"/>
        <v>888415</v>
      </c>
      <c r="X1217" s="513">
        <f t="shared" si="226"/>
        <v>-5308116</v>
      </c>
      <c r="Y1217" s="513">
        <f t="shared" si="226"/>
        <v>0</v>
      </c>
      <c r="Z1217" s="513">
        <f t="shared" si="226"/>
        <v>1548650</v>
      </c>
      <c r="AA1217" s="513">
        <f t="shared" si="226"/>
        <v>145000</v>
      </c>
      <c r="AB1217" s="513">
        <f t="shared" si="226"/>
        <v>0</v>
      </c>
      <c r="AC1217" s="513">
        <f t="shared" si="226"/>
        <v>4204385</v>
      </c>
      <c r="AD1217" s="513">
        <f t="shared" si="226"/>
        <v>730850</v>
      </c>
      <c r="AE1217" s="513">
        <f t="shared" si="226"/>
        <v>0</v>
      </c>
      <c r="AF1217" s="513">
        <f t="shared" si="226"/>
        <v>0</v>
      </c>
      <c r="AG1217" s="513">
        <f t="shared" si="226"/>
        <v>27169066.666666664</v>
      </c>
      <c r="AH1217" s="513">
        <f>+SUM(AH1218:AH1225)</f>
        <v>4458700</v>
      </c>
      <c r="AI1217" s="513">
        <f t="shared" si="226"/>
        <v>0</v>
      </c>
      <c r="AJ1217" s="513">
        <f>+SUM(AJ1218:AJ1225)</f>
        <v>7638616.4400000004</v>
      </c>
      <c r="AK1217" s="198"/>
      <c r="AL1217" s="198"/>
      <c r="AM1217" s="198"/>
      <c r="AN1217" s="82" t="s">
        <v>181</v>
      </c>
      <c r="AO1217" s="82"/>
      <c r="AP1217" s="82"/>
      <c r="AQ1217" s="82"/>
      <c r="AR1217" s="82"/>
      <c r="AS1217" s="82"/>
      <c r="AT1217" s="82"/>
      <c r="AU1217" s="666"/>
      <c r="AV1217" s="491"/>
    </row>
    <row r="1218" spans="1:48" ht="14.45" customHeight="1" outlineLevel="3" x14ac:dyDescent="0.25">
      <c r="A1218" s="63" t="str">
        <f t="shared" si="191"/>
        <v>4.14.3.6.1.62</v>
      </c>
      <c r="B1218" s="64">
        <v>4</v>
      </c>
      <c r="C1218" s="64">
        <v>14</v>
      </c>
      <c r="D1218" s="64">
        <v>3</v>
      </c>
      <c r="E1218" s="64">
        <v>6</v>
      </c>
      <c r="F1218" s="64">
        <v>1</v>
      </c>
      <c r="G1218" s="64">
        <v>62</v>
      </c>
      <c r="H1218" s="65"/>
      <c r="I1218" s="65"/>
      <c r="J1218" s="66"/>
      <c r="K1218" s="65" t="s">
        <v>1451</v>
      </c>
      <c r="L1218" s="64" t="s">
        <v>1452</v>
      </c>
      <c r="M1218" s="64" t="s">
        <v>1453</v>
      </c>
      <c r="N1218" s="64" t="s">
        <v>1444</v>
      </c>
      <c r="O1218" s="64" t="s">
        <v>1204</v>
      </c>
      <c r="P1218" s="69">
        <v>44571</v>
      </c>
      <c r="Q1218" s="69">
        <v>44925</v>
      </c>
      <c r="R1218" s="124">
        <v>12300</v>
      </c>
      <c r="S1218" s="170" t="s">
        <v>1454</v>
      </c>
      <c r="T1218" s="98">
        <v>0</v>
      </c>
      <c r="U1218" s="155">
        <f>$AH1218/4</f>
        <v>0</v>
      </c>
      <c r="V1218" s="674">
        <f t="shared" si="220"/>
        <v>0</v>
      </c>
      <c r="W1218" s="97">
        <v>6765</v>
      </c>
      <c r="X1218" s="97"/>
      <c r="Y1218" s="97"/>
      <c r="Z1218" s="97"/>
      <c r="AA1218" s="97"/>
      <c r="AB1218" s="97"/>
      <c r="AC1218" s="97">
        <v>5535</v>
      </c>
      <c r="AD1218" s="97"/>
      <c r="AE1218" s="591"/>
      <c r="AF1218" s="259"/>
      <c r="AG1218" s="518">
        <v>0</v>
      </c>
      <c r="AH1218" s="370">
        <v>0</v>
      </c>
      <c r="AI1218" s="75"/>
      <c r="AJ1218" s="75"/>
      <c r="AK1218" s="75"/>
      <c r="AL1218" s="75"/>
      <c r="AM1218" s="75"/>
      <c r="AN1218" s="64" t="s">
        <v>181</v>
      </c>
      <c r="AO1218" s="64"/>
      <c r="AP1218" s="64"/>
      <c r="AQ1218" s="64"/>
      <c r="AR1218" s="64"/>
      <c r="AS1218" s="64"/>
      <c r="AT1218" s="64"/>
      <c r="AU1218" s="646"/>
      <c r="AV1218" s="491"/>
    </row>
    <row r="1219" spans="1:48" ht="14.45" customHeight="1" outlineLevel="3" x14ac:dyDescent="0.25">
      <c r="A1219" s="63" t="str">
        <f t="shared" si="191"/>
        <v>4.14.3.6.2.62</v>
      </c>
      <c r="B1219" s="64">
        <v>4</v>
      </c>
      <c r="C1219" s="64">
        <v>14</v>
      </c>
      <c r="D1219" s="64">
        <v>3</v>
      </c>
      <c r="E1219" s="64">
        <v>6</v>
      </c>
      <c r="F1219" s="64">
        <v>2</v>
      </c>
      <c r="G1219" s="100">
        <v>62</v>
      </c>
      <c r="H1219" s="65"/>
      <c r="I1219" s="65"/>
      <c r="J1219" s="66"/>
      <c r="K1219" s="65" t="s">
        <v>1455</v>
      </c>
      <c r="L1219" s="64" t="s">
        <v>1452</v>
      </c>
      <c r="M1219" s="64" t="s">
        <v>535</v>
      </c>
      <c r="N1219" s="64" t="s">
        <v>1444</v>
      </c>
      <c r="O1219" s="64" t="s">
        <v>1335</v>
      </c>
      <c r="P1219" s="69">
        <v>44571</v>
      </c>
      <c r="Q1219" s="69">
        <v>44925</v>
      </c>
      <c r="R1219" s="124">
        <f>639600/2</f>
        <v>319800</v>
      </c>
      <c r="S1219" s="65" t="s">
        <v>1456</v>
      </c>
      <c r="T1219" s="64"/>
      <c r="U1219" s="155"/>
      <c r="V1219" s="674">
        <f t="shared" si="220"/>
        <v>0</v>
      </c>
      <c r="W1219" s="75">
        <f>+R1219/2</f>
        <v>159900</v>
      </c>
      <c r="X1219" s="155">
        <f>$AH1219/2</f>
        <v>0</v>
      </c>
      <c r="Y1219" s="155"/>
      <c r="Z1219" s="75">
        <f>+R1219/2</f>
        <v>159900</v>
      </c>
      <c r="AA1219" s="155">
        <f>$AH1219/2</f>
        <v>0</v>
      </c>
      <c r="AB1219" s="155"/>
      <c r="AC1219" s="97"/>
      <c r="AD1219" s="97"/>
      <c r="AE1219" s="591"/>
      <c r="AF1219" s="259" t="s">
        <v>535</v>
      </c>
      <c r="AG1219" s="518">
        <v>1439100</v>
      </c>
      <c r="AH1219" s="377">
        <v>0</v>
      </c>
      <c r="AI1219" s="132"/>
      <c r="AJ1219" s="132"/>
      <c r="AK1219" s="132"/>
      <c r="AL1219" s="132"/>
      <c r="AM1219" s="132"/>
      <c r="AN1219" s="64" t="s">
        <v>181</v>
      </c>
      <c r="AO1219" s="64"/>
      <c r="AP1219" s="64"/>
      <c r="AQ1219" s="64"/>
      <c r="AR1219" s="64"/>
      <c r="AS1219" s="64"/>
      <c r="AT1219" s="64"/>
      <c r="AU1219" s="646"/>
      <c r="AV1219" s="491"/>
    </row>
    <row r="1220" spans="1:48" ht="14.45" customHeight="1" outlineLevel="3" x14ac:dyDescent="0.25">
      <c r="A1220" s="63" t="str">
        <f t="shared" si="191"/>
        <v>4.14.3.6.3.62</v>
      </c>
      <c r="B1220" s="64">
        <v>4</v>
      </c>
      <c r="C1220" s="64">
        <v>14</v>
      </c>
      <c r="D1220" s="64">
        <v>3</v>
      </c>
      <c r="E1220" s="64">
        <v>6</v>
      </c>
      <c r="F1220" s="64">
        <v>3</v>
      </c>
      <c r="G1220" s="100">
        <v>62</v>
      </c>
      <c r="H1220" s="65"/>
      <c r="I1220" s="65"/>
      <c r="J1220" s="66"/>
      <c r="K1220" s="65" t="s">
        <v>1457</v>
      </c>
      <c r="L1220" s="64" t="s">
        <v>72</v>
      </c>
      <c r="M1220" s="64" t="s">
        <v>1458</v>
      </c>
      <c r="N1220" s="64" t="s">
        <v>1444</v>
      </c>
      <c r="O1220" s="64" t="s">
        <v>1445</v>
      </c>
      <c r="P1220" s="69">
        <v>44571</v>
      </c>
      <c r="Q1220" s="69">
        <v>44925</v>
      </c>
      <c r="R1220" s="124">
        <v>348</v>
      </c>
      <c r="S1220" s="65" t="s">
        <v>1459</v>
      </c>
      <c r="T1220" s="277">
        <f>+$AH1220/4</f>
        <v>676750</v>
      </c>
      <c r="U1220" s="155">
        <f>$AH1220/2</f>
        <v>1353500</v>
      </c>
      <c r="V1220" s="674">
        <f t="shared" si="220"/>
        <v>0</v>
      </c>
      <c r="W1220" s="97">
        <f>+$AH1220/4</f>
        <v>676750</v>
      </c>
      <c r="X1220" s="155">
        <f>$AH1220/2</f>
        <v>1353500</v>
      </c>
      <c r="Y1220" s="155"/>
      <c r="Z1220" s="97">
        <f>+$AH1220/4</f>
        <v>676750</v>
      </c>
      <c r="AA1220" s="155"/>
      <c r="AB1220" s="155"/>
      <c r="AC1220" s="97">
        <f>+$AH1220/4</f>
        <v>676750</v>
      </c>
      <c r="AD1220" s="155"/>
      <c r="AE1220" s="599"/>
      <c r="AF1220" s="259" t="s">
        <v>1457</v>
      </c>
      <c r="AG1220" s="518">
        <v>957000</v>
      </c>
      <c r="AH1220" s="377">
        <v>2707000</v>
      </c>
      <c r="AI1220" s="132"/>
      <c r="AJ1220" s="132"/>
      <c r="AK1220" s="132"/>
      <c r="AL1220" s="132"/>
      <c r="AM1220" s="132"/>
      <c r="AN1220" s="64" t="s">
        <v>181</v>
      </c>
      <c r="AO1220" s="64"/>
      <c r="AP1220" s="64"/>
      <c r="AQ1220" s="64"/>
      <c r="AR1220" s="64"/>
      <c r="AS1220" s="64"/>
      <c r="AT1220" s="64"/>
      <c r="AU1220" s="646"/>
      <c r="AV1220" s="494"/>
    </row>
    <row r="1221" spans="1:48" ht="14.45" customHeight="1" outlineLevel="3" x14ac:dyDescent="0.25">
      <c r="A1221" s="63" t="str">
        <f t="shared" si="191"/>
        <v>4.14.3.6.4.62</v>
      </c>
      <c r="B1221" s="64">
        <v>4</v>
      </c>
      <c r="C1221" s="64">
        <v>14</v>
      </c>
      <c r="D1221" s="64">
        <v>3</v>
      </c>
      <c r="E1221" s="64">
        <v>6</v>
      </c>
      <c r="F1221" s="64">
        <v>4</v>
      </c>
      <c r="G1221" s="64">
        <v>62</v>
      </c>
      <c r="H1221" s="65"/>
      <c r="I1221" s="65"/>
      <c r="J1221" s="66"/>
      <c r="K1221" s="67" t="s">
        <v>1460</v>
      </c>
      <c r="L1221" s="64" t="s">
        <v>72</v>
      </c>
      <c r="M1221" s="64" t="s">
        <v>76</v>
      </c>
      <c r="N1221" s="64" t="s">
        <v>1444</v>
      </c>
      <c r="O1221" s="64" t="s">
        <v>1445</v>
      </c>
      <c r="P1221" s="69">
        <v>44571</v>
      </c>
      <c r="Q1221" s="69">
        <v>44925</v>
      </c>
      <c r="R1221" s="124">
        <v>2</v>
      </c>
      <c r="S1221" s="65" t="s">
        <v>1461</v>
      </c>
      <c r="T1221" s="64">
        <f>29*23000</f>
        <v>667000</v>
      </c>
      <c r="U1221" s="155">
        <f>$AH1221/2</f>
        <v>100000</v>
      </c>
      <c r="V1221" s="702">
        <f t="shared" si="220"/>
        <v>15966.44</v>
      </c>
      <c r="W1221" s="75"/>
      <c r="X1221" s="75"/>
      <c r="Y1221" s="75"/>
      <c r="Z1221" s="75">
        <f>29*23000</f>
        <v>667000</v>
      </c>
      <c r="AA1221" s="155">
        <f>$AH1221/2</f>
        <v>100000</v>
      </c>
      <c r="AB1221" s="155"/>
      <c r="AC1221" s="97"/>
      <c r="AD1221" s="97"/>
      <c r="AE1221" s="591"/>
      <c r="AF1221" s="259" t="s">
        <v>1462</v>
      </c>
      <c r="AG1221" s="518">
        <v>444666.66666666669</v>
      </c>
      <c r="AH1221" s="370">
        <v>200000</v>
      </c>
      <c r="AI1221" s="132"/>
      <c r="AJ1221" s="552">
        <v>15966.44</v>
      </c>
      <c r="AK1221" s="132"/>
      <c r="AL1221" s="132"/>
      <c r="AM1221" s="132"/>
      <c r="AN1221" s="64" t="s">
        <v>181</v>
      </c>
      <c r="AO1221" s="64" t="s">
        <v>1819</v>
      </c>
      <c r="AP1221" s="64" t="s">
        <v>1824</v>
      </c>
      <c r="AQ1221" s="64" t="s">
        <v>1825</v>
      </c>
      <c r="AR1221" s="64" t="s">
        <v>1826</v>
      </c>
      <c r="AS1221" s="554">
        <v>44509</v>
      </c>
      <c r="AT1221" s="554">
        <v>44441</v>
      </c>
      <c r="AU1221" s="646">
        <v>124</v>
      </c>
      <c r="AV1221" s="495"/>
    </row>
    <row r="1222" spans="1:48" s="212" customFormat="1" ht="17.25" customHeight="1" outlineLevel="3" x14ac:dyDescent="0.25">
      <c r="A1222" s="210" t="str">
        <f t="shared" si="191"/>
        <v>4.14.3.6.5.62</v>
      </c>
      <c r="B1222" s="136">
        <v>4</v>
      </c>
      <c r="C1222" s="136">
        <v>14</v>
      </c>
      <c r="D1222" s="136">
        <v>3</v>
      </c>
      <c r="E1222" s="136">
        <v>6</v>
      </c>
      <c r="F1222" s="136">
        <v>5</v>
      </c>
      <c r="G1222" s="136">
        <v>62</v>
      </c>
      <c r="H1222" s="125"/>
      <c r="I1222" s="125"/>
      <c r="J1222" s="213"/>
      <c r="K1222" s="125" t="s">
        <v>1463</v>
      </c>
      <c r="L1222" s="136" t="s">
        <v>1452</v>
      </c>
      <c r="M1222" s="136" t="s">
        <v>1464</v>
      </c>
      <c r="N1222" s="136" t="s">
        <v>1444</v>
      </c>
      <c r="O1222" s="136" t="s">
        <v>1204</v>
      </c>
      <c r="P1222" s="214">
        <v>44571</v>
      </c>
      <c r="Q1222" s="214">
        <v>44925</v>
      </c>
      <c r="R1222" s="136">
        <v>12</v>
      </c>
      <c r="S1222" s="125" t="s">
        <v>1465</v>
      </c>
      <c r="T1222" s="124">
        <f>+$AH1222/4</f>
        <v>45000</v>
      </c>
      <c r="U1222" s="155">
        <f>$AH1222/4</f>
        <v>45000</v>
      </c>
      <c r="V1222" s="674">
        <f t="shared" si="220"/>
        <v>0</v>
      </c>
      <c r="W1222" s="75">
        <f>+$AH1222/4</f>
        <v>45000</v>
      </c>
      <c r="X1222" s="155">
        <f>$AH1222/4</f>
        <v>45000</v>
      </c>
      <c r="Y1222" s="155"/>
      <c r="Z1222" s="75">
        <f>+$AH1222/4</f>
        <v>45000</v>
      </c>
      <c r="AA1222" s="155">
        <f>$AH1222/4</f>
        <v>45000</v>
      </c>
      <c r="AB1222" s="155"/>
      <c r="AC1222" s="75">
        <f>+$AH1222/4</f>
        <v>45000</v>
      </c>
      <c r="AD1222" s="155">
        <f>$AH1222/4</f>
        <v>45000</v>
      </c>
      <c r="AE1222" s="599"/>
      <c r="AF1222" s="349" t="s">
        <v>1466</v>
      </c>
      <c r="AG1222" s="518">
        <v>180000</v>
      </c>
      <c r="AH1222" s="377">
        <v>180000</v>
      </c>
      <c r="AI1222" s="132"/>
      <c r="AJ1222" s="132"/>
      <c r="AK1222" s="132"/>
      <c r="AL1222" s="132"/>
      <c r="AM1222" s="132"/>
      <c r="AN1222" s="136" t="s">
        <v>181</v>
      </c>
      <c r="AO1222" s="136"/>
      <c r="AP1222" s="136"/>
      <c r="AQ1222" s="136"/>
      <c r="AR1222" s="136"/>
      <c r="AS1222" s="136"/>
      <c r="AT1222" s="136"/>
      <c r="AU1222" s="646"/>
      <c r="AV1222" s="491"/>
    </row>
    <row r="1223" spans="1:48" ht="14.45" customHeight="1" outlineLevel="3" x14ac:dyDescent="0.25">
      <c r="A1223" s="63" t="str">
        <f t="shared" si="191"/>
        <v>4.14.3.6.6.62</v>
      </c>
      <c r="B1223" s="64">
        <v>4</v>
      </c>
      <c r="C1223" s="64">
        <v>14</v>
      </c>
      <c r="D1223" s="64">
        <v>3</v>
      </c>
      <c r="E1223" s="64">
        <v>6</v>
      </c>
      <c r="F1223" s="64">
        <v>6</v>
      </c>
      <c r="G1223" s="64">
        <v>62</v>
      </c>
      <c r="H1223" s="65"/>
      <c r="I1223" s="65"/>
      <c r="J1223" s="66"/>
      <c r="K1223" s="65" t="s">
        <v>1467</v>
      </c>
      <c r="L1223" s="64" t="s">
        <v>264</v>
      </c>
      <c r="M1223" s="64" t="s">
        <v>144</v>
      </c>
      <c r="N1223" s="64" t="s">
        <v>265</v>
      </c>
      <c r="O1223" s="64" t="s">
        <v>668</v>
      </c>
      <c r="P1223" s="69">
        <v>44571</v>
      </c>
      <c r="Q1223" s="69">
        <v>44925</v>
      </c>
      <c r="R1223" s="64">
        <v>348</v>
      </c>
      <c r="S1223" s="65" t="s">
        <v>1468</v>
      </c>
      <c r="T1223" s="64"/>
      <c r="U1223" s="155"/>
      <c r="V1223" s="674">
        <f t="shared" si="220"/>
        <v>0</v>
      </c>
      <c r="W1223" s="75"/>
      <c r="X1223" s="75"/>
      <c r="Y1223" s="75"/>
      <c r="Z1223" s="75"/>
      <c r="AA1223" s="75"/>
      <c r="AB1223" s="75"/>
      <c r="AC1223" s="132">
        <f>+(29*500*22)+(319*450*22)</f>
        <v>3477100</v>
      </c>
      <c r="AD1223" s="132">
        <f>+AH1223/2</f>
        <v>685850</v>
      </c>
      <c r="AE1223" s="598"/>
      <c r="AF1223" s="259" t="s">
        <v>1469</v>
      </c>
      <c r="AG1223" s="518">
        <v>1371700</v>
      </c>
      <c r="AH1223" s="377">
        <v>1371700</v>
      </c>
      <c r="AI1223" s="132"/>
      <c r="AJ1223" s="132"/>
      <c r="AK1223" s="132"/>
      <c r="AL1223" s="132"/>
      <c r="AM1223" s="132"/>
      <c r="AN1223" s="64" t="s">
        <v>181</v>
      </c>
      <c r="AO1223" s="64"/>
      <c r="AP1223" s="64"/>
      <c r="AQ1223" s="64"/>
      <c r="AR1223" s="64"/>
      <c r="AS1223" s="64"/>
      <c r="AT1223" s="64"/>
      <c r="AU1223" s="646"/>
      <c r="AV1223" s="491"/>
    </row>
    <row r="1224" spans="1:48" ht="18" customHeight="1" outlineLevel="3" x14ac:dyDescent="0.25">
      <c r="A1224" s="63" t="str">
        <f t="shared" si="191"/>
        <v>4.14.3.6.7.62</v>
      </c>
      <c r="B1224" s="64">
        <v>4</v>
      </c>
      <c r="C1224" s="64">
        <v>14</v>
      </c>
      <c r="D1224" s="64">
        <v>3</v>
      </c>
      <c r="E1224" s="64">
        <v>6</v>
      </c>
      <c r="F1224" s="64">
        <v>7</v>
      </c>
      <c r="G1224" s="64">
        <v>62</v>
      </c>
      <c r="H1224" s="65"/>
      <c r="I1224" s="65"/>
      <c r="J1224" s="65"/>
      <c r="K1224" s="65" t="s">
        <v>1887</v>
      </c>
      <c r="L1224" s="64" t="s">
        <v>264</v>
      </c>
      <c r="M1224" s="64" t="s">
        <v>144</v>
      </c>
      <c r="N1224" s="64" t="s">
        <v>265</v>
      </c>
      <c r="O1224" s="64" t="s">
        <v>668</v>
      </c>
      <c r="P1224" s="69">
        <v>44571</v>
      </c>
      <c r="Q1224" s="69">
        <v>44925</v>
      </c>
      <c r="R1224" s="124">
        <v>319</v>
      </c>
      <c r="S1224" s="65" t="s">
        <v>1470</v>
      </c>
      <c r="T1224" s="225">
        <f>+$AH1224/4</f>
        <v>0</v>
      </c>
      <c r="U1224" s="78">
        <v>6706616</v>
      </c>
      <c r="V1224" s="702">
        <f t="shared" si="220"/>
        <v>7622650</v>
      </c>
      <c r="W1224" s="132">
        <f>+$AH1224/4</f>
        <v>0</v>
      </c>
      <c r="X1224" s="78">
        <f>+AH1224-U1224</f>
        <v>-6706616</v>
      </c>
      <c r="Y1224" s="253"/>
      <c r="Z1224" s="132">
        <f>+$AH1224/4</f>
        <v>0</v>
      </c>
      <c r="AA1224" s="253">
        <v>0</v>
      </c>
      <c r="AB1224" s="253"/>
      <c r="AC1224" s="132">
        <f>+$AH1224/4</f>
        <v>0</v>
      </c>
      <c r="AD1224" s="253">
        <v>0</v>
      </c>
      <c r="AE1224" s="608"/>
      <c r="AF1224" s="259" t="s">
        <v>672</v>
      </c>
      <c r="AG1224" s="518">
        <v>22776600</v>
      </c>
      <c r="AH1224" s="370">
        <v>0</v>
      </c>
      <c r="AI1224" s="565"/>
      <c r="AJ1224" s="565">
        <f>2424950+2324100+981000+986500+906100</f>
        <v>7622650</v>
      </c>
      <c r="AK1224" s="281"/>
      <c r="AL1224" s="281"/>
      <c r="AM1224" s="281"/>
      <c r="AN1224" s="64" t="s">
        <v>181</v>
      </c>
      <c r="AO1224" s="533" t="s">
        <v>1839</v>
      </c>
      <c r="AP1224" s="533" t="s">
        <v>649</v>
      </c>
      <c r="AQ1224" s="533" t="s">
        <v>649</v>
      </c>
      <c r="AR1224" s="554">
        <v>44562</v>
      </c>
      <c r="AS1224" s="554">
        <v>44561</v>
      </c>
      <c r="AT1224" s="64" t="s">
        <v>1814</v>
      </c>
      <c r="AU1224" s="646" t="s">
        <v>2007</v>
      </c>
      <c r="AV1224" s="336" t="s">
        <v>2006</v>
      </c>
    </row>
    <row r="1225" spans="1:48" s="284" customFormat="1" ht="26.1" customHeight="1" outlineLevel="3" x14ac:dyDescent="0.25">
      <c r="A1225" s="210" t="str">
        <f t="shared" si="191"/>
        <v>4.14.3.6.8.62</v>
      </c>
      <c r="B1225" s="136">
        <v>4</v>
      </c>
      <c r="C1225" s="136">
        <v>14</v>
      </c>
      <c r="D1225" s="136">
        <v>3</v>
      </c>
      <c r="E1225" s="136">
        <v>6</v>
      </c>
      <c r="F1225" s="136">
        <v>8</v>
      </c>
      <c r="G1225" s="136">
        <v>62</v>
      </c>
      <c r="H1225" s="133"/>
      <c r="I1225" s="133"/>
      <c r="J1225" s="133"/>
      <c r="K1225" s="125" t="s">
        <v>1472</v>
      </c>
      <c r="L1225" s="136" t="s">
        <v>72</v>
      </c>
      <c r="M1225" s="136" t="s">
        <v>1473</v>
      </c>
      <c r="N1225" s="136" t="s">
        <v>1249</v>
      </c>
      <c r="O1225" s="136" t="s">
        <v>72</v>
      </c>
      <c r="P1225" s="214">
        <v>44571</v>
      </c>
      <c r="Q1225" s="214">
        <v>44925</v>
      </c>
      <c r="R1225" s="126">
        <v>1</v>
      </c>
      <c r="S1225" s="133"/>
      <c r="T1225" s="282"/>
      <c r="U1225" s="155">
        <f>$AH1225/4</f>
        <v>0</v>
      </c>
      <c r="V1225" s="674">
        <f t="shared" si="220"/>
        <v>0</v>
      </c>
      <c r="W1225" s="127"/>
      <c r="X1225" s="127"/>
      <c r="Y1225" s="127"/>
      <c r="Z1225" s="127"/>
      <c r="AA1225" s="127"/>
      <c r="AB1225" s="127"/>
      <c r="AC1225" s="283"/>
      <c r="AD1225" s="283"/>
      <c r="AE1225" s="615"/>
      <c r="AF1225" s="366"/>
      <c r="AG1225" s="518">
        <v>0</v>
      </c>
      <c r="AH1225" s="377">
        <v>0</v>
      </c>
      <c r="AI1225" s="127"/>
      <c r="AJ1225" s="127"/>
      <c r="AK1225" s="127"/>
      <c r="AL1225" s="127"/>
      <c r="AM1225" s="127"/>
      <c r="AN1225" s="136" t="s">
        <v>181</v>
      </c>
      <c r="AO1225" s="136"/>
      <c r="AP1225" s="136"/>
      <c r="AQ1225" s="136"/>
      <c r="AR1225" s="136"/>
      <c r="AS1225" s="136"/>
      <c r="AT1225" s="136"/>
      <c r="AU1225" s="646"/>
      <c r="AV1225" s="491"/>
    </row>
    <row r="1226" spans="1:48" s="153" customFormat="1" ht="56.25" customHeight="1" outlineLevel="2" x14ac:dyDescent="0.25">
      <c r="A1226" s="148" t="str">
        <f t="shared" si="191"/>
        <v>4.14.3.7.0.0</v>
      </c>
      <c r="B1226" s="82">
        <v>4</v>
      </c>
      <c r="C1226" s="82">
        <v>14</v>
      </c>
      <c r="D1226" s="82">
        <v>3</v>
      </c>
      <c r="E1226" s="82">
        <v>7</v>
      </c>
      <c r="F1226" s="82">
        <v>0</v>
      </c>
      <c r="G1226" s="82">
        <v>0</v>
      </c>
      <c r="H1226" s="149"/>
      <c r="I1226" s="149"/>
      <c r="J1226" s="1260" t="s">
        <v>1483</v>
      </c>
      <c r="K1226" s="1259"/>
      <c r="L1226" s="82" t="s">
        <v>1475</v>
      </c>
      <c r="M1226" s="83" t="s">
        <v>1449</v>
      </c>
      <c r="N1226" s="83" t="s">
        <v>1444</v>
      </c>
      <c r="O1226" s="82" t="s">
        <v>1445</v>
      </c>
      <c r="P1226" s="82"/>
      <c r="Q1226" s="82"/>
      <c r="R1226" s="82"/>
      <c r="S1226" s="149"/>
      <c r="T1226" s="82"/>
      <c r="U1226" s="152">
        <f>SUM(U1227:U1234)</f>
        <v>2791500</v>
      </c>
      <c r="V1226" s="693">
        <f t="shared" ref="V1226:AI1226" si="227">+SUM(V1227:V1234)</f>
        <v>1761716.46</v>
      </c>
      <c r="W1226" s="513">
        <f t="shared" si="227"/>
        <v>604175</v>
      </c>
      <c r="X1226" s="513">
        <f t="shared" si="227"/>
        <v>-554500</v>
      </c>
      <c r="Y1226" s="513">
        <f t="shared" si="227"/>
        <v>0</v>
      </c>
      <c r="Z1226" s="513">
        <f t="shared" si="227"/>
        <v>809250</v>
      </c>
      <c r="AA1226" s="513">
        <f t="shared" si="227"/>
        <v>145000</v>
      </c>
      <c r="AB1226" s="513">
        <f t="shared" si="227"/>
        <v>0</v>
      </c>
      <c r="AC1226" s="513">
        <f t="shared" si="227"/>
        <v>1147375</v>
      </c>
      <c r="AD1226" s="513">
        <f t="shared" si="227"/>
        <v>339525</v>
      </c>
      <c r="AE1226" s="513">
        <f t="shared" si="227"/>
        <v>0</v>
      </c>
      <c r="AF1226" s="513">
        <f t="shared" si="227"/>
        <v>0</v>
      </c>
      <c r="AG1226" s="513">
        <f t="shared" si="227"/>
        <v>8682150</v>
      </c>
      <c r="AH1226" s="513">
        <f>+SUM(AH1227:AH1234)</f>
        <v>3016050</v>
      </c>
      <c r="AI1226" s="513">
        <f t="shared" si="227"/>
        <v>0</v>
      </c>
      <c r="AJ1226" s="513">
        <f>+SUM(AJ1227:AJ1234)</f>
        <v>1761716.46</v>
      </c>
      <c r="AK1226" s="198"/>
      <c r="AL1226" s="198"/>
      <c r="AM1226" s="198"/>
      <c r="AN1226" s="82" t="s">
        <v>181</v>
      </c>
      <c r="AO1226" s="82"/>
      <c r="AP1226" s="82"/>
      <c r="AQ1226" s="82"/>
      <c r="AR1226" s="82"/>
      <c r="AS1226" s="82"/>
      <c r="AT1226" s="82"/>
      <c r="AU1226" s="666"/>
      <c r="AV1226" s="491"/>
    </row>
    <row r="1227" spans="1:48" ht="15" customHeight="1" outlineLevel="3" x14ac:dyDescent="0.25">
      <c r="A1227" s="63" t="str">
        <f t="shared" si="191"/>
        <v>4.14.3.7.1.60</v>
      </c>
      <c r="B1227" s="64">
        <v>4</v>
      </c>
      <c r="C1227" s="64">
        <v>14</v>
      </c>
      <c r="D1227" s="64">
        <v>3</v>
      </c>
      <c r="E1227" s="64">
        <v>7</v>
      </c>
      <c r="F1227" s="64">
        <v>1</v>
      </c>
      <c r="G1227" s="64">
        <v>60</v>
      </c>
      <c r="H1227" s="65"/>
      <c r="I1227" s="65"/>
      <c r="J1227" s="66"/>
      <c r="K1227" s="65" t="s">
        <v>1451</v>
      </c>
      <c r="L1227" s="64" t="s">
        <v>1452</v>
      </c>
      <c r="M1227" s="64" t="s">
        <v>1453</v>
      </c>
      <c r="N1227" s="64" t="s">
        <v>1444</v>
      </c>
      <c r="O1227" s="64" t="s">
        <v>1204</v>
      </c>
      <c r="P1227" s="69">
        <v>44571</v>
      </c>
      <c r="Q1227" s="69">
        <v>44925</v>
      </c>
      <c r="R1227" s="170">
        <v>3500</v>
      </c>
      <c r="S1227" s="170" t="s">
        <v>1454</v>
      </c>
      <c r="T1227" s="98"/>
      <c r="U1227" s="155">
        <f>$AH1227/4</f>
        <v>0</v>
      </c>
      <c r="V1227" s="674">
        <f t="shared" si="220"/>
        <v>0</v>
      </c>
      <c r="W1227" s="97">
        <v>1925</v>
      </c>
      <c r="X1227" s="97"/>
      <c r="Y1227" s="97"/>
      <c r="Z1227" s="97"/>
      <c r="AA1227" s="97"/>
      <c r="AB1227" s="97"/>
      <c r="AC1227" s="97">
        <v>1575</v>
      </c>
      <c r="AD1227" s="97"/>
      <c r="AE1227" s="591"/>
      <c r="AF1227" s="259"/>
      <c r="AG1227" s="518">
        <v>0</v>
      </c>
      <c r="AH1227" s="370">
        <v>0</v>
      </c>
      <c r="AI1227" s="75"/>
      <c r="AJ1227" s="75"/>
      <c r="AK1227" s="75"/>
      <c r="AL1227" s="75"/>
      <c r="AM1227" s="75"/>
      <c r="AN1227" s="64" t="s">
        <v>181</v>
      </c>
      <c r="AO1227" s="64"/>
      <c r="AP1227" s="64"/>
      <c r="AQ1227" s="64"/>
      <c r="AR1227" s="64"/>
      <c r="AS1227" s="64"/>
      <c r="AT1227" s="64"/>
      <c r="AU1227" s="646"/>
      <c r="AV1227" s="491"/>
    </row>
    <row r="1228" spans="1:48" ht="15" customHeight="1" outlineLevel="3" x14ac:dyDescent="0.25">
      <c r="A1228" s="63" t="str">
        <f t="shared" si="191"/>
        <v>4.14.3.7.2.60</v>
      </c>
      <c r="B1228" s="64">
        <v>4</v>
      </c>
      <c r="C1228" s="64">
        <v>14</v>
      </c>
      <c r="D1228" s="64">
        <v>3</v>
      </c>
      <c r="E1228" s="64">
        <v>7</v>
      </c>
      <c r="F1228" s="64">
        <v>2</v>
      </c>
      <c r="G1228" s="100">
        <v>60</v>
      </c>
      <c r="H1228" s="65"/>
      <c r="I1228" s="65"/>
      <c r="J1228" s="66"/>
      <c r="K1228" s="65" t="s">
        <v>1455</v>
      </c>
      <c r="L1228" s="64" t="s">
        <v>1452</v>
      </c>
      <c r="M1228" s="64" t="s">
        <v>535</v>
      </c>
      <c r="N1228" s="64" t="s">
        <v>1444</v>
      </c>
      <c r="O1228" s="64" t="s">
        <v>1335</v>
      </c>
      <c r="P1228" s="69">
        <v>44571</v>
      </c>
      <c r="Q1228" s="69">
        <v>44925</v>
      </c>
      <c r="R1228" s="124">
        <f>182000/2</f>
        <v>91000</v>
      </c>
      <c r="S1228" s="65" t="s">
        <v>1456</v>
      </c>
      <c r="T1228" s="64"/>
      <c r="U1228" s="155"/>
      <c r="V1228" s="674">
        <f t="shared" si="220"/>
        <v>0</v>
      </c>
      <c r="W1228" s="75">
        <f>+R1228/2</f>
        <v>45500</v>
      </c>
      <c r="X1228" s="155">
        <f>$AH1228/2</f>
        <v>0</v>
      </c>
      <c r="Y1228" s="155"/>
      <c r="Z1228" s="75">
        <f>+R1228/2</f>
        <v>45500</v>
      </c>
      <c r="AA1228" s="155">
        <f>$AH1228/2</f>
        <v>0</v>
      </c>
      <c r="AB1228" s="155"/>
      <c r="AC1228" s="97"/>
      <c r="AD1228" s="97"/>
      <c r="AE1228" s="591"/>
      <c r="AF1228" s="259" t="s">
        <v>535</v>
      </c>
      <c r="AG1228" s="518">
        <v>409500</v>
      </c>
      <c r="AH1228" s="370">
        <v>0</v>
      </c>
      <c r="AI1228" s="75"/>
      <c r="AJ1228" s="75"/>
      <c r="AK1228" s="75"/>
      <c r="AL1228" s="75"/>
      <c r="AM1228" s="75"/>
      <c r="AN1228" s="64" t="s">
        <v>181</v>
      </c>
      <c r="AO1228" s="64"/>
      <c r="AP1228" s="64"/>
      <c r="AQ1228" s="64"/>
      <c r="AR1228" s="64"/>
      <c r="AS1228" s="64"/>
      <c r="AT1228" s="64"/>
      <c r="AU1228" s="646"/>
      <c r="AV1228" s="491"/>
    </row>
    <row r="1229" spans="1:48" outlineLevel="3" x14ac:dyDescent="0.25">
      <c r="A1229" s="63" t="str">
        <f t="shared" si="191"/>
        <v>4.14.3.7.3.60</v>
      </c>
      <c r="B1229" s="64">
        <v>4</v>
      </c>
      <c r="C1229" s="64">
        <v>14</v>
      </c>
      <c r="D1229" s="64">
        <v>3</v>
      </c>
      <c r="E1229" s="64">
        <v>7</v>
      </c>
      <c r="F1229" s="64">
        <v>3</v>
      </c>
      <c r="G1229" s="100">
        <v>60</v>
      </c>
      <c r="H1229" s="65"/>
      <c r="I1229" s="65"/>
      <c r="J1229" s="66"/>
      <c r="K1229" s="65" t="s">
        <v>1457</v>
      </c>
      <c r="L1229" s="64" t="s">
        <v>72</v>
      </c>
      <c r="M1229" s="64" t="s">
        <v>1458</v>
      </c>
      <c r="N1229" s="64" t="s">
        <v>1444</v>
      </c>
      <c r="O1229" s="64" t="s">
        <v>1445</v>
      </c>
      <c r="P1229" s="69">
        <v>44571</v>
      </c>
      <c r="Q1229" s="69">
        <v>44925</v>
      </c>
      <c r="R1229" s="124">
        <v>108</v>
      </c>
      <c r="S1229" s="65" t="s">
        <v>1459</v>
      </c>
      <c r="T1229" s="277">
        <f>+$AH1229/4</f>
        <v>511750</v>
      </c>
      <c r="U1229" s="155">
        <f>$AH1229/2</f>
        <v>1023500</v>
      </c>
      <c r="V1229" s="674">
        <f t="shared" si="220"/>
        <v>0</v>
      </c>
      <c r="W1229" s="97">
        <f>+$AH1229/4</f>
        <v>511750</v>
      </c>
      <c r="X1229" s="155">
        <f>$AH1229/2</f>
        <v>1023500</v>
      </c>
      <c r="Y1229" s="155"/>
      <c r="Z1229" s="97">
        <f>+$AH1229/4</f>
        <v>511750</v>
      </c>
      <c r="AA1229" s="155"/>
      <c r="AB1229" s="155"/>
      <c r="AC1229" s="97">
        <f>+$AH1229/4</f>
        <v>511750</v>
      </c>
      <c r="AD1229" s="155"/>
      <c r="AE1229" s="599"/>
      <c r="AF1229" s="259" t="s">
        <v>1457</v>
      </c>
      <c r="AG1229" s="518">
        <v>297000</v>
      </c>
      <c r="AH1229" s="377">
        <v>2047000</v>
      </c>
      <c r="AI1229" s="132"/>
      <c r="AJ1229" s="132"/>
      <c r="AK1229" s="132"/>
      <c r="AL1229" s="132"/>
      <c r="AM1229" s="132"/>
      <c r="AN1229" s="64" t="s">
        <v>181</v>
      </c>
      <c r="AO1229" s="64"/>
      <c r="AP1229" s="64"/>
      <c r="AQ1229" s="64"/>
      <c r="AR1229" s="64"/>
      <c r="AS1229" s="64"/>
      <c r="AT1229" s="64"/>
      <c r="AU1229" s="646"/>
      <c r="AV1229" s="496"/>
    </row>
    <row r="1230" spans="1:48" ht="30" outlineLevel="3" x14ac:dyDescent="0.25">
      <c r="A1230" s="63" t="str">
        <f t="shared" si="191"/>
        <v>4.14.3.7.4.60</v>
      </c>
      <c r="B1230" s="64">
        <v>4</v>
      </c>
      <c r="C1230" s="64">
        <v>14</v>
      </c>
      <c r="D1230" s="64">
        <v>3</v>
      </c>
      <c r="E1230" s="64">
        <v>7</v>
      </c>
      <c r="F1230" s="64">
        <v>4</v>
      </c>
      <c r="G1230" s="64">
        <v>60</v>
      </c>
      <c r="H1230" s="65"/>
      <c r="I1230" s="65"/>
      <c r="J1230" s="66"/>
      <c r="K1230" s="67" t="s">
        <v>1460</v>
      </c>
      <c r="L1230" s="64" t="s">
        <v>72</v>
      </c>
      <c r="M1230" s="64" t="s">
        <v>76</v>
      </c>
      <c r="N1230" s="64" t="s">
        <v>1444</v>
      </c>
      <c r="O1230" s="64" t="s">
        <v>1445</v>
      </c>
      <c r="P1230" s="69">
        <v>44571</v>
      </c>
      <c r="Q1230" s="69">
        <v>44925</v>
      </c>
      <c r="R1230" s="124">
        <v>2</v>
      </c>
      <c r="S1230" s="65" t="s">
        <v>1461</v>
      </c>
      <c r="T1230" s="64">
        <f>9*23000</f>
        <v>207000</v>
      </c>
      <c r="U1230" s="155">
        <f>$AH1230/2</f>
        <v>100000</v>
      </c>
      <c r="V1230" s="702">
        <f t="shared" si="220"/>
        <v>15966.46</v>
      </c>
      <c r="W1230" s="75"/>
      <c r="X1230" s="75"/>
      <c r="Y1230" s="75"/>
      <c r="Z1230" s="75">
        <f>9*23000</f>
        <v>207000</v>
      </c>
      <c r="AA1230" s="155">
        <f>$AH1230/2</f>
        <v>100000</v>
      </c>
      <c r="AB1230" s="155"/>
      <c r="AC1230" s="97"/>
      <c r="AD1230" s="97"/>
      <c r="AE1230" s="591"/>
      <c r="AF1230" s="259" t="s">
        <v>1462</v>
      </c>
      <c r="AG1230" s="518">
        <v>138000</v>
      </c>
      <c r="AH1230" s="370">
        <v>200000</v>
      </c>
      <c r="AI1230" s="132"/>
      <c r="AJ1230" s="552">
        <v>15966.46</v>
      </c>
      <c r="AK1230" s="132"/>
      <c r="AL1230" s="132"/>
      <c r="AM1230" s="132"/>
      <c r="AN1230" s="64" t="s">
        <v>181</v>
      </c>
      <c r="AO1230" s="533" t="s">
        <v>1819</v>
      </c>
      <c r="AP1230" s="533" t="s">
        <v>1824</v>
      </c>
      <c r="AQ1230" s="533" t="s">
        <v>1825</v>
      </c>
      <c r="AR1230" s="64" t="s">
        <v>1826</v>
      </c>
      <c r="AS1230" s="554">
        <v>44509</v>
      </c>
      <c r="AT1230" s="554">
        <v>44441</v>
      </c>
      <c r="AU1230" s="646">
        <v>124</v>
      </c>
      <c r="AV1230" s="335"/>
    </row>
    <row r="1231" spans="1:48" s="212" customFormat="1" ht="17.25" customHeight="1" outlineLevel="3" x14ac:dyDescent="0.25">
      <c r="A1231" s="210" t="str">
        <f t="shared" si="191"/>
        <v>4.14.3.7.5.60</v>
      </c>
      <c r="B1231" s="136">
        <v>4</v>
      </c>
      <c r="C1231" s="136">
        <v>14</v>
      </c>
      <c r="D1231" s="136">
        <v>3</v>
      </c>
      <c r="E1231" s="136">
        <v>7</v>
      </c>
      <c r="F1231" s="136">
        <v>5</v>
      </c>
      <c r="G1231" s="136">
        <v>60</v>
      </c>
      <c r="H1231" s="125"/>
      <c r="I1231" s="125"/>
      <c r="J1231" s="213"/>
      <c r="K1231" s="125" t="s">
        <v>1463</v>
      </c>
      <c r="L1231" s="136" t="s">
        <v>1452</v>
      </c>
      <c r="M1231" s="136" t="s">
        <v>1464</v>
      </c>
      <c r="N1231" s="136" t="s">
        <v>1444</v>
      </c>
      <c r="O1231" s="136" t="s">
        <v>1204</v>
      </c>
      <c r="P1231" s="214">
        <v>44571</v>
      </c>
      <c r="Q1231" s="214">
        <v>44925</v>
      </c>
      <c r="R1231" s="136">
        <v>12</v>
      </c>
      <c r="S1231" s="125" t="s">
        <v>1465</v>
      </c>
      <c r="T1231" s="124">
        <f>+$AH1231/4</f>
        <v>45000</v>
      </c>
      <c r="U1231" s="155">
        <f>$AH1231/4</f>
        <v>45000</v>
      </c>
      <c r="V1231" s="674">
        <f t="shared" si="220"/>
        <v>0</v>
      </c>
      <c r="W1231" s="75">
        <f>+$AH1231/4</f>
        <v>45000</v>
      </c>
      <c r="X1231" s="155">
        <f>$AH1231/4</f>
        <v>45000</v>
      </c>
      <c r="Y1231" s="155"/>
      <c r="Z1231" s="75">
        <f>+$AH1231/4</f>
        <v>45000</v>
      </c>
      <c r="AA1231" s="155">
        <f>$AH1231/4</f>
        <v>45000</v>
      </c>
      <c r="AB1231" s="155"/>
      <c r="AC1231" s="75">
        <f>+$AH1231/4</f>
        <v>45000</v>
      </c>
      <c r="AD1231" s="155">
        <f>$AH1231/4</f>
        <v>45000</v>
      </c>
      <c r="AE1231" s="599"/>
      <c r="AF1231" s="349" t="s">
        <v>1466</v>
      </c>
      <c r="AG1231" s="518">
        <v>180000</v>
      </c>
      <c r="AH1231" s="377">
        <v>180000</v>
      </c>
      <c r="AI1231" s="132"/>
      <c r="AJ1231" s="132"/>
      <c r="AK1231" s="132"/>
      <c r="AL1231" s="132"/>
      <c r="AM1231" s="132"/>
      <c r="AN1231" s="136" t="s">
        <v>181</v>
      </c>
      <c r="AO1231" s="136"/>
      <c r="AP1231" s="136"/>
      <c r="AQ1231" s="136"/>
      <c r="AR1231" s="136"/>
      <c r="AS1231" s="136"/>
      <c r="AT1231" s="136"/>
      <c r="AU1231" s="646"/>
      <c r="AV1231" s="448"/>
    </row>
    <row r="1232" spans="1:48" ht="15" customHeight="1" outlineLevel="3" x14ac:dyDescent="0.25">
      <c r="A1232" s="63" t="str">
        <f t="shared" si="191"/>
        <v>4.14.3.7.6.60</v>
      </c>
      <c r="B1232" s="64">
        <v>4</v>
      </c>
      <c r="C1232" s="64">
        <v>14</v>
      </c>
      <c r="D1232" s="64">
        <v>3</v>
      </c>
      <c r="E1232" s="64">
        <v>7</v>
      </c>
      <c r="F1232" s="64">
        <v>6</v>
      </c>
      <c r="G1232" s="64">
        <v>60</v>
      </c>
      <c r="H1232" s="65"/>
      <c r="I1232" s="65"/>
      <c r="J1232" s="66"/>
      <c r="K1232" s="65" t="s">
        <v>1467</v>
      </c>
      <c r="L1232" s="64" t="s">
        <v>264</v>
      </c>
      <c r="M1232" s="64" t="s">
        <v>144</v>
      </c>
      <c r="N1232" s="64" t="s">
        <v>265</v>
      </c>
      <c r="O1232" s="64" t="s">
        <v>668</v>
      </c>
      <c r="P1232" s="69">
        <v>44571</v>
      </c>
      <c r="Q1232" s="69">
        <v>44925</v>
      </c>
      <c r="R1232" s="64">
        <v>108</v>
      </c>
      <c r="S1232" s="65" t="s">
        <v>1468</v>
      </c>
      <c r="T1232" s="64"/>
      <c r="U1232" s="155"/>
      <c r="V1232" s="674">
        <f t="shared" si="220"/>
        <v>0</v>
      </c>
      <c r="W1232" s="75"/>
      <c r="X1232" s="75"/>
      <c r="Y1232" s="75"/>
      <c r="Z1232" s="75"/>
      <c r="AA1232" s="75"/>
      <c r="AB1232" s="75"/>
      <c r="AC1232" s="97">
        <f>+AH1232</f>
        <v>589050</v>
      </c>
      <c r="AD1232" s="97">
        <f>+AH1232/2</f>
        <v>294525</v>
      </c>
      <c r="AE1232" s="591"/>
      <c r="AF1232" s="259" t="s">
        <v>1469</v>
      </c>
      <c r="AG1232" s="518">
        <v>589050</v>
      </c>
      <c r="AH1232" s="377">
        <v>589050</v>
      </c>
      <c r="AI1232" s="132"/>
      <c r="AJ1232" s="132"/>
      <c r="AK1232" s="132"/>
      <c r="AL1232" s="132"/>
      <c r="AM1232" s="132"/>
      <c r="AN1232" s="64" t="s">
        <v>181</v>
      </c>
      <c r="AO1232" s="64"/>
      <c r="AP1232" s="64"/>
      <c r="AQ1232" s="64"/>
      <c r="AR1232" s="64"/>
      <c r="AS1232" s="64"/>
      <c r="AT1232" s="64"/>
      <c r="AU1232" s="646"/>
      <c r="AV1232" s="335" t="s">
        <v>1484</v>
      </c>
    </row>
    <row r="1233" spans="1:48" outlineLevel="3" x14ac:dyDescent="0.25">
      <c r="A1233" s="63" t="str">
        <f t="shared" si="191"/>
        <v>4.14.3.7.7.60</v>
      </c>
      <c r="B1233" s="64">
        <v>4</v>
      </c>
      <c r="C1233" s="64">
        <v>14</v>
      </c>
      <c r="D1233" s="64">
        <v>3</v>
      </c>
      <c r="E1233" s="64">
        <v>7</v>
      </c>
      <c r="F1233" s="64">
        <v>7</v>
      </c>
      <c r="G1233" s="64">
        <v>60</v>
      </c>
      <c r="H1233" s="65"/>
      <c r="I1233" s="65"/>
      <c r="J1233" s="66"/>
      <c r="K1233" s="65" t="s">
        <v>1888</v>
      </c>
      <c r="L1233" s="64" t="s">
        <v>264</v>
      </c>
      <c r="M1233" s="64" t="s">
        <v>144</v>
      </c>
      <c r="N1233" s="64" t="s">
        <v>265</v>
      </c>
      <c r="O1233" s="64" t="s">
        <v>668</v>
      </c>
      <c r="P1233" s="69">
        <v>44571</v>
      </c>
      <c r="Q1233" s="69">
        <v>44925</v>
      </c>
      <c r="R1233" s="124">
        <v>99</v>
      </c>
      <c r="S1233" s="65" t="s">
        <v>1470</v>
      </c>
      <c r="T1233" s="277">
        <f>+$AH1215/4</f>
        <v>0</v>
      </c>
      <c r="U1233" s="78">
        <v>1623000</v>
      </c>
      <c r="V1233" s="702">
        <f t="shared" si="220"/>
        <v>1745750</v>
      </c>
      <c r="W1233" s="97">
        <f>+$AH1215/4</f>
        <v>0</v>
      </c>
      <c r="X1233" s="78">
        <f>+AH1233-U1233</f>
        <v>-1623000</v>
      </c>
      <c r="Y1233" s="253"/>
      <c r="Z1233" s="97">
        <f>+$AH1215/4</f>
        <v>0</v>
      </c>
      <c r="AA1233" s="253">
        <v>0</v>
      </c>
      <c r="AB1233" s="253"/>
      <c r="AC1233" s="97">
        <f>+$AH1215/4</f>
        <v>0</v>
      </c>
      <c r="AD1233" s="253">
        <v>0</v>
      </c>
      <c r="AE1233" s="608"/>
      <c r="AF1233" s="259" t="s">
        <v>672</v>
      </c>
      <c r="AG1233" s="518">
        <v>7068600</v>
      </c>
      <c r="AH1233" s="370">
        <v>0</v>
      </c>
      <c r="AI1233" s="565"/>
      <c r="AJ1233" s="565">
        <f>644200+511400+298650+291500</f>
        <v>1745750</v>
      </c>
      <c r="AK1233" s="281"/>
      <c r="AL1233" s="281"/>
      <c r="AM1233" s="281"/>
      <c r="AN1233" s="64" t="s">
        <v>181</v>
      </c>
      <c r="AO1233" s="64" t="s">
        <v>1839</v>
      </c>
      <c r="AP1233" s="64" t="s">
        <v>649</v>
      </c>
      <c r="AQ1233" s="533" t="s">
        <v>649</v>
      </c>
      <c r="AR1233" s="554">
        <v>44562</v>
      </c>
      <c r="AS1233" s="554">
        <v>44561</v>
      </c>
      <c r="AT1233" s="64" t="s">
        <v>1814</v>
      </c>
      <c r="AU1233" s="646" t="s">
        <v>1942</v>
      </c>
      <c r="AV1233" s="335" t="s">
        <v>1943</v>
      </c>
    </row>
    <row r="1234" spans="1:48" ht="17.45" customHeight="1" outlineLevel="3" x14ac:dyDescent="0.25">
      <c r="A1234" s="63" t="str">
        <f t="shared" si="191"/>
        <v>4.14.3.7.8.60</v>
      </c>
      <c r="B1234" s="64">
        <v>4</v>
      </c>
      <c r="C1234" s="64">
        <v>14</v>
      </c>
      <c r="D1234" s="64">
        <v>3</v>
      </c>
      <c r="E1234" s="64">
        <v>7</v>
      </c>
      <c r="F1234" s="64">
        <v>8</v>
      </c>
      <c r="G1234" s="64">
        <v>60</v>
      </c>
      <c r="H1234" s="65"/>
      <c r="I1234" s="65"/>
      <c r="J1234" s="65"/>
      <c r="K1234" s="125" t="s">
        <v>1472</v>
      </c>
      <c r="L1234" s="64" t="s">
        <v>72</v>
      </c>
      <c r="M1234" s="64" t="s">
        <v>1473</v>
      </c>
      <c r="N1234" s="64" t="s">
        <v>1249</v>
      </c>
      <c r="O1234" s="64" t="s">
        <v>72</v>
      </c>
      <c r="P1234" s="69">
        <v>44571</v>
      </c>
      <c r="Q1234" s="69">
        <v>44925</v>
      </c>
      <c r="R1234" s="124">
        <v>0</v>
      </c>
      <c r="S1234" s="65"/>
      <c r="T1234" s="124"/>
      <c r="U1234" s="155">
        <f>$AH1234/4</f>
        <v>0</v>
      </c>
      <c r="V1234" s="674">
        <f t="shared" si="220"/>
        <v>0</v>
      </c>
      <c r="W1234" s="75"/>
      <c r="X1234" s="75"/>
      <c r="Y1234" s="75"/>
      <c r="Z1234" s="75"/>
      <c r="AA1234" s="75"/>
      <c r="AB1234" s="75"/>
      <c r="AC1234" s="97"/>
      <c r="AD1234" s="97"/>
      <c r="AE1234" s="591"/>
      <c r="AF1234" s="259"/>
      <c r="AG1234" s="518">
        <v>0</v>
      </c>
      <c r="AH1234" s="370">
        <v>0</v>
      </c>
      <c r="AI1234" s="75"/>
      <c r="AJ1234" s="75"/>
      <c r="AK1234" s="75"/>
      <c r="AL1234" s="75"/>
      <c r="AM1234" s="75"/>
      <c r="AN1234" s="64" t="s">
        <v>181</v>
      </c>
      <c r="AO1234" s="64"/>
      <c r="AP1234" s="64"/>
      <c r="AQ1234" s="64"/>
      <c r="AR1234" s="64"/>
      <c r="AS1234" s="64"/>
      <c r="AT1234" s="64"/>
      <c r="AU1234" s="646"/>
      <c r="AV1234" s="335"/>
    </row>
    <row r="1235" spans="1:48" s="153" customFormat="1" outlineLevel="2" x14ac:dyDescent="0.25">
      <c r="A1235" s="148" t="str">
        <f t="shared" si="191"/>
        <v>4.14.3.8.0.0</v>
      </c>
      <c r="B1235" s="82">
        <v>4</v>
      </c>
      <c r="C1235" s="82">
        <v>14</v>
      </c>
      <c r="D1235" s="82">
        <v>3</v>
      </c>
      <c r="E1235" s="82">
        <v>8</v>
      </c>
      <c r="F1235" s="82">
        <v>0</v>
      </c>
      <c r="G1235" s="82">
        <v>0</v>
      </c>
      <c r="H1235" s="149"/>
      <c r="I1235" s="149"/>
      <c r="J1235" s="1260" t="s">
        <v>366</v>
      </c>
      <c r="K1235" s="1259"/>
      <c r="L1235" s="82" t="s">
        <v>1475</v>
      </c>
      <c r="M1235" s="83" t="s">
        <v>1449</v>
      </c>
      <c r="N1235" s="83" t="s">
        <v>1444</v>
      </c>
      <c r="O1235" s="82" t="s">
        <v>1445</v>
      </c>
      <c r="P1235" s="82"/>
      <c r="Q1235" s="82"/>
      <c r="R1235" s="82"/>
      <c r="S1235" s="149"/>
      <c r="T1235" s="82"/>
      <c r="U1235" s="513">
        <f t="shared" ref="U1235:AI1235" si="228">+SUM(U1236:U1277)</f>
        <v>0</v>
      </c>
      <c r="V1235" s="693">
        <f t="shared" si="228"/>
        <v>0</v>
      </c>
      <c r="W1235" s="513">
        <f t="shared" si="228"/>
        <v>0</v>
      </c>
      <c r="X1235" s="513">
        <f t="shared" si="228"/>
        <v>0</v>
      </c>
      <c r="Y1235" s="513">
        <f t="shared" si="228"/>
        <v>0</v>
      </c>
      <c r="Z1235" s="513">
        <f t="shared" si="228"/>
        <v>0</v>
      </c>
      <c r="AA1235" s="513">
        <f t="shared" si="228"/>
        <v>0</v>
      </c>
      <c r="AB1235" s="513">
        <f t="shared" si="228"/>
        <v>0</v>
      </c>
      <c r="AC1235" s="513">
        <f t="shared" si="228"/>
        <v>0</v>
      </c>
      <c r="AD1235" s="513">
        <f t="shared" si="228"/>
        <v>0</v>
      </c>
      <c r="AE1235" s="513">
        <f t="shared" si="228"/>
        <v>0</v>
      </c>
      <c r="AF1235" s="513">
        <f t="shared" si="228"/>
        <v>0</v>
      </c>
      <c r="AG1235" s="513">
        <f t="shared" si="228"/>
        <v>0</v>
      </c>
      <c r="AH1235" s="513">
        <f t="shared" si="228"/>
        <v>0</v>
      </c>
      <c r="AI1235" s="513">
        <f t="shared" si="228"/>
        <v>0</v>
      </c>
      <c r="AJ1235" s="513">
        <f>+SUM(AJ1236:AJ1277)</f>
        <v>0</v>
      </c>
      <c r="AK1235" s="198"/>
      <c r="AL1235" s="198"/>
      <c r="AM1235" s="198"/>
      <c r="AN1235" s="82" t="s">
        <v>181</v>
      </c>
      <c r="AO1235" s="82"/>
      <c r="AP1235" s="82"/>
      <c r="AQ1235" s="365"/>
      <c r="AR1235" s="82"/>
      <c r="AS1235" s="483"/>
      <c r="AT1235" s="82"/>
      <c r="AU1235" s="666"/>
      <c r="AV1235" s="444" t="s">
        <v>1485</v>
      </c>
    </row>
    <row r="1236" spans="1:48" ht="15" customHeight="1" outlineLevel="3" x14ac:dyDescent="0.25">
      <c r="A1236" s="63" t="str">
        <f t="shared" si="191"/>
        <v>4.14.3.8.1.58</v>
      </c>
      <c r="B1236" s="64">
        <v>4</v>
      </c>
      <c r="C1236" s="64">
        <v>14</v>
      </c>
      <c r="D1236" s="64">
        <v>3</v>
      </c>
      <c r="E1236" s="64">
        <v>8</v>
      </c>
      <c r="F1236" s="64">
        <v>1</v>
      </c>
      <c r="G1236" s="64">
        <v>58</v>
      </c>
      <c r="H1236" s="65"/>
      <c r="I1236" s="65"/>
      <c r="J1236" s="65"/>
      <c r="K1236" s="65" t="s">
        <v>1486</v>
      </c>
      <c r="L1236" s="64" t="s">
        <v>72</v>
      </c>
      <c r="M1236" s="64" t="s">
        <v>73</v>
      </c>
      <c r="N1236" s="64" t="s">
        <v>74</v>
      </c>
      <c r="O1236" s="64" t="s">
        <v>1487</v>
      </c>
      <c r="P1236" s="64">
        <v>30464717</v>
      </c>
      <c r="Q1236" s="170">
        <f>+P1236/7</f>
        <v>4352102.4285714282</v>
      </c>
      <c r="R1236" s="64"/>
      <c r="S1236" s="65"/>
      <c r="T1236" s="64"/>
      <c r="U1236" s="370">
        <v>0</v>
      </c>
      <c r="V1236" s="687">
        <v>0</v>
      </c>
      <c r="W1236" s="75"/>
      <c r="X1236" s="75"/>
      <c r="Y1236" s="75"/>
      <c r="Z1236" s="75"/>
      <c r="AA1236" s="75"/>
      <c r="AB1236" s="75"/>
      <c r="AC1236" s="97"/>
      <c r="AD1236" s="97"/>
      <c r="AE1236" s="591"/>
      <c r="AF1236" s="259"/>
      <c r="AG1236" s="510">
        <v>0</v>
      </c>
      <c r="AH1236" s="370">
        <v>0</v>
      </c>
      <c r="AI1236" s="75"/>
      <c r="AJ1236" s="75"/>
      <c r="AK1236" s="75"/>
      <c r="AL1236" s="75"/>
      <c r="AM1236" s="75"/>
      <c r="AN1236" s="64" t="s">
        <v>181</v>
      </c>
      <c r="AO1236" s="64"/>
      <c r="AP1236" s="64"/>
      <c r="AQ1236" s="189"/>
      <c r="AR1236" s="64"/>
      <c r="AS1236" s="476"/>
      <c r="AT1236" s="64"/>
      <c r="AU1236" s="646"/>
      <c r="AV1236" s="185"/>
    </row>
    <row r="1237" spans="1:48" ht="15" customHeight="1" outlineLevel="3" x14ac:dyDescent="0.25">
      <c r="A1237" s="63" t="str">
        <f t="shared" si="191"/>
        <v>4.14.3.8.1.59</v>
      </c>
      <c r="B1237" s="64">
        <v>4</v>
      </c>
      <c r="C1237" s="64">
        <v>14</v>
      </c>
      <c r="D1237" s="64">
        <v>3</v>
      </c>
      <c r="E1237" s="64">
        <v>8</v>
      </c>
      <c r="F1237" s="64">
        <v>1</v>
      </c>
      <c r="G1237" s="64">
        <v>59</v>
      </c>
      <c r="H1237" s="65"/>
      <c r="I1237" s="65"/>
      <c r="J1237" s="65"/>
      <c r="K1237" s="65" t="s">
        <v>1488</v>
      </c>
      <c r="L1237" s="64"/>
      <c r="M1237" s="64"/>
      <c r="N1237" s="64"/>
      <c r="O1237" s="64"/>
      <c r="P1237" s="64"/>
      <c r="Q1237" s="170"/>
      <c r="R1237" s="64"/>
      <c r="S1237" s="65"/>
      <c r="T1237" s="64"/>
      <c r="U1237" s="370">
        <v>0</v>
      </c>
      <c r="V1237" s="687">
        <v>0</v>
      </c>
      <c r="W1237" s="75"/>
      <c r="X1237" s="75"/>
      <c r="Y1237" s="75"/>
      <c r="Z1237" s="75"/>
      <c r="AA1237" s="75"/>
      <c r="AB1237" s="75"/>
      <c r="AC1237" s="97"/>
      <c r="AD1237" s="97"/>
      <c r="AE1237" s="591"/>
      <c r="AF1237" s="259"/>
      <c r="AG1237" s="510">
        <v>0</v>
      </c>
      <c r="AH1237" s="370">
        <v>0</v>
      </c>
      <c r="AI1237" s="75"/>
      <c r="AJ1237" s="75"/>
      <c r="AK1237" s="75"/>
      <c r="AL1237" s="75"/>
      <c r="AM1237" s="75"/>
      <c r="AN1237" s="64" t="s">
        <v>181</v>
      </c>
      <c r="AO1237" s="64"/>
      <c r="AP1237" s="64"/>
      <c r="AQ1237" s="189"/>
      <c r="AR1237" s="64"/>
      <c r="AS1237" s="476"/>
      <c r="AT1237" s="64"/>
      <c r="AU1237" s="646"/>
      <c r="AV1237" s="185"/>
    </row>
    <row r="1238" spans="1:48" ht="15" customHeight="1" outlineLevel="3" x14ac:dyDescent="0.25">
      <c r="A1238" s="63" t="str">
        <f t="shared" si="191"/>
        <v>4.14.3.8.1.60</v>
      </c>
      <c r="B1238" s="64">
        <v>4</v>
      </c>
      <c r="C1238" s="64">
        <v>14</v>
      </c>
      <c r="D1238" s="64">
        <v>3</v>
      </c>
      <c r="E1238" s="64">
        <v>8</v>
      </c>
      <c r="F1238" s="64">
        <v>1</v>
      </c>
      <c r="G1238" s="64">
        <v>60</v>
      </c>
      <c r="H1238" s="65"/>
      <c r="I1238" s="65"/>
      <c r="J1238" s="65"/>
      <c r="K1238" s="65" t="s">
        <v>1489</v>
      </c>
      <c r="L1238" s="64"/>
      <c r="M1238" s="64"/>
      <c r="N1238" s="64"/>
      <c r="O1238" s="64"/>
      <c r="P1238" s="64"/>
      <c r="Q1238" s="170"/>
      <c r="R1238" s="64"/>
      <c r="S1238" s="65"/>
      <c r="T1238" s="64"/>
      <c r="U1238" s="370">
        <v>0</v>
      </c>
      <c r="V1238" s="687">
        <v>0</v>
      </c>
      <c r="W1238" s="75"/>
      <c r="X1238" s="75"/>
      <c r="Y1238" s="75"/>
      <c r="Z1238" s="75"/>
      <c r="AA1238" s="75"/>
      <c r="AB1238" s="75"/>
      <c r="AC1238" s="97"/>
      <c r="AD1238" s="97"/>
      <c r="AE1238" s="591"/>
      <c r="AF1238" s="259"/>
      <c r="AG1238" s="510">
        <v>0</v>
      </c>
      <c r="AH1238" s="370">
        <v>0</v>
      </c>
      <c r="AI1238" s="75"/>
      <c r="AJ1238" s="75"/>
      <c r="AK1238" s="75"/>
      <c r="AL1238" s="75"/>
      <c r="AM1238" s="75"/>
      <c r="AN1238" s="64" t="s">
        <v>181</v>
      </c>
      <c r="AO1238" s="64"/>
      <c r="AP1238" s="64"/>
      <c r="AQ1238" s="189"/>
      <c r="AR1238" s="64"/>
      <c r="AS1238" s="476"/>
      <c r="AT1238" s="64"/>
      <c r="AU1238" s="646"/>
      <c r="AV1238" s="185"/>
    </row>
    <row r="1239" spans="1:48" ht="15" customHeight="1" outlineLevel="3" x14ac:dyDescent="0.25">
      <c r="A1239" s="63" t="str">
        <f t="shared" si="191"/>
        <v>4.14.3.8.1.61</v>
      </c>
      <c r="B1239" s="64">
        <v>4</v>
      </c>
      <c r="C1239" s="64">
        <v>14</v>
      </c>
      <c r="D1239" s="64">
        <v>3</v>
      </c>
      <c r="E1239" s="64">
        <v>8</v>
      </c>
      <c r="F1239" s="64">
        <v>1</v>
      </c>
      <c r="G1239" s="64">
        <v>61</v>
      </c>
      <c r="H1239" s="65"/>
      <c r="I1239" s="65"/>
      <c r="J1239" s="65"/>
      <c r="K1239" s="65" t="s">
        <v>1490</v>
      </c>
      <c r="L1239" s="64"/>
      <c r="M1239" s="64"/>
      <c r="N1239" s="64"/>
      <c r="O1239" s="64"/>
      <c r="P1239" s="64"/>
      <c r="Q1239" s="170"/>
      <c r="R1239" s="64"/>
      <c r="S1239" s="65"/>
      <c r="T1239" s="64"/>
      <c r="U1239" s="370">
        <v>0</v>
      </c>
      <c r="V1239" s="687">
        <v>0</v>
      </c>
      <c r="W1239" s="75"/>
      <c r="X1239" s="75"/>
      <c r="Y1239" s="75"/>
      <c r="Z1239" s="75"/>
      <c r="AA1239" s="75"/>
      <c r="AB1239" s="75"/>
      <c r="AC1239" s="97"/>
      <c r="AD1239" s="97"/>
      <c r="AE1239" s="591"/>
      <c r="AF1239" s="259"/>
      <c r="AG1239" s="510">
        <v>0</v>
      </c>
      <c r="AH1239" s="370">
        <v>0</v>
      </c>
      <c r="AI1239" s="75"/>
      <c r="AJ1239" s="75"/>
      <c r="AK1239" s="75"/>
      <c r="AL1239" s="75"/>
      <c r="AM1239" s="75"/>
      <c r="AN1239" s="64" t="s">
        <v>181</v>
      </c>
      <c r="AO1239" s="64"/>
      <c r="AP1239" s="64"/>
      <c r="AQ1239" s="189"/>
      <c r="AR1239" s="64"/>
      <c r="AS1239" s="476"/>
      <c r="AT1239" s="64"/>
      <c r="AU1239" s="646"/>
      <c r="AV1239" s="185"/>
    </row>
    <row r="1240" spans="1:48" ht="15" customHeight="1" outlineLevel="3" x14ac:dyDescent="0.25">
      <c r="A1240" s="63" t="str">
        <f t="shared" si="191"/>
        <v>4.14.3.8.1.62</v>
      </c>
      <c r="B1240" s="64">
        <v>4</v>
      </c>
      <c r="C1240" s="64">
        <v>14</v>
      </c>
      <c r="D1240" s="64">
        <v>3</v>
      </c>
      <c r="E1240" s="64">
        <v>8</v>
      </c>
      <c r="F1240" s="64">
        <v>1</v>
      </c>
      <c r="G1240" s="64">
        <v>62</v>
      </c>
      <c r="H1240" s="65"/>
      <c r="I1240" s="65"/>
      <c r="J1240" s="65"/>
      <c r="K1240" s="65" t="s">
        <v>1491</v>
      </c>
      <c r="L1240" s="64"/>
      <c r="M1240" s="64"/>
      <c r="N1240" s="64"/>
      <c r="O1240" s="64"/>
      <c r="P1240" s="64"/>
      <c r="Q1240" s="170"/>
      <c r="R1240" s="64"/>
      <c r="S1240" s="65"/>
      <c r="T1240" s="64"/>
      <c r="U1240" s="370">
        <v>0</v>
      </c>
      <c r="V1240" s="687">
        <v>0</v>
      </c>
      <c r="W1240" s="75"/>
      <c r="X1240" s="75"/>
      <c r="Y1240" s="75"/>
      <c r="Z1240" s="75"/>
      <c r="AA1240" s="75"/>
      <c r="AB1240" s="75"/>
      <c r="AC1240" s="97"/>
      <c r="AD1240" s="97"/>
      <c r="AE1240" s="591"/>
      <c r="AF1240" s="259"/>
      <c r="AG1240" s="510">
        <v>0</v>
      </c>
      <c r="AH1240" s="370">
        <v>0</v>
      </c>
      <c r="AI1240" s="75"/>
      <c r="AJ1240" s="75"/>
      <c r="AK1240" s="75"/>
      <c r="AL1240" s="75"/>
      <c r="AM1240" s="75"/>
      <c r="AN1240" s="64" t="s">
        <v>181</v>
      </c>
      <c r="AO1240" s="64"/>
      <c r="AP1240" s="64"/>
      <c r="AQ1240" s="189"/>
      <c r="AR1240" s="64"/>
      <c r="AS1240" s="476"/>
      <c r="AT1240" s="64"/>
      <c r="AU1240" s="646"/>
      <c r="AV1240" s="185"/>
    </row>
    <row r="1241" spans="1:48" ht="15" customHeight="1" outlineLevel="3" x14ac:dyDescent="0.25">
      <c r="A1241" s="63" t="str">
        <f t="shared" si="191"/>
        <v>4.14.3.8.1.63</v>
      </c>
      <c r="B1241" s="64">
        <v>4</v>
      </c>
      <c r="C1241" s="64">
        <v>14</v>
      </c>
      <c r="D1241" s="64">
        <v>3</v>
      </c>
      <c r="E1241" s="64">
        <v>8</v>
      </c>
      <c r="F1241" s="64">
        <v>1</v>
      </c>
      <c r="G1241" s="64">
        <v>63</v>
      </c>
      <c r="H1241" s="65"/>
      <c r="I1241" s="65"/>
      <c r="J1241" s="65"/>
      <c r="K1241" s="65" t="s">
        <v>1775</v>
      </c>
      <c r="L1241" s="64"/>
      <c r="M1241" s="64"/>
      <c r="N1241" s="64"/>
      <c r="O1241" s="64"/>
      <c r="P1241" s="64"/>
      <c r="Q1241" s="170"/>
      <c r="R1241" s="64"/>
      <c r="S1241" s="65"/>
      <c r="T1241" s="64"/>
      <c r="U1241" s="370">
        <v>0</v>
      </c>
      <c r="V1241" s="687">
        <v>0</v>
      </c>
      <c r="W1241" s="75"/>
      <c r="X1241" s="75"/>
      <c r="Y1241" s="75"/>
      <c r="Z1241" s="75"/>
      <c r="AA1241" s="75"/>
      <c r="AB1241" s="75"/>
      <c r="AC1241" s="97"/>
      <c r="AD1241" s="97"/>
      <c r="AE1241" s="591"/>
      <c r="AF1241" s="259"/>
      <c r="AG1241" s="510">
        <v>0</v>
      </c>
      <c r="AH1241" s="370">
        <v>0</v>
      </c>
      <c r="AI1241" s="75"/>
      <c r="AJ1241" s="75"/>
      <c r="AK1241" s="75"/>
      <c r="AL1241" s="75"/>
      <c r="AM1241" s="75"/>
      <c r="AN1241" s="64" t="s">
        <v>181</v>
      </c>
      <c r="AO1241" s="64"/>
      <c r="AP1241" s="64"/>
      <c r="AQ1241" s="189"/>
      <c r="AR1241" s="64"/>
      <c r="AS1241" s="476"/>
      <c r="AT1241" s="64"/>
      <c r="AU1241" s="646"/>
      <c r="AV1241" s="185"/>
    </row>
    <row r="1242" spans="1:48" ht="15" customHeight="1" outlineLevel="3" x14ac:dyDescent="0.25">
      <c r="A1242" s="63" t="str">
        <f t="shared" si="191"/>
        <v>4.14.3.8.1.64</v>
      </c>
      <c r="B1242" s="64">
        <v>4</v>
      </c>
      <c r="C1242" s="64">
        <v>14</v>
      </c>
      <c r="D1242" s="64">
        <v>3</v>
      </c>
      <c r="E1242" s="64">
        <v>8</v>
      </c>
      <c r="F1242" s="64">
        <v>1</v>
      </c>
      <c r="G1242" s="64">
        <v>64</v>
      </c>
      <c r="H1242" s="65"/>
      <c r="I1242" s="65"/>
      <c r="J1242" s="65"/>
      <c r="K1242" s="65" t="s">
        <v>1492</v>
      </c>
      <c r="L1242" s="64"/>
      <c r="M1242" s="64"/>
      <c r="N1242" s="64"/>
      <c r="O1242" s="64"/>
      <c r="P1242" s="64"/>
      <c r="Q1242" s="170"/>
      <c r="R1242" s="64"/>
      <c r="S1242" s="65"/>
      <c r="T1242" s="64"/>
      <c r="U1242" s="370">
        <v>0</v>
      </c>
      <c r="V1242" s="687">
        <v>0</v>
      </c>
      <c r="W1242" s="75"/>
      <c r="X1242" s="75"/>
      <c r="Y1242" s="75"/>
      <c r="Z1242" s="75"/>
      <c r="AA1242" s="75"/>
      <c r="AB1242" s="75"/>
      <c r="AC1242" s="97"/>
      <c r="AD1242" s="97"/>
      <c r="AE1242" s="591"/>
      <c r="AF1242" s="259"/>
      <c r="AG1242" s="510">
        <v>0</v>
      </c>
      <c r="AH1242" s="370">
        <v>0</v>
      </c>
      <c r="AI1242" s="75"/>
      <c r="AJ1242" s="75"/>
      <c r="AK1242" s="75"/>
      <c r="AL1242" s="75"/>
      <c r="AM1242" s="75"/>
      <c r="AN1242" s="64" t="s">
        <v>181</v>
      </c>
      <c r="AO1242" s="64"/>
      <c r="AP1242" s="64"/>
      <c r="AQ1242" s="189"/>
      <c r="AR1242" s="64"/>
      <c r="AS1242" s="476"/>
      <c r="AT1242" s="64"/>
      <c r="AU1242" s="646"/>
      <c r="AV1242" s="185"/>
    </row>
    <row r="1243" spans="1:48" ht="15" customHeight="1" outlineLevel="3" x14ac:dyDescent="0.25">
      <c r="A1243" s="63" t="str">
        <f t="shared" si="191"/>
        <v>4.14.3.8.2.58</v>
      </c>
      <c r="B1243" s="64">
        <v>4</v>
      </c>
      <c r="C1243" s="64">
        <v>14</v>
      </c>
      <c r="D1243" s="64">
        <v>3</v>
      </c>
      <c r="E1243" s="64">
        <v>8</v>
      </c>
      <c r="F1243" s="64">
        <v>2</v>
      </c>
      <c r="G1243" s="64">
        <v>58</v>
      </c>
      <c r="H1243" s="65"/>
      <c r="I1243" s="65"/>
      <c r="J1243" s="66"/>
      <c r="K1243" s="65" t="s">
        <v>1493</v>
      </c>
      <c r="L1243" s="64" t="s">
        <v>72</v>
      </c>
      <c r="M1243" s="64" t="s">
        <v>73</v>
      </c>
      <c r="N1243" s="64" t="s">
        <v>74</v>
      </c>
      <c r="O1243" s="64" t="s">
        <v>1487</v>
      </c>
      <c r="P1243" s="64"/>
      <c r="Q1243" s="64"/>
      <c r="R1243" s="64"/>
      <c r="S1243" s="65"/>
      <c r="T1243" s="64"/>
      <c r="U1243" s="370">
        <v>0</v>
      </c>
      <c r="V1243" s="687">
        <v>0</v>
      </c>
      <c r="W1243" s="75"/>
      <c r="X1243" s="75"/>
      <c r="Y1243" s="75"/>
      <c r="Z1243" s="75"/>
      <c r="AA1243" s="75"/>
      <c r="AB1243" s="75"/>
      <c r="AC1243" s="97"/>
      <c r="AD1243" s="97"/>
      <c r="AE1243" s="591"/>
      <c r="AF1243" s="259"/>
      <c r="AG1243" s="510">
        <v>0</v>
      </c>
      <c r="AH1243" s="370">
        <v>0</v>
      </c>
      <c r="AI1243" s="75"/>
      <c r="AJ1243" s="75"/>
      <c r="AK1243" s="75"/>
      <c r="AL1243" s="75"/>
      <c r="AM1243" s="75"/>
      <c r="AN1243" s="64" t="s">
        <v>181</v>
      </c>
      <c r="AO1243" s="64"/>
      <c r="AP1243" s="64"/>
      <c r="AQ1243" s="189"/>
      <c r="AR1243" s="64"/>
      <c r="AS1243" s="476"/>
      <c r="AT1243" s="64"/>
      <c r="AU1243" s="646"/>
      <c r="AV1243" s="185"/>
    </row>
    <row r="1244" spans="1:48" ht="15" customHeight="1" outlineLevel="3" x14ac:dyDescent="0.25">
      <c r="A1244" s="63" t="str">
        <f t="shared" si="191"/>
        <v>4.14.3.8.2.59</v>
      </c>
      <c r="B1244" s="64">
        <v>4</v>
      </c>
      <c r="C1244" s="64">
        <v>14</v>
      </c>
      <c r="D1244" s="64">
        <v>3</v>
      </c>
      <c r="E1244" s="64">
        <v>8</v>
      </c>
      <c r="F1244" s="64">
        <v>2</v>
      </c>
      <c r="G1244" s="64">
        <v>59</v>
      </c>
      <c r="H1244" s="65"/>
      <c r="I1244" s="65"/>
      <c r="J1244" s="66"/>
      <c r="K1244" s="65" t="s">
        <v>1494</v>
      </c>
      <c r="L1244" s="64"/>
      <c r="M1244" s="64"/>
      <c r="N1244" s="64"/>
      <c r="O1244" s="64"/>
      <c r="P1244" s="64"/>
      <c r="Q1244" s="64"/>
      <c r="R1244" s="64"/>
      <c r="S1244" s="65"/>
      <c r="T1244" s="64"/>
      <c r="U1244" s="370">
        <v>0</v>
      </c>
      <c r="V1244" s="687">
        <v>0</v>
      </c>
      <c r="W1244" s="75"/>
      <c r="X1244" s="75"/>
      <c r="Y1244" s="75"/>
      <c r="Z1244" s="75"/>
      <c r="AA1244" s="75"/>
      <c r="AB1244" s="75"/>
      <c r="AC1244" s="97"/>
      <c r="AD1244" s="97"/>
      <c r="AE1244" s="591"/>
      <c r="AF1244" s="259"/>
      <c r="AG1244" s="510">
        <v>0</v>
      </c>
      <c r="AH1244" s="370">
        <v>0</v>
      </c>
      <c r="AI1244" s="75"/>
      <c r="AJ1244" s="75"/>
      <c r="AK1244" s="75"/>
      <c r="AL1244" s="75"/>
      <c r="AM1244" s="75"/>
      <c r="AN1244" s="64" t="s">
        <v>181</v>
      </c>
      <c r="AO1244" s="64"/>
      <c r="AP1244" s="64"/>
      <c r="AQ1244" s="189"/>
      <c r="AR1244" s="64"/>
      <c r="AS1244" s="476"/>
      <c r="AT1244" s="64"/>
      <c r="AU1244" s="646"/>
      <c r="AV1244" s="185"/>
    </row>
    <row r="1245" spans="1:48" ht="15" customHeight="1" outlineLevel="3" x14ac:dyDescent="0.25">
      <c r="A1245" s="63" t="str">
        <f t="shared" si="191"/>
        <v>4.14.3.8.2.60</v>
      </c>
      <c r="B1245" s="64">
        <v>4</v>
      </c>
      <c r="C1245" s="64">
        <v>14</v>
      </c>
      <c r="D1245" s="64">
        <v>3</v>
      </c>
      <c r="E1245" s="64">
        <v>8</v>
      </c>
      <c r="F1245" s="64">
        <v>2</v>
      </c>
      <c r="G1245" s="64">
        <v>60</v>
      </c>
      <c r="H1245" s="65"/>
      <c r="I1245" s="65"/>
      <c r="J1245" s="66"/>
      <c r="K1245" s="65" t="s">
        <v>1495</v>
      </c>
      <c r="L1245" s="64"/>
      <c r="M1245" s="64"/>
      <c r="N1245" s="64"/>
      <c r="O1245" s="64"/>
      <c r="P1245" s="64"/>
      <c r="Q1245" s="64"/>
      <c r="R1245" s="64"/>
      <c r="S1245" s="65"/>
      <c r="T1245" s="64"/>
      <c r="U1245" s="370">
        <v>0</v>
      </c>
      <c r="V1245" s="687">
        <v>0</v>
      </c>
      <c r="W1245" s="75"/>
      <c r="X1245" s="75"/>
      <c r="Y1245" s="75"/>
      <c r="Z1245" s="75"/>
      <c r="AA1245" s="75"/>
      <c r="AB1245" s="75"/>
      <c r="AC1245" s="97"/>
      <c r="AD1245" s="97"/>
      <c r="AE1245" s="591"/>
      <c r="AF1245" s="259"/>
      <c r="AG1245" s="510">
        <v>0</v>
      </c>
      <c r="AH1245" s="370">
        <v>0</v>
      </c>
      <c r="AI1245" s="75"/>
      <c r="AJ1245" s="75"/>
      <c r="AK1245" s="75"/>
      <c r="AL1245" s="75"/>
      <c r="AM1245" s="75"/>
      <c r="AN1245" s="64" t="s">
        <v>181</v>
      </c>
      <c r="AO1245" s="64"/>
      <c r="AP1245" s="64"/>
      <c r="AQ1245" s="189"/>
      <c r="AR1245" s="64"/>
      <c r="AS1245" s="476"/>
      <c r="AT1245" s="64"/>
      <c r="AU1245" s="646"/>
      <c r="AV1245" s="185"/>
    </row>
    <row r="1246" spans="1:48" ht="15" customHeight="1" outlineLevel="3" x14ac:dyDescent="0.25">
      <c r="A1246" s="63" t="str">
        <f t="shared" si="191"/>
        <v>4.14.3.8.2.61</v>
      </c>
      <c r="B1246" s="64">
        <v>4</v>
      </c>
      <c r="C1246" s="64">
        <v>14</v>
      </c>
      <c r="D1246" s="64">
        <v>3</v>
      </c>
      <c r="E1246" s="64">
        <v>8</v>
      </c>
      <c r="F1246" s="64">
        <v>2</v>
      </c>
      <c r="G1246" s="64">
        <v>61</v>
      </c>
      <c r="H1246" s="65"/>
      <c r="I1246" s="65"/>
      <c r="J1246" s="66"/>
      <c r="K1246" s="65" t="s">
        <v>1496</v>
      </c>
      <c r="L1246" s="64"/>
      <c r="M1246" s="64"/>
      <c r="N1246" s="64"/>
      <c r="O1246" s="64"/>
      <c r="P1246" s="64"/>
      <c r="Q1246" s="64"/>
      <c r="R1246" s="64"/>
      <c r="S1246" s="65"/>
      <c r="T1246" s="64"/>
      <c r="U1246" s="370">
        <v>0</v>
      </c>
      <c r="V1246" s="687">
        <v>0</v>
      </c>
      <c r="W1246" s="75"/>
      <c r="X1246" s="75"/>
      <c r="Y1246" s="75"/>
      <c r="Z1246" s="75"/>
      <c r="AA1246" s="75"/>
      <c r="AB1246" s="75"/>
      <c r="AC1246" s="97"/>
      <c r="AD1246" s="97"/>
      <c r="AE1246" s="591"/>
      <c r="AF1246" s="259"/>
      <c r="AG1246" s="510">
        <v>0</v>
      </c>
      <c r="AH1246" s="370">
        <v>0</v>
      </c>
      <c r="AI1246" s="75"/>
      <c r="AJ1246" s="75"/>
      <c r="AK1246" s="75"/>
      <c r="AL1246" s="75"/>
      <c r="AM1246" s="75"/>
      <c r="AN1246" s="64" t="s">
        <v>181</v>
      </c>
      <c r="AO1246" s="64"/>
      <c r="AP1246" s="64"/>
      <c r="AQ1246" s="189"/>
      <c r="AR1246" s="64"/>
      <c r="AS1246" s="476"/>
      <c r="AT1246" s="64"/>
      <c r="AU1246" s="646"/>
      <c r="AV1246" s="185"/>
    </row>
    <row r="1247" spans="1:48" ht="15" customHeight="1" outlineLevel="3" x14ac:dyDescent="0.25">
      <c r="A1247" s="63" t="str">
        <f t="shared" si="191"/>
        <v>4.14.3.8.2.62</v>
      </c>
      <c r="B1247" s="64">
        <v>4</v>
      </c>
      <c r="C1247" s="64">
        <v>14</v>
      </c>
      <c r="D1247" s="64">
        <v>3</v>
      </c>
      <c r="E1247" s="64">
        <v>8</v>
      </c>
      <c r="F1247" s="64">
        <v>2</v>
      </c>
      <c r="G1247" s="64">
        <v>62</v>
      </c>
      <c r="H1247" s="65"/>
      <c r="I1247" s="65"/>
      <c r="J1247" s="66"/>
      <c r="K1247" s="65" t="s">
        <v>1497</v>
      </c>
      <c r="L1247" s="64"/>
      <c r="M1247" s="64"/>
      <c r="N1247" s="64"/>
      <c r="O1247" s="64"/>
      <c r="P1247" s="64"/>
      <c r="Q1247" s="64"/>
      <c r="R1247" s="64"/>
      <c r="S1247" s="65"/>
      <c r="T1247" s="64"/>
      <c r="U1247" s="370">
        <v>0</v>
      </c>
      <c r="V1247" s="687">
        <v>0</v>
      </c>
      <c r="W1247" s="75"/>
      <c r="X1247" s="75"/>
      <c r="Y1247" s="75"/>
      <c r="Z1247" s="75"/>
      <c r="AA1247" s="75"/>
      <c r="AB1247" s="75"/>
      <c r="AC1247" s="97"/>
      <c r="AD1247" s="97"/>
      <c r="AE1247" s="591"/>
      <c r="AF1247" s="259"/>
      <c r="AG1247" s="510">
        <v>0</v>
      </c>
      <c r="AH1247" s="370">
        <v>0</v>
      </c>
      <c r="AI1247" s="75"/>
      <c r="AJ1247" s="75"/>
      <c r="AK1247" s="75"/>
      <c r="AL1247" s="75"/>
      <c r="AM1247" s="75"/>
      <c r="AN1247" s="64" t="s">
        <v>181</v>
      </c>
      <c r="AO1247" s="64"/>
      <c r="AP1247" s="64"/>
      <c r="AQ1247" s="189"/>
      <c r="AR1247" s="64"/>
      <c r="AS1247" s="476"/>
      <c r="AT1247" s="64"/>
      <c r="AU1247" s="646"/>
      <c r="AV1247" s="185"/>
    </row>
    <row r="1248" spans="1:48" ht="15" customHeight="1" outlineLevel="3" x14ac:dyDescent="0.25">
      <c r="A1248" s="63" t="str">
        <f t="shared" si="191"/>
        <v>4.14.3.8.2.63</v>
      </c>
      <c r="B1248" s="64">
        <v>4</v>
      </c>
      <c r="C1248" s="64">
        <v>14</v>
      </c>
      <c r="D1248" s="64">
        <v>3</v>
      </c>
      <c r="E1248" s="64">
        <v>8</v>
      </c>
      <c r="F1248" s="64">
        <v>2</v>
      </c>
      <c r="G1248" s="64">
        <v>63</v>
      </c>
      <c r="H1248" s="65"/>
      <c r="I1248" s="65"/>
      <c r="J1248" s="66"/>
      <c r="K1248" s="65" t="s">
        <v>1776</v>
      </c>
      <c r="L1248" s="64"/>
      <c r="M1248" s="64"/>
      <c r="N1248" s="64"/>
      <c r="O1248" s="64"/>
      <c r="P1248" s="64"/>
      <c r="Q1248" s="64"/>
      <c r="R1248" s="64"/>
      <c r="S1248" s="65"/>
      <c r="T1248" s="64"/>
      <c r="U1248" s="370">
        <v>0</v>
      </c>
      <c r="V1248" s="687">
        <v>0</v>
      </c>
      <c r="W1248" s="75"/>
      <c r="X1248" s="75"/>
      <c r="Y1248" s="75"/>
      <c r="Z1248" s="75"/>
      <c r="AA1248" s="75"/>
      <c r="AB1248" s="75"/>
      <c r="AC1248" s="97"/>
      <c r="AD1248" s="97"/>
      <c r="AE1248" s="591"/>
      <c r="AF1248" s="259"/>
      <c r="AG1248" s="510">
        <v>0</v>
      </c>
      <c r="AH1248" s="370">
        <v>0</v>
      </c>
      <c r="AI1248" s="75"/>
      <c r="AJ1248" s="75"/>
      <c r="AK1248" s="75"/>
      <c r="AL1248" s="75"/>
      <c r="AM1248" s="75"/>
      <c r="AN1248" s="64" t="s">
        <v>181</v>
      </c>
      <c r="AO1248" s="64"/>
      <c r="AP1248" s="64"/>
      <c r="AQ1248" s="189"/>
      <c r="AR1248" s="64"/>
      <c r="AS1248" s="476"/>
      <c r="AT1248" s="64"/>
      <c r="AU1248" s="646"/>
      <c r="AV1248" s="185"/>
    </row>
    <row r="1249" spans="1:48" ht="15" customHeight="1" outlineLevel="3" x14ac:dyDescent="0.25">
      <c r="A1249" s="63" t="str">
        <f t="shared" si="191"/>
        <v>4.14.3.8.2.64</v>
      </c>
      <c r="B1249" s="64">
        <v>4</v>
      </c>
      <c r="C1249" s="64">
        <v>14</v>
      </c>
      <c r="D1249" s="64">
        <v>3</v>
      </c>
      <c r="E1249" s="64">
        <v>8</v>
      </c>
      <c r="F1249" s="64">
        <v>2</v>
      </c>
      <c r="G1249" s="64">
        <v>64</v>
      </c>
      <c r="H1249" s="65"/>
      <c r="I1249" s="65"/>
      <c r="J1249" s="66"/>
      <c r="K1249" s="65" t="s">
        <v>1498</v>
      </c>
      <c r="L1249" s="64"/>
      <c r="M1249" s="64"/>
      <c r="N1249" s="64"/>
      <c r="O1249" s="64"/>
      <c r="P1249" s="64"/>
      <c r="Q1249" s="64"/>
      <c r="R1249" s="64"/>
      <c r="S1249" s="65"/>
      <c r="T1249" s="64"/>
      <c r="U1249" s="370">
        <v>0</v>
      </c>
      <c r="V1249" s="687">
        <v>0</v>
      </c>
      <c r="W1249" s="75"/>
      <c r="X1249" s="75"/>
      <c r="Y1249" s="75"/>
      <c r="Z1249" s="75"/>
      <c r="AA1249" s="75"/>
      <c r="AB1249" s="75"/>
      <c r="AC1249" s="97"/>
      <c r="AD1249" s="97"/>
      <c r="AE1249" s="591"/>
      <c r="AF1249" s="259"/>
      <c r="AG1249" s="510">
        <v>0</v>
      </c>
      <c r="AH1249" s="370">
        <v>0</v>
      </c>
      <c r="AI1249" s="75"/>
      <c r="AJ1249" s="75"/>
      <c r="AK1249" s="75"/>
      <c r="AL1249" s="75"/>
      <c r="AM1249" s="75"/>
      <c r="AN1249" s="64" t="s">
        <v>181</v>
      </c>
      <c r="AO1249" s="64"/>
      <c r="AP1249" s="64"/>
      <c r="AQ1249" s="189"/>
      <c r="AR1249" s="64"/>
      <c r="AS1249" s="476"/>
      <c r="AT1249" s="64"/>
      <c r="AU1249" s="646"/>
      <c r="AV1249" s="185"/>
    </row>
    <row r="1250" spans="1:48" outlineLevel="3" x14ac:dyDescent="0.25">
      <c r="A1250" s="63" t="str">
        <f t="shared" si="191"/>
        <v>4.14.3.8.3.58</v>
      </c>
      <c r="B1250" s="64">
        <v>4</v>
      </c>
      <c r="C1250" s="64">
        <v>14</v>
      </c>
      <c r="D1250" s="64">
        <v>3</v>
      </c>
      <c r="E1250" s="64">
        <v>8</v>
      </c>
      <c r="F1250" s="64">
        <v>3</v>
      </c>
      <c r="G1250" s="64">
        <v>58</v>
      </c>
      <c r="H1250" s="65"/>
      <c r="I1250" s="65"/>
      <c r="J1250" s="66"/>
      <c r="K1250" s="67" t="s">
        <v>1499</v>
      </c>
      <c r="L1250" s="64" t="s">
        <v>72</v>
      </c>
      <c r="M1250" s="64" t="s">
        <v>73</v>
      </c>
      <c r="N1250" s="64" t="s">
        <v>74</v>
      </c>
      <c r="O1250" s="64" t="s">
        <v>1487</v>
      </c>
      <c r="P1250" s="64"/>
      <c r="Q1250" s="64"/>
      <c r="R1250" s="64"/>
      <c r="S1250" s="65"/>
      <c r="T1250" s="64"/>
      <c r="U1250" s="370">
        <v>0</v>
      </c>
      <c r="V1250" s="687">
        <v>0</v>
      </c>
      <c r="W1250" s="75"/>
      <c r="X1250" s="75"/>
      <c r="Y1250" s="75"/>
      <c r="Z1250" s="75"/>
      <c r="AA1250" s="75"/>
      <c r="AB1250" s="75"/>
      <c r="AC1250" s="97"/>
      <c r="AD1250" s="97"/>
      <c r="AE1250" s="591"/>
      <c r="AF1250" s="259"/>
      <c r="AG1250" s="510">
        <v>0</v>
      </c>
      <c r="AH1250" s="370">
        <v>0</v>
      </c>
      <c r="AI1250" s="75"/>
      <c r="AJ1250" s="75"/>
      <c r="AK1250" s="75"/>
      <c r="AL1250" s="75"/>
      <c r="AM1250" s="75"/>
      <c r="AN1250" s="64" t="s">
        <v>181</v>
      </c>
      <c r="AO1250" s="64"/>
      <c r="AP1250" s="64"/>
      <c r="AQ1250" s="189"/>
      <c r="AR1250" s="64"/>
      <c r="AS1250" s="476"/>
      <c r="AT1250" s="64"/>
      <c r="AU1250" s="646"/>
      <c r="AV1250" s="185"/>
    </row>
    <row r="1251" spans="1:48" ht="15" customHeight="1" outlineLevel="3" x14ac:dyDescent="0.25">
      <c r="A1251" s="63" t="str">
        <f t="shared" si="191"/>
        <v>4.14.3.8.3.59</v>
      </c>
      <c r="B1251" s="64">
        <v>4</v>
      </c>
      <c r="C1251" s="64">
        <v>14</v>
      </c>
      <c r="D1251" s="64">
        <v>3</v>
      </c>
      <c r="E1251" s="64">
        <v>8</v>
      </c>
      <c r="F1251" s="64">
        <v>3</v>
      </c>
      <c r="G1251" s="64">
        <v>59</v>
      </c>
      <c r="H1251" s="65"/>
      <c r="I1251" s="65"/>
      <c r="J1251" s="66"/>
      <c r="K1251" s="65" t="s">
        <v>1500</v>
      </c>
      <c r="L1251" s="64" t="s">
        <v>72</v>
      </c>
      <c r="M1251" s="64" t="s">
        <v>73</v>
      </c>
      <c r="N1251" s="64" t="s">
        <v>74</v>
      </c>
      <c r="O1251" s="64" t="s">
        <v>1487</v>
      </c>
      <c r="P1251" s="64"/>
      <c r="Q1251" s="64"/>
      <c r="R1251" s="64"/>
      <c r="S1251" s="65"/>
      <c r="T1251" s="64"/>
      <c r="U1251" s="370">
        <v>0</v>
      </c>
      <c r="V1251" s="687">
        <v>0</v>
      </c>
      <c r="W1251" s="75"/>
      <c r="X1251" s="75"/>
      <c r="Y1251" s="75"/>
      <c r="Z1251" s="75"/>
      <c r="AA1251" s="75"/>
      <c r="AB1251" s="75"/>
      <c r="AC1251" s="97"/>
      <c r="AD1251" s="97"/>
      <c r="AE1251" s="591"/>
      <c r="AF1251" s="259"/>
      <c r="AG1251" s="510">
        <v>0</v>
      </c>
      <c r="AH1251" s="370">
        <v>0</v>
      </c>
      <c r="AI1251" s="75"/>
      <c r="AJ1251" s="75"/>
      <c r="AK1251" s="75"/>
      <c r="AL1251" s="75"/>
      <c r="AM1251" s="75"/>
      <c r="AN1251" s="64" t="s">
        <v>181</v>
      </c>
      <c r="AO1251" s="64"/>
      <c r="AP1251" s="64"/>
      <c r="AQ1251" s="189"/>
      <c r="AR1251" s="64"/>
      <c r="AS1251" s="476"/>
      <c r="AT1251" s="64"/>
      <c r="AU1251" s="646"/>
      <c r="AV1251" s="185"/>
    </row>
    <row r="1252" spans="1:48" ht="15" customHeight="1" outlineLevel="3" x14ac:dyDescent="0.25">
      <c r="A1252" s="63" t="str">
        <f t="shared" si="191"/>
        <v>4.14.3.8.3.60</v>
      </c>
      <c r="B1252" s="64">
        <v>4</v>
      </c>
      <c r="C1252" s="64">
        <v>14</v>
      </c>
      <c r="D1252" s="64">
        <v>3</v>
      </c>
      <c r="E1252" s="64">
        <v>8</v>
      </c>
      <c r="F1252" s="64">
        <v>3</v>
      </c>
      <c r="G1252" s="64">
        <v>60</v>
      </c>
      <c r="H1252" s="65"/>
      <c r="I1252" s="65"/>
      <c r="J1252" s="66"/>
      <c r="K1252" s="65" t="s">
        <v>1501</v>
      </c>
      <c r="L1252" s="64" t="s">
        <v>72</v>
      </c>
      <c r="M1252" s="64" t="s">
        <v>73</v>
      </c>
      <c r="N1252" s="64" t="s">
        <v>74</v>
      </c>
      <c r="O1252" s="64" t="s">
        <v>1487</v>
      </c>
      <c r="P1252" s="64"/>
      <c r="Q1252" s="64"/>
      <c r="R1252" s="64"/>
      <c r="S1252" s="65"/>
      <c r="T1252" s="64"/>
      <c r="U1252" s="370">
        <v>0</v>
      </c>
      <c r="V1252" s="687">
        <v>0</v>
      </c>
      <c r="W1252" s="75"/>
      <c r="X1252" s="75"/>
      <c r="Y1252" s="75"/>
      <c r="Z1252" s="75"/>
      <c r="AA1252" s="75"/>
      <c r="AB1252" s="75"/>
      <c r="AC1252" s="97"/>
      <c r="AD1252" s="97"/>
      <c r="AE1252" s="591"/>
      <c r="AF1252" s="259"/>
      <c r="AG1252" s="510">
        <v>0</v>
      </c>
      <c r="AH1252" s="370">
        <v>0</v>
      </c>
      <c r="AI1252" s="75"/>
      <c r="AJ1252" s="75"/>
      <c r="AK1252" s="75"/>
      <c r="AL1252" s="75"/>
      <c r="AM1252" s="75"/>
      <c r="AN1252" s="64" t="s">
        <v>181</v>
      </c>
      <c r="AO1252" s="64"/>
      <c r="AP1252" s="64"/>
      <c r="AQ1252" s="189"/>
      <c r="AR1252" s="64"/>
      <c r="AS1252" s="476"/>
      <c r="AT1252" s="64"/>
      <c r="AU1252" s="646"/>
      <c r="AV1252" s="185"/>
    </row>
    <row r="1253" spans="1:48" ht="15" customHeight="1" outlineLevel="3" x14ac:dyDescent="0.25">
      <c r="A1253" s="63" t="str">
        <f t="shared" si="191"/>
        <v>4.14.3.8.3.61</v>
      </c>
      <c r="B1253" s="64">
        <v>4</v>
      </c>
      <c r="C1253" s="64">
        <v>14</v>
      </c>
      <c r="D1253" s="64">
        <v>3</v>
      </c>
      <c r="E1253" s="64">
        <v>8</v>
      </c>
      <c r="F1253" s="64">
        <v>3</v>
      </c>
      <c r="G1253" s="64">
        <v>61</v>
      </c>
      <c r="H1253" s="65"/>
      <c r="I1253" s="65"/>
      <c r="J1253" s="66"/>
      <c r="K1253" s="65" t="s">
        <v>1502</v>
      </c>
      <c r="L1253" s="64" t="s">
        <v>72</v>
      </c>
      <c r="M1253" s="64" t="s">
        <v>73</v>
      </c>
      <c r="N1253" s="64" t="s">
        <v>74</v>
      </c>
      <c r="O1253" s="64" t="s">
        <v>1487</v>
      </c>
      <c r="P1253" s="64"/>
      <c r="Q1253" s="64"/>
      <c r="R1253" s="64"/>
      <c r="S1253" s="65"/>
      <c r="T1253" s="64"/>
      <c r="U1253" s="370">
        <v>0</v>
      </c>
      <c r="V1253" s="687">
        <v>0</v>
      </c>
      <c r="W1253" s="75"/>
      <c r="X1253" s="75"/>
      <c r="Y1253" s="75"/>
      <c r="Z1253" s="75"/>
      <c r="AA1253" s="75"/>
      <c r="AB1253" s="75"/>
      <c r="AC1253" s="97"/>
      <c r="AD1253" s="97"/>
      <c r="AE1253" s="591"/>
      <c r="AF1253" s="259"/>
      <c r="AG1253" s="510">
        <v>0</v>
      </c>
      <c r="AH1253" s="370">
        <v>0</v>
      </c>
      <c r="AI1253" s="75"/>
      <c r="AJ1253" s="75"/>
      <c r="AK1253" s="75"/>
      <c r="AL1253" s="75"/>
      <c r="AM1253" s="75"/>
      <c r="AN1253" s="64" t="s">
        <v>181</v>
      </c>
      <c r="AO1253" s="64"/>
      <c r="AP1253" s="64"/>
      <c r="AQ1253" s="189"/>
      <c r="AR1253" s="64"/>
      <c r="AS1253" s="476"/>
      <c r="AT1253" s="64"/>
      <c r="AU1253" s="646"/>
      <c r="AV1253" s="185"/>
    </row>
    <row r="1254" spans="1:48" ht="15" customHeight="1" outlineLevel="3" x14ac:dyDescent="0.25">
      <c r="A1254" s="63" t="str">
        <f t="shared" si="191"/>
        <v>4.14.3.8.3.62</v>
      </c>
      <c r="B1254" s="64">
        <v>4</v>
      </c>
      <c r="C1254" s="64">
        <v>14</v>
      </c>
      <c r="D1254" s="64">
        <v>3</v>
      </c>
      <c r="E1254" s="64">
        <v>8</v>
      </c>
      <c r="F1254" s="64">
        <v>3</v>
      </c>
      <c r="G1254" s="64">
        <v>62</v>
      </c>
      <c r="H1254" s="65"/>
      <c r="I1254" s="65"/>
      <c r="J1254" s="66"/>
      <c r="K1254" s="65" t="s">
        <v>1503</v>
      </c>
      <c r="L1254" s="64" t="s">
        <v>72</v>
      </c>
      <c r="M1254" s="64" t="s">
        <v>73</v>
      </c>
      <c r="N1254" s="64" t="s">
        <v>74</v>
      </c>
      <c r="O1254" s="64" t="s">
        <v>1487</v>
      </c>
      <c r="P1254" s="64"/>
      <c r="Q1254" s="64"/>
      <c r="R1254" s="64"/>
      <c r="S1254" s="65"/>
      <c r="T1254" s="64"/>
      <c r="U1254" s="370">
        <v>0</v>
      </c>
      <c r="V1254" s="687">
        <v>0</v>
      </c>
      <c r="W1254" s="75"/>
      <c r="X1254" s="75"/>
      <c r="Y1254" s="75"/>
      <c r="Z1254" s="75"/>
      <c r="AA1254" s="75"/>
      <c r="AB1254" s="75"/>
      <c r="AC1254" s="97"/>
      <c r="AD1254" s="97"/>
      <c r="AE1254" s="591"/>
      <c r="AF1254" s="259"/>
      <c r="AG1254" s="510">
        <v>0</v>
      </c>
      <c r="AH1254" s="370">
        <v>0</v>
      </c>
      <c r="AI1254" s="75"/>
      <c r="AJ1254" s="75"/>
      <c r="AK1254" s="75"/>
      <c r="AL1254" s="75"/>
      <c r="AM1254" s="75"/>
      <c r="AN1254" s="64" t="s">
        <v>181</v>
      </c>
      <c r="AO1254" s="64"/>
      <c r="AP1254" s="64"/>
      <c r="AQ1254" s="189"/>
      <c r="AR1254" s="64"/>
      <c r="AS1254" s="476"/>
      <c r="AT1254" s="64"/>
      <c r="AU1254" s="646"/>
      <c r="AV1254" s="185"/>
    </row>
    <row r="1255" spans="1:48" ht="15" customHeight="1" outlineLevel="3" x14ac:dyDescent="0.25">
      <c r="A1255" s="63" t="str">
        <f t="shared" si="191"/>
        <v>4.14.3.8.3.63</v>
      </c>
      <c r="B1255" s="64">
        <v>4</v>
      </c>
      <c r="C1255" s="64">
        <v>14</v>
      </c>
      <c r="D1255" s="64">
        <v>3</v>
      </c>
      <c r="E1255" s="64">
        <v>8</v>
      </c>
      <c r="F1255" s="64">
        <v>3</v>
      </c>
      <c r="G1255" s="64">
        <v>63</v>
      </c>
      <c r="H1255" s="65"/>
      <c r="I1255" s="65"/>
      <c r="J1255" s="66"/>
      <c r="K1255" s="65" t="s">
        <v>1777</v>
      </c>
      <c r="L1255" s="64" t="s">
        <v>72</v>
      </c>
      <c r="M1255" s="64" t="s">
        <v>73</v>
      </c>
      <c r="N1255" s="64" t="s">
        <v>74</v>
      </c>
      <c r="O1255" s="64" t="s">
        <v>1487</v>
      </c>
      <c r="P1255" s="64"/>
      <c r="Q1255" s="64"/>
      <c r="R1255" s="64"/>
      <c r="S1255" s="65"/>
      <c r="T1255" s="64"/>
      <c r="U1255" s="370">
        <v>0</v>
      </c>
      <c r="V1255" s="687">
        <v>0</v>
      </c>
      <c r="W1255" s="75"/>
      <c r="X1255" s="75"/>
      <c r="Y1255" s="75"/>
      <c r="Z1255" s="75"/>
      <c r="AA1255" s="75"/>
      <c r="AB1255" s="75"/>
      <c r="AC1255" s="97"/>
      <c r="AD1255" s="97"/>
      <c r="AE1255" s="591"/>
      <c r="AF1255" s="259"/>
      <c r="AG1255" s="510">
        <v>0</v>
      </c>
      <c r="AH1255" s="370">
        <v>0</v>
      </c>
      <c r="AI1255" s="75"/>
      <c r="AJ1255" s="75"/>
      <c r="AK1255" s="75"/>
      <c r="AL1255" s="75"/>
      <c r="AM1255" s="75"/>
      <c r="AN1255" s="64" t="s">
        <v>181</v>
      </c>
      <c r="AO1255" s="64"/>
      <c r="AP1255" s="64"/>
      <c r="AQ1255" s="189"/>
      <c r="AR1255" s="64"/>
      <c r="AS1255" s="476"/>
      <c r="AT1255" s="64"/>
      <c r="AU1255" s="646"/>
      <c r="AV1255" s="185"/>
    </row>
    <row r="1256" spans="1:48" ht="15" customHeight="1" outlineLevel="3" x14ac:dyDescent="0.25">
      <c r="A1256" s="63" t="str">
        <f t="shared" si="191"/>
        <v>4.14.3.8.3.64</v>
      </c>
      <c r="B1256" s="64">
        <v>4</v>
      </c>
      <c r="C1256" s="64">
        <v>14</v>
      </c>
      <c r="D1256" s="64">
        <v>3</v>
      </c>
      <c r="E1256" s="64">
        <v>8</v>
      </c>
      <c r="F1256" s="64">
        <v>3</v>
      </c>
      <c r="G1256" s="64">
        <v>64</v>
      </c>
      <c r="H1256" s="65"/>
      <c r="I1256" s="65"/>
      <c r="J1256" s="66"/>
      <c r="K1256" s="65" t="s">
        <v>1504</v>
      </c>
      <c r="L1256" s="64" t="s">
        <v>72</v>
      </c>
      <c r="M1256" s="64" t="s">
        <v>73</v>
      </c>
      <c r="N1256" s="64" t="s">
        <v>74</v>
      </c>
      <c r="O1256" s="64" t="s">
        <v>1487</v>
      </c>
      <c r="P1256" s="64"/>
      <c r="Q1256" s="64"/>
      <c r="R1256" s="64"/>
      <c r="S1256" s="65"/>
      <c r="T1256" s="64"/>
      <c r="U1256" s="370">
        <v>0</v>
      </c>
      <c r="V1256" s="687">
        <v>0</v>
      </c>
      <c r="W1256" s="75"/>
      <c r="X1256" s="75"/>
      <c r="Y1256" s="75"/>
      <c r="Z1256" s="75"/>
      <c r="AA1256" s="75"/>
      <c r="AB1256" s="75"/>
      <c r="AC1256" s="97"/>
      <c r="AD1256" s="97"/>
      <c r="AE1256" s="591"/>
      <c r="AF1256" s="259"/>
      <c r="AG1256" s="510">
        <v>0</v>
      </c>
      <c r="AH1256" s="370">
        <v>0</v>
      </c>
      <c r="AI1256" s="75"/>
      <c r="AJ1256" s="75"/>
      <c r="AK1256" s="75"/>
      <c r="AL1256" s="75"/>
      <c r="AM1256" s="75"/>
      <c r="AN1256" s="64" t="s">
        <v>181</v>
      </c>
      <c r="AO1256" s="64"/>
      <c r="AP1256" s="64"/>
      <c r="AQ1256" s="189"/>
      <c r="AR1256" s="64"/>
      <c r="AS1256" s="476"/>
      <c r="AT1256" s="64"/>
      <c r="AU1256" s="646"/>
      <c r="AV1256" s="185"/>
    </row>
    <row r="1257" spans="1:48" ht="30" outlineLevel="3" x14ac:dyDescent="0.25">
      <c r="A1257" s="63" t="str">
        <f t="shared" si="191"/>
        <v>4.14.3.8.4.58</v>
      </c>
      <c r="B1257" s="64">
        <v>4</v>
      </c>
      <c r="C1257" s="64">
        <v>14</v>
      </c>
      <c r="D1257" s="64">
        <v>3</v>
      </c>
      <c r="E1257" s="64">
        <v>8</v>
      </c>
      <c r="F1257" s="64">
        <v>4</v>
      </c>
      <c r="G1257" s="64">
        <v>58</v>
      </c>
      <c r="H1257" s="65"/>
      <c r="I1257" s="65"/>
      <c r="J1257" s="66"/>
      <c r="K1257" s="86" t="s">
        <v>1505</v>
      </c>
      <c r="L1257" s="64" t="s">
        <v>72</v>
      </c>
      <c r="M1257" s="64" t="s">
        <v>73</v>
      </c>
      <c r="N1257" s="64" t="s">
        <v>74</v>
      </c>
      <c r="O1257" s="64" t="s">
        <v>1487</v>
      </c>
      <c r="P1257" s="64"/>
      <c r="Q1257" s="64"/>
      <c r="R1257" s="64"/>
      <c r="S1257" s="65"/>
      <c r="T1257" s="64"/>
      <c r="U1257" s="370">
        <v>0</v>
      </c>
      <c r="V1257" s="687">
        <v>0</v>
      </c>
      <c r="W1257" s="75"/>
      <c r="X1257" s="75"/>
      <c r="Y1257" s="75"/>
      <c r="Z1257" s="75"/>
      <c r="AA1257" s="75"/>
      <c r="AB1257" s="75"/>
      <c r="AC1257" s="97"/>
      <c r="AD1257" s="97"/>
      <c r="AE1257" s="591"/>
      <c r="AF1257" s="259"/>
      <c r="AG1257" s="510">
        <v>0</v>
      </c>
      <c r="AH1257" s="370">
        <v>0</v>
      </c>
      <c r="AI1257" s="75"/>
      <c r="AJ1257" s="75"/>
      <c r="AK1257" s="75"/>
      <c r="AL1257" s="75"/>
      <c r="AM1257" s="75"/>
      <c r="AN1257" s="64" t="s">
        <v>181</v>
      </c>
      <c r="AO1257" s="64"/>
      <c r="AP1257" s="64"/>
      <c r="AQ1257" s="189"/>
      <c r="AR1257" s="64"/>
      <c r="AS1257" s="476"/>
      <c r="AT1257" s="64"/>
      <c r="AU1257" s="646"/>
      <c r="AV1257" s="185"/>
    </row>
    <row r="1258" spans="1:48" ht="15" customHeight="1" outlineLevel="3" x14ac:dyDescent="0.25">
      <c r="A1258" s="63" t="str">
        <f t="shared" si="191"/>
        <v>4.14.3.8.4.59</v>
      </c>
      <c r="B1258" s="64">
        <v>4</v>
      </c>
      <c r="C1258" s="64">
        <v>14</v>
      </c>
      <c r="D1258" s="64">
        <v>3</v>
      </c>
      <c r="E1258" s="64">
        <v>8</v>
      </c>
      <c r="F1258" s="64">
        <v>4</v>
      </c>
      <c r="G1258" s="64">
        <v>59</v>
      </c>
      <c r="H1258" s="65"/>
      <c r="I1258" s="65"/>
      <c r="J1258" s="66"/>
      <c r="K1258" s="125" t="s">
        <v>1506</v>
      </c>
      <c r="L1258" s="64" t="s">
        <v>72</v>
      </c>
      <c r="M1258" s="64" t="s">
        <v>73</v>
      </c>
      <c r="N1258" s="64" t="s">
        <v>74</v>
      </c>
      <c r="O1258" s="64" t="s">
        <v>1487</v>
      </c>
      <c r="P1258" s="64"/>
      <c r="Q1258" s="64"/>
      <c r="R1258" s="64"/>
      <c r="S1258" s="65"/>
      <c r="T1258" s="64"/>
      <c r="U1258" s="370">
        <v>0</v>
      </c>
      <c r="V1258" s="687">
        <v>0</v>
      </c>
      <c r="W1258" s="75"/>
      <c r="X1258" s="75"/>
      <c r="Y1258" s="75"/>
      <c r="Z1258" s="75"/>
      <c r="AA1258" s="75"/>
      <c r="AB1258" s="75"/>
      <c r="AC1258" s="97"/>
      <c r="AD1258" s="97"/>
      <c r="AE1258" s="591"/>
      <c r="AF1258" s="259"/>
      <c r="AG1258" s="510">
        <v>0</v>
      </c>
      <c r="AH1258" s="370">
        <v>0</v>
      </c>
      <c r="AI1258" s="75"/>
      <c r="AJ1258" s="75"/>
      <c r="AK1258" s="75"/>
      <c r="AL1258" s="75"/>
      <c r="AM1258" s="75"/>
      <c r="AN1258" s="64" t="s">
        <v>181</v>
      </c>
      <c r="AO1258" s="64"/>
      <c r="AP1258" s="64"/>
      <c r="AQ1258" s="189"/>
      <c r="AR1258" s="64"/>
      <c r="AS1258" s="476"/>
      <c r="AT1258" s="64"/>
      <c r="AU1258" s="646"/>
      <c r="AV1258" s="185"/>
    </row>
    <row r="1259" spans="1:48" ht="15" customHeight="1" outlineLevel="3" x14ac:dyDescent="0.25">
      <c r="A1259" s="63" t="str">
        <f t="shared" si="191"/>
        <v>4.14.3.8.4.60</v>
      </c>
      <c r="B1259" s="64">
        <v>4</v>
      </c>
      <c r="C1259" s="64">
        <v>14</v>
      </c>
      <c r="D1259" s="64">
        <v>3</v>
      </c>
      <c r="E1259" s="64">
        <v>8</v>
      </c>
      <c r="F1259" s="64">
        <v>4</v>
      </c>
      <c r="G1259" s="64">
        <v>60</v>
      </c>
      <c r="H1259" s="65"/>
      <c r="I1259" s="65"/>
      <c r="J1259" s="66"/>
      <c r="K1259" s="125" t="s">
        <v>1507</v>
      </c>
      <c r="L1259" s="64" t="s">
        <v>72</v>
      </c>
      <c r="M1259" s="64" t="s">
        <v>73</v>
      </c>
      <c r="N1259" s="64" t="s">
        <v>74</v>
      </c>
      <c r="O1259" s="64" t="s">
        <v>1487</v>
      </c>
      <c r="P1259" s="64"/>
      <c r="Q1259" s="64"/>
      <c r="R1259" s="64"/>
      <c r="S1259" s="65"/>
      <c r="T1259" s="64"/>
      <c r="U1259" s="370">
        <v>0</v>
      </c>
      <c r="V1259" s="687">
        <v>0</v>
      </c>
      <c r="W1259" s="75"/>
      <c r="X1259" s="75"/>
      <c r="Y1259" s="75"/>
      <c r="Z1259" s="75"/>
      <c r="AA1259" s="75"/>
      <c r="AB1259" s="75"/>
      <c r="AC1259" s="97"/>
      <c r="AD1259" s="97"/>
      <c r="AE1259" s="591"/>
      <c r="AF1259" s="259"/>
      <c r="AG1259" s="510">
        <v>0</v>
      </c>
      <c r="AH1259" s="370">
        <v>0</v>
      </c>
      <c r="AI1259" s="75"/>
      <c r="AJ1259" s="75"/>
      <c r="AK1259" s="75"/>
      <c r="AL1259" s="75"/>
      <c r="AM1259" s="75"/>
      <c r="AN1259" s="64" t="s">
        <v>181</v>
      </c>
      <c r="AO1259" s="64"/>
      <c r="AP1259" s="64"/>
      <c r="AQ1259" s="189"/>
      <c r="AR1259" s="64"/>
      <c r="AS1259" s="476"/>
      <c r="AT1259" s="64"/>
      <c r="AU1259" s="646"/>
      <c r="AV1259" s="185"/>
    </row>
    <row r="1260" spans="1:48" ht="15" customHeight="1" outlineLevel="3" x14ac:dyDescent="0.25">
      <c r="A1260" s="63" t="str">
        <f t="shared" si="191"/>
        <v>4.14.3.8.4.61</v>
      </c>
      <c r="B1260" s="64">
        <v>4</v>
      </c>
      <c r="C1260" s="64">
        <v>14</v>
      </c>
      <c r="D1260" s="64">
        <v>3</v>
      </c>
      <c r="E1260" s="64">
        <v>8</v>
      </c>
      <c r="F1260" s="64">
        <v>4</v>
      </c>
      <c r="G1260" s="64">
        <v>61</v>
      </c>
      <c r="H1260" s="65"/>
      <c r="I1260" s="65"/>
      <c r="J1260" s="66"/>
      <c r="K1260" s="125" t="s">
        <v>1508</v>
      </c>
      <c r="L1260" s="64" t="s">
        <v>72</v>
      </c>
      <c r="M1260" s="64" t="s">
        <v>73</v>
      </c>
      <c r="N1260" s="64" t="s">
        <v>74</v>
      </c>
      <c r="O1260" s="64" t="s">
        <v>1487</v>
      </c>
      <c r="P1260" s="64"/>
      <c r="Q1260" s="64"/>
      <c r="R1260" s="64"/>
      <c r="S1260" s="65"/>
      <c r="T1260" s="64"/>
      <c r="U1260" s="370">
        <v>0</v>
      </c>
      <c r="V1260" s="687">
        <v>0</v>
      </c>
      <c r="W1260" s="75"/>
      <c r="X1260" s="75"/>
      <c r="Y1260" s="75"/>
      <c r="Z1260" s="75"/>
      <c r="AA1260" s="75"/>
      <c r="AB1260" s="75"/>
      <c r="AC1260" s="97"/>
      <c r="AD1260" s="97"/>
      <c r="AE1260" s="591"/>
      <c r="AF1260" s="259"/>
      <c r="AG1260" s="510">
        <v>0</v>
      </c>
      <c r="AH1260" s="370">
        <v>0</v>
      </c>
      <c r="AI1260" s="75"/>
      <c r="AJ1260" s="75"/>
      <c r="AK1260" s="75"/>
      <c r="AL1260" s="75"/>
      <c r="AM1260" s="75"/>
      <c r="AN1260" s="64" t="s">
        <v>181</v>
      </c>
      <c r="AO1260" s="64"/>
      <c r="AP1260" s="64"/>
      <c r="AQ1260" s="189"/>
      <c r="AR1260" s="64"/>
      <c r="AS1260" s="476"/>
      <c r="AT1260" s="64"/>
      <c r="AU1260" s="646"/>
      <c r="AV1260" s="185"/>
    </row>
    <row r="1261" spans="1:48" ht="15" customHeight="1" outlineLevel="3" x14ac:dyDescent="0.25">
      <c r="A1261" s="63" t="str">
        <f t="shared" si="191"/>
        <v>4.14.3.8.4.62</v>
      </c>
      <c r="B1261" s="64">
        <v>4</v>
      </c>
      <c r="C1261" s="64">
        <v>14</v>
      </c>
      <c r="D1261" s="64">
        <v>3</v>
      </c>
      <c r="E1261" s="64">
        <v>8</v>
      </c>
      <c r="F1261" s="64">
        <v>4</v>
      </c>
      <c r="G1261" s="64">
        <v>62</v>
      </c>
      <c r="H1261" s="65"/>
      <c r="I1261" s="65"/>
      <c r="J1261" s="66"/>
      <c r="K1261" s="125" t="s">
        <v>1509</v>
      </c>
      <c r="L1261" s="64" t="s">
        <v>72</v>
      </c>
      <c r="M1261" s="64" t="s">
        <v>73</v>
      </c>
      <c r="N1261" s="64" t="s">
        <v>74</v>
      </c>
      <c r="O1261" s="64" t="s">
        <v>1487</v>
      </c>
      <c r="P1261" s="64"/>
      <c r="Q1261" s="64"/>
      <c r="R1261" s="64"/>
      <c r="S1261" s="65"/>
      <c r="T1261" s="64"/>
      <c r="U1261" s="370">
        <v>0</v>
      </c>
      <c r="V1261" s="687">
        <v>0</v>
      </c>
      <c r="W1261" s="75"/>
      <c r="X1261" s="75"/>
      <c r="Y1261" s="75"/>
      <c r="Z1261" s="75"/>
      <c r="AA1261" s="75"/>
      <c r="AB1261" s="75"/>
      <c r="AC1261" s="97"/>
      <c r="AD1261" s="97"/>
      <c r="AE1261" s="591"/>
      <c r="AF1261" s="259"/>
      <c r="AG1261" s="510">
        <v>0</v>
      </c>
      <c r="AH1261" s="370">
        <v>0</v>
      </c>
      <c r="AI1261" s="75"/>
      <c r="AJ1261" s="75"/>
      <c r="AK1261" s="75"/>
      <c r="AL1261" s="75"/>
      <c r="AM1261" s="75"/>
      <c r="AN1261" s="64" t="s">
        <v>181</v>
      </c>
      <c r="AO1261" s="64"/>
      <c r="AP1261" s="64"/>
      <c r="AQ1261" s="189"/>
      <c r="AR1261" s="64"/>
      <c r="AS1261" s="476"/>
      <c r="AT1261" s="64"/>
      <c r="AU1261" s="646"/>
      <c r="AV1261" s="185"/>
    </row>
    <row r="1262" spans="1:48" ht="15" customHeight="1" outlineLevel="3" x14ac:dyDescent="0.25">
      <c r="A1262" s="63" t="str">
        <f t="shared" si="191"/>
        <v>4.14.3.8.4.63</v>
      </c>
      <c r="B1262" s="64">
        <v>4</v>
      </c>
      <c r="C1262" s="64">
        <v>14</v>
      </c>
      <c r="D1262" s="64">
        <v>3</v>
      </c>
      <c r="E1262" s="64">
        <v>8</v>
      </c>
      <c r="F1262" s="64">
        <v>4</v>
      </c>
      <c r="G1262" s="64">
        <v>63</v>
      </c>
      <c r="H1262" s="65"/>
      <c r="I1262" s="65"/>
      <c r="J1262" s="66"/>
      <c r="K1262" s="125" t="s">
        <v>1778</v>
      </c>
      <c r="L1262" s="64" t="s">
        <v>72</v>
      </c>
      <c r="M1262" s="64" t="s">
        <v>73</v>
      </c>
      <c r="N1262" s="64" t="s">
        <v>74</v>
      </c>
      <c r="O1262" s="64" t="s">
        <v>1487</v>
      </c>
      <c r="P1262" s="64"/>
      <c r="Q1262" s="64"/>
      <c r="R1262" s="64"/>
      <c r="S1262" s="65"/>
      <c r="T1262" s="64"/>
      <c r="U1262" s="370">
        <v>0</v>
      </c>
      <c r="V1262" s="687">
        <v>0</v>
      </c>
      <c r="W1262" s="75"/>
      <c r="X1262" s="75"/>
      <c r="Y1262" s="75"/>
      <c r="Z1262" s="75"/>
      <c r="AA1262" s="75"/>
      <c r="AB1262" s="75"/>
      <c r="AC1262" s="97"/>
      <c r="AD1262" s="97"/>
      <c r="AE1262" s="591"/>
      <c r="AF1262" s="259"/>
      <c r="AG1262" s="510">
        <v>0</v>
      </c>
      <c r="AH1262" s="370">
        <v>0</v>
      </c>
      <c r="AI1262" s="75"/>
      <c r="AJ1262" s="75"/>
      <c r="AK1262" s="75"/>
      <c r="AL1262" s="75"/>
      <c r="AM1262" s="75"/>
      <c r="AN1262" s="64" t="s">
        <v>181</v>
      </c>
      <c r="AO1262" s="64"/>
      <c r="AP1262" s="64"/>
      <c r="AQ1262" s="189"/>
      <c r="AR1262" s="64"/>
      <c r="AS1262" s="476"/>
      <c r="AT1262" s="64"/>
      <c r="AU1262" s="646"/>
      <c r="AV1262" s="185"/>
    </row>
    <row r="1263" spans="1:48" ht="15" customHeight="1" outlineLevel="3" x14ac:dyDescent="0.25">
      <c r="A1263" s="63" t="str">
        <f t="shared" si="191"/>
        <v>4.14.3.8.4.64</v>
      </c>
      <c r="B1263" s="64">
        <v>4</v>
      </c>
      <c r="C1263" s="64">
        <v>14</v>
      </c>
      <c r="D1263" s="64">
        <v>3</v>
      </c>
      <c r="E1263" s="64">
        <v>8</v>
      </c>
      <c r="F1263" s="64">
        <v>4</v>
      </c>
      <c r="G1263" s="64">
        <v>64</v>
      </c>
      <c r="H1263" s="65"/>
      <c r="I1263" s="65"/>
      <c r="J1263" s="66"/>
      <c r="K1263" s="125" t="s">
        <v>1510</v>
      </c>
      <c r="L1263" s="64" t="s">
        <v>72</v>
      </c>
      <c r="M1263" s="64" t="s">
        <v>73</v>
      </c>
      <c r="N1263" s="64" t="s">
        <v>74</v>
      </c>
      <c r="O1263" s="64" t="s">
        <v>1487</v>
      </c>
      <c r="P1263" s="64"/>
      <c r="Q1263" s="64"/>
      <c r="R1263" s="64"/>
      <c r="S1263" s="65"/>
      <c r="T1263" s="64"/>
      <c r="U1263" s="370">
        <v>0</v>
      </c>
      <c r="V1263" s="687">
        <v>0</v>
      </c>
      <c r="W1263" s="75"/>
      <c r="X1263" s="75"/>
      <c r="Y1263" s="75"/>
      <c r="Z1263" s="75"/>
      <c r="AA1263" s="75"/>
      <c r="AB1263" s="75"/>
      <c r="AC1263" s="97"/>
      <c r="AD1263" s="97"/>
      <c r="AE1263" s="591"/>
      <c r="AF1263" s="259"/>
      <c r="AG1263" s="510">
        <v>0</v>
      </c>
      <c r="AH1263" s="370">
        <v>0</v>
      </c>
      <c r="AI1263" s="75"/>
      <c r="AJ1263" s="75"/>
      <c r="AK1263" s="75"/>
      <c r="AL1263" s="75"/>
      <c r="AM1263" s="75"/>
      <c r="AN1263" s="64" t="s">
        <v>181</v>
      </c>
      <c r="AO1263" s="64"/>
      <c r="AP1263" s="64"/>
      <c r="AQ1263" s="189"/>
      <c r="AR1263" s="64"/>
      <c r="AS1263" s="476"/>
      <c r="AT1263" s="64"/>
      <c r="AU1263" s="646"/>
      <c r="AV1263" s="185"/>
    </row>
    <row r="1264" spans="1:48" outlineLevel="3" x14ac:dyDescent="0.25">
      <c r="A1264" s="63" t="str">
        <f t="shared" si="191"/>
        <v>4.14.3.8.5.58</v>
      </c>
      <c r="B1264" s="64">
        <v>4</v>
      </c>
      <c r="C1264" s="64">
        <v>14</v>
      </c>
      <c r="D1264" s="64">
        <v>3</v>
      </c>
      <c r="E1264" s="64">
        <v>8</v>
      </c>
      <c r="F1264" s="64">
        <v>5</v>
      </c>
      <c r="G1264" s="64">
        <v>58</v>
      </c>
      <c r="H1264" s="65"/>
      <c r="I1264" s="65"/>
      <c r="J1264" s="66"/>
      <c r="K1264" s="125" t="s">
        <v>1511</v>
      </c>
      <c r="L1264" s="64" t="s">
        <v>72</v>
      </c>
      <c r="M1264" s="64" t="s">
        <v>73</v>
      </c>
      <c r="N1264" s="64" t="s">
        <v>74</v>
      </c>
      <c r="O1264" s="64" t="s">
        <v>1487</v>
      </c>
      <c r="P1264" s="64"/>
      <c r="Q1264" s="64"/>
      <c r="R1264" s="64"/>
      <c r="S1264" s="65"/>
      <c r="T1264" s="64"/>
      <c r="U1264" s="370">
        <v>0</v>
      </c>
      <c r="V1264" s="687">
        <v>0</v>
      </c>
      <c r="W1264" s="75"/>
      <c r="X1264" s="75"/>
      <c r="Y1264" s="75"/>
      <c r="Z1264" s="75"/>
      <c r="AA1264" s="75"/>
      <c r="AB1264" s="75"/>
      <c r="AC1264" s="97"/>
      <c r="AD1264" s="97"/>
      <c r="AE1264" s="591"/>
      <c r="AF1264" s="343"/>
      <c r="AG1264" s="510">
        <v>0</v>
      </c>
      <c r="AH1264" s="370">
        <v>0</v>
      </c>
      <c r="AI1264" s="75"/>
      <c r="AJ1264" s="75"/>
      <c r="AK1264" s="75"/>
      <c r="AL1264" s="75"/>
      <c r="AM1264" s="75"/>
      <c r="AN1264" s="64" t="s">
        <v>181</v>
      </c>
      <c r="AO1264" s="64"/>
      <c r="AP1264" s="64"/>
      <c r="AQ1264" s="189"/>
      <c r="AR1264" s="64"/>
      <c r="AS1264" s="476"/>
      <c r="AT1264" s="64"/>
      <c r="AU1264" s="646"/>
      <c r="AV1264" s="185"/>
    </row>
    <row r="1265" spans="1:51" outlineLevel="3" x14ac:dyDescent="0.25">
      <c r="A1265" s="63" t="str">
        <f t="shared" si="191"/>
        <v>4.14.3.8.5.59</v>
      </c>
      <c r="B1265" s="64">
        <v>4</v>
      </c>
      <c r="C1265" s="64">
        <v>14</v>
      </c>
      <c r="D1265" s="64">
        <v>3</v>
      </c>
      <c r="E1265" s="64">
        <v>8</v>
      </c>
      <c r="F1265" s="64">
        <v>5</v>
      </c>
      <c r="G1265" s="64">
        <v>59</v>
      </c>
      <c r="H1265" s="65"/>
      <c r="I1265" s="65"/>
      <c r="J1265" s="66"/>
      <c r="K1265" s="125" t="s">
        <v>1512</v>
      </c>
      <c r="L1265" s="64" t="s">
        <v>72</v>
      </c>
      <c r="M1265" s="64" t="s">
        <v>73</v>
      </c>
      <c r="N1265" s="64" t="s">
        <v>74</v>
      </c>
      <c r="O1265" s="64" t="s">
        <v>1487</v>
      </c>
      <c r="P1265" s="64"/>
      <c r="Q1265" s="64"/>
      <c r="R1265" s="64"/>
      <c r="S1265" s="65"/>
      <c r="T1265" s="64"/>
      <c r="U1265" s="370">
        <v>0</v>
      </c>
      <c r="V1265" s="687">
        <v>0</v>
      </c>
      <c r="W1265" s="75"/>
      <c r="X1265" s="75"/>
      <c r="Y1265" s="75"/>
      <c r="Z1265" s="75"/>
      <c r="AA1265" s="75"/>
      <c r="AB1265" s="75"/>
      <c r="AC1265" s="97"/>
      <c r="AD1265" s="97"/>
      <c r="AE1265" s="591"/>
      <c r="AF1265" s="343"/>
      <c r="AG1265" s="510">
        <v>0</v>
      </c>
      <c r="AH1265" s="370">
        <v>0</v>
      </c>
      <c r="AI1265" s="75"/>
      <c r="AJ1265" s="75"/>
      <c r="AK1265" s="75"/>
      <c r="AL1265" s="75"/>
      <c r="AM1265" s="75"/>
      <c r="AN1265" s="64" t="s">
        <v>181</v>
      </c>
      <c r="AO1265" s="64"/>
      <c r="AP1265" s="64"/>
      <c r="AQ1265" s="189"/>
      <c r="AR1265" s="64"/>
      <c r="AS1265" s="476"/>
      <c r="AT1265" s="64"/>
      <c r="AU1265" s="646"/>
      <c r="AV1265" s="185"/>
    </row>
    <row r="1266" spans="1:51" outlineLevel="3" x14ac:dyDescent="0.25">
      <c r="A1266" s="63" t="str">
        <f t="shared" si="191"/>
        <v>4.14.3.8.5.60</v>
      </c>
      <c r="B1266" s="64">
        <v>4</v>
      </c>
      <c r="C1266" s="64">
        <v>14</v>
      </c>
      <c r="D1266" s="64">
        <v>3</v>
      </c>
      <c r="E1266" s="64">
        <v>8</v>
      </c>
      <c r="F1266" s="64">
        <v>5</v>
      </c>
      <c r="G1266" s="64">
        <v>60</v>
      </c>
      <c r="H1266" s="65"/>
      <c r="I1266" s="65"/>
      <c r="J1266" s="66"/>
      <c r="K1266" s="125" t="s">
        <v>1513</v>
      </c>
      <c r="L1266" s="64" t="s">
        <v>72</v>
      </c>
      <c r="M1266" s="64" t="s">
        <v>73</v>
      </c>
      <c r="N1266" s="64" t="s">
        <v>74</v>
      </c>
      <c r="O1266" s="64" t="s">
        <v>1487</v>
      </c>
      <c r="P1266" s="64"/>
      <c r="Q1266" s="64"/>
      <c r="R1266" s="64"/>
      <c r="S1266" s="65"/>
      <c r="T1266" s="64"/>
      <c r="U1266" s="370">
        <v>0</v>
      </c>
      <c r="V1266" s="687">
        <v>0</v>
      </c>
      <c r="W1266" s="75"/>
      <c r="X1266" s="75"/>
      <c r="Y1266" s="75"/>
      <c r="Z1266" s="75"/>
      <c r="AA1266" s="75"/>
      <c r="AB1266" s="75"/>
      <c r="AC1266" s="97"/>
      <c r="AD1266" s="97"/>
      <c r="AE1266" s="591"/>
      <c r="AF1266" s="343"/>
      <c r="AG1266" s="510">
        <v>0</v>
      </c>
      <c r="AH1266" s="370">
        <v>0</v>
      </c>
      <c r="AI1266" s="75"/>
      <c r="AJ1266" s="75"/>
      <c r="AK1266" s="75"/>
      <c r="AL1266" s="75"/>
      <c r="AM1266" s="75"/>
      <c r="AN1266" s="64" t="s">
        <v>181</v>
      </c>
      <c r="AO1266" s="64"/>
      <c r="AP1266" s="64"/>
      <c r="AQ1266" s="189"/>
      <c r="AR1266" s="64"/>
      <c r="AS1266" s="476"/>
      <c r="AT1266" s="64"/>
      <c r="AU1266" s="646"/>
      <c r="AV1266" s="185"/>
    </row>
    <row r="1267" spans="1:51" outlineLevel="3" x14ac:dyDescent="0.25">
      <c r="A1267" s="63" t="str">
        <f t="shared" si="191"/>
        <v>4.14.3.8.5.61</v>
      </c>
      <c r="B1267" s="64">
        <v>4</v>
      </c>
      <c r="C1267" s="64">
        <v>14</v>
      </c>
      <c r="D1267" s="64">
        <v>3</v>
      </c>
      <c r="E1267" s="64">
        <v>8</v>
      </c>
      <c r="F1267" s="64">
        <v>5</v>
      </c>
      <c r="G1267" s="64">
        <v>61</v>
      </c>
      <c r="H1267" s="65"/>
      <c r="I1267" s="65"/>
      <c r="J1267" s="66"/>
      <c r="K1267" s="125" t="s">
        <v>1514</v>
      </c>
      <c r="L1267" s="64" t="s">
        <v>72</v>
      </c>
      <c r="M1267" s="64" t="s">
        <v>73</v>
      </c>
      <c r="N1267" s="64" t="s">
        <v>74</v>
      </c>
      <c r="O1267" s="64" t="s">
        <v>1487</v>
      </c>
      <c r="P1267" s="64"/>
      <c r="Q1267" s="64"/>
      <c r="R1267" s="64"/>
      <c r="S1267" s="65"/>
      <c r="T1267" s="64"/>
      <c r="U1267" s="370">
        <v>0</v>
      </c>
      <c r="V1267" s="687">
        <v>0</v>
      </c>
      <c r="W1267" s="75"/>
      <c r="X1267" s="75"/>
      <c r="Y1267" s="75"/>
      <c r="Z1267" s="75"/>
      <c r="AA1267" s="75"/>
      <c r="AB1267" s="75"/>
      <c r="AC1267" s="97"/>
      <c r="AD1267" s="97"/>
      <c r="AE1267" s="591"/>
      <c r="AF1267" s="343"/>
      <c r="AG1267" s="510">
        <v>0</v>
      </c>
      <c r="AH1267" s="370">
        <v>0</v>
      </c>
      <c r="AI1267" s="75"/>
      <c r="AJ1267" s="75"/>
      <c r="AK1267" s="75"/>
      <c r="AL1267" s="75"/>
      <c r="AM1267" s="75"/>
      <c r="AN1267" s="64" t="s">
        <v>181</v>
      </c>
      <c r="AO1267" s="64"/>
      <c r="AP1267" s="64"/>
      <c r="AQ1267" s="189"/>
      <c r="AR1267" s="64"/>
      <c r="AS1267" s="476"/>
      <c r="AT1267" s="64"/>
      <c r="AU1267" s="646"/>
      <c r="AV1267" s="185"/>
    </row>
    <row r="1268" spans="1:51" outlineLevel="3" x14ac:dyDescent="0.25">
      <c r="A1268" s="63" t="str">
        <f t="shared" si="191"/>
        <v>4.14.3.8.5.62</v>
      </c>
      <c r="B1268" s="64">
        <v>4</v>
      </c>
      <c r="C1268" s="64">
        <v>14</v>
      </c>
      <c r="D1268" s="64">
        <v>3</v>
      </c>
      <c r="E1268" s="64">
        <v>8</v>
      </c>
      <c r="F1268" s="64">
        <v>5</v>
      </c>
      <c r="G1268" s="64">
        <v>62</v>
      </c>
      <c r="H1268" s="65"/>
      <c r="I1268" s="65"/>
      <c r="J1268" s="66"/>
      <c r="K1268" s="125" t="s">
        <v>1515</v>
      </c>
      <c r="L1268" s="64" t="s">
        <v>72</v>
      </c>
      <c r="M1268" s="64" t="s">
        <v>73</v>
      </c>
      <c r="N1268" s="64" t="s">
        <v>74</v>
      </c>
      <c r="O1268" s="64" t="s">
        <v>1487</v>
      </c>
      <c r="P1268" s="64"/>
      <c r="Q1268" s="64"/>
      <c r="R1268" s="64"/>
      <c r="S1268" s="65"/>
      <c r="T1268" s="64"/>
      <c r="U1268" s="370">
        <v>0</v>
      </c>
      <c r="V1268" s="687">
        <v>0</v>
      </c>
      <c r="W1268" s="75"/>
      <c r="X1268" s="75"/>
      <c r="Y1268" s="75"/>
      <c r="Z1268" s="75"/>
      <c r="AA1268" s="75"/>
      <c r="AB1268" s="75"/>
      <c r="AC1268" s="97"/>
      <c r="AD1268" s="97"/>
      <c r="AE1268" s="591"/>
      <c r="AF1268" s="343"/>
      <c r="AG1268" s="510">
        <v>0</v>
      </c>
      <c r="AH1268" s="370">
        <v>0</v>
      </c>
      <c r="AI1268" s="75"/>
      <c r="AJ1268" s="75"/>
      <c r="AK1268" s="75"/>
      <c r="AL1268" s="75"/>
      <c r="AM1268" s="75"/>
      <c r="AN1268" s="64" t="s">
        <v>181</v>
      </c>
      <c r="AO1268" s="64"/>
      <c r="AP1268" s="64"/>
      <c r="AQ1268" s="189"/>
      <c r="AR1268" s="64"/>
      <c r="AS1268" s="476"/>
      <c r="AT1268" s="64"/>
      <c r="AU1268" s="646"/>
      <c r="AV1268" s="185"/>
    </row>
    <row r="1269" spans="1:51" outlineLevel="3" x14ac:dyDescent="0.25">
      <c r="A1269" s="63" t="str">
        <f t="shared" si="191"/>
        <v>4.14.3.8.5.63</v>
      </c>
      <c r="B1269" s="64">
        <v>4</v>
      </c>
      <c r="C1269" s="64">
        <v>14</v>
      </c>
      <c r="D1269" s="64">
        <v>3</v>
      </c>
      <c r="E1269" s="64">
        <v>8</v>
      </c>
      <c r="F1269" s="64">
        <v>5</v>
      </c>
      <c r="G1269" s="64">
        <v>63</v>
      </c>
      <c r="H1269" s="65"/>
      <c r="I1269" s="65"/>
      <c r="J1269" s="66"/>
      <c r="K1269" s="125" t="s">
        <v>1779</v>
      </c>
      <c r="L1269" s="64" t="s">
        <v>72</v>
      </c>
      <c r="M1269" s="64" t="s">
        <v>73</v>
      </c>
      <c r="N1269" s="64" t="s">
        <v>74</v>
      </c>
      <c r="O1269" s="64" t="s">
        <v>1487</v>
      </c>
      <c r="P1269" s="64"/>
      <c r="Q1269" s="64"/>
      <c r="R1269" s="64"/>
      <c r="S1269" s="65"/>
      <c r="T1269" s="64"/>
      <c r="U1269" s="370">
        <v>0</v>
      </c>
      <c r="V1269" s="687">
        <v>0</v>
      </c>
      <c r="W1269" s="75"/>
      <c r="X1269" s="75"/>
      <c r="Y1269" s="75"/>
      <c r="Z1269" s="75"/>
      <c r="AA1269" s="75"/>
      <c r="AB1269" s="75"/>
      <c r="AC1269" s="97"/>
      <c r="AD1269" s="97"/>
      <c r="AE1269" s="591"/>
      <c r="AF1269" s="343"/>
      <c r="AG1269" s="510">
        <v>0</v>
      </c>
      <c r="AH1269" s="370">
        <v>0</v>
      </c>
      <c r="AI1269" s="75"/>
      <c r="AJ1269" s="75"/>
      <c r="AK1269" s="75"/>
      <c r="AL1269" s="75"/>
      <c r="AM1269" s="75"/>
      <c r="AN1269" s="64" t="s">
        <v>181</v>
      </c>
      <c r="AO1269" s="64"/>
      <c r="AP1269" s="64"/>
      <c r="AQ1269" s="189"/>
      <c r="AR1269" s="64"/>
      <c r="AS1269" s="476"/>
      <c r="AT1269" s="64"/>
      <c r="AU1269" s="646"/>
      <c r="AV1269" s="185"/>
    </row>
    <row r="1270" spans="1:51" outlineLevel="3" x14ac:dyDescent="0.25">
      <c r="A1270" s="63" t="str">
        <f t="shared" si="191"/>
        <v>4.14.3.8.5.64</v>
      </c>
      <c r="B1270" s="64">
        <v>4</v>
      </c>
      <c r="C1270" s="64">
        <v>14</v>
      </c>
      <c r="D1270" s="64">
        <v>3</v>
      </c>
      <c r="E1270" s="64">
        <v>8</v>
      </c>
      <c r="F1270" s="64">
        <v>5</v>
      </c>
      <c r="G1270" s="64">
        <v>64</v>
      </c>
      <c r="H1270" s="65"/>
      <c r="I1270" s="65"/>
      <c r="J1270" s="66"/>
      <c r="K1270" s="125" t="s">
        <v>1516</v>
      </c>
      <c r="L1270" s="64" t="s">
        <v>72</v>
      </c>
      <c r="M1270" s="64" t="s">
        <v>73</v>
      </c>
      <c r="N1270" s="64" t="s">
        <v>74</v>
      </c>
      <c r="O1270" s="64" t="s">
        <v>1487</v>
      </c>
      <c r="P1270" s="64"/>
      <c r="Q1270" s="64"/>
      <c r="R1270" s="64"/>
      <c r="S1270" s="65"/>
      <c r="T1270" s="64"/>
      <c r="U1270" s="370">
        <v>0</v>
      </c>
      <c r="V1270" s="687">
        <v>0</v>
      </c>
      <c r="W1270" s="75"/>
      <c r="X1270" s="75"/>
      <c r="Y1270" s="75"/>
      <c r="Z1270" s="75"/>
      <c r="AA1270" s="75"/>
      <c r="AB1270" s="75"/>
      <c r="AC1270" s="97"/>
      <c r="AD1270" s="97"/>
      <c r="AE1270" s="591"/>
      <c r="AF1270" s="343"/>
      <c r="AG1270" s="510">
        <v>0</v>
      </c>
      <c r="AH1270" s="370">
        <v>0</v>
      </c>
      <c r="AI1270" s="75"/>
      <c r="AJ1270" s="75"/>
      <c r="AK1270" s="75"/>
      <c r="AL1270" s="75"/>
      <c r="AM1270" s="75"/>
      <c r="AN1270" s="64" t="s">
        <v>181</v>
      </c>
      <c r="AO1270" s="64"/>
      <c r="AP1270" s="64"/>
      <c r="AQ1270" s="189"/>
      <c r="AR1270" s="64"/>
      <c r="AS1270" s="476"/>
      <c r="AT1270" s="64"/>
      <c r="AU1270" s="646"/>
      <c r="AV1270" s="185"/>
    </row>
    <row r="1271" spans="1:51" ht="30" outlineLevel="3" x14ac:dyDescent="0.25">
      <c r="A1271" s="63" t="str">
        <f t="shared" si="191"/>
        <v>4.14.3.8.6.58</v>
      </c>
      <c r="B1271" s="64">
        <v>4</v>
      </c>
      <c r="C1271" s="64">
        <v>14</v>
      </c>
      <c r="D1271" s="64">
        <v>3</v>
      </c>
      <c r="E1271" s="64">
        <v>8</v>
      </c>
      <c r="F1271" s="64">
        <v>6</v>
      </c>
      <c r="G1271" s="64">
        <v>58</v>
      </c>
      <c r="H1271" s="65"/>
      <c r="I1271" s="65"/>
      <c r="J1271" s="65"/>
      <c r="K1271" s="67" t="s">
        <v>1517</v>
      </c>
      <c r="L1271" s="64" t="s">
        <v>72</v>
      </c>
      <c r="M1271" s="64" t="s">
        <v>73</v>
      </c>
      <c r="N1271" s="64" t="s">
        <v>74</v>
      </c>
      <c r="O1271" s="64" t="s">
        <v>1487</v>
      </c>
      <c r="P1271" s="64"/>
      <c r="Q1271" s="64"/>
      <c r="R1271" s="64"/>
      <c r="S1271" s="65"/>
      <c r="T1271" s="64"/>
      <c r="U1271" s="370">
        <v>0</v>
      </c>
      <c r="V1271" s="687">
        <v>0</v>
      </c>
      <c r="W1271" s="75"/>
      <c r="X1271" s="75">
        <v>0</v>
      </c>
      <c r="Y1271" s="75"/>
      <c r="Z1271" s="75"/>
      <c r="AA1271" s="75">
        <v>0</v>
      </c>
      <c r="AB1271" s="75"/>
      <c r="AC1271" s="97"/>
      <c r="AD1271" s="97">
        <v>0</v>
      </c>
      <c r="AE1271" s="591"/>
      <c r="AF1271" s="259"/>
      <c r="AG1271" s="510">
        <v>0</v>
      </c>
      <c r="AH1271" s="370">
        <v>0</v>
      </c>
      <c r="AI1271" s="75"/>
      <c r="AJ1271" s="75"/>
      <c r="AK1271" s="75"/>
      <c r="AL1271" s="75"/>
      <c r="AM1271" s="75"/>
      <c r="AN1271" s="64" t="s">
        <v>181</v>
      </c>
      <c r="AO1271" s="64"/>
      <c r="AP1271" s="64"/>
      <c r="AQ1271" s="189"/>
      <c r="AR1271" s="64"/>
      <c r="AS1271" s="476"/>
      <c r="AT1271" s="64"/>
      <c r="AU1271" s="646"/>
      <c r="AV1271" s="185"/>
    </row>
    <row r="1272" spans="1:51" ht="15" customHeight="1" outlineLevel="3" x14ac:dyDescent="0.25">
      <c r="A1272" s="63" t="str">
        <f t="shared" si="191"/>
        <v>4.14.3.8.6.59</v>
      </c>
      <c r="B1272" s="64">
        <v>4</v>
      </c>
      <c r="C1272" s="64">
        <v>14</v>
      </c>
      <c r="D1272" s="64">
        <v>3</v>
      </c>
      <c r="E1272" s="64">
        <v>8</v>
      </c>
      <c r="F1272" s="64">
        <v>6</v>
      </c>
      <c r="G1272" s="64">
        <v>59</v>
      </c>
      <c r="H1272" s="65"/>
      <c r="I1272" s="65"/>
      <c r="J1272" s="259"/>
      <c r="K1272" s="65" t="s">
        <v>1518</v>
      </c>
      <c r="L1272" s="64" t="s">
        <v>72</v>
      </c>
      <c r="M1272" s="64" t="s">
        <v>73</v>
      </c>
      <c r="N1272" s="64" t="s">
        <v>74</v>
      </c>
      <c r="O1272" s="64" t="s">
        <v>1487</v>
      </c>
      <c r="P1272" s="64"/>
      <c r="Q1272" s="64"/>
      <c r="R1272" s="64"/>
      <c r="S1272" s="65"/>
      <c r="T1272" s="64"/>
      <c r="U1272" s="370">
        <v>0</v>
      </c>
      <c r="V1272" s="687">
        <v>0</v>
      </c>
      <c r="W1272" s="75"/>
      <c r="X1272" s="75">
        <v>0</v>
      </c>
      <c r="Y1272" s="75"/>
      <c r="Z1272" s="75"/>
      <c r="AA1272" s="75">
        <v>0</v>
      </c>
      <c r="AB1272" s="75"/>
      <c r="AC1272" s="97"/>
      <c r="AD1272" s="97">
        <v>0</v>
      </c>
      <c r="AE1272" s="591"/>
      <c r="AF1272" s="259"/>
      <c r="AG1272" s="510">
        <v>0</v>
      </c>
      <c r="AH1272" s="370">
        <v>0</v>
      </c>
      <c r="AI1272" s="75"/>
      <c r="AJ1272" s="75"/>
      <c r="AK1272" s="75"/>
      <c r="AL1272" s="75"/>
      <c r="AM1272" s="75"/>
      <c r="AN1272" s="64" t="s">
        <v>181</v>
      </c>
      <c r="AO1272" s="64"/>
      <c r="AP1272" s="64"/>
      <c r="AQ1272" s="189"/>
      <c r="AR1272" s="64"/>
      <c r="AS1272" s="476"/>
      <c r="AT1272" s="64"/>
      <c r="AU1272" s="646"/>
      <c r="AV1272" s="185"/>
    </row>
    <row r="1273" spans="1:51" ht="15" customHeight="1" outlineLevel="3" x14ac:dyDescent="0.25">
      <c r="A1273" s="63" t="str">
        <f t="shared" si="191"/>
        <v>4.14.3.8.6.60</v>
      </c>
      <c r="B1273" s="64">
        <v>4</v>
      </c>
      <c r="C1273" s="64">
        <v>14</v>
      </c>
      <c r="D1273" s="64">
        <v>3</v>
      </c>
      <c r="E1273" s="64">
        <v>8</v>
      </c>
      <c r="F1273" s="64">
        <v>6</v>
      </c>
      <c r="G1273" s="64">
        <v>60</v>
      </c>
      <c r="H1273" s="65"/>
      <c r="I1273" s="65"/>
      <c r="J1273" s="259"/>
      <c r="K1273" s="65" t="s">
        <v>1519</v>
      </c>
      <c r="L1273" s="64" t="s">
        <v>72</v>
      </c>
      <c r="M1273" s="64" t="s">
        <v>73</v>
      </c>
      <c r="N1273" s="64" t="s">
        <v>74</v>
      </c>
      <c r="O1273" s="64" t="s">
        <v>1487</v>
      </c>
      <c r="P1273" s="64"/>
      <c r="Q1273" s="64"/>
      <c r="R1273" s="64"/>
      <c r="S1273" s="65"/>
      <c r="T1273" s="64"/>
      <c r="U1273" s="370">
        <v>0</v>
      </c>
      <c r="V1273" s="687">
        <v>0</v>
      </c>
      <c r="W1273" s="75"/>
      <c r="X1273" s="75">
        <v>0</v>
      </c>
      <c r="Y1273" s="75"/>
      <c r="Z1273" s="75"/>
      <c r="AA1273" s="75">
        <v>0</v>
      </c>
      <c r="AB1273" s="75"/>
      <c r="AC1273" s="97"/>
      <c r="AD1273" s="97">
        <v>0</v>
      </c>
      <c r="AE1273" s="591"/>
      <c r="AF1273" s="259"/>
      <c r="AG1273" s="510">
        <v>0</v>
      </c>
      <c r="AH1273" s="370">
        <v>0</v>
      </c>
      <c r="AI1273" s="75"/>
      <c r="AJ1273" s="75"/>
      <c r="AK1273" s="75"/>
      <c r="AL1273" s="75"/>
      <c r="AM1273" s="75"/>
      <c r="AN1273" s="64" t="s">
        <v>181</v>
      </c>
      <c r="AO1273" s="64"/>
      <c r="AP1273" s="64"/>
      <c r="AQ1273" s="189"/>
      <c r="AR1273" s="64"/>
      <c r="AS1273" s="476"/>
      <c r="AT1273" s="64"/>
      <c r="AU1273" s="646"/>
      <c r="AV1273" s="185"/>
    </row>
    <row r="1274" spans="1:51" ht="15" customHeight="1" outlineLevel="3" x14ac:dyDescent="0.25">
      <c r="A1274" s="63" t="str">
        <f t="shared" si="191"/>
        <v>4.14.3.8.6.61</v>
      </c>
      <c r="B1274" s="64">
        <v>4</v>
      </c>
      <c r="C1274" s="64">
        <v>14</v>
      </c>
      <c r="D1274" s="64">
        <v>3</v>
      </c>
      <c r="E1274" s="64">
        <v>8</v>
      </c>
      <c r="F1274" s="64">
        <v>6</v>
      </c>
      <c r="G1274" s="64">
        <v>61</v>
      </c>
      <c r="H1274" s="65"/>
      <c r="I1274" s="65"/>
      <c r="J1274" s="259"/>
      <c r="K1274" s="65" t="s">
        <v>1520</v>
      </c>
      <c r="L1274" s="64" t="s">
        <v>72</v>
      </c>
      <c r="M1274" s="64" t="s">
        <v>73</v>
      </c>
      <c r="N1274" s="64" t="s">
        <v>74</v>
      </c>
      <c r="O1274" s="64" t="s">
        <v>1487</v>
      </c>
      <c r="P1274" s="64"/>
      <c r="Q1274" s="64"/>
      <c r="R1274" s="64"/>
      <c r="S1274" s="65"/>
      <c r="T1274" s="64"/>
      <c r="U1274" s="370">
        <v>0</v>
      </c>
      <c r="V1274" s="687">
        <v>0</v>
      </c>
      <c r="W1274" s="75"/>
      <c r="X1274" s="75">
        <v>0</v>
      </c>
      <c r="Y1274" s="75"/>
      <c r="Z1274" s="75"/>
      <c r="AA1274" s="75">
        <v>0</v>
      </c>
      <c r="AB1274" s="75"/>
      <c r="AC1274" s="97"/>
      <c r="AD1274" s="97">
        <v>0</v>
      </c>
      <c r="AE1274" s="591"/>
      <c r="AF1274" s="259"/>
      <c r="AG1274" s="510">
        <v>0</v>
      </c>
      <c r="AH1274" s="370">
        <v>0</v>
      </c>
      <c r="AI1274" s="75"/>
      <c r="AJ1274" s="75"/>
      <c r="AK1274" s="75"/>
      <c r="AL1274" s="75"/>
      <c r="AM1274" s="75"/>
      <c r="AN1274" s="64" t="s">
        <v>181</v>
      </c>
      <c r="AO1274" s="64"/>
      <c r="AP1274" s="64"/>
      <c r="AQ1274" s="189"/>
      <c r="AR1274" s="64"/>
      <c r="AS1274" s="476"/>
      <c r="AT1274" s="64"/>
      <c r="AU1274" s="646"/>
      <c r="AV1274" s="185"/>
    </row>
    <row r="1275" spans="1:51" ht="15" customHeight="1" outlineLevel="3" x14ac:dyDescent="0.25">
      <c r="A1275" s="63" t="str">
        <f t="shared" si="191"/>
        <v>4.14.3.8.6.62</v>
      </c>
      <c r="B1275" s="64">
        <v>4</v>
      </c>
      <c r="C1275" s="64">
        <v>14</v>
      </c>
      <c r="D1275" s="64">
        <v>3</v>
      </c>
      <c r="E1275" s="64">
        <v>8</v>
      </c>
      <c r="F1275" s="64">
        <v>6</v>
      </c>
      <c r="G1275" s="64">
        <v>62</v>
      </c>
      <c r="H1275" s="65"/>
      <c r="I1275" s="65"/>
      <c r="J1275" s="259"/>
      <c r="K1275" s="287" t="s">
        <v>1521</v>
      </c>
      <c r="L1275" s="287" t="s">
        <v>72</v>
      </c>
      <c r="M1275" s="186" t="s">
        <v>73</v>
      </c>
      <c r="N1275" s="287" t="s">
        <v>74</v>
      </c>
      <c r="O1275" s="287" t="s">
        <v>1487</v>
      </c>
      <c r="P1275" s="287"/>
      <c r="Q1275" s="287"/>
      <c r="R1275" s="287"/>
      <c r="S1275" s="287"/>
      <c r="T1275" s="287"/>
      <c r="U1275" s="370">
        <v>0</v>
      </c>
      <c r="V1275" s="687">
        <v>0</v>
      </c>
      <c r="W1275" s="75"/>
      <c r="X1275" s="75">
        <v>0</v>
      </c>
      <c r="Y1275" s="75"/>
      <c r="Z1275" s="75"/>
      <c r="AA1275" s="75">
        <v>0</v>
      </c>
      <c r="AB1275" s="75"/>
      <c r="AC1275" s="75"/>
      <c r="AD1275" s="75">
        <v>0</v>
      </c>
      <c r="AE1275" s="592"/>
      <c r="AF1275" s="367"/>
      <c r="AG1275" s="510">
        <v>0</v>
      </c>
      <c r="AH1275" s="370">
        <v>0</v>
      </c>
      <c r="AI1275" s="75"/>
      <c r="AJ1275" s="75"/>
      <c r="AK1275" s="75"/>
      <c r="AL1275" s="75"/>
      <c r="AM1275" s="75"/>
      <c r="AN1275" s="64" t="s">
        <v>181</v>
      </c>
      <c r="AO1275" s="64"/>
      <c r="AP1275" s="64"/>
      <c r="AQ1275" s="189"/>
      <c r="AR1275" s="64"/>
      <c r="AS1275" s="476"/>
      <c r="AT1275" s="64"/>
      <c r="AU1275" s="646"/>
      <c r="AV1275" s="185"/>
    </row>
    <row r="1276" spans="1:51" ht="15" customHeight="1" outlineLevel="3" x14ac:dyDescent="0.25">
      <c r="A1276" s="63" t="str">
        <f t="shared" si="191"/>
        <v>4.14.3.8.6.63</v>
      </c>
      <c r="B1276" s="64">
        <v>4</v>
      </c>
      <c r="C1276" s="64">
        <v>14</v>
      </c>
      <c r="D1276" s="64">
        <v>3</v>
      </c>
      <c r="E1276" s="64">
        <v>8</v>
      </c>
      <c r="F1276" s="64">
        <v>6</v>
      </c>
      <c r="G1276" s="64">
        <v>63</v>
      </c>
      <c r="H1276" s="65"/>
      <c r="I1276" s="65"/>
      <c r="J1276" s="259"/>
      <c r="K1276" s="287" t="s">
        <v>1780</v>
      </c>
      <c r="L1276" s="287" t="s">
        <v>72</v>
      </c>
      <c r="M1276" s="186" t="s">
        <v>73</v>
      </c>
      <c r="N1276" s="287" t="s">
        <v>74</v>
      </c>
      <c r="O1276" s="287" t="s">
        <v>1487</v>
      </c>
      <c r="P1276" s="287"/>
      <c r="Q1276" s="287"/>
      <c r="R1276" s="287"/>
      <c r="S1276" s="287"/>
      <c r="T1276" s="287"/>
      <c r="U1276" s="370">
        <v>0</v>
      </c>
      <c r="V1276" s="687">
        <v>0</v>
      </c>
      <c r="W1276" s="75"/>
      <c r="X1276" s="75">
        <v>0</v>
      </c>
      <c r="Y1276" s="75"/>
      <c r="Z1276" s="75"/>
      <c r="AA1276" s="75">
        <v>0</v>
      </c>
      <c r="AB1276" s="75"/>
      <c r="AC1276" s="75"/>
      <c r="AD1276" s="75">
        <v>0</v>
      </c>
      <c r="AE1276" s="592"/>
      <c r="AF1276" s="367"/>
      <c r="AG1276" s="510">
        <v>0</v>
      </c>
      <c r="AH1276" s="370">
        <v>0</v>
      </c>
      <c r="AI1276" s="75"/>
      <c r="AJ1276" s="75"/>
      <c r="AK1276" s="75"/>
      <c r="AL1276" s="75"/>
      <c r="AM1276" s="75"/>
      <c r="AN1276" s="64" t="s">
        <v>181</v>
      </c>
      <c r="AO1276" s="64"/>
      <c r="AP1276" s="64"/>
      <c r="AQ1276" s="189"/>
      <c r="AR1276" s="64"/>
      <c r="AS1276" s="476"/>
      <c r="AT1276" s="64"/>
      <c r="AU1276" s="646"/>
      <c r="AV1276" s="185"/>
    </row>
    <row r="1277" spans="1:51" ht="15" customHeight="1" outlineLevel="3" x14ac:dyDescent="0.25">
      <c r="A1277" s="63" t="str">
        <f t="shared" si="191"/>
        <v>4.14.3.8.6.64</v>
      </c>
      <c r="B1277" s="64">
        <v>4</v>
      </c>
      <c r="C1277" s="64">
        <v>14</v>
      </c>
      <c r="D1277" s="64">
        <v>3</v>
      </c>
      <c r="E1277" s="64">
        <v>8</v>
      </c>
      <c r="F1277" s="64">
        <v>6</v>
      </c>
      <c r="G1277" s="64">
        <v>64</v>
      </c>
      <c r="H1277" s="65"/>
      <c r="I1277" s="65"/>
      <c r="J1277" s="259"/>
      <c r="K1277" s="287" t="s">
        <v>1522</v>
      </c>
      <c r="L1277" s="287" t="s">
        <v>72</v>
      </c>
      <c r="M1277" s="186" t="s">
        <v>73</v>
      </c>
      <c r="N1277" s="287" t="s">
        <v>74</v>
      </c>
      <c r="O1277" s="287" t="s">
        <v>1487</v>
      </c>
      <c r="P1277" s="287"/>
      <c r="Q1277" s="287"/>
      <c r="R1277" s="287"/>
      <c r="S1277" s="287"/>
      <c r="T1277" s="287"/>
      <c r="U1277" s="370">
        <v>0</v>
      </c>
      <c r="V1277" s="687">
        <v>0</v>
      </c>
      <c r="W1277" s="75"/>
      <c r="X1277" s="75">
        <v>0</v>
      </c>
      <c r="Y1277" s="75"/>
      <c r="Z1277" s="75"/>
      <c r="AA1277" s="75">
        <v>0</v>
      </c>
      <c r="AB1277" s="75"/>
      <c r="AC1277" s="75"/>
      <c r="AD1277" s="75">
        <v>0</v>
      </c>
      <c r="AE1277" s="592"/>
      <c r="AF1277" s="367"/>
      <c r="AG1277" s="510">
        <v>0</v>
      </c>
      <c r="AH1277" s="370">
        <v>0</v>
      </c>
      <c r="AI1277" s="75"/>
      <c r="AJ1277" s="75"/>
      <c r="AK1277" s="75"/>
      <c r="AL1277" s="75"/>
      <c r="AM1277" s="75"/>
      <c r="AN1277" s="64" t="s">
        <v>181</v>
      </c>
      <c r="AO1277" s="64"/>
      <c r="AP1277" s="64"/>
      <c r="AQ1277" s="189"/>
      <c r="AR1277" s="64"/>
      <c r="AS1277" s="476"/>
      <c r="AT1277" s="64"/>
      <c r="AU1277" s="646"/>
      <c r="AV1277" s="185"/>
      <c r="AY1277" s="288">
        <f>+AH14-283990995</f>
        <v>716009004.99857116</v>
      </c>
    </row>
    <row r="1278" spans="1:51" ht="15" customHeight="1" outlineLevel="3" x14ac:dyDescent="0.25">
      <c r="A1278" s="63" t="str">
        <f t="shared" si="191"/>
        <v>4.14.3.8.7.58</v>
      </c>
      <c r="B1278" s="64">
        <v>4</v>
      </c>
      <c r="C1278" s="64">
        <v>14</v>
      </c>
      <c r="D1278" s="64">
        <v>3</v>
      </c>
      <c r="E1278" s="64">
        <v>8</v>
      </c>
      <c r="F1278" s="64">
        <v>7</v>
      </c>
      <c r="G1278" s="64">
        <v>58</v>
      </c>
      <c r="H1278" s="65"/>
      <c r="I1278" s="65"/>
      <c r="J1278" s="259"/>
      <c r="K1278" s="287" t="s">
        <v>1523</v>
      </c>
      <c r="L1278" s="287" t="s">
        <v>1475</v>
      </c>
      <c r="M1278" s="287" t="s">
        <v>1318</v>
      </c>
      <c r="N1278" s="287" t="s">
        <v>74</v>
      </c>
      <c r="O1278" s="287" t="s">
        <v>1524</v>
      </c>
      <c r="P1278" s="287">
        <v>44571</v>
      </c>
      <c r="Q1278" s="287">
        <v>44926</v>
      </c>
      <c r="R1278" s="287">
        <v>2</v>
      </c>
      <c r="S1278" s="287" t="s">
        <v>1525</v>
      </c>
      <c r="T1278" s="287">
        <v>1</v>
      </c>
      <c r="U1278" s="370">
        <v>0</v>
      </c>
      <c r="V1278" s="687">
        <v>0</v>
      </c>
      <c r="W1278" s="75"/>
      <c r="X1278" s="75"/>
      <c r="Y1278" s="75"/>
      <c r="Z1278" s="75">
        <v>1</v>
      </c>
      <c r="AA1278" s="75"/>
      <c r="AB1278" s="75"/>
      <c r="AC1278" s="75"/>
      <c r="AD1278" s="75"/>
      <c r="AE1278" s="592"/>
      <c r="AF1278" s="367" t="s">
        <v>1526</v>
      </c>
      <c r="AG1278" s="510">
        <v>0</v>
      </c>
      <c r="AH1278" s="370">
        <v>0</v>
      </c>
      <c r="AI1278" s="75"/>
      <c r="AJ1278" s="75"/>
      <c r="AK1278" s="75"/>
      <c r="AL1278" s="75"/>
      <c r="AM1278" s="75"/>
      <c r="AN1278" s="64" t="s">
        <v>181</v>
      </c>
      <c r="AO1278" s="64"/>
      <c r="AP1278" s="64"/>
      <c r="AQ1278" s="189"/>
      <c r="AR1278" s="64"/>
      <c r="AS1278" s="476"/>
      <c r="AT1278" s="64"/>
      <c r="AU1278" s="646"/>
      <c r="AV1278" s="185"/>
    </row>
    <row r="1279" spans="1:51" ht="15" customHeight="1" outlineLevel="3" x14ac:dyDescent="0.25">
      <c r="A1279" s="63" t="str">
        <f t="shared" si="191"/>
        <v>4.14.3.8.7.59</v>
      </c>
      <c r="B1279" s="64">
        <v>4</v>
      </c>
      <c r="C1279" s="64">
        <v>14</v>
      </c>
      <c r="D1279" s="64">
        <v>3</v>
      </c>
      <c r="E1279" s="64">
        <v>8</v>
      </c>
      <c r="F1279" s="64">
        <v>7</v>
      </c>
      <c r="G1279" s="64">
        <v>59</v>
      </c>
      <c r="H1279" s="65"/>
      <c r="I1279" s="65"/>
      <c r="J1279" s="259"/>
      <c r="K1279" s="287" t="s">
        <v>1523</v>
      </c>
      <c r="L1279" s="287" t="s">
        <v>1475</v>
      </c>
      <c r="M1279" s="287" t="s">
        <v>1318</v>
      </c>
      <c r="N1279" s="287" t="s">
        <v>74</v>
      </c>
      <c r="O1279" s="287" t="s">
        <v>1524</v>
      </c>
      <c r="P1279" s="287">
        <v>44571</v>
      </c>
      <c r="Q1279" s="287">
        <v>44926</v>
      </c>
      <c r="R1279" s="287">
        <v>2</v>
      </c>
      <c r="S1279" s="287" t="s">
        <v>1525</v>
      </c>
      <c r="T1279" s="287">
        <v>1</v>
      </c>
      <c r="U1279" s="370">
        <v>0</v>
      </c>
      <c r="V1279" s="687">
        <v>0</v>
      </c>
      <c r="W1279" s="75"/>
      <c r="X1279" s="75"/>
      <c r="Y1279" s="75"/>
      <c r="Z1279" s="75">
        <v>1</v>
      </c>
      <c r="AA1279" s="75"/>
      <c r="AB1279" s="75"/>
      <c r="AC1279" s="75"/>
      <c r="AD1279" s="75"/>
      <c r="AE1279" s="592"/>
      <c r="AF1279" s="367" t="s">
        <v>1526</v>
      </c>
      <c r="AG1279" s="510">
        <v>0</v>
      </c>
      <c r="AH1279" s="370">
        <v>0</v>
      </c>
      <c r="AI1279" s="75"/>
      <c r="AJ1279" s="75"/>
      <c r="AK1279" s="75"/>
      <c r="AL1279" s="75"/>
      <c r="AM1279" s="75"/>
      <c r="AN1279" s="64" t="s">
        <v>181</v>
      </c>
      <c r="AO1279" s="64"/>
      <c r="AP1279" s="64"/>
      <c r="AQ1279" s="189"/>
      <c r="AR1279" s="64"/>
      <c r="AS1279" s="476"/>
      <c r="AT1279" s="64"/>
      <c r="AU1279" s="646"/>
      <c r="AV1279" s="185"/>
    </row>
    <row r="1280" spans="1:51" ht="15" customHeight="1" outlineLevel="3" x14ac:dyDescent="0.25">
      <c r="A1280" s="63" t="str">
        <f t="shared" si="191"/>
        <v>4.14.3.8.7.60</v>
      </c>
      <c r="B1280" s="64">
        <v>4</v>
      </c>
      <c r="C1280" s="64">
        <v>14</v>
      </c>
      <c r="D1280" s="64">
        <v>3</v>
      </c>
      <c r="E1280" s="64">
        <v>8</v>
      </c>
      <c r="F1280" s="64">
        <v>7</v>
      </c>
      <c r="G1280" s="64">
        <v>60</v>
      </c>
      <c r="H1280" s="65"/>
      <c r="I1280" s="65"/>
      <c r="J1280" s="259"/>
      <c r="K1280" s="287" t="s">
        <v>1523</v>
      </c>
      <c r="L1280" s="287" t="s">
        <v>1475</v>
      </c>
      <c r="M1280" s="287" t="s">
        <v>1318</v>
      </c>
      <c r="N1280" s="287" t="s">
        <v>74</v>
      </c>
      <c r="O1280" s="287" t="s">
        <v>1524</v>
      </c>
      <c r="P1280" s="287">
        <v>44571</v>
      </c>
      <c r="Q1280" s="287">
        <v>44926</v>
      </c>
      <c r="R1280" s="287">
        <v>2</v>
      </c>
      <c r="S1280" s="287" t="s">
        <v>1525</v>
      </c>
      <c r="T1280" s="287">
        <v>1</v>
      </c>
      <c r="U1280" s="370">
        <v>0</v>
      </c>
      <c r="V1280" s="687">
        <v>0</v>
      </c>
      <c r="W1280" s="75"/>
      <c r="X1280" s="75"/>
      <c r="Y1280" s="75"/>
      <c r="Z1280" s="75">
        <v>1</v>
      </c>
      <c r="AA1280" s="75"/>
      <c r="AB1280" s="75"/>
      <c r="AC1280" s="75"/>
      <c r="AD1280" s="75"/>
      <c r="AE1280" s="592"/>
      <c r="AF1280" s="367" t="s">
        <v>1526</v>
      </c>
      <c r="AG1280" s="510">
        <v>0</v>
      </c>
      <c r="AH1280" s="370">
        <v>0</v>
      </c>
      <c r="AI1280" s="75"/>
      <c r="AJ1280" s="75"/>
      <c r="AK1280" s="75"/>
      <c r="AL1280" s="75"/>
      <c r="AM1280" s="75"/>
      <c r="AN1280" s="64" t="s">
        <v>181</v>
      </c>
      <c r="AO1280" s="64"/>
      <c r="AP1280" s="64"/>
      <c r="AQ1280" s="189"/>
      <c r="AR1280" s="64"/>
      <c r="AS1280" s="476"/>
      <c r="AT1280" s="64"/>
      <c r="AU1280" s="646"/>
      <c r="AV1280" s="185"/>
    </row>
    <row r="1281" spans="1:48" ht="15" customHeight="1" outlineLevel="3" x14ac:dyDescent="0.25">
      <c r="A1281" s="63" t="str">
        <f t="shared" si="191"/>
        <v>4.14.3.8.7.61</v>
      </c>
      <c r="B1281" s="64">
        <v>4</v>
      </c>
      <c r="C1281" s="64">
        <v>14</v>
      </c>
      <c r="D1281" s="64">
        <v>3</v>
      </c>
      <c r="E1281" s="64">
        <v>8</v>
      </c>
      <c r="F1281" s="64">
        <v>7</v>
      </c>
      <c r="G1281" s="64">
        <v>61</v>
      </c>
      <c r="H1281" s="65"/>
      <c r="I1281" s="65"/>
      <c r="J1281" s="259"/>
      <c r="K1281" s="287" t="s">
        <v>1523</v>
      </c>
      <c r="L1281" s="287" t="s">
        <v>1475</v>
      </c>
      <c r="M1281" s="287" t="s">
        <v>1318</v>
      </c>
      <c r="N1281" s="287" t="s">
        <v>74</v>
      </c>
      <c r="O1281" s="287" t="s">
        <v>1524</v>
      </c>
      <c r="P1281" s="287">
        <v>44571</v>
      </c>
      <c r="Q1281" s="287">
        <v>44926</v>
      </c>
      <c r="R1281" s="287">
        <v>2</v>
      </c>
      <c r="S1281" s="287" t="s">
        <v>1525</v>
      </c>
      <c r="T1281" s="287">
        <v>1</v>
      </c>
      <c r="U1281" s="370">
        <v>0</v>
      </c>
      <c r="V1281" s="687">
        <v>0</v>
      </c>
      <c r="W1281" s="75"/>
      <c r="X1281" s="75"/>
      <c r="Y1281" s="75"/>
      <c r="Z1281" s="75">
        <v>1</v>
      </c>
      <c r="AA1281" s="75"/>
      <c r="AB1281" s="75"/>
      <c r="AC1281" s="75"/>
      <c r="AD1281" s="75"/>
      <c r="AE1281" s="592"/>
      <c r="AF1281" s="367" t="s">
        <v>1526</v>
      </c>
      <c r="AG1281" s="510">
        <v>0</v>
      </c>
      <c r="AH1281" s="370">
        <v>0</v>
      </c>
      <c r="AI1281" s="75"/>
      <c r="AJ1281" s="75"/>
      <c r="AK1281" s="75"/>
      <c r="AL1281" s="75"/>
      <c r="AM1281" s="75"/>
      <c r="AN1281" s="64" t="s">
        <v>181</v>
      </c>
      <c r="AO1281" s="64"/>
      <c r="AP1281" s="64"/>
      <c r="AQ1281" s="189"/>
      <c r="AR1281" s="64"/>
      <c r="AS1281" s="476"/>
      <c r="AT1281" s="64"/>
      <c r="AU1281" s="646"/>
      <c r="AV1281" s="185"/>
    </row>
    <row r="1282" spans="1:48" ht="15" customHeight="1" outlineLevel="3" x14ac:dyDescent="0.25">
      <c r="A1282" s="63" t="str">
        <f t="shared" si="191"/>
        <v>4.14.3.8.7.62</v>
      </c>
      <c r="B1282" s="64">
        <v>4</v>
      </c>
      <c r="C1282" s="64">
        <v>14</v>
      </c>
      <c r="D1282" s="64">
        <v>3</v>
      </c>
      <c r="E1282" s="64">
        <v>8</v>
      </c>
      <c r="F1282" s="64">
        <v>7</v>
      </c>
      <c r="G1282" s="64">
        <v>62</v>
      </c>
      <c r="H1282" s="65"/>
      <c r="I1282" s="65"/>
      <c r="J1282" s="259"/>
      <c r="K1282" s="287" t="s">
        <v>1523</v>
      </c>
      <c r="L1282" s="287" t="s">
        <v>1475</v>
      </c>
      <c r="M1282" s="287" t="s">
        <v>1318</v>
      </c>
      <c r="N1282" s="287" t="s">
        <v>74</v>
      </c>
      <c r="O1282" s="287" t="s">
        <v>1524</v>
      </c>
      <c r="P1282" s="287">
        <v>44571</v>
      </c>
      <c r="Q1282" s="287">
        <v>44926</v>
      </c>
      <c r="R1282" s="287">
        <v>2</v>
      </c>
      <c r="S1282" s="287" t="s">
        <v>1525</v>
      </c>
      <c r="T1282" s="287">
        <v>1</v>
      </c>
      <c r="U1282" s="370">
        <v>0</v>
      </c>
      <c r="V1282" s="687">
        <v>0</v>
      </c>
      <c r="W1282" s="75"/>
      <c r="X1282" s="75"/>
      <c r="Y1282" s="75"/>
      <c r="Z1282" s="75">
        <v>1</v>
      </c>
      <c r="AA1282" s="75"/>
      <c r="AB1282" s="75"/>
      <c r="AC1282" s="75"/>
      <c r="AD1282" s="75"/>
      <c r="AE1282" s="592"/>
      <c r="AF1282" s="367" t="s">
        <v>1526</v>
      </c>
      <c r="AG1282" s="510">
        <v>0</v>
      </c>
      <c r="AH1282" s="370">
        <v>0</v>
      </c>
      <c r="AI1282" s="75"/>
      <c r="AJ1282" s="75"/>
      <c r="AK1282" s="75"/>
      <c r="AL1282" s="75"/>
      <c r="AM1282" s="75"/>
      <c r="AN1282" s="64" t="s">
        <v>181</v>
      </c>
      <c r="AO1282" s="64"/>
      <c r="AP1282" s="64"/>
      <c r="AQ1282" s="189"/>
      <c r="AR1282" s="64"/>
      <c r="AS1282" s="476"/>
      <c r="AT1282" s="64"/>
      <c r="AU1282" s="646"/>
      <c r="AV1282" s="185"/>
    </row>
    <row r="1283" spans="1:48" ht="15" customHeight="1" outlineLevel="3" x14ac:dyDescent="0.25">
      <c r="A1283" s="63" t="str">
        <f t="shared" si="191"/>
        <v>4.14.3.8.7.63</v>
      </c>
      <c r="B1283" s="64">
        <v>4</v>
      </c>
      <c r="C1283" s="64">
        <v>14</v>
      </c>
      <c r="D1283" s="64">
        <v>3</v>
      </c>
      <c r="E1283" s="64">
        <v>8</v>
      </c>
      <c r="F1283" s="64">
        <v>7</v>
      </c>
      <c r="G1283" s="64">
        <v>63</v>
      </c>
      <c r="H1283" s="65"/>
      <c r="I1283" s="65"/>
      <c r="J1283" s="65"/>
      <c r="K1283" s="185" t="s">
        <v>1523</v>
      </c>
      <c r="L1283" s="64" t="s">
        <v>1475</v>
      </c>
      <c r="M1283" s="64" t="s">
        <v>1318</v>
      </c>
      <c r="N1283" s="64" t="s">
        <v>74</v>
      </c>
      <c r="O1283" s="64" t="s">
        <v>1524</v>
      </c>
      <c r="P1283" s="69">
        <v>44571</v>
      </c>
      <c r="Q1283" s="69">
        <v>44926</v>
      </c>
      <c r="R1283" s="64">
        <v>2</v>
      </c>
      <c r="S1283" s="65" t="s">
        <v>1525</v>
      </c>
      <c r="T1283" s="64">
        <v>1</v>
      </c>
      <c r="U1283" s="370">
        <v>0</v>
      </c>
      <c r="V1283" s="687">
        <v>0</v>
      </c>
      <c r="W1283" s="75"/>
      <c r="X1283" s="75"/>
      <c r="Y1283" s="75"/>
      <c r="Z1283" s="75">
        <v>1</v>
      </c>
      <c r="AA1283" s="75"/>
      <c r="AB1283" s="75"/>
      <c r="AC1283" s="97"/>
      <c r="AD1283" s="97"/>
      <c r="AE1283" s="591"/>
      <c r="AF1283" s="259" t="s">
        <v>1526</v>
      </c>
      <c r="AG1283" s="510">
        <v>0</v>
      </c>
      <c r="AH1283" s="370">
        <v>0</v>
      </c>
      <c r="AI1283" s="75"/>
      <c r="AJ1283" s="75"/>
      <c r="AK1283" s="75"/>
      <c r="AL1283" s="75"/>
      <c r="AM1283" s="75"/>
      <c r="AN1283" s="64" t="s">
        <v>181</v>
      </c>
      <c r="AO1283" s="64"/>
      <c r="AP1283" s="64"/>
      <c r="AQ1283" s="189"/>
      <c r="AR1283" s="64"/>
      <c r="AS1283" s="476"/>
      <c r="AT1283" s="64"/>
      <c r="AU1283" s="646"/>
      <c r="AV1283" s="185"/>
    </row>
    <row r="1284" spans="1:48" ht="15" customHeight="1" outlineLevel="3" x14ac:dyDescent="0.25">
      <c r="A1284" s="63" t="str">
        <f t="shared" si="191"/>
        <v>4.14.3.8.7.64</v>
      </c>
      <c r="B1284" s="64">
        <v>4</v>
      </c>
      <c r="C1284" s="64">
        <v>14</v>
      </c>
      <c r="D1284" s="64">
        <v>3</v>
      </c>
      <c r="E1284" s="64">
        <v>8</v>
      </c>
      <c r="F1284" s="64">
        <v>7</v>
      </c>
      <c r="G1284" s="64">
        <v>64</v>
      </c>
      <c r="H1284" s="65"/>
      <c r="I1284" s="65"/>
      <c r="J1284" s="65"/>
      <c r="K1284" s="185" t="s">
        <v>1523</v>
      </c>
      <c r="L1284" s="64" t="s">
        <v>1475</v>
      </c>
      <c r="M1284" s="64" t="s">
        <v>1318</v>
      </c>
      <c r="N1284" s="64" t="s">
        <v>74</v>
      </c>
      <c r="O1284" s="64" t="s">
        <v>1524</v>
      </c>
      <c r="P1284" s="69">
        <v>44571</v>
      </c>
      <c r="Q1284" s="69">
        <v>44926</v>
      </c>
      <c r="R1284" s="64">
        <v>2</v>
      </c>
      <c r="S1284" s="65" t="s">
        <v>1525</v>
      </c>
      <c r="T1284" s="64">
        <v>1</v>
      </c>
      <c r="U1284" s="370">
        <v>0</v>
      </c>
      <c r="V1284" s="687">
        <v>0</v>
      </c>
      <c r="W1284" s="75"/>
      <c r="X1284" s="75"/>
      <c r="Y1284" s="75"/>
      <c r="Z1284" s="75">
        <v>1</v>
      </c>
      <c r="AA1284" s="75"/>
      <c r="AB1284" s="75"/>
      <c r="AC1284" s="97"/>
      <c r="AD1284" s="97"/>
      <c r="AE1284" s="591"/>
      <c r="AF1284" s="259" t="s">
        <v>1526</v>
      </c>
      <c r="AG1284" s="510">
        <v>0</v>
      </c>
      <c r="AH1284" s="370">
        <v>0</v>
      </c>
      <c r="AI1284" s="75"/>
      <c r="AJ1284" s="75"/>
      <c r="AK1284" s="75"/>
      <c r="AL1284" s="75"/>
      <c r="AM1284" s="75"/>
      <c r="AN1284" s="64" t="s">
        <v>181</v>
      </c>
      <c r="AO1284" s="64"/>
      <c r="AP1284" s="64"/>
      <c r="AQ1284" s="189"/>
      <c r="AR1284" s="64"/>
      <c r="AS1284" s="476"/>
      <c r="AT1284" s="64"/>
      <c r="AU1284" s="646"/>
      <c r="AV1284" s="185"/>
    </row>
    <row r="1285" spans="1:48" s="153" customFormat="1" outlineLevel="2" x14ac:dyDescent="0.25">
      <c r="A1285" s="148" t="str">
        <f t="shared" si="191"/>
        <v>4.14.3.9.0.0</v>
      </c>
      <c r="B1285" s="82">
        <v>4</v>
      </c>
      <c r="C1285" s="82">
        <v>14</v>
      </c>
      <c r="D1285" s="82">
        <v>3</v>
      </c>
      <c r="E1285" s="82">
        <v>9</v>
      </c>
      <c r="F1285" s="82">
        <v>0</v>
      </c>
      <c r="G1285" s="82">
        <v>0</v>
      </c>
      <c r="H1285" s="149"/>
      <c r="I1285" s="149"/>
      <c r="J1285" s="1272" t="s">
        <v>1527</v>
      </c>
      <c r="K1285" s="1273"/>
      <c r="L1285" s="82" t="s">
        <v>1475</v>
      </c>
      <c r="M1285" s="83" t="s">
        <v>1449</v>
      </c>
      <c r="N1285" s="82" t="s">
        <v>1444</v>
      </c>
      <c r="O1285" s="82" t="s">
        <v>1445</v>
      </c>
      <c r="P1285" s="82"/>
      <c r="Q1285" s="82"/>
      <c r="R1285" s="82"/>
      <c r="S1285" s="149"/>
      <c r="T1285" s="82"/>
      <c r="U1285" s="380">
        <f>SUM(U1286:U1289)</f>
        <v>0</v>
      </c>
      <c r="V1285" s="682">
        <f>SUM(V1286:V1289)</f>
        <v>0</v>
      </c>
      <c r="W1285" s="152"/>
      <c r="X1285" s="152"/>
      <c r="Y1285" s="152"/>
      <c r="Z1285" s="152"/>
      <c r="AA1285" s="152"/>
      <c r="AB1285" s="152"/>
      <c r="AC1285" s="257"/>
      <c r="AD1285" s="257"/>
      <c r="AE1285" s="611"/>
      <c r="AF1285" s="358"/>
      <c r="AG1285" s="513">
        <f>SUM(AG1286:AG1289)</f>
        <v>0</v>
      </c>
      <c r="AH1285" s="380">
        <f>SUM(AH1286:AH1289)</f>
        <v>0</v>
      </c>
      <c r="AI1285" s="198"/>
      <c r="AJ1285" s="198"/>
      <c r="AK1285" s="198"/>
      <c r="AL1285" s="198"/>
      <c r="AM1285" s="198"/>
      <c r="AN1285" s="82" t="s">
        <v>181</v>
      </c>
      <c r="AO1285" s="82"/>
      <c r="AP1285" s="82"/>
      <c r="AQ1285" s="365"/>
      <c r="AR1285" s="82"/>
      <c r="AS1285" s="483"/>
      <c r="AT1285" s="82"/>
      <c r="AU1285" s="666"/>
      <c r="AV1285" s="444"/>
    </row>
    <row r="1286" spans="1:48" ht="15" customHeight="1" outlineLevel="3" x14ac:dyDescent="0.25">
      <c r="A1286" s="63" t="str">
        <f t="shared" si="191"/>
        <v>4.14.3.9.1.0</v>
      </c>
      <c r="B1286" s="64">
        <v>4</v>
      </c>
      <c r="C1286" s="64">
        <v>14</v>
      </c>
      <c r="D1286" s="64">
        <v>3</v>
      </c>
      <c r="E1286" s="64">
        <v>9</v>
      </c>
      <c r="F1286" s="64">
        <v>1</v>
      </c>
      <c r="G1286" s="64">
        <v>0</v>
      </c>
      <c r="H1286" s="65"/>
      <c r="I1286" s="65"/>
      <c r="J1286" s="66"/>
      <c r="K1286" s="65" t="s">
        <v>1451</v>
      </c>
      <c r="L1286" s="64" t="s">
        <v>1452</v>
      </c>
      <c r="M1286" s="64" t="s">
        <v>1453</v>
      </c>
      <c r="N1286" s="64" t="s">
        <v>1444</v>
      </c>
      <c r="O1286" s="64" t="s">
        <v>1335</v>
      </c>
      <c r="P1286" s="64"/>
      <c r="Q1286" s="64"/>
      <c r="R1286" s="64"/>
      <c r="S1286" s="65"/>
      <c r="T1286" s="64"/>
      <c r="U1286" s="370">
        <v>0</v>
      </c>
      <c r="V1286" s="687">
        <v>0</v>
      </c>
      <c r="W1286" s="75"/>
      <c r="X1286" s="75"/>
      <c r="Y1286" s="75"/>
      <c r="Z1286" s="75"/>
      <c r="AA1286" s="75"/>
      <c r="AB1286" s="75"/>
      <c r="AC1286" s="97"/>
      <c r="AD1286" s="97"/>
      <c r="AE1286" s="591"/>
      <c r="AF1286" s="259"/>
      <c r="AG1286" s="510">
        <v>0</v>
      </c>
      <c r="AH1286" s="370">
        <v>0</v>
      </c>
      <c r="AI1286" s="75"/>
      <c r="AJ1286" s="75"/>
      <c r="AK1286" s="75"/>
      <c r="AL1286" s="75"/>
      <c r="AM1286" s="75"/>
      <c r="AN1286" s="64" t="s">
        <v>181</v>
      </c>
      <c r="AO1286" s="64"/>
      <c r="AP1286" s="64"/>
      <c r="AQ1286" s="189"/>
      <c r="AR1286" s="64"/>
      <c r="AS1286" s="476"/>
      <c r="AT1286" s="64"/>
      <c r="AU1286" s="646"/>
      <c r="AV1286" s="185"/>
    </row>
    <row r="1287" spans="1:48" ht="15" customHeight="1" outlineLevel="3" x14ac:dyDescent="0.25">
      <c r="A1287" s="63" t="str">
        <f t="shared" si="191"/>
        <v>4.14.3.9.2.0</v>
      </c>
      <c r="B1287" s="64">
        <v>4</v>
      </c>
      <c r="C1287" s="64">
        <v>14</v>
      </c>
      <c r="D1287" s="64">
        <v>3</v>
      </c>
      <c r="E1287" s="64">
        <v>9</v>
      </c>
      <c r="F1287" s="64">
        <v>2</v>
      </c>
      <c r="G1287" s="64">
        <v>0</v>
      </c>
      <c r="H1287" s="65"/>
      <c r="I1287" s="65"/>
      <c r="J1287" s="66"/>
      <c r="K1287" s="65" t="s">
        <v>1463</v>
      </c>
      <c r="L1287" s="64" t="s">
        <v>1452</v>
      </c>
      <c r="M1287" s="64" t="s">
        <v>1464</v>
      </c>
      <c r="N1287" s="64" t="s">
        <v>1444</v>
      </c>
      <c r="O1287" s="64" t="s">
        <v>1335</v>
      </c>
      <c r="P1287" s="64"/>
      <c r="Q1287" s="64"/>
      <c r="R1287" s="64"/>
      <c r="S1287" s="65"/>
      <c r="T1287" s="64"/>
      <c r="U1287" s="370">
        <v>0</v>
      </c>
      <c r="V1287" s="687">
        <v>0</v>
      </c>
      <c r="W1287" s="75"/>
      <c r="X1287" s="75"/>
      <c r="Y1287" s="75"/>
      <c r="Z1287" s="75"/>
      <c r="AA1287" s="75"/>
      <c r="AB1287" s="75"/>
      <c r="AC1287" s="97"/>
      <c r="AD1287" s="97"/>
      <c r="AE1287" s="591"/>
      <c r="AF1287" s="259"/>
      <c r="AG1287" s="510">
        <v>0</v>
      </c>
      <c r="AH1287" s="370">
        <v>0</v>
      </c>
      <c r="AI1287" s="75"/>
      <c r="AJ1287" s="75"/>
      <c r="AK1287" s="75"/>
      <c r="AL1287" s="75"/>
      <c r="AM1287" s="75"/>
      <c r="AN1287" s="64" t="s">
        <v>181</v>
      </c>
      <c r="AO1287" s="64"/>
      <c r="AP1287" s="64"/>
      <c r="AQ1287" s="189"/>
      <c r="AR1287" s="64"/>
      <c r="AS1287" s="476"/>
      <c r="AT1287" s="64"/>
      <c r="AU1287" s="646"/>
      <c r="AV1287" s="185"/>
    </row>
    <row r="1288" spans="1:48" ht="15" customHeight="1" outlineLevel="3" x14ac:dyDescent="0.25">
      <c r="A1288" s="63" t="str">
        <f t="shared" si="191"/>
        <v>4.14.3.9.3.0</v>
      </c>
      <c r="B1288" s="64">
        <v>4</v>
      </c>
      <c r="C1288" s="64">
        <v>14</v>
      </c>
      <c r="D1288" s="64">
        <v>3</v>
      </c>
      <c r="E1288" s="64">
        <v>9</v>
      </c>
      <c r="F1288" s="64">
        <v>3</v>
      </c>
      <c r="G1288" s="64">
        <v>0</v>
      </c>
      <c r="H1288" s="65"/>
      <c r="I1288" s="65"/>
      <c r="J1288" s="66"/>
      <c r="K1288" s="65" t="s">
        <v>1467</v>
      </c>
      <c r="L1288" s="64" t="s">
        <v>264</v>
      </c>
      <c r="M1288" s="64" t="s">
        <v>144</v>
      </c>
      <c r="N1288" s="64" t="s">
        <v>265</v>
      </c>
      <c r="O1288" s="64" t="s">
        <v>668</v>
      </c>
      <c r="P1288" s="64"/>
      <c r="Q1288" s="64"/>
      <c r="R1288" s="64"/>
      <c r="S1288" s="65"/>
      <c r="T1288" s="64"/>
      <c r="U1288" s="370">
        <v>0</v>
      </c>
      <c r="V1288" s="687">
        <v>0</v>
      </c>
      <c r="W1288" s="75"/>
      <c r="X1288" s="75"/>
      <c r="Y1288" s="75"/>
      <c r="Z1288" s="75"/>
      <c r="AA1288" s="75"/>
      <c r="AB1288" s="75"/>
      <c r="AC1288" s="97"/>
      <c r="AD1288" s="97"/>
      <c r="AE1288" s="591"/>
      <c r="AF1288" s="259"/>
      <c r="AG1288" s="510">
        <v>0</v>
      </c>
      <c r="AH1288" s="370">
        <v>0</v>
      </c>
      <c r="AI1288" s="75"/>
      <c r="AJ1288" s="75"/>
      <c r="AK1288" s="75"/>
      <c r="AL1288" s="75"/>
      <c r="AM1288" s="75"/>
      <c r="AN1288" s="64" t="s">
        <v>181</v>
      </c>
      <c r="AO1288" s="64"/>
      <c r="AP1288" s="64"/>
      <c r="AQ1288" s="189"/>
      <c r="AR1288" s="64"/>
      <c r="AS1288" s="476"/>
      <c r="AT1288" s="64"/>
      <c r="AU1288" s="646"/>
      <c r="AV1288" s="185"/>
    </row>
    <row r="1289" spans="1:48" ht="15" customHeight="1" outlineLevel="3" x14ac:dyDescent="0.25">
      <c r="A1289" s="63" t="str">
        <f t="shared" si="191"/>
        <v>4.14.3.9.4.0</v>
      </c>
      <c r="B1289" s="64">
        <v>4</v>
      </c>
      <c r="C1289" s="64">
        <v>14</v>
      </c>
      <c r="D1289" s="64">
        <v>3</v>
      </c>
      <c r="E1289" s="64">
        <v>9</v>
      </c>
      <c r="F1289" s="64">
        <v>4</v>
      </c>
      <c r="G1289" s="64">
        <v>0</v>
      </c>
      <c r="H1289" s="65"/>
      <c r="I1289" s="65"/>
      <c r="J1289" s="65"/>
      <c r="K1289" s="65" t="s">
        <v>672</v>
      </c>
      <c r="L1289" s="64" t="s">
        <v>264</v>
      </c>
      <c r="M1289" s="64" t="s">
        <v>144</v>
      </c>
      <c r="N1289" s="64" t="s">
        <v>1476</v>
      </c>
      <c r="O1289" s="64" t="s">
        <v>668</v>
      </c>
      <c r="P1289" s="64"/>
      <c r="Q1289" s="64"/>
      <c r="R1289" s="64"/>
      <c r="S1289" s="65"/>
      <c r="T1289" s="64"/>
      <c r="U1289" s="370">
        <v>0</v>
      </c>
      <c r="V1289" s="687">
        <v>0</v>
      </c>
      <c r="W1289" s="75"/>
      <c r="X1289" s="75"/>
      <c r="Y1289" s="75"/>
      <c r="Z1289" s="75"/>
      <c r="AA1289" s="75"/>
      <c r="AB1289" s="75"/>
      <c r="AC1289" s="97"/>
      <c r="AD1289" s="97"/>
      <c r="AE1289" s="591"/>
      <c r="AF1289" s="259"/>
      <c r="AG1289" s="510">
        <v>0</v>
      </c>
      <c r="AH1289" s="370">
        <v>0</v>
      </c>
      <c r="AI1289" s="75"/>
      <c r="AJ1289" s="75"/>
      <c r="AK1289" s="75"/>
      <c r="AL1289" s="75"/>
      <c r="AM1289" s="75"/>
      <c r="AN1289" s="64" t="s">
        <v>181</v>
      </c>
      <c r="AO1289" s="64" t="s">
        <v>1839</v>
      </c>
      <c r="AP1289" s="64" t="s">
        <v>649</v>
      </c>
      <c r="AQ1289" s="533" t="s">
        <v>649</v>
      </c>
      <c r="AR1289" s="554">
        <v>44562</v>
      </c>
      <c r="AS1289" s="554">
        <v>44561</v>
      </c>
      <c r="AT1289" s="64" t="s">
        <v>1814</v>
      </c>
      <c r="AU1289" s="646"/>
      <c r="AV1289" s="185"/>
    </row>
    <row r="1290" spans="1:48" s="153" customFormat="1" outlineLevel="2" x14ac:dyDescent="0.25">
      <c r="A1290" s="148" t="str">
        <f t="shared" si="191"/>
        <v>4.14.3.10.0.0</v>
      </c>
      <c r="B1290" s="82">
        <v>4</v>
      </c>
      <c r="C1290" s="82">
        <v>14</v>
      </c>
      <c r="D1290" s="82">
        <v>3</v>
      </c>
      <c r="E1290" s="82">
        <v>10</v>
      </c>
      <c r="F1290" s="82">
        <v>0</v>
      </c>
      <c r="G1290" s="82">
        <v>0</v>
      </c>
      <c r="H1290" s="149"/>
      <c r="I1290" s="149"/>
      <c r="J1290" s="1272" t="s">
        <v>1528</v>
      </c>
      <c r="K1290" s="1273"/>
      <c r="L1290" s="82" t="s">
        <v>1475</v>
      </c>
      <c r="M1290" s="83" t="s">
        <v>1449</v>
      </c>
      <c r="N1290" s="82" t="s">
        <v>1444</v>
      </c>
      <c r="O1290" s="82" t="s">
        <v>1445</v>
      </c>
      <c r="P1290" s="82"/>
      <c r="Q1290" s="82"/>
      <c r="R1290" s="82"/>
      <c r="S1290" s="149"/>
      <c r="T1290" s="82"/>
      <c r="U1290" s="380">
        <f>+SUM(U1291:U1295)</f>
        <v>0</v>
      </c>
      <c r="V1290" s="682">
        <f>+SUM(V1291:V1295)</f>
        <v>0</v>
      </c>
      <c r="W1290" s="152"/>
      <c r="X1290" s="152"/>
      <c r="Y1290" s="152"/>
      <c r="Z1290" s="152"/>
      <c r="AA1290" s="152"/>
      <c r="AB1290" s="152"/>
      <c r="AC1290" s="257"/>
      <c r="AD1290" s="257"/>
      <c r="AE1290" s="611"/>
      <c r="AF1290" s="358"/>
      <c r="AG1290" s="513">
        <f>+SUM(AG1291:AG1295)</f>
        <v>0</v>
      </c>
      <c r="AH1290" s="380">
        <f>+SUM(AH1291:AH1295)</f>
        <v>0</v>
      </c>
      <c r="AI1290" s="198"/>
      <c r="AJ1290" s="198"/>
      <c r="AK1290" s="198"/>
      <c r="AL1290" s="198"/>
      <c r="AM1290" s="198"/>
      <c r="AN1290" s="82" t="s">
        <v>181</v>
      </c>
      <c r="AO1290" s="82"/>
      <c r="AP1290" s="82"/>
      <c r="AQ1290" s="365"/>
      <c r="AR1290" s="82"/>
      <c r="AS1290" s="483"/>
      <c r="AT1290" s="82"/>
      <c r="AU1290" s="666"/>
      <c r="AV1290" s="444"/>
    </row>
    <row r="1291" spans="1:48" outlineLevel="3" x14ac:dyDescent="0.25">
      <c r="A1291" s="63" t="str">
        <f t="shared" si="191"/>
        <v>4.14.3.10.1.0</v>
      </c>
      <c r="B1291" s="64">
        <v>4</v>
      </c>
      <c r="C1291" s="64">
        <v>14</v>
      </c>
      <c r="D1291" s="64">
        <v>3</v>
      </c>
      <c r="E1291" s="64">
        <v>10</v>
      </c>
      <c r="F1291" s="64">
        <v>1</v>
      </c>
      <c r="G1291" s="64">
        <v>0</v>
      </c>
      <c r="H1291" s="65"/>
      <c r="I1291" s="65"/>
      <c r="J1291" s="66"/>
      <c r="K1291" s="65" t="s">
        <v>1529</v>
      </c>
      <c r="L1291" s="64" t="s">
        <v>1452</v>
      </c>
      <c r="M1291" s="64" t="s">
        <v>1453</v>
      </c>
      <c r="N1291" s="64" t="s">
        <v>1444</v>
      </c>
      <c r="O1291" s="64" t="s">
        <v>1204</v>
      </c>
      <c r="P1291" s="64"/>
      <c r="Q1291" s="64"/>
      <c r="R1291" s="64"/>
      <c r="S1291" s="65"/>
      <c r="T1291" s="64"/>
      <c r="U1291" s="370">
        <v>0</v>
      </c>
      <c r="V1291" s="687">
        <v>0</v>
      </c>
      <c r="W1291" s="75"/>
      <c r="X1291" s="75"/>
      <c r="Y1291" s="75"/>
      <c r="Z1291" s="75"/>
      <c r="AA1291" s="75"/>
      <c r="AB1291" s="75"/>
      <c r="AC1291" s="97"/>
      <c r="AD1291" s="97"/>
      <c r="AE1291" s="591"/>
      <c r="AF1291" s="259"/>
      <c r="AG1291" s="510">
        <v>0</v>
      </c>
      <c r="AH1291" s="370">
        <v>0</v>
      </c>
      <c r="AI1291" s="75"/>
      <c r="AJ1291" s="75"/>
      <c r="AK1291" s="75"/>
      <c r="AL1291" s="75"/>
      <c r="AM1291" s="75"/>
      <c r="AN1291" s="64" t="s">
        <v>181</v>
      </c>
      <c r="AO1291" s="64"/>
      <c r="AP1291" s="64"/>
      <c r="AQ1291" s="189"/>
      <c r="AR1291" s="64"/>
      <c r="AS1291" s="476"/>
      <c r="AT1291" s="64"/>
      <c r="AU1291" s="646"/>
      <c r="AV1291" s="335"/>
    </row>
    <row r="1292" spans="1:48" outlineLevel="3" x14ac:dyDescent="0.25">
      <c r="A1292" s="63" t="str">
        <f t="shared" si="191"/>
        <v>4.14.3.10.2.0</v>
      </c>
      <c r="B1292" s="64">
        <v>4</v>
      </c>
      <c r="C1292" s="64">
        <v>14</v>
      </c>
      <c r="D1292" s="64">
        <v>3</v>
      </c>
      <c r="E1292" s="64">
        <v>10</v>
      </c>
      <c r="F1292" s="64">
        <v>2</v>
      </c>
      <c r="G1292" s="64">
        <v>0</v>
      </c>
      <c r="H1292" s="65"/>
      <c r="I1292" s="65"/>
      <c r="J1292" s="66"/>
      <c r="K1292" s="65" t="s">
        <v>1463</v>
      </c>
      <c r="L1292" s="64" t="s">
        <v>1452</v>
      </c>
      <c r="M1292" s="64" t="s">
        <v>1464</v>
      </c>
      <c r="N1292" s="64" t="s">
        <v>1444</v>
      </c>
      <c r="O1292" s="64" t="s">
        <v>1204</v>
      </c>
      <c r="P1292" s="64"/>
      <c r="Q1292" s="64"/>
      <c r="R1292" s="64"/>
      <c r="S1292" s="65"/>
      <c r="T1292" s="64"/>
      <c r="U1292" s="370">
        <v>0</v>
      </c>
      <c r="V1292" s="687">
        <v>0</v>
      </c>
      <c r="W1292" s="75"/>
      <c r="X1292" s="75"/>
      <c r="Y1292" s="75"/>
      <c r="Z1292" s="75"/>
      <c r="AA1292" s="75"/>
      <c r="AB1292" s="75"/>
      <c r="AC1292" s="97"/>
      <c r="AD1292" s="97"/>
      <c r="AE1292" s="591"/>
      <c r="AF1292" s="259"/>
      <c r="AG1292" s="510">
        <v>0</v>
      </c>
      <c r="AH1292" s="370">
        <v>0</v>
      </c>
      <c r="AI1292" s="75"/>
      <c r="AJ1292" s="75"/>
      <c r="AK1292" s="75"/>
      <c r="AL1292" s="75"/>
      <c r="AM1292" s="75"/>
      <c r="AN1292" s="64" t="s">
        <v>181</v>
      </c>
      <c r="AO1292" s="64"/>
      <c r="AP1292" s="64"/>
      <c r="AQ1292" s="189"/>
      <c r="AR1292" s="64"/>
      <c r="AS1292" s="476"/>
      <c r="AT1292" s="64"/>
      <c r="AU1292" s="646"/>
      <c r="AV1292" s="185"/>
    </row>
    <row r="1293" spans="1:48" outlineLevel="3" x14ac:dyDescent="0.25">
      <c r="A1293" s="63" t="str">
        <f t="shared" si="191"/>
        <v>4.14.3.10.3.0</v>
      </c>
      <c r="B1293" s="64">
        <v>4</v>
      </c>
      <c r="C1293" s="64">
        <v>14</v>
      </c>
      <c r="D1293" s="64">
        <v>3</v>
      </c>
      <c r="E1293" s="64">
        <v>10</v>
      </c>
      <c r="F1293" s="64">
        <v>3</v>
      </c>
      <c r="G1293" s="64">
        <v>0</v>
      </c>
      <c r="H1293" s="65"/>
      <c r="I1293" s="65"/>
      <c r="J1293" s="66"/>
      <c r="K1293" s="65" t="s">
        <v>1467</v>
      </c>
      <c r="L1293" s="64" t="s">
        <v>264</v>
      </c>
      <c r="M1293" s="64" t="s">
        <v>144</v>
      </c>
      <c r="N1293" s="64" t="s">
        <v>265</v>
      </c>
      <c r="O1293" s="64" t="s">
        <v>668</v>
      </c>
      <c r="P1293" s="64"/>
      <c r="Q1293" s="64"/>
      <c r="R1293" s="64"/>
      <c r="S1293" s="65"/>
      <c r="T1293" s="64"/>
      <c r="U1293" s="370">
        <v>0</v>
      </c>
      <c r="V1293" s="687">
        <v>0</v>
      </c>
      <c r="W1293" s="75"/>
      <c r="X1293" s="75"/>
      <c r="Y1293" s="75"/>
      <c r="Z1293" s="75"/>
      <c r="AA1293" s="75"/>
      <c r="AB1293" s="75"/>
      <c r="AC1293" s="97"/>
      <c r="AD1293" s="97"/>
      <c r="AE1293" s="591"/>
      <c r="AF1293" s="259"/>
      <c r="AG1293" s="510">
        <v>0</v>
      </c>
      <c r="AH1293" s="370">
        <v>0</v>
      </c>
      <c r="AI1293" s="75"/>
      <c r="AJ1293" s="75"/>
      <c r="AK1293" s="75"/>
      <c r="AL1293" s="75"/>
      <c r="AM1293" s="75"/>
      <c r="AN1293" s="64" t="s">
        <v>181</v>
      </c>
      <c r="AO1293" s="64"/>
      <c r="AP1293" s="64"/>
      <c r="AQ1293" s="189"/>
      <c r="AR1293" s="64"/>
      <c r="AS1293" s="476"/>
      <c r="AT1293" s="64"/>
      <c r="AU1293" s="646"/>
      <c r="AV1293" s="185"/>
    </row>
    <row r="1294" spans="1:48" outlineLevel="3" x14ac:dyDescent="0.25">
      <c r="A1294" s="63" t="str">
        <f t="shared" si="191"/>
        <v>4.14.3.10.4.0</v>
      </c>
      <c r="B1294" s="64">
        <v>4</v>
      </c>
      <c r="C1294" s="64">
        <v>14</v>
      </c>
      <c r="D1294" s="64">
        <v>3</v>
      </c>
      <c r="E1294" s="64">
        <v>10</v>
      </c>
      <c r="F1294" s="64">
        <v>4</v>
      </c>
      <c r="G1294" s="64">
        <v>0</v>
      </c>
      <c r="H1294" s="65"/>
      <c r="I1294" s="65"/>
      <c r="J1294" s="65"/>
      <c r="K1294" s="65" t="s">
        <v>672</v>
      </c>
      <c r="L1294" s="64" t="s">
        <v>264</v>
      </c>
      <c r="M1294" s="64" t="s">
        <v>144</v>
      </c>
      <c r="N1294" s="64" t="s">
        <v>265</v>
      </c>
      <c r="O1294" s="64" t="s">
        <v>668</v>
      </c>
      <c r="P1294" s="64"/>
      <c r="Q1294" s="64"/>
      <c r="R1294" s="64"/>
      <c r="S1294" s="65"/>
      <c r="T1294" s="64"/>
      <c r="U1294" s="370">
        <v>0</v>
      </c>
      <c r="V1294" s="687">
        <v>0</v>
      </c>
      <c r="W1294" s="75"/>
      <c r="X1294" s="75"/>
      <c r="Y1294" s="75"/>
      <c r="Z1294" s="75"/>
      <c r="AA1294" s="75"/>
      <c r="AB1294" s="75"/>
      <c r="AC1294" s="97"/>
      <c r="AD1294" s="97"/>
      <c r="AE1294" s="591"/>
      <c r="AF1294" s="259"/>
      <c r="AG1294" s="510">
        <v>0</v>
      </c>
      <c r="AH1294" s="370">
        <v>0</v>
      </c>
      <c r="AI1294" s="75"/>
      <c r="AJ1294" s="75"/>
      <c r="AK1294" s="75"/>
      <c r="AL1294" s="75"/>
      <c r="AM1294" s="75"/>
      <c r="AN1294" s="64" t="s">
        <v>181</v>
      </c>
      <c r="AO1294" s="64" t="s">
        <v>1839</v>
      </c>
      <c r="AP1294" s="64" t="s">
        <v>649</v>
      </c>
      <c r="AQ1294" s="533" t="s">
        <v>649</v>
      </c>
      <c r="AR1294" s="554">
        <v>44562</v>
      </c>
      <c r="AS1294" s="554">
        <v>44561</v>
      </c>
      <c r="AT1294" s="64" t="s">
        <v>1814</v>
      </c>
      <c r="AU1294" s="646"/>
      <c r="AV1294" s="185"/>
    </row>
    <row r="1295" spans="1:48" ht="24.6" customHeight="1" outlineLevel="3" x14ac:dyDescent="0.25">
      <c r="A1295" s="63" t="str">
        <f t="shared" ref="A1295:A1497" si="229">CONCATENATE(B1295,".",C1295,".",D1295,".",E1295,".",F1295,".",G1295)</f>
        <v>4.14.3.10.5.0</v>
      </c>
      <c r="B1295" s="64">
        <v>4</v>
      </c>
      <c r="C1295" s="64">
        <v>14</v>
      </c>
      <c r="D1295" s="64">
        <v>3</v>
      </c>
      <c r="E1295" s="64">
        <v>10</v>
      </c>
      <c r="F1295" s="64">
        <v>5</v>
      </c>
      <c r="G1295" s="64">
        <v>0</v>
      </c>
      <c r="H1295" s="65"/>
      <c r="I1295" s="65"/>
      <c r="J1295" s="65"/>
      <c r="K1295" s="65" t="s">
        <v>1530</v>
      </c>
      <c r="L1295" s="64" t="s">
        <v>1531</v>
      </c>
      <c r="M1295" s="64" t="s">
        <v>1531</v>
      </c>
      <c r="N1295" s="64" t="s">
        <v>1297</v>
      </c>
      <c r="O1295" s="64" t="s">
        <v>1532</v>
      </c>
      <c r="P1295" s="69">
        <v>44197</v>
      </c>
      <c r="Q1295" s="131" t="s">
        <v>1533</v>
      </c>
      <c r="R1295" s="170"/>
      <c r="S1295" s="170"/>
      <c r="T1295" s="170"/>
      <c r="U1295" s="370">
        <v>0</v>
      </c>
      <c r="V1295" s="687">
        <v>0</v>
      </c>
      <c r="W1295" s="97"/>
      <c r="X1295" s="97"/>
      <c r="Y1295" s="97"/>
      <c r="Z1295" s="97"/>
      <c r="AA1295" s="97"/>
      <c r="AB1295" s="97"/>
      <c r="AC1295" s="97"/>
      <c r="AD1295" s="97"/>
      <c r="AE1295" s="591"/>
      <c r="AF1295" s="353" t="s">
        <v>1534</v>
      </c>
      <c r="AG1295" s="510">
        <v>0</v>
      </c>
      <c r="AH1295" s="370">
        <v>0</v>
      </c>
      <c r="AI1295" s="75"/>
      <c r="AJ1295" s="75"/>
      <c r="AK1295" s="75"/>
      <c r="AL1295" s="75"/>
      <c r="AM1295" s="75"/>
      <c r="AN1295" s="64" t="s">
        <v>181</v>
      </c>
      <c r="AO1295" s="64"/>
      <c r="AP1295" s="64"/>
      <c r="AQ1295" s="189"/>
      <c r="AR1295" s="64"/>
      <c r="AS1295" s="476"/>
      <c r="AT1295" s="64"/>
      <c r="AU1295" s="646"/>
      <c r="AV1295" s="441"/>
    </row>
    <row r="1296" spans="1:48" s="153" customFormat="1" outlineLevel="2" x14ac:dyDescent="0.25">
      <c r="A1296" s="148" t="str">
        <f t="shared" si="229"/>
        <v>4.14.3.11.0.0</v>
      </c>
      <c r="B1296" s="82">
        <v>4</v>
      </c>
      <c r="C1296" s="82">
        <v>14</v>
      </c>
      <c r="D1296" s="82">
        <v>3</v>
      </c>
      <c r="E1296" s="82">
        <v>11</v>
      </c>
      <c r="F1296" s="82">
        <v>0</v>
      </c>
      <c r="G1296" s="82">
        <v>0</v>
      </c>
      <c r="H1296" s="149"/>
      <c r="I1296" s="149"/>
      <c r="J1296" s="1260" t="s">
        <v>1535</v>
      </c>
      <c r="K1296" s="1259"/>
      <c r="L1296" s="82" t="s">
        <v>1475</v>
      </c>
      <c r="M1296" s="83" t="s">
        <v>1449</v>
      </c>
      <c r="N1296" s="82" t="s">
        <v>1444</v>
      </c>
      <c r="O1296" s="82" t="s">
        <v>1445</v>
      </c>
      <c r="P1296" s="82"/>
      <c r="Q1296" s="82"/>
      <c r="R1296" s="82"/>
      <c r="S1296" s="149"/>
      <c r="T1296" s="82"/>
      <c r="U1296" s="380">
        <f>+SUM(U1297:U1300)</f>
        <v>0</v>
      </c>
      <c r="V1296" s="682">
        <f>+SUM(V1297:V1300)</f>
        <v>0</v>
      </c>
      <c r="W1296" s="152"/>
      <c r="X1296" s="152"/>
      <c r="Y1296" s="152"/>
      <c r="Z1296" s="152"/>
      <c r="AA1296" s="152"/>
      <c r="AB1296" s="152"/>
      <c r="AC1296" s="257"/>
      <c r="AD1296" s="257"/>
      <c r="AE1296" s="611"/>
      <c r="AF1296" s="358"/>
      <c r="AG1296" s="513">
        <f>+SUM(AG1297:AG1300)</f>
        <v>0</v>
      </c>
      <c r="AH1296" s="380">
        <f>+SUM(AH1297:AH1300)</f>
        <v>0</v>
      </c>
      <c r="AI1296" s="198"/>
      <c r="AJ1296" s="198"/>
      <c r="AK1296" s="198"/>
      <c r="AL1296" s="198"/>
      <c r="AM1296" s="198"/>
      <c r="AN1296" s="82" t="s">
        <v>181</v>
      </c>
      <c r="AO1296" s="82"/>
      <c r="AP1296" s="82"/>
      <c r="AQ1296" s="365"/>
      <c r="AR1296" s="82"/>
      <c r="AS1296" s="483"/>
      <c r="AT1296" s="82"/>
      <c r="AU1296" s="666"/>
      <c r="AV1296" s="444"/>
    </row>
    <row r="1297" spans="1:48" outlineLevel="3" x14ac:dyDescent="0.25">
      <c r="A1297" s="63" t="str">
        <f t="shared" si="229"/>
        <v>4.14.3.11.1.0</v>
      </c>
      <c r="B1297" s="64">
        <v>4</v>
      </c>
      <c r="C1297" s="64">
        <v>14</v>
      </c>
      <c r="D1297" s="64">
        <v>3</v>
      </c>
      <c r="E1297" s="64">
        <v>11</v>
      </c>
      <c r="F1297" s="64">
        <v>1</v>
      </c>
      <c r="G1297" s="64">
        <v>0</v>
      </c>
      <c r="H1297" s="65"/>
      <c r="I1297" s="65"/>
      <c r="J1297" s="66"/>
      <c r="K1297" s="65" t="s">
        <v>1451</v>
      </c>
      <c r="L1297" s="64" t="s">
        <v>1452</v>
      </c>
      <c r="M1297" s="64" t="s">
        <v>1453</v>
      </c>
      <c r="N1297" s="64" t="s">
        <v>1444</v>
      </c>
      <c r="O1297" s="64" t="s">
        <v>1204</v>
      </c>
      <c r="P1297" s="64"/>
      <c r="Q1297" s="64"/>
      <c r="R1297" s="64"/>
      <c r="S1297" s="65"/>
      <c r="T1297" s="64"/>
      <c r="U1297" s="370">
        <v>0</v>
      </c>
      <c r="V1297" s="687">
        <v>0</v>
      </c>
      <c r="W1297" s="75"/>
      <c r="X1297" s="75"/>
      <c r="Y1297" s="75"/>
      <c r="Z1297" s="75"/>
      <c r="AA1297" s="75"/>
      <c r="AB1297" s="75"/>
      <c r="AC1297" s="97"/>
      <c r="AD1297" s="97"/>
      <c r="AE1297" s="591"/>
      <c r="AF1297" s="259"/>
      <c r="AG1297" s="510">
        <v>0</v>
      </c>
      <c r="AH1297" s="370">
        <v>0</v>
      </c>
      <c r="AI1297" s="75"/>
      <c r="AJ1297" s="75"/>
      <c r="AK1297" s="75"/>
      <c r="AL1297" s="75"/>
      <c r="AM1297" s="75"/>
      <c r="AN1297" s="64" t="s">
        <v>181</v>
      </c>
      <c r="AO1297" s="64"/>
      <c r="AP1297" s="64"/>
      <c r="AQ1297" s="189"/>
      <c r="AR1297" s="64"/>
      <c r="AS1297" s="476"/>
      <c r="AT1297" s="64"/>
      <c r="AU1297" s="646"/>
      <c r="AV1297" s="185"/>
    </row>
    <row r="1298" spans="1:48" outlineLevel="3" x14ac:dyDescent="0.25">
      <c r="A1298" s="63" t="str">
        <f t="shared" si="229"/>
        <v>4.14.3.11.2.0</v>
      </c>
      <c r="B1298" s="64">
        <v>4</v>
      </c>
      <c r="C1298" s="64">
        <v>14</v>
      </c>
      <c r="D1298" s="64">
        <v>3</v>
      </c>
      <c r="E1298" s="64">
        <v>11</v>
      </c>
      <c r="F1298" s="64">
        <v>2</v>
      </c>
      <c r="G1298" s="64">
        <v>0</v>
      </c>
      <c r="H1298" s="65"/>
      <c r="I1298" s="65"/>
      <c r="J1298" s="66"/>
      <c r="K1298" s="65" t="s">
        <v>1463</v>
      </c>
      <c r="L1298" s="64" t="s">
        <v>1452</v>
      </c>
      <c r="M1298" s="64" t="s">
        <v>1464</v>
      </c>
      <c r="N1298" s="64" t="s">
        <v>1444</v>
      </c>
      <c r="O1298" s="64" t="s">
        <v>1204</v>
      </c>
      <c r="P1298" s="64"/>
      <c r="Q1298" s="64"/>
      <c r="R1298" s="64"/>
      <c r="S1298" s="65"/>
      <c r="T1298" s="64"/>
      <c r="U1298" s="370">
        <v>0</v>
      </c>
      <c r="V1298" s="687">
        <v>0</v>
      </c>
      <c r="W1298" s="75"/>
      <c r="X1298" s="75"/>
      <c r="Y1298" s="75"/>
      <c r="Z1298" s="75"/>
      <c r="AA1298" s="75"/>
      <c r="AB1298" s="75"/>
      <c r="AC1298" s="97"/>
      <c r="AD1298" s="97"/>
      <c r="AE1298" s="591"/>
      <c r="AF1298" s="259"/>
      <c r="AG1298" s="510">
        <v>0</v>
      </c>
      <c r="AH1298" s="370">
        <v>0</v>
      </c>
      <c r="AI1298" s="75"/>
      <c r="AJ1298" s="75"/>
      <c r="AK1298" s="75"/>
      <c r="AL1298" s="75"/>
      <c r="AM1298" s="75"/>
      <c r="AN1298" s="64" t="s">
        <v>181</v>
      </c>
      <c r="AO1298" s="64"/>
      <c r="AP1298" s="64"/>
      <c r="AQ1298" s="189"/>
      <c r="AR1298" s="64"/>
      <c r="AS1298" s="476"/>
      <c r="AT1298" s="64"/>
      <c r="AU1298" s="646"/>
      <c r="AV1298" s="185"/>
    </row>
    <row r="1299" spans="1:48" outlineLevel="3" x14ac:dyDescent="0.25">
      <c r="A1299" s="63" t="str">
        <f t="shared" si="229"/>
        <v>4.14.3.11.3.0</v>
      </c>
      <c r="B1299" s="64">
        <v>4</v>
      </c>
      <c r="C1299" s="64">
        <v>14</v>
      </c>
      <c r="D1299" s="64">
        <v>3</v>
      </c>
      <c r="E1299" s="64">
        <v>11</v>
      </c>
      <c r="F1299" s="64">
        <v>3</v>
      </c>
      <c r="G1299" s="64">
        <v>0</v>
      </c>
      <c r="H1299" s="65"/>
      <c r="I1299" s="65"/>
      <c r="J1299" s="66"/>
      <c r="K1299" s="65" t="s">
        <v>1467</v>
      </c>
      <c r="L1299" s="64" t="s">
        <v>264</v>
      </c>
      <c r="M1299" s="64" t="s">
        <v>144</v>
      </c>
      <c r="N1299" s="64" t="s">
        <v>265</v>
      </c>
      <c r="O1299" s="64" t="s">
        <v>668</v>
      </c>
      <c r="P1299" s="64"/>
      <c r="Q1299" s="64"/>
      <c r="R1299" s="64"/>
      <c r="S1299" s="65"/>
      <c r="T1299" s="64"/>
      <c r="U1299" s="370">
        <v>0</v>
      </c>
      <c r="V1299" s="687">
        <v>0</v>
      </c>
      <c r="W1299" s="75"/>
      <c r="X1299" s="75"/>
      <c r="Y1299" s="75"/>
      <c r="Z1299" s="75"/>
      <c r="AA1299" s="75"/>
      <c r="AB1299" s="75"/>
      <c r="AC1299" s="97"/>
      <c r="AD1299" s="97"/>
      <c r="AE1299" s="591"/>
      <c r="AF1299" s="259"/>
      <c r="AG1299" s="510">
        <v>0</v>
      </c>
      <c r="AH1299" s="370">
        <v>0</v>
      </c>
      <c r="AI1299" s="75"/>
      <c r="AJ1299" s="75"/>
      <c r="AK1299" s="75"/>
      <c r="AL1299" s="75"/>
      <c r="AM1299" s="75"/>
      <c r="AN1299" s="64" t="s">
        <v>181</v>
      </c>
      <c r="AO1299" s="64"/>
      <c r="AP1299" s="64"/>
      <c r="AQ1299" s="189"/>
      <c r="AR1299" s="64"/>
      <c r="AS1299" s="476"/>
      <c r="AT1299" s="64"/>
      <c r="AU1299" s="646"/>
      <c r="AV1299" s="185"/>
    </row>
    <row r="1300" spans="1:48" outlineLevel="3" x14ac:dyDescent="0.25">
      <c r="A1300" s="63" t="str">
        <f t="shared" si="229"/>
        <v>4.14.3.11.4.0</v>
      </c>
      <c r="B1300" s="64">
        <v>4</v>
      </c>
      <c r="C1300" s="64">
        <v>14</v>
      </c>
      <c r="D1300" s="64">
        <v>3</v>
      </c>
      <c r="E1300" s="64">
        <v>11</v>
      </c>
      <c r="F1300" s="64">
        <v>4</v>
      </c>
      <c r="G1300" s="64">
        <v>0</v>
      </c>
      <c r="H1300" s="65"/>
      <c r="I1300" s="65"/>
      <c r="J1300" s="65"/>
      <c r="K1300" s="65" t="s">
        <v>672</v>
      </c>
      <c r="L1300" s="64" t="s">
        <v>264</v>
      </c>
      <c r="M1300" s="64" t="s">
        <v>144</v>
      </c>
      <c r="N1300" s="64" t="s">
        <v>265</v>
      </c>
      <c r="O1300" s="64" t="s">
        <v>668</v>
      </c>
      <c r="P1300" s="64"/>
      <c r="Q1300" s="64"/>
      <c r="R1300" s="64"/>
      <c r="S1300" s="65"/>
      <c r="T1300" s="64"/>
      <c r="U1300" s="370">
        <v>0</v>
      </c>
      <c r="V1300" s="687">
        <v>0</v>
      </c>
      <c r="W1300" s="75"/>
      <c r="X1300" s="75"/>
      <c r="Y1300" s="75"/>
      <c r="Z1300" s="75"/>
      <c r="AA1300" s="75"/>
      <c r="AB1300" s="75"/>
      <c r="AC1300" s="97"/>
      <c r="AD1300" s="97"/>
      <c r="AE1300" s="591"/>
      <c r="AF1300" s="259"/>
      <c r="AG1300" s="510">
        <v>0</v>
      </c>
      <c r="AH1300" s="370">
        <v>0</v>
      </c>
      <c r="AI1300" s="75"/>
      <c r="AJ1300" s="75"/>
      <c r="AK1300" s="75"/>
      <c r="AL1300" s="75"/>
      <c r="AM1300" s="75"/>
      <c r="AN1300" s="64" t="s">
        <v>181</v>
      </c>
      <c r="AO1300" s="64" t="s">
        <v>1839</v>
      </c>
      <c r="AP1300" s="64" t="s">
        <v>649</v>
      </c>
      <c r="AQ1300" s="533" t="s">
        <v>649</v>
      </c>
      <c r="AR1300" s="554">
        <v>44562</v>
      </c>
      <c r="AS1300" s="554">
        <v>44561</v>
      </c>
      <c r="AT1300" s="64" t="s">
        <v>1814</v>
      </c>
      <c r="AU1300" s="646"/>
      <c r="AV1300" s="185"/>
    </row>
    <row r="1301" spans="1:48" s="153" customFormat="1" outlineLevel="2" x14ac:dyDescent="0.25">
      <c r="A1301" s="148" t="str">
        <f t="shared" si="229"/>
        <v>4.14.3.12.0.0</v>
      </c>
      <c r="B1301" s="82">
        <v>4</v>
      </c>
      <c r="C1301" s="82">
        <v>14</v>
      </c>
      <c r="D1301" s="82">
        <v>3</v>
      </c>
      <c r="E1301" s="82">
        <v>12</v>
      </c>
      <c r="F1301" s="82">
        <v>0</v>
      </c>
      <c r="G1301" s="82">
        <v>0</v>
      </c>
      <c r="H1301" s="149"/>
      <c r="I1301" s="149"/>
      <c r="J1301" s="1260" t="s">
        <v>1536</v>
      </c>
      <c r="K1301" s="1259"/>
      <c r="L1301" s="82" t="s">
        <v>1475</v>
      </c>
      <c r="M1301" s="83" t="s">
        <v>1449</v>
      </c>
      <c r="N1301" s="82" t="s">
        <v>1444</v>
      </c>
      <c r="O1301" s="82" t="s">
        <v>1445</v>
      </c>
      <c r="P1301" s="82"/>
      <c r="Q1301" s="82"/>
      <c r="R1301" s="82"/>
      <c r="S1301" s="149"/>
      <c r="T1301" s="82"/>
      <c r="U1301" s="380">
        <f>+SUM(U1302:U1305)</f>
        <v>0</v>
      </c>
      <c r="V1301" s="682">
        <f>+SUM(V1302:V1305)</f>
        <v>0</v>
      </c>
      <c r="W1301" s="152"/>
      <c r="X1301" s="152"/>
      <c r="Y1301" s="152"/>
      <c r="Z1301" s="152"/>
      <c r="AA1301" s="152"/>
      <c r="AB1301" s="152"/>
      <c r="AC1301" s="257"/>
      <c r="AD1301" s="257"/>
      <c r="AE1301" s="611"/>
      <c r="AF1301" s="358"/>
      <c r="AG1301" s="513">
        <f>+SUM(AG1302:AG1305)</f>
        <v>0</v>
      </c>
      <c r="AH1301" s="380">
        <f>+SUM(AH1302:AH1305)</f>
        <v>0</v>
      </c>
      <c r="AI1301" s="198"/>
      <c r="AJ1301" s="198"/>
      <c r="AK1301" s="198"/>
      <c r="AL1301" s="198"/>
      <c r="AM1301" s="198"/>
      <c r="AN1301" s="82" t="s">
        <v>181</v>
      </c>
      <c r="AO1301" s="82"/>
      <c r="AP1301" s="82"/>
      <c r="AQ1301" s="365"/>
      <c r="AR1301" s="82"/>
      <c r="AS1301" s="483"/>
      <c r="AT1301" s="82"/>
      <c r="AU1301" s="666"/>
      <c r="AV1301" s="444"/>
    </row>
    <row r="1302" spans="1:48" ht="15" customHeight="1" outlineLevel="4" x14ac:dyDescent="0.25">
      <c r="A1302" s="63" t="str">
        <f t="shared" si="229"/>
        <v>4.14.3.12.1.0</v>
      </c>
      <c r="B1302" s="64">
        <v>4</v>
      </c>
      <c r="C1302" s="64">
        <v>14</v>
      </c>
      <c r="D1302" s="64">
        <v>3</v>
      </c>
      <c r="E1302" s="64">
        <v>12</v>
      </c>
      <c r="F1302" s="64">
        <v>1</v>
      </c>
      <c r="G1302" s="64">
        <v>0</v>
      </c>
      <c r="H1302" s="65"/>
      <c r="I1302" s="65"/>
      <c r="J1302" s="66"/>
      <c r="K1302" s="65" t="s">
        <v>1451</v>
      </c>
      <c r="L1302" s="64" t="s">
        <v>1452</v>
      </c>
      <c r="M1302" s="64" t="s">
        <v>1453</v>
      </c>
      <c r="N1302" s="64" t="s">
        <v>1444</v>
      </c>
      <c r="O1302" s="64" t="s">
        <v>1204</v>
      </c>
      <c r="P1302" s="64"/>
      <c r="Q1302" s="64"/>
      <c r="R1302" s="64"/>
      <c r="S1302" s="65"/>
      <c r="T1302" s="64"/>
      <c r="U1302" s="370">
        <v>0</v>
      </c>
      <c r="V1302" s="687">
        <v>0</v>
      </c>
      <c r="W1302" s="75"/>
      <c r="X1302" s="75"/>
      <c r="Y1302" s="75"/>
      <c r="Z1302" s="75"/>
      <c r="AA1302" s="75"/>
      <c r="AB1302" s="75"/>
      <c r="AC1302" s="97"/>
      <c r="AD1302" s="97"/>
      <c r="AE1302" s="591"/>
      <c r="AF1302" s="259"/>
      <c r="AG1302" s="510">
        <v>0</v>
      </c>
      <c r="AH1302" s="370">
        <v>0</v>
      </c>
      <c r="AI1302" s="75"/>
      <c r="AJ1302" s="75"/>
      <c r="AK1302" s="75"/>
      <c r="AL1302" s="75"/>
      <c r="AM1302" s="75"/>
      <c r="AN1302" s="64" t="s">
        <v>181</v>
      </c>
      <c r="AO1302" s="64"/>
      <c r="AP1302" s="64"/>
      <c r="AQ1302" s="189"/>
      <c r="AR1302" s="64"/>
      <c r="AS1302" s="476"/>
      <c r="AT1302" s="64"/>
      <c r="AU1302" s="646"/>
      <c r="AV1302" s="185"/>
    </row>
    <row r="1303" spans="1:48" ht="15" customHeight="1" outlineLevel="4" x14ac:dyDescent="0.25">
      <c r="A1303" s="63" t="str">
        <f t="shared" si="229"/>
        <v>4.14.3.12.2.0</v>
      </c>
      <c r="B1303" s="64">
        <v>4</v>
      </c>
      <c r="C1303" s="64">
        <v>14</v>
      </c>
      <c r="D1303" s="64">
        <v>3</v>
      </c>
      <c r="E1303" s="64">
        <v>12</v>
      </c>
      <c r="F1303" s="64">
        <v>2</v>
      </c>
      <c r="G1303" s="64">
        <v>0</v>
      </c>
      <c r="H1303" s="65"/>
      <c r="I1303" s="65"/>
      <c r="J1303" s="66"/>
      <c r="K1303" s="65" t="s">
        <v>1463</v>
      </c>
      <c r="L1303" s="64" t="s">
        <v>1452</v>
      </c>
      <c r="M1303" s="64" t="s">
        <v>1464</v>
      </c>
      <c r="N1303" s="64" t="s">
        <v>1444</v>
      </c>
      <c r="O1303" s="64" t="s">
        <v>1204</v>
      </c>
      <c r="P1303" s="64"/>
      <c r="Q1303" s="64"/>
      <c r="R1303" s="64"/>
      <c r="S1303" s="65"/>
      <c r="T1303" s="64"/>
      <c r="U1303" s="370">
        <v>0</v>
      </c>
      <c r="V1303" s="687">
        <v>0</v>
      </c>
      <c r="W1303" s="75"/>
      <c r="X1303" s="75"/>
      <c r="Y1303" s="75"/>
      <c r="Z1303" s="75"/>
      <c r="AA1303" s="75"/>
      <c r="AB1303" s="75"/>
      <c r="AC1303" s="97"/>
      <c r="AD1303" s="97"/>
      <c r="AE1303" s="591"/>
      <c r="AF1303" s="259"/>
      <c r="AG1303" s="510">
        <v>0</v>
      </c>
      <c r="AH1303" s="370">
        <v>0</v>
      </c>
      <c r="AI1303" s="75"/>
      <c r="AJ1303" s="75"/>
      <c r="AK1303" s="75"/>
      <c r="AL1303" s="75"/>
      <c r="AM1303" s="75"/>
      <c r="AN1303" s="64" t="s">
        <v>181</v>
      </c>
      <c r="AO1303" s="64"/>
      <c r="AP1303" s="64"/>
      <c r="AQ1303" s="189"/>
      <c r="AR1303" s="64"/>
      <c r="AS1303" s="476"/>
      <c r="AT1303" s="64"/>
      <c r="AU1303" s="646"/>
      <c r="AV1303" s="185"/>
    </row>
    <row r="1304" spans="1:48" ht="15" customHeight="1" outlineLevel="4" x14ac:dyDescent="0.25">
      <c r="A1304" s="63" t="str">
        <f t="shared" si="229"/>
        <v>4.14.3.12.3.0</v>
      </c>
      <c r="B1304" s="64">
        <v>4</v>
      </c>
      <c r="C1304" s="64">
        <v>14</v>
      </c>
      <c r="D1304" s="64">
        <v>3</v>
      </c>
      <c r="E1304" s="64">
        <v>12</v>
      </c>
      <c r="F1304" s="64">
        <v>3</v>
      </c>
      <c r="G1304" s="64">
        <v>0</v>
      </c>
      <c r="H1304" s="65"/>
      <c r="I1304" s="65"/>
      <c r="J1304" s="66"/>
      <c r="K1304" s="65" t="s">
        <v>1467</v>
      </c>
      <c r="L1304" s="64" t="s">
        <v>264</v>
      </c>
      <c r="M1304" s="64" t="s">
        <v>144</v>
      </c>
      <c r="N1304" s="64" t="s">
        <v>265</v>
      </c>
      <c r="O1304" s="64" t="s">
        <v>668</v>
      </c>
      <c r="P1304" s="64"/>
      <c r="Q1304" s="64"/>
      <c r="R1304" s="64"/>
      <c r="S1304" s="65"/>
      <c r="T1304" s="64"/>
      <c r="U1304" s="370">
        <v>0</v>
      </c>
      <c r="V1304" s="687">
        <v>0</v>
      </c>
      <c r="W1304" s="75"/>
      <c r="X1304" s="75"/>
      <c r="Y1304" s="75"/>
      <c r="Z1304" s="75"/>
      <c r="AA1304" s="75"/>
      <c r="AB1304" s="75"/>
      <c r="AC1304" s="97"/>
      <c r="AD1304" s="97"/>
      <c r="AE1304" s="591"/>
      <c r="AF1304" s="259"/>
      <c r="AG1304" s="510">
        <v>0</v>
      </c>
      <c r="AH1304" s="370">
        <v>0</v>
      </c>
      <c r="AI1304" s="75"/>
      <c r="AJ1304" s="75"/>
      <c r="AK1304" s="75"/>
      <c r="AL1304" s="75"/>
      <c r="AM1304" s="75"/>
      <c r="AN1304" s="64" t="s">
        <v>181</v>
      </c>
      <c r="AO1304" s="64"/>
      <c r="AP1304" s="64"/>
      <c r="AQ1304" s="189"/>
      <c r="AR1304" s="64"/>
      <c r="AS1304" s="476"/>
      <c r="AT1304" s="64"/>
      <c r="AU1304" s="646"/>
      <c r="AV1304" s="185"/>
    </row>
    <row r="1305" spans="1:48" ht="15" customHeight="1" outlineLevel="4" x14ac:dyDescent="0.25">
      <c r="A1305" s="63" t="str">
        <f t="shared" si="229"/>
        <v>4.14.3.12.4.0</v>
      </c>
      <c r="B1305" s="64">
        <v>4</v>
      </c>
      <c r="C1305" s="64">
        <v>14</v>
      </c>
      <c r="D1305" s="64">
        <v>3</v>
      </c>
      <c r="E1305" s="64">
        <v>12</v>
      </c>
      <c r="F1305" s="64">
        <v>4</v>
      </c>
      <c r="G1305" s="64">
        <v>0</v>
      </c>
      <c r="H1305" s="65"/>
      <c r="I1305" s="65"/>
      <c r="J1305" s="65"/>
      <c r="K1305" s="65" t="s">
        <v>672</v>
      </c>
      <c r="L1305" s="64" t="s">
        <v>264</v>
      </c>
      <c r="M1305" s="64" t="s">
        <v>144</v>
      </c>
      <c r="N1305" s="64" t="s">
        <v>265</v>
      </c>
      <c r="O1305" s="64" t="s">
        <v>668</v>
      </c>
      <c r="P1305" s="64"/>
      <c r="Q1305" s="64"/>
      <c r="R1305" s="64"/>
      <c r="S1305" s="65"/>
      <c r="T1305" s="64"/>
      <c r="U1305" s="370">
        <v>0</v>
      </c>
      <c r="V1305" s="687">
        <v>0</v>
      </c>
      <c r="W1305" s="75"/>
      <c r="X1305" s="75"/>
      <c r="Y1305" s="75"/>
      <c r="Z1305" s="75"/>
      <c r="AA1305" s="75"/>
      <c r="AB1305" s="75"/>
      <c r="AC1305" s="97"/>
      <c r="AD1305" s="97"/>
      <c r="AE1305" s="591"/>
      <c r="AF1305" s="259"/>
      <c r="AG1305" s="510">
        <v>0</v>
      </c>
      <c r="AH1305" s="370">
        <v>0</v>
      </c>
      <c r="AI1305" s="75"/>
      <c r="AJ1305" s="75"/>
      <c r="AK1305" s="75"/>
      <c r="AL1305" s="75"/>
      <c r="AM1305" s="75"/>
      <c r="AN1305" s="64" t="s">
        <v>181</v>
      </c>
      <c r="AO1305" s="64" t="s">
        <v>1839</v>
      </c>
      <c r="AP1305" s="64" t="s">
        <v>649</v>
      </c>
      <c r="AQ1305" s="533" t="s">
        <v>649</v>
      </c>
      <c r="AR1305" s="554">
        <v>44562</v>
      </c>
      <c r="AS1305" s="554">
        <v>44561</v>
      </c>
      <c r="AT1305" s="64" t="s">
        <v>1814</v>
      </c>
      <c r="AU1305" s="646"/>
      <c r="AV1305" s="185"/>
    </row>
    <row r="1306" spans="1:48" s="153" customFormat="1" outlineLevel="2" x14ac:dyDescent="0.25">
      <c r="A1306" s="148" t="str">
        <f t="shared" si="229"/>
        <v>4.14.3.13.0.0</v>
      </c>
      <c r="B1306" s="82">
        <v>4</v>
      </c>
      <c r="C1306" s="82">
        <v>14</v>
      </c>
      <c r="D1306" s="82">
        <v>3</v>
      </c>
      <c r="E1306" s="82">
        <v>13</v>
      </c>
      <c r="F1306" s="82">
        <v>0</v>
      </c>
      <c r="G1306" s="82">
        <v>0</v>
      </c>
      <c r="H1306" s="149"/>
      <c r="I1306" s="149"/>
      <c r="J1306" s="1260" t="s">
        <v>1537</v>
      </c>
      <c r="K1306" s="1259"/>
      <c r="L1306" s="82" t="s">
        <v>1475</v>
      </c>
      <c r="M1306" s="83" t="s">
        <v>1449</v>
      </c>
      <c r="N1306" s="82" t="s">
        <v>1444</v>
      </c>
      <c r="O1306" s="82" t="s">
        <v>1445</v>
      </c>
      <c r="P1306" s="82"/>
      <c r="Q1306" s="82"/>
      <c r="R1306" s="82"/>
      <c r="S1306" s="149"/>
      <c r="T1306" s="82"/>
      <c r="U1306" s="380">
        <f>+SUM(U1307:U1310)</f>
        <v>0</v>
      </c>
      <c r="V1306" s="682">
        <f>+SUM(V1307:V1310)</f>
        <v>0</v>
      </c>
      <c r="W1306" s="152"/>
      <c r="X1306" s="152"/>
      <c r="Y1306" s="152"/>
      <c r="Z1306" s="152"/>
      <c r="AA1306" s="152"/>
      <c r="AB1306" s="152"/>
      <c r="AC1306" s="257"/>
      <c r="AD1306" s="257"/>
      <c r="AE1306" s="611"/>
      <c r="AF1306" s="358"/>
      <c r="AG1306" s="513">
        <f>+SUM(AG1307:AG1310)</f>
        <v>0</v>
      </c>
      <c r="AH1306" s="380">
        <f>+SUM(AH1307:AH1310)</f>
        <v>0</v>
      </c>
      <c r="AI1306" s="198"/>
      <c r="AJ1306" s="198"/>
      <c r="AK1306" s="198"/>
      <c r="AL1306" s="198"/>
      <c r="AM1306" s="198"/>
      <c r="AN1306" s="82" t="s">
        <v>181</v>
      </c>
      <c r="AO1306" s="82"/>
      <c r="AP1306" s="82"/>
      <c r="AQ1306" s="365"/>
      <c r="AR1306" s="82"/>
      <c r="AS1306" s="483"/>
      <c r="AT1306" s="82"/>
      <c r="AU1306" s="666"/>
      <c r="AV1306" s="444"/>
    </row>
    <row r="1307" spans="1:48" ht="15" customHeight="1" outlineLevel="3" x14ac:dyDescent="0.25">
      <c r="A1307" s="63" t="str">
        <f t="shared" si="229"/>
        <v>4.14.3.13.1.0</v>
      </c>
      <c r="B1307" s="64">
        <v>4</v>
      </c>
      <c r="C1307" s="64">
        <v>14</v>
      </c>
      <c r="D1307" s="64">
        <v>3</v>
      </c>
      <c r="E1307" s="64">
        <v>13</v>
      </c>
      <c r="F1307" s="64">
        <v>1</v>
      </c>
      <c r="G1307" s="64">
        <v>0</v>
      </c>
      <c r="H1307" s="65"/>
      <c r="I1307" s="65"/>
      <c r="J1307" s="66"/>
      <c r="K1307" s="65" t="s">
        <v>1451</v>
      </c>
      <c r="L1307" s="64" t="s">
        <v>1452</v>
      </c>
      <c r="M1307" s="64" t="s">
        <v>1453</v>
      </c>
      <c r="N1307" s="64" t="s">
        <v>1444</v>
      </c>
      <c r="O1307" s="64" t="s">
        <v>1204</v>
      </c>
      <c r="P1307" s="64"/>
      <c r="Q1307" s="64"/>
      <c r="R1307" s="64"/>
      <c r="S1307" s="65"/>
      <c r="T1307" s="64"/>
      <c r="U1307" s="370">
        <v>0</v>
      </c>
      <c r="V1307" s="687">
        <v>0</v>
      </c>
      <c r="W1307" s="75"/>
      <c r="X1307" s="75"/>
      <c r="Y1307" s="75"/>
      <c r="Z1307" s="75"/>
      <c r="AA1307" s="75"/>
      <c r="AB1307" s="75"/>
      <c r="AC1307" s="97"/>
      <c r="AD1307" s="97"/>
      <c r="AE1307" s="591"/>
      <c r="AF1307" s="259"/>
      <c r="AG1307" s="510">
        <v>0</v>
      </c>
      <c r="AH1307" s="370">
        <v>0</v>
      </c>
      <c r="AI1307" s="75"/>
      <c r="AJ1307" s="75"/>
      <c r="AK1307" s="75"/>
      <c r="AL1307" s="75"/>
      <c r="AM1307" s="75"/>
      <c r="AN1307" s="64" t="s">
        <v>181</v>
      </c>
      <c r="AO1307" s="64"/>
      <c r="AP1307" s="64"/>
      <c r="AQ1307" s="189"/>
      <c r="AR1307" s="64"/>
      <c r="AS1307" s="476"/>
      <c r="AT1307" s="64"/>
      <c r="AU1307" s="646"/>
      <c r="AV1307" s="185"/>
    </row>
    <row r="1308" spans="1:48" ht="15" customHeight="1" outlineLevel="3" x14ac:dyDescent="0.25">
      <c r="A1308" s="63" t="str">
        <f t="shared" si="229"/>
        <v>4.14.3.13.2.0</v>
      </c>
      <c r="B1308" s="64">
        <v>4</v>
      </c>
      <c r="C1308" s="64">
        <v>14</v>
      </c>
      <c r="D1308" s="64">
        <v>3</v>
      </c>
      <c r="E1308" s="64">
        <v>13</v>
      </c>
      <c r="F1308" s="64">
        <v>2</v>
      </c>
      <c r="G1308" s="64">
        <v>0</v>
      </c>
      <c r="H1308" s="65"/>
      <c r="I1308" s="65"/>
      <c r="J1308" s="66"/>
      <c r="K1308" s="65" t="s">
        <v>1463</v>
      </c>
      <c r="L1308" s="64" t="s">
        <v>1452</v>
      </c>
      <c r="M1308" s="64" t="s">
        <v>1464</v>
      </c>
      <c r="N1308" s="64" t="s">
        <v>1444</v>
      </c>
      <c r="O1308" s="64" t="s">
        <v>1204</v>
      </c>
      <c r="P1308" s="64"/>
      <c r="Q1308" s="64"/>
      <c r="R1308" s="64"/>
      <c r="S1308" s="65"/>
      <c r="T1308" s="64"/>
      <c r="U1308" s="370">
        <v>0</v>
      </c>
      <c r="V1308" s="687">
        <v>0</v>
      </c>
      <c r="W1308" s="75"/>
      <c r="X1308" s="75"/>
      <c r="Y1308" s="75"/>
      <c r="Z1308" s="75"/>
      <c r="AA1308" s="75"/>
      <c r="AB1308" s="75"/>
      <c r="AC1308" s="97"/>
      <c r="AD1308" s="97"/>
      <c r="AE1308" s="591"/>
      <c r="AF1308" s="259"/>
      <c r="AG1308" s="510">
        <v>0</v>
      </c>
      <c r="AH1308" s="370">
        <v>0</v>
      </c>
      <c r="AI1308" s="75"/>
      <c r="AJ1308" s="75"/>
      <c r="AK1308" s="75"/>
      <c r="AL1308" s="75"/>
      <c r="AM1308" s="75"/>
      <c r="AN1308" s="64" t="s">
        <v>181</v>
      </c>
      <c r="AO1308" s="64"/>
      <c r="AP1308" s="64"/>
      <c r="AQ1308" s="189"/>
      <c r="AR1308" s="64"/>
      <c r="AS1308" s="476"/>
      <c r="AT1308" s="64"/>
      <c r="AU1308" s="646"/>
      <c r="AV1308" s="185"/>
    </row>
    <row r="1309" spans="1:48" ht="15" customHeight="1" outlineLevel="3" x14ac:dyDescent="0.25">
      <c r="A1309" s="63" t="str">
        <f t="shared" si="229"/>
        <v>4.14.3.13.3.0</v>
      </c>
      <c r="B1309" s="64">
        <v>4</v>
      </c>
      <c r="C1309" s="64">
        <v>14</v>
      </c>
      <c r="D1309" s="64">
        <v>3</v>
      </c>
      <c r="E1309" s="64">
        <v>13</v>
      </c>
      <c r="F1309" s="64">
        <v>3</v>
      </c>
      <c r="G1309" s="64">
        <v>0</v>
      </c>
      <c r="H1309" s="65"/>
      <c r="I1309" s="65"/>
      <c r="J1309" s="66"/>
      <c r="K1309" s="65" t="s">
        <v>1467</v>
      </c>
      <c r="L1309" s="64" t="s">
        <v>264</v>
      </c>
      <c r="M1309" s="64" t="s">
        <v>144</v>
      </c>
      <c r="N1309" s="64" t="s">
        <v>265</v>
      </c>
      <c r="O1309" s="64" t="s">
        <v>668</v>
      </c>
      <c r="P1309" s="64"/>
      <c r="Q1309" s="64"/>
      <c r="R1309" s="64"/>
      <c r="S1309" s="65"/>
      <c r="T1309" s="64"/>
      <c r="U1309" s="370">
        <v>0</v>
      </c>
      <c r="V1309" s="687">
        <v>0</v>
      </c>
      <c r="W1309" s="75"/>
      <c r="X1309" s="75"/>
      <c r="Y1309" s="75"/>
      <c r="Z1309" s="75"/>
      <c r="AA1309" s="75"/>
      <c r="AB1309" s="75"/>
      <c r="AC1309" s="97"/>
      <c r="AD1309" s="97"/>
      <c r="AE1309" s="591"/>
      <c r="AF1309" s="259"/>
      <c r="AG1309" s="510">
        <v>0</v>
      </c>
      <c r="AH1309" s="370">
        <v>0</v>
      </c>
      <c r="AI1309" s="75"/>
      <c r="AJ1309" s="75"/>
      <c r="AK1309" s="75"/>
      <c r="AL1309" s="75"/>
      <c r="AM1309" s="75"/>
      <c r="AN1309" s="64" t="s">
        <v>181</v>
      </c>
      <c r="AO1309" s="64"/>
      <c r="AP1309" s="64"/>
      <c r="AQ1309" s="189"/>
      <c r="AR1309" s="64"/>
      <c r="AS1309" s="476"/>
      <c r="AT1309" s="64"/>
      <c r="AU1309" s="646"/>
      <c r="AV1309" s="185"/>
    </row>
    <row r="1310" spans="1:48" ht="15" customHeight="1" outlineLevel="3" x14ac:dyDescent="0.25">
      <c r="A1310" s="63" t="str">
        <f t="shared" si="229"/>
        <v>4.14.3.13.4.0</v>
      </c>
      <c r="B1310" s="64">
        <v>4</v>
      </c>
      <c r="C1310" s="64">
        <v>14</v>
      </c>
      <c r="D1310" s="64">
        <v>3</v>
      </c>
      <c r="E1310" s="64">
        <v>13</v>
      </c>
      <c r="F1310" s="64">
        <v>4</v>
      </c>
      <c r="G1310" s="64">
        <v>0</v>
      </c>
      <c r="H1310" s="65"/>
      <c r="I1310" s="65"/>
      <c r="J1310" s="65"/>
      <c r="K1310" s="65" t="s">
        <v>672</v>
      </c>
      <c r="L1310" s="64" t="s">
        <v>264</v>
      </c>
      <c r="M1310" s="64" t="s">
        <v>144</v>
      </c>
      <c r="N1310" s="64" t="s">
        <v>265</v>
      </c>
      <c r="O1310" s="64" t="s">
        <v>668</v>
      </c>
      <c r="P1310" s="64"/>
      <c r="Q1310" s="64"/>
      <c r="R1310" s="64"/>
      <c r="S1310" s="65"/>
      <c r="T1310" s="64"/>
      <c r="U1310" s="370">
        <v>0</v>
      </c>
      <c r="V1310" s="687">
        <v>0</v>
      </c>
      <c r="W1310" s="75"/>
      <c r="X1310" s="75"/>
      <c r="Y1310" s="75"/>
      <c r="Z1310" s="75"/>
      <c r="AA1310" s="75"/>
      <c r="AB1310" s="75"/>
      <c r="AC1310" s="97"/>
      <c r="AD1310" s="97"/>
      <c r="AE1310" s="591"/>
      <c r="AF1310" s="259"/>
      <c r="AG1310" s="510">
        <v>0</v>
      </c>
      <c r="AH1310" s="370">
        <v>0</v>
      </c>
      <c r="AI1310" s="75"/>
      <c r="AJ1310" s="75"/>
      <c r="AK1310" s="75"/>
      <c r="AL1310" s="75"/>
      <c r="AM1310" s="75"/>
      <c r="AN1310" s="64" t="s">
        <v>181</v>
      </c>
      <c r="AO1310" s="64" t="s">
        <v>1839</v>
      </c>
      <c r="AP1310" s="64" t="s">
        <v>649</v>
      </c>
      <c r="AQ1310" s="533" t="s">
        <v>649</v>
      </c>
      <c r="AR1310" s="554">
        <v>44562</v>
      </c>
      <c r="AS1310" s="554">
        <v>44561</v>
      </c>
      <c r="AT1310" s="64" t="s">
        <v>1814</v>
      </c>
      <c r="AU1310" s="646"/>
      <c r="AV1310" s="185"/>
    </row>
    <row r="1311" spans="1:48" s="153" customFormat="1" outlineLevel="2" x14ac:dyDescent="0.25">
      <c r="A1311" s="148" t="str">
        <f t="shared" si="229"/>
        <v>4.14.3.14.0.0</v>
      </c>
      <c r="B1311" s="82">
        <v>4</v>
      </c>
      <c r="C1311" s="82">
        <v>14</v>
      </c>
      <c r="D1311" s="82">
        <v>3</v>
      </c>
      <c r="E1311" s="82">
        <v>14</v>
      </c>
      <c r="F1311" s="82">
        <v>0</v>
      </c>
      <c r="G1311" s="82">
        <v>0</v>
      </c>
      <c r="H1311" s="149"/>
      <c r="I1311" s="149"/>
      <c r="J1311" s="1260" t="s">
        <v>1538</v>
      </c>
      <c r="K1311" s="1259"/>
      <c r="L1311" s="82" t="s">
        <v>1475</v>
      </c>
      <c r="M1311" s="83" t="s">
        <v>1449</v>
      </c>
      <c r="N1311" s="82" t="s">
        <v>1444</v>
      </c>
      <c r="O1311" s="82" t="s">
        <v>1445</v>
      </c>
      <c r="P1311" s="82"/>
      <c r="Q1311" s="82"/>
      <c r="R1311" s="82"/>
      <c r="S1311" s="149"/>
      <c r="T1311" s="82"/>
      <c r="U1311" s="380">
        <f>+SUM(U1312:U1315)</f>
        <v>0</v>
      </c>
      <c r="V1311" s="682">
        <f>+SUM(V1312:V1315)</f>
        <v>0</v>
      </c>
      <c r="W1311" s="152"/>
      <c r="X1311" s="152"/>
      <c r="Y1311" s="152"/>
      <c r="Z1311" s="152"/>
      <c r="AA1311" s="152"/>
      <c r="AB1311" s="152"/>
      <c r="AC1311" s="257"/>
      <c r="AD1311" s="257"/>
      <c r="AE1311" s="611"/>
      <c r="AF1311" s="358"/>
      <c r="AG1311" s="513">
        <f>+SUM(AG1312:AG1315)</f>
        <v>0</v>
      </c>
      <c r="AH1311" s="380">
        <f>+SUM(AH1312:AH1315)</f>
        <v>0</v>
      </c>
      <c r="AI1311" s="198"/>
      <c r="AJ1311" s="198"/>
      <c r="AK1311" s="198"/>
      <c r="AL1311" s="198"/>
      <c r="AM1311" s="198"/>
      <c r="AN1311" s="82" t="s">
        <v>181</v>
      </c>
      <c r="AO1311" s="82"/>
      <c r="AP1311" s="82"/>
      <c r="AQ1311" s="365"/>
      <c r="AR1311" s="82"/>
      <c r="AS1311" s="483"/>
      <c r="AT1311" s="82"/>
      <c r="AU1311" s="666"/>
      <c r="AV1311" s="444"/>
    </row>
    <row r="1312" spans="1:48" ht="15" customHeight="1" outlineLevel="3" x14ac:dyDescent="0.25">
      <c r="A1312" s="63" t="str">
        <f t="shared" si="229"/>
        <v>4.14.3.14.1.0</v>
      </c>
      <c r="B1312" s="64">
        <v>4</v>
      </c>
      <c r="C1312" s="64">
        <v>14</v>
      </c>
      <c r="D1312" s="64">
        <v>3</v>
      </c>
      <c r="E1312" s="64">
        <v>14</v>
      </c>
      <c r="F1312" s="64">
        <v>1</v>
      </c>
      <c r="G1312" s="64">
        <v>0</v>
      </c>
      <c r="H1312" s="65"/>
      <c r="I1312" s="65"/>
      <c r="J1312" s="66"/>
      <c r="K1312" s="65" t="s">
        <v>1451</v>
      </c>
      <c r="L1312" s="64" t="s">
        <v>1452</v>
      </c>
      <c r="M1312" s="64" t="s">
        <v>1453</v>
      </c>
      <c r="N1312" s="64" t="s">
        <v>1444</v>
      </c>
      <c r="O1312" s="64" t="s">
        <v>1204</v>
      </c>
      <c r="P1312" s="64"/>
      <c r="Q1312" s="64"/>
      <c r="R1312" s="64"/>
      <c r="S1312" s="65"/>
      <c r="T1312" s="64"/>
      <c r="U1312" s="370">
        <v>0</v>
      </c>
      <c r="V1312" s="687">
        <v>0</v>
      </c>
      <c r="W1312" s="75"/>
      <c r="X1312" s="75"/>
      <c r="Y1312" s="75"/>
      <c r="Z1312" s="75"/>
      <c r="AA1312" s="75"/>
      <c r="AB1312" s="75"/>
      <c r="AC1312" s="97"/>
      <c r="AD1312" s="97"/>
      <c r="AE1312" s="591"/>
      <c r="AF1312" s="259"/>
      <c r="AG1312" s="510">
        <v>0</v>
      </c>
      <c r="AH1312" s="370">
        <v>0</v>
      </c>
      <c r="AI1312" s="75"/>
      <c r="AJ1312" s="75"/>
      <c r="AK1312" s="75"/>
      <c r="AL1312" s="75"/>
      <c r="AM1312" s="75"/>
      <c r="AN1312" s="64" t="s">
        <v>181</v>
      </c>
      <c r="AO1312" s="64"/>
      <c r="AP1312" s="64"/>
      <c r="AQ1312" s="189"/>
      <c r="AR1312" s="64"/>
      <c r="AS1312" s="476"/>
      <c r="AT1312" s="64"/>
      <c r="AU1312" s="646"/>
      <c r="AV1312" s="185"/>
    </row>
    <row r="1313" spans="1:48" ht="15" customHeight="1" outlineLevel="3" x14ac:dyDescent="0.25">
      <c r="A1313" s="63" t="str">
        <f t="shared" si="229"/>
        <v>4.14.3.14.2.0</v>
      </c>
      <c r="B1313" s="64">
        <v>4</v>
      </c>
      <c r="C1313" s="64">
        <v>14</v>
      </c>
      <c r="D1313" s="64">
        <v>3</v>
      </c>
      <c r="E1313" s="64">
        <v>14</v>
      </c>
      <c r="F1313" s="64">
        <v>2</v>
      </c>
      <c r="G1313" s="64">
        <v>0</v>
      </c>
      <c r="H1313" s="65"/>
      <c r="I1313" s="65"/>
      <c r="J1313" s="66"/>
      <c r="K1313" s="65" t="s">
        <v>1463</v>
      </c>
      <c r="L1313" s="64" t="s">
        <v>1452</v>
      </c>
      <c r="M1313" s="64" t="s">
        <v>1464</v>
      </c>
      <c r="N1313" s="64" t="s">
        <v>1444</v>
      </c>
      <c r="O1313" s="64" t="s">
        <v>1204</v>
      </c>
      <c r="P1313" s="64"/>
      <c r="Q1313" s="64"/>
      <c r="R1313" s="64"/>
      <c r="S1313" s="65"/>
      <c r="T1313" s="64"/>
      <c r="U1313" s="370">
        <v>0</v>
      </c>
      <c r="V1313" s="687">
        <v>0</v>
      </c>
      <c r="W1313" s="75"/>
      <c r="X1313" s="75"/>
      <c r="Y1313" s="75"/>
      <c r="Z1313" s="75"/>
      <c r="AA1313" s="75"/>
      <c r="AB1313" s="75"/>
      <c r="AC1313" s="97"/>
      <c r="AD1313" s="97"/>
      <c r="AE1313" s="591"/>
      <c r="AF1313" s="259"/>
      <c r="AG1313" s="510">
        <v>0</v>
      </c>
      <c r="AH1313" s="370">
        <v>0</v>
      </c>
      <c r="AI1313" s="75"/>
      <c r="AJ1313" s="75"/>
      <c r="AK1313" s="75"/>
      <c r="AL1313" s="75"/>
      <c r="AM1313" s="75"/>
      <c r="AN1313" s="64" t="s">
        <v>181</v>
      </c>
      <c r="AO1313" s="64"/>
      <c r="AP1313" s="64"/>
      <c r="AQ1313" s="189"/>
      <c r="AR1313" s="64"/>
      <c r="AS1313" s="476"/>
      <c r="AT1313" s="64"/>
      <c r="AU1313" s="646"/>
      <c r="AV1313" s="185"/>
    </row>
    <row r="1314" spans="1:48" ht="15" customHeight="1" outlineLevel="3" x14ac:dyDescent="0.25">
      <c r="A1314" s="63" t="str">
        <f t="shared" si="229"/>
        <v>4.14.3.14.3.0</v>
      </c>
      <c r="B1314" s="64">
        <v>4</v>
      </c>
      <c r="C1314" s="64">
        <v>14</v>
      </c>
      <c r="D1314" s="64">
        <v>3</v>
      </c>
      <c r="E1314" s="64">
        <v>14</v>
      </c>
      <c r="F1314" s="64">
        <v>3</v>
      </c>
      <c r="G1314" s="64">
        <v>0</v>
      </c>
      <c r="H1314" s="65"/>
      <c r="I1314" s="65"/>
      <c r="J1314" s="66"/>
      <c r="K1314" s="65" t="s">
        <v>1467</v>
      </c>
      <c r="L1314" s="64" t="s">
        <v>264</v>
      </c>
      <c r="M1314" s="64" t="s">
        <v>144</v>
      </c>
      <c r="N1314" s="64" t="s">
        <v>265</v>
      </c>
      <c r="O1314" s="64" t="s">
        <v>668</v>
      </c>
      <c r="P1314" s="64"/>
      <c r="Q1314" s="64"/>
      <c r="R1314" s="64"/>
      <c r="S1314" s="65"/>
      <c r="T1314" s="64"/>
      <c r="U1314" s="370">
        <v>0</v>
      </c>
      <c r="V1314" s="687">
        <v>0</v>
      </c>
      <c r="W1314" s="75"/>
      <c r="X1314" s="75"/>
      <c r="Y1314" s="75"/>
      <c r="Z1314" s="75"/>
      <c r="AA1314" s="75"/>
      <c r="AB1314" s="75"/>
      <c r="AC1314" s="97"/>
      <c r="AD1314" s="97"/>
      <c r="AE1314" s="591"/>
      <c r="AF1314" s="259"/>
      <c r="AG1314" s="510">
        <v>0</v>
      </c>
      <c r="AH1314" s="370">
        <v>0</v>
      </c>
      <c r="AI1314" s="75"/>
      <c r="AJ1314" s="75"/>
      <c r="AK1314" s="75"/>
      <c r="AL1314" s="75"/>
      <c r="AM1314" s="75"/>
      <c r="AN1314" s="64" t="s">
        <v>181</v>
      </c>
      <c r="AO1314" s="64"/>
      <c r="AP1314" s="64"/>
      <c r="AQ1314" s="189"/>
      <c r="AR1314" s="64"/>
      <c r="AS1314" s="476"/>
      <c r="AT1314" s="64"/>
      <c r="AU1314" s="646"/>
      <c r="AV1314" s="185"/>
    </row>
    <row r="1315" spans="1:48" ht="15" customHeight="1" outlineLevel="3" x14ac:dyDescent="0.25">
      <c r="A1315" s="63" t="str">
        <f t="shared" si="229"/>
        <v>4.14.3.14.4.0</v>
      </c>
      <c r="B1315" s="64">
        <v>4</v>
      </c>
      <c r="C1315" s="64">
        <v>14</v>
      </c>
      <c r="D1315" s="64">
        <v>3</v>
      </c>
      <c r="E1315" s="64">
        <v>14</v>
      </c>
      <c r="F1315" s="64">
        <v>4</v>
      </c>
      <c r="G1315" s="64">
        <v>0</v>
      </c>
      <c r="H1315" s="65"/>
      <c r="I1315" s="65"/>
      <c r="J1315" s="65"/>
      <c r="K1315" s="65" t="s">
        <v>672</v>
      </c>
      <c r="L1315" s="64" t="s">
        <v>264</v>
      </c>
      <c r="M1315" s="64" t="s">
        <v>144</v>
      </c>
      <c r="N1315" s="64" t="s">
        <v>265</v>
      </c>
      <c r="O1315" s="64" t="s">
        <v>668</v>
      </c>
      <c r="P1315" s="64"/>
      <c r="Q1315" s="64"/>
      <c r="R1315" s="64"/>
      <c r="S1315" s="65"/>
      <c r="T1315" s="64"/>
      <c r="U1315" s="370">
        <v>0</v>
      </c>
      <c r="V1315" s="687">
        <v>0</v>
      </c>
      <c r="W1315" s="75"/>
      <c r="X1315" s="75"/>
      <c r="Y1315" s="75"/>
      <c r="Z1315" s="75"/>
      <c r="AA1315" s="75"/>
      <c r="AB1315" s="75"/>
      <c r="AC1315" s="97"/>
      <c r="AD1315" s="97"/>
      <c r="AE1315" s="591"/>
      <c r="AF1315" s="259"/>
      <c r="AG1315" s="510">
        <v>0</v>
      </c>
      <c r="AH1315" s="370">
        <v>0</v>
      </c>
      <c r="AI1315" s="75"/>
      <c r="AJ1315" s="75"/>
      <c r="AK1315" s="75"/>
      <c r="AL1315" s="75"/>
      <c r="AM1315" s="75"/>
      <c r="AN1315" s="64" t="s">
        <v>181</v>
      </c>
      <c r="AO1315" s="64" t="s">
        <v>1839</v>
      </c>
      <c r="AP1315" s="64" t="s">
        <v>649</v>
      </c>
      <c r="AQ1315" s="533" t="s">
        <v>649</v>
      </c>
      <c r="AR1315" s="554">
        <v>44562</v>
      </c>
      <c r="AS1315" s="554">
        <v>44561</v>
      </c>
      <c r="AT1315" s="64" t="s">
        <v>1814</v>
      </c>
      <c r="AU1315" s="646"/>
      <c r="AV1315" s="185"/>
    </row>
    <row r="1316" spans="1:48" s="153" customFormat="1" ht="53.25" customHeight="1" outlineLevel="2" x14ac:dyDescent="0.25">
      <c r="A1316" s="108" t="str">
        <f t="shared" si="229"/>
        <v>4.15.3.0.0.0</v>
      </c>
      <c r="B1316" s="109">
        <v>4</v>
      </c>
      <c r="C1316" s="109">
        <v>15</v>
      </c>
      <c r="D1316" s="109">
        <v>3</v>
      </c>
      <c r="E1316" s="109">
        <v>0</v>
      </c>
      <c r="F1316" s="109">
        <v>0</v>
      </c>
      <c r="G1316" s="109">
        <v>0</v>
      </c>
      <c r="H1316" s="110"/>
      <c r="I1316" s="1258" t="s">
        <v>1539</v>
      </c>
      <c r="J1316" s="1259"/>
      <c r="K1316" s="1259"/>
      <c r="L1316" s="109" t="s">
        <v>1540</v>
      </c>
      <c r="M1316" s="109">
        <v>0</v>
      </c>
      <c r="N1316" s="109">
        <v>0</v>
      </c>
      <c r="O1316" s="109">
        <v>0</v>
      </c>
      <c r="P1316" s="109"/>
      <c r="Q1316" s="109"/>
      <c r="R1316" s="109"/>
      <c r="S1316" s="110"/>
      <c r="T1316" s="109"/>
      <c r="U1316" s="112">
        <f>+U1317+U1340</f>
        <v>1056900</v>
      </c>
      <c r="V1316" s="689">
        <f t="shared" ref="V1316:AG1316" si="230">+V1317+V1340</f>
        <v>982200</v>
      </c>
      <c r="W1316" s="385">
        <f t="shared" si="230"/>
        <v>0</v>
      </c>
      <c r="X1316" s="385">
        <f t="shared" si="230"/>
        <v>1056900</v>
      </c>
      <c r="Y1316" s="385">
        <f t="shared" si="230"/>
        <v>0</v>
      </c>
      <c r="Z1316" s="385">
        <f t="shared" si="230"/>
        <v>0</v>
      </c>
      <c r="AA1316" s="385">
        <f t="shared" si="230"/>
        <v>0</v>
      </c>
      <c r="AB1316" s="385">
        <f t="shared" si="230"/>
        <v>0</v>
      </c>
      <c r="AC1316" s="385">
        <f t="shared" si="230"/>
        <v>0</v>
      </c>
      <c r="AD1316" s="385">
        <f t="shared" si="230"/>
        <v>0</v>
      </c>
      <c r="AE1316" s="385">
        <f t="shared" si="230"/>
        <v>0</v>
      </c>
      <c r="AF1316" s="385">
        <f t="shared" si="230"/>
        <v>0</v>
      </c>
      <c r="AG1316" s="385">
        <f t="shared" si="230"/>
        <v>2113800</v>
      </c>
      <c r="AH1316" s="385">
        <f>+AH1317+AH1340</f>
        <v>2113800</v>
      </c>
      <c r="AI1316" s="521">
        <f>+AI1317+AI1340</f>
        <v>0</v>
      </c>
      <c r="AJ1316" s="521">
        <f>+AJ1317+AJ1340</f>
        <v>982200</v>
      </c>
      <c r="AK1316" s="217"/>
      <c r="AL1316" s="217"/>
      <c r="AM1316" s="217"/>
      <c r="AN1316" s="109" t="s">
        <v>181</v>
      </c>
      <c r="AO1316" s="109"/>
      <c r="AP1316" s="109"/>
      <c r="AQ1316" s="411"/>
      <c r="AR1316" s="109"/>
      <c r="AS1316" s="473"/>
      <c r="AT1316" s="109"/>
      <c r="AU1316" s="659"/>
      <c r="AV1316" s="429" t="s">
        <v>1800</v>
      </c>
    </row>
    <row r="1317" spans="1:48" s="153" customFormat="1" ht="15" customHeight="1" outlineLevel="2" x14ac:dyDescent="0.25">
      <c r="A1317" s="148" t="str">
        <f t="shared" si="229"/>
        <v>4.15.3.1.0.0</v>
      </c>
      <c r="B1317" s="82">
        <v>4</v>
      </c>
      <c r="C1317" s="82">
        <v>15</v>
      </c>
      <c r="D1317" s="82">
        <v>3</v>
      </c>
      <c r="E1317" s="82">
        <v>1</v>
      </c>
      <c r="F1317" s="82">
        <v>0</v>
      </c>
      <c r="G1317" s="82">
        <v>0</v>
      </c>
      <c r="H1317" s="149"/>
      <c r="I1317" s="149"/>
      <c r="J1317" s="1260" t="s">
        <v>1541</v>
      </c>
      <c r="K1317" s="1259"/>
      <c r="L1317" s="82" t="s">
        <v>1540</v>
      </c>
      <c r="M1317" s="82">
        <v>0</v>
      </c>
      <c r="N1317" s="82">
        <v>0</v>
      </c>
      <c r="O1317" s="82">
        <v>0</v>
      </c>
      <c r="P1317" s="82"/>
      <c r="Q1317" s="82"/>
      <c r="R1317" s="82"/>
      <c r="S1317" s="149"/>
      <c r="T1317" s="82"/>
      <c r="U1317" s="380">
        <f>SUM(U1318:U1339)</f>
        <v>0</v>
      </c>
      <c r="V1317" s="682">
        <f t="shared" ref="V1317:AG1317" si="231">SUM(V1318:V1339)</f>
        <v>0</v>
      </c>
      <c r="W1317" s="380">
        <f t="shared" si="231"/>
        <v>0</v>
      </c>
      <c r="X1317" s="380">
        <f t="shared" si="231"/>
        <v>0</v>
      </c>
      <c r="Y1317" s="380">
        <f t="shared" si="231"/>
        <v>0</v>
      </c>
      <c r="Z1317" s="380">
        <f t="shared" si="231"/>
        <v>0</v>
      </c>
      <c r="AA1317" s="380">
        <f t="shared" si="231"/>
        <v>0</v>
      </c>
      <c r="AB1317" s="380">
        <f t="shared" si="231"/>
        <v>0</v>
      </c>
      <c r="AC1317" s="380">
        <f t="shared" si="231"/>
        <v>0</v>
      </c>
      <c r="AD1317" s="380">
        <f t="shared" si="231"/>
        <v>0</v>
      </c>
      <c r="AE1317" s="380">
        <f t="shared" si="231"/>
        <v>0</v>
      </c>
      <c r="AF1317" s="380">
        <f t="shared" si="231"/>
        <v>0</v>
      </c>
      <c r="AG1317" s="380">
        <f t="shared" si="231"/>
        <v>0</v>
      </c>
      <c r="AH1317" s="380">
        <f>SUM(AH1318:AH1339)</f>
        <v>0</v>
      </c>
      <c r="AI1317" s="513">
        <f>SUM(AI1318:AI1339)</f>
        <v>0</v>
      </c>
      <c r="AJ1317" s="513">
        <f>SUM(AJ1318:AJ1339)</f>
        <v>0</v>
      </c>
      <c r="AK1317" s="198"/>
      <c r="AL1317" s="198"/>
      <c r="AM1317" s="198"/>
      <c r="AN1317" s="82" t="s">
        <v>181</v>
      </c>
      <c r="AO1317" s="82"/>
      <c r="AP1317" s="82"/>
      <c r="AQ1317" s="365"/>
      <c r="AR1317" s="82"/>
      <c r="AS1317" s="483"/>
      <c r="AT1317" s="82"/>
      <c r="AU1317" s="666"/>
      <c r="AV1317" s="444"/>
    </row>
    <row r="1318" spans="1:48" ht="30" outlineLevel="3" x14ac:dyDescent="0.25">
      <c r="A1318" s="63" t="str">
        <f t="shared" si="229"/>
        <v>4.15.3.1.1.58-64</v>
      </c>
      <c r="B1318" s="64">
        <v>4</v>
      </c>
      <c r="C1318" s="64">
        <v>15</v>
      </c>
      <c r="D1318" s="64">
        <v>3</v>
      </c>
      <c r="E1318" s="64">
        <v>1</v>
      </c>
      <c r="F1318" s="64">
        <v>1</v>
      </c>
      <c r="G1318" s="64" t="s">
        <v>64</v>
      </c>
      <c r="H1318" s="65"/>
      <c r="I1318" s="65"/>
      <c r="J1318" s="66"/>
      <c r="K1318" s="67" t="s">
        <v>1542</v>
      </c>
      <c r="L1318" s="64" t="s">
        <v>1540</v>
      </c>
      <c r="M1318" s="68" t="s">
        <v>1543</v>
      </c>
      <c r="N1318" s="64" t="s">
        <v>47</v>
      </c>
      <c r="O1318" s="64" t="s">
        <v>1544</v>
      </c>
      <c r="P1318" s="64"/>
      <c r="Q1318" s="69"/>
      <c r="R1318" s="69"/>
      <c r="S1318" s="65"/>
      <c r="T1318" s="64"/>
      <c r="U1318" s="370">
        <v>0</v>
      </c>
      <c r="V1318" s="674">
        <f t="shared" ref="V1318:V1357" si="232">+AJ1318</f>
        <v>0</v>
      </c>
      <c r="W1318" s="75"/>
      <c r="X1318" s="75"/>
      <c r="Y1318" s="75"/>
      <c r="Z1318" s="75"/>
      <c r="AA1318" s="75"/>
      <c r="AB1318" s="75"/>
      <c r="AC1318" s="97"/>
      <c r="AD1318" s="97"/>
      <c r="AE1318" s="591"/>
      <c r="AF1318" s="259"/>
      <c r="AG1318" s="510">
        <v>0</v>
      </c>
      <c r="AH1318" s="370">
        <v>0</v>
      </c>
      <c r="AI1318" s="75"/>
      <c r="AJ1318" s="75"/>
      <c r="AK1318" s="75"/>
      <c r="AL1318" s="75"/>
      <c r="AM1318" s="75"/>
      <c r="AN1318" s="64" t="s">
        <v>181</v>
      </c>
      <c r="AO1318" s="64"/>
      <c r="AP1318" s="64"/>
      <c r="AQ1318" s="189"/>
      <c r="AR1318" s="64"/>
      <c r="AS1318" s="476"/>
      <c r="AT1318" s="64"/>
      <c r="AU1318" s="646"/>
      <c r="AV1318" s="185"/>
    </row>
    <row r="1319" spans="1:48" ht="30" outlineLevel="3" x14ac:dyDescent="0.25">
      <c r="A1319" s="63" t="str">
        <f t="shared" si="229"/>
        <v>4.15.3.1.2.58-64</v>
      </c>
      <c r="B1319" s="64">
        <v>4</v>
      </c>
      <c r="C1319" s="64">
        <v>15</v>
      </c>
      <c r="D1319" s="64">
        <v>3</v>
      </c>
      <c r="E1319" s="64">
        <v>1</v>
      </c>
      <c r="F1319" s="64">
        <v>2</v>
      </c>
      <c r="G1319" s="64" t="s">
        <v>64</v>
      </c>
      <c r="H1319" s="65"/>
      <c r="I1319" s="65"/>
      <c r="J1319" s="66"/>
      <c r="K1319" s="65" t="s">
        <v>1545</v>
      </c>
      <c r="L1319" s="64" t="s">
        <v>1540</v>
      </c>
      <c r="M1319" s="68" t="s">
        <v>1543</v>
      </c>
      <c r="N1319" s="64" t="s">
        <v>47</v>
      </c>
      <c r="O1319" s="64" t="s">
        <v>1544</v>
      </c>
      <c r="P1319" s="64"/>
      <c r="Q1319" s="69"/>
      <c r="R1319" s="69"/>
      <c r="S1319" s="65"/>
      <c r="T1319" s="64"/>
      <c r="U1319" s="370">
        <v>0</v>
      </c>
      <c r="V1319" s="674">
        <f t="shared" si="232"/>
        <v>0</v>
      </c>
      <c r="W1319" s="75"/>
      <c r="X1319" s="75"/>
      <c r="Y1319" s="75"/>
      <c r="Z1319" s="75"/>
      <c r="AA1319" s="75"/>
      <c r="AB1319" s="75"/>
      <c r="AC1319" s="97"/>
      <c r="AD1319" s="97"/>
      <c r="AE1319" s="591"/>
      <c r="AF1319" s="259"/>
      <c r="AG1319" s="510">
        <v>0</v>
      </c>
      <c r="AH1319" s="370">
        <v>0</v>
      </c>
      <c r="AI1319" s="75"/>
      <c r="AJ1319" s="75"/>
      <c r="AK1319" s="75"/>
      <c r="AL1319" s="75"/>
      <c r="AM1319" s="75"/>
      <c r="AN1319" s="64" t="s">
        <v>181</v>
      </c>
      <c r="AO1319" s="64"/>
      <c r="AP1319" s="64"/>
      <c r="AQ1319" s="189"/>
      <c r="AR1319" s="64"/>
      <c r="AS1319" s="476"/>
      <c r="AT1319" s="64"/>
      <c r="AU1319" s="646"/>
      <c r="AV1319" s="185"/>
    </row>
    <row r="1320" spans="1:48" ht="30" outlineLevel="3" x14ac:dyDescent="0.25">
      <c r="A1320" s="63" t="str">
        <f t="shared" si="229"/>
        <v>4.15.3.1.3.58-64</v>
      </c>
      <c r="B1320" s="64">
        <v>4</v>
      </c>
      <c r="C1320" s="64">
        <v>15</v>
      </c>
      <c r="D1320" s="64">
        <v>3</v>
      </c>
      <c r="E1320" s="64">
        <v>1</v>
      </c>
      <c r="F1320" s="64">
        <v>3</v>
      </c>
      <c r="G1320" s="64" t="s">
        <v>64</v>
      </c>
      <c r="H1320" s="65"/>
      <c r="I1320" s="65"/>
      <c r="J1320" s="66"/>
      <c r="K1320" s="65" t="s">
        <v>1546</v>
      </c>
      <c r="L1320" s="64" t="s">
        <v>1540</v>
      </c>
      <c r="M1320" s="68" t="s">
        <v>1543</v>
      </c>
      <c r="N1320" s="64" t="s">
        <v>47</v>
      </c>
      <c r="O1320" s="64" t="s">
        <v>1544</v>
      </c>
      <c r="P1320" s="64"/>
      <c r="Q1320" s="69"/>
      <c r="R1320" s="69"/>
      <c r="S1320" s="65"/>
      <c r="T1320" s="64"/>
      <c r="U1320" s="370">
        <v>0</v>
      </c>
      <c r="V1320" s="674">
        <f t="shared" si="232"/>
        <v>0</v>
      </c>
      <c r="W1320" s="75"/>
      <c r="X1320" s="75"/>
      <c r="Y1320" s="75"/>
      <c r="Z1320" s="75"/>
      <c r="AA1320" s="75"/>
      <c r="AB1320" s="75"/>
      <c r="AC1320" s="97"/>
      <c r="AD1320" s="97"/>
      <c r="AE1320" s="591"/>
      <c r="AF1320" s="259"/>
      <c r="AG1320" s="510">
        <v>0</v>
      </c>
      <c r="AH1320" s="370">
        <v>0</v>
      </c>
      <c r="AI1320" s="75"/>
      <c r="AJ1320" s="75"/>
      <c r="AK1320" s="75"/>
      <c r="AL1320" s="75"/>
      <c r="AM1320" s="75"/>
      <c r="AN1320" s="64" t="s">
        <v>181</v>
      </c>
      <c r="AO1320" s="64"/>
      <c r="AP1320" s="64"/>
      <c r="AQ1320" s="189"/>
      <c r="AR1320" s="64"/>
      <c r="AS1320" s="476"/>
      <c r="AT1320" s="64"/>
      <c r="AU1320" s="646"/>
      <c r="AV1320" s="185"/>
    </row>
    <row r="1321" spans="1:48" ht="30" outlineLevel="3" x14ac:dyDescent="0.25">
      <c r="A1321" s="63" t="str">
        <f t="shared" si="229"/>
        <v>4.15.3.1.4.58-64</v>
      </c>
      <c r="B1321" s="64">
        <v>4</v>
      </c>
      <c r="C1321" s="64">
        <v>15</v>
      </c>
      <c r="D1321" s="64">
        <v>3</v>
      </c>
      <c r="E1321" s="64">
        <v>1</v>
      </c>
      <c r="F1321" s="64">
        <v>4</v>
      </c>
      <c r="G1321" s="64" t="s">
        <v>64</v>
      </c>
      <c r="H1321" s="65"/>
      <c r="I1321" s="65"/>
      <c r="J1321" s="66"/>
      <c r="K1321" s="67" t="s">
        <v>1716</v>
      </c>
      <c r="L1321" s="64" t="s">
        <v>1540</v>
      </c>
      <c r="M1321" s="68" t="s">
        <v>1543</v>
      </c>
      <c r="N1321" s="64" t="s">
        <v>47</v>
      </c>
      <c r="O1321" s="64" t="s">
        <v>1544</v>
      </c>
      <c r="P1321" s="64"/>
      <c r="Q1321" s="69"/>
      <c r="R1321" s="69"/>
      <c r="S1321" s="65"/>
      <c r="T1321" s="64"/>
      <c r="U1321" s="370">
        <v>0</v>
      </c>
      <c r="V1321" s="674">
        <f t="shared" si="232"/>
        <v>0</v>
      </c>
      <c r="W1321" s="75"/>
      <c r="X1321" s="75"/>
      <c r="Y1321" s="75"/>
      <c r="Z1321" s="75"/>
      <c r="AA1321" s="75"/>
      <c r="AB1321" s="75"/>
      <c r="AC1321" s="97"/>
      <c r="AD1321" s="97"/>
      <c r="AE1321" s="591"/>
      <c r="AF1321" s="259"/>
      <c r="AG1321" s="510">
        <v>0</v>
      </c>
      <c r="AH1321" s="370">
        <v>0</v>
      </c>
      <c r="AI1321" s="75"/>
      <c r="AJ1321" s="75"/>
      <c r="AK1321" s="75"/>
      <c r="AL1321" s="75"/>
      <c r="AM1321" s="75"/>
      <c r="AN1321" s="64" t="s">
        <v>181</v>
      </c>
      <c r="AO1321" s="64"/>
      <c r="AP1321" s="64"/>
      <c r="AQ1321" s="189"/>
      <c r="AR1321" s="64"/>
      <c r="AS1321" s="476"/>
      <c r="AT1321" s="64"/>
      <c r="AU1321" s="646"/>
      <c r="AV1321" s="185"/>
    </row>
    <row r="1322" spans="1:48" ht="30" outlineLevel="3" x14ac:dyDescent="0.25">
      <c r="A1322" s="63" t="str">
        <f t="shared" si="229"/>
        <v>4.15.3.1.5.61-64-60</v>
      </c>
      <c r="B1322" s="64">
        <v>4</v>
      </c>
      <c r="C1322" s="64">
        <v>15</v>
      </c>
      <c r="D1322" s="64">
        <v>3</v>
      </c>
      <c r="E1322" s="64">
        <v>1</v>
      </c>
      <c r="F1322" s="64">
        <v>5</v>
      </c>
      <c r="G1322" s="64" t="s">
        <v>1547</v>
      </c>
      <c r="H1322" s="65"/>
      <c r="I1322" s="65"/>
      <c r="J1322" s="66"/>
      <c r="K1322" s="67" t="s">
        <v>1548</v>
      </c>
      <c r="L1322" s="64" t="s">
        <v>1540</v>
      </c>
      <c r="M1322" s="68" t="s">
        <v>1543</v>
      </c>
      <c r="N1322" s="64" t="s">
        <v>47</v>
      </c>
      <c r="O1322" s="64" t="s">
        <v>1544</v>
      </c>
      <c r="P1322" s="64"/>
      <c r="Q1322" s="69"/>
      <c r="R1322" s="69"/>
      <c r="S1322" s="65"/>
      <c r="T1322" s="64"/>
      <c r="U1322" s="370">
        <v>0</v>
      </c>
      <c r="V1322" s="674">
        <f t="shared" si="232"/>
        <v>0</v>
      </c>
      <c r="W1322" s="75"/>
      <c r="X1322" s="75"/>
      <c r="Y1322" s="75"/>
      <c r="Z1322" s="75"/>
      <c r="AA1322" s="75"/>
      <c r="AB1322" s="75"/>
      <c r="AC1322" s="97"/>
      <c r="AD1322" s="97"/>
      <c r="AE1322" s="591"/>
      <c r="AF1322" s="259"/>
      <c r="AG1322" s="510">
        <v>0</v>
      </c>
      <c r="AH1322" s="370">
        <v>0</v>
      </c>
      <c r="AI1322" s="75"/>
      <c r="AJ1322" s="75"/>
      <c r="AK1322" s="75"/>
      <c r="AL1322" s="75"/>
      <c r="AM1322" s="75"/>
      <c r="AN1322" s="64" t="s">
        <v>181</v>
      </c>
      <c r="AO1322" s="64"/>
      <c r="AP1322" s="64"/>
      <c r="AQ1322" s="189"/>
      <c r="AR1322" s="64"/>
      <c r="AS1322" s="476"/>
      <c r="AT1322" s="64"/>
      <c r="AU1322" s="646"/>
      <c r="AV1322" s="185"/>
    </row>
    <row r="1323" spans="1:48" ht="30" outlineLevel="3" x14ac:dyDescent="0.25">
      <c r="A1323" s="63" t="str">
        <f t="shared" si="229"/>
        <v>4.15.3.1.6.58-59</v>
      </c>
      <c r="B1323" s="64">
        <v>4</v>
      </c>
      <c r="C1323" s="64">
        <v>15</v>
      </c>
      <c r="D1323" s="64">
        <v>3</v>
      </c>
      <c r="E1323" s="64">
        <v>1</v>
      </c>
      <c r="F1323" s="64">
        <v>6</v>
      </c>
      <c r="G1323" s="64" t="s">
        <v>1549</v>
      </c>
      <c r="H1323" s="65"/>
      <c r="I1323" s="65"/>
      <c r="J1323" s="66"/>
      <c r="K1323" s="67" t="s">
        <v>1550</v>
      </c>
      <c r="L1323" s="64" t="s">
        <v>1540</v>
      </c>
      <c r="M1323" s="68" t="s">
        <v>1543</v>
      </c>
      <c r="N1323" s="64" t="s">
        <v>47</v>
      </c>
      <c r="O1323" s="64" t="s">
        <v>1544</v>
      </c>
      <c r="P1323" s="64"/>
      <c r="Q1323" s="69"/>
      <c r="R1323" s="69"/>
      <c r="S1323" s="65"/>
      <c r="T1323" s="64"/>
      <c r="U1323" s="370">
        <v>0</v>
      </c>
      <c r="V1323" s="674">
        <f t="shared" si="232"/>
        <v>0</v>
      </c>
      <c r="W1323" s="75"/>
      <c r="X1323" s="75"/>
      <c r="Y1323" s="75"/>
      <c r="Z1323" s="75"/>
      <c r="AA1323" s="75"/>
      <c r="AB1323" s="75"/>
      <c r="AC1323" s="97"/>
      <c r="AD1323" s="97"/>
      <c r="AE1323" s="591"/>
      <c r="AF1323" s="259"/>
      <c r="AG1323" s="510">
        <v>0</v>
      </c>
      <c r="AH1323" s="370">
        <v>0</v>
      </c>
      <c r="AI1323" s="75"/>
      <c r="AJ1323" s="75"/>
      <c r="AK1323" s="75"/>
      <c r="AL1323" s="75"/>
      <c r="AM1323" s="75"/>
      <c r="AN1323" s="64" t="s">
        <v>181</v>
      </c>
      <c r="AO1323" s="64"/>
      <c r="AP1323" s="64"/>
      <c r="AQ1323" s="189"/>
      <c r="AR1323" s="64"/>
      <c r="AS1323" s="476"/>
      <c r="AT1323" s="64"/>
      <c r="AU1323" s="646"/>
      <c r="AV1323" s="185"/>
    </row>
    <row r="1324" spans="1:48" ht="30" outlineLevel="3" x14ac:dyDescent="0.25">
      <c r="A1324" s="63" t="str">
        <f t="shared" si="229"/>
        <v>4.15.3.1.7.62-63</v>
      </c>
      <c r="B1324" s="64">
        <v>4</v>
      </c>
      <c r="C1324" s="64">
        <v>15</v>
      </c>
      <c r="D1324" s="64">
        <v>3</v>
      </c>
      <c r="E1324" s="64">
        <v>1</v>
      </c>
      <c r="F1324" s="64">
        <v>7</v>
      </c>
      <c r="G1324" s="64" t="s">
        <v>1551</v>
      </c>
      <c r="H1324" s="65"/>
      <c r="I1324" s="65"/>
      <c r="J1324" s="66"/>
      <c r="K1324" s="67" t="s">
        <v>1781</v>
      </c>
      <c r="L1324" s="64" t="s">
        <v>1540</v>
      </c>
      <c r="M1324" s="68" t="s">
        <v>1543</v>
      </c>
      <c r="N1324" s="64" t="s">
        <v>47</v>
      </c>
      <c r="O1324" s="64" t="s">
        <v>1544</v>
      </c>
      <c r="P1324" s="64"/>
      <c r="Q1324" s="69"/>
      <c r="R1324" s="69"/>
      <c r="S1324" s="65"/>
      <c r="T1324" s="64"/>
      <c r="U1324" s="370">
        <v>0</v>
      </c>
      <c r="V1324" s="674">
        <f t="shared" si="232"/>
        <v>0</v>
      </c>
      <c r="W1324" s="75"/>
      <c r="X1324" s="75"/>
      <c r="Y1324" s="75"/>
      <c r="Z1324" s="75"/>
      <c r="AA1324" s="75"/>
      <c r="AB1324" s="75"/>
      <c r="AC1324" s="97"/>
      <c r="AD1324" s="97"/>
      <c r="AE1324" s="591"/>
      <c r="AF1324" s="259"/>
      <c r="AG1324" s="510">
        <v>0</v>
      </c>
      <c r="AH1324" s="370">
        <v>0</v>
      </c>
      <c r="AI1324" s="75"/>
      <c r="AJ1324" s="75"/>
      <c r="AK1324" s="75"/>
      <c r="AL1324" s="75"/>
      <c r="AM1324" s="75"/>
      <c r="AN1324" s="64" t="s">
        <v>181</v>
      </c>
      <c r="AO1324" s="64"/>
      <c r="AP1324" s="64"/>
      <c r="AQ1324" s="189"/>
      <c r="AR1324" s="64"/>
      <c r="AS1324" s="476"/>
      <c r="AT1324" s="64"/>
      <c r="AU1324" s="646"/>
      <c r="AV1324" s="185"/>
    </row>
    <row r="1325" spans="1:48" ht="30" outlineLevel="3" x14ac:dyDescent="0.25">
      <c r="A1325" s="63" t="str">
        <f t="shared" si="229"/>
        <v>4.15.3.1.8.58-64</v>
      </c>
      <c r="B1325" s="64">
        <v>4</v>
      </c>
      <c r="C1325" s="64">
        <v>15</v>
      </c>
      <c r="D1325" s="64">
        <v>3</v>
      </c>
      <c r="E1325" s="64">
        <v>1</v>
      </c>
      <c r="F1325" s="64">
        <v>8</v>
      </c>
      <c r="G1325" s="64" t="s">
        <v>64</v>
      </c>
      <c r="H1325" s="65"/>
      <c r="I1325" s="65"/>
      <c r="J1325" s="66"/>
      <c r="K1325" s="67" t="s">
        <v>1717</v>
      </c>
      <c r="L1325" s="64" t="s">
        <v>1540</v>
      </c>
      <c r="M1325" s="68" t="s">
        <v>1543</v>
      </c>
      <c r="N1325" s="64" t="s">
        <v>47</v>
      </c>
      <c r="O1325" s="64" t="s">
        <v>1544</v>
      </c>
      <c r="P1325" s="64"/>
      <c r="Q1325" s="69"/>
      <c r="R1325" s="69"/>
      <c r="S1325" s="65"/>
      <c r="T1325" s="64"/>
      <c r="U1325" s="370">
        <v>0</v>
      </c>
      <c r="V1325" s="674">
        <f t="shared" si="232"/>
        <v>0</v>
      </c>
      <c r="W1325" s="75"/>
      <c r="X1325" s="75"/>
      <c r="Y1325" s="75"/>
      <c r="Z1325" s="75"/>
      <c r="AA1325" s="75"/>
      <c r="AB1325" s="75"/>
      <c r="AC1325" s="97"/>
      <c r="AD1325" s="97"/>
      <c r="AE1325" s="591"/>
      <c r="AF1325" s="259"/>
      <c r="AG1325" s="510">
        <v>0</v>
      </c>
      <c r="AH1325" s="370">
        <v>0</v>
      </c>
      <c r="AI1325" s="75"/>
      <c r="AJ1325" s="75"/>
      <c r="AK1325" s="75"/>
      <c r="AL1325" s="75"/>
      <c r="AM1325" s="75"/>
      <c r="AN1325" s="64" t="s">
        <v>181</v>
      </c>
      <c r="AO1325" s="64"/>
      <c r="AP1325" s="64"/>
      <c r="AQ1325" s="189"/>
      <c r="AR1325" s="64"/>
      <c r="AS1325" s="476"/>
      <c r="AT1325" s="64"/>
      <c r="AU1325" s="646"/>
      <c r="AV1325" s="185"/>
    </row>
    <row r="1326" spans="1:48" ht="30" outlineLevel="3" x14ac:dyDescent="0.25">
      <c r="A1326" s="63" t="str">
        <f t="shared" si="229"/>
        <v>4.15.3.1.9.60-61-64</v>
      </c>
      <c r="B1326" s="64">
        <v>4</v>
      </c>
      <c r="C1326" s="64">
        <v>15</v>
      </c>
      <c r="D1326" s="64">
        <v>3</v>
      </c>
      <c r="E1326" s="64">
        <v>1</v>
      </c>
      <c r="F1326" s="64">
        <v>9</v>
      </c>
      <c r="G1326" s="64" t="s">
        <v>1062</v>
      </c>
      <c r="H1326" s="65"/>
      <c r="I1326" s="65"/>
      <c r="J1326" s="66"/>
      <c r="K1326" s="67" t="s">
        <v>1552</v>
      </c>
      <c r="L1326" s="64" t="s">
        <v>1540</v>
      </c>
      <c r="M1326" s="68" t="s">
        <v>1543</v>
      </c>
      <c r="N1326" s="64" t="s">
        <v>47</v>
      </c>
      <c r="O1326" s="64" t="s">
        <v>1544</v>
      </c>
      <c r="P1326" s="64"/>
      <c r="Q1326" s="69"/>
      <c r="R1326" s="69"/>
      <c r="S1326" s="65"/>
      <c r="T1326" s="64"/>
      <c r="U1326" s="370">
        <v>0</v>
      </c>
      <c r="V1326" s="674">
        <f t="shared" si="232"/>
        <v>0</v>
      </c>
      <c r="W1326" s="75"/>
      <c r="X1326" s="75"/>
      <c r="Y1326" s="75"/>
      <c r="Z1326" s="75"/>
      <c r="AA1326" s="75"/>
      <c r="AB1326" s="75"/>
      <c r="AC1326" s="97"/>
      <c r="AD1326" s="97"/>
      <c r="AE1326" s="591"/>
      <c r="AF1326" s="259"/>
      <c r="AG1326" s="510">
        <v>0</v>
      </c>
      <c r="AH1326" s="370">
        <v>0</v>
      </c>
      <c r="AI1326" s="75"/>
      <c r="AJ1326" s="75"/>
      <c r="AK1326" s="75"/>
      <c r="AL1326" s="75"/>
      <c r="AM1326" s="75"/>
      <c r="AN1326" s="64" t="s">
        <v>181</v>
      </c>
      <c r="AO1326" s="64"/>
      <c r="AP1326" s="64"/>
      <c r="AQ1326" s="189"/>
      <c r="AR1326" s="64"/>
      <c r="AS1326" s="476"/>
      <c r="AT1326" s="64"/>
      <c r="AU1326" s="646"/>
      <c r="AV1326" s="185"/>
    </row>
    <row r="1327" spans="1:48" ht="30" outlineLevel="3" x14ac:dyDescent="0.25">
      <c r="A1327" s="63" t="str">
        <f t="shared" si="229"/>
        <v>4.15.3.1.10.58-59</v>
      </c>
      <c r="B1327" s="64">
        <v>4</v>
      </c>
      <c r="C1327" s="64">
        <v>15</v>
      </c>
      <c r="D1327" s="64">
        <v>3</v>
      </c>
      <c r="E1327" s="64">
        <v>1</v>
      </c>
      <c r="F1327" s="64">
        <v>10</v>
      </c>
      <c r="G1327" s="64" t="s">
        <v>1549</v>
      </c>
      <c r="H1327" s="65"/>
      <c r="I1327" s="65"/>
      <c r="J1327" s="66"/>
      <c r="K1327" s="67" t="s">
        <v>1553</v>
      </c>
      <c r="L1327" s="64" t="s">
        <v>1540</v>
      </c>
      <c r="M1327" s="68" t="s">
        <v>1543</v>
      </c>
      <c r="N1327" s="64" t="s">
        <v>47</v>
      </c>
      <c r="O1327" s="64" t="s">
        <v>1544</v>
      </c>
      <c r="P1327" s="64"/>
      <c r="Q1327" s="69"/>
      <c r="R1327" s="69"/>
      <c r="S1327" s="65"/>
      <c r="T1327" s="64"/>
      <c r="U1327" s="370">
        <v>0</v>
      </c>
      <c r="V1327" s="674">
        <f t="shared" si="232"/>
        <v>0</v>
      </c>
      <c r="W1327" s="75"/>
      <c r="X1327" s="75"/>
      <c r="Y1327" s="75"/>
      <c r="Z1327" s="75"/>
      <c r="AA1327" s="75"/>
      <c r="AB1327" s="75"/>
      <c r="AC1327" s="97"/>
      <c r="AD1327" s="97"/>
      <c r="AE1327" s="591"/>
      <c r="AF1327" s="259"/>
      <c r="AG1327" s="510">
        <v>0</v>
      </c>
      <c r="AH1327" s="370">
        <v>0</v>
      </c>
      <c r="AI1327" s="75"/>
      <c r="AJ1327" s="75"/>
      <c r="AK1327" s="75"/>
      <c r="AL1327" s="75"/>
      <c r="AM1327" s="75"/>
      <c r="AN1327" s="64" t="s">
        <v>181</v>
      </c>
      <c r="AO1327" s="64"/>
      <c r="AP1327" s="64"/>
      <c r="AQ1327" s="189"/>
      <c r="AR1327" s="64"/>
      <c r="AS1327" s="476"/>
      <c r="AT1327" s="64"/>
      <c r="AU1327" s="646"/>
      <c r="AV1327" s="185"/>
    </row>
    <row r="1328" spans="1:48" ht="30" outlineLevel="3" x14ac:dyDescent="0.25">
      <c r="A1328" s="63" t="str">
        <f t="shared" si="229"/>
        <v>4.15.3.1.11.62-63</v>
      </c>
      <c r="B1328" s="64">
        <v>4</v>
      </c>
      <c r="C1328" s="64">
        <v>15</v>
      </c>
      <c r="D1328" s="64">
        <v>3</v>
      </c>
      <c r="E1328" s="64">
        <v>1</v>
      </c>
      <c r="F1328" s="64">
        <v>11</v>
      </c>
      <c r="G1328" s="64" t="s">
        <v>1551</v>
      </c>
      <c r="H1328" s="65"/>
      <c r="I1328" s="65"/>
      <c r="J1328" s="66"/>
      <c r="K1328" s="67" t="s">
        <v>1782</v>
      </c>
      <c r="L1328" s="64" t="s">
        <v>1540</v>
      </c>
      <c r="M1328" s="68" t="s">
        <v>1543</v>
      </c>
      <c r="N1328" s="64" t="s">
        <v>47</v>
      </c>
      <c r="O1328" s="64" t="s">
        <v>1544</v>
      </c>
      <c r="P1328" s="64"/>
      <c r="Q1328" s="69"/>
      <c r="R1328" s="69"/>
      <c r="S1328" s="65"/>
      <c r="T1328" s="64"/>
      <c r="U1328" s="370">
        <v>0</v>
      </c>
      <c r="V1328" s="674">
        <f t="shared" si="232"/>
        <v>0</v>
      </c>
      <c r="W1328" s="75"/>
      <c r="X1328" s="75"/>
      <c r="Y1328" s="75"/>
      <c r="Z1328" s="75"/>
      <c r="AA1328" s="75"/>
      <c r="AB1328" s="75"/>
      <c r="AC1328" s="97"/>
      <c r="AD1328" s="97"/>
      <c r="AE1328" s="591"/>
      <c r="AF1328" s="259"/>
      <c r="AG1328" s="510">
        <v>0</v>
      </c>
      <c r="AH1328" s="370">
        <v>0</v>
      </c>
      <c r="AI1328" s="75"/>
      <c r="AJ1328" s="75"/>
      <c r="AK1328" s="75"/>
      <c r="AL1328" s="75"/>
      <c r="AM1328" s="75"/>
      <c r="AN1328" s="64" t="s">
        <v>181</v>
      </c>
      <c r="AO1328" s="64"/>
      <c r="AP1328" s="64"/>
      <c r="AQ1328" s="189"/>
      <c r="AR1328" s="64"/>
      <c r="AS1328" s="476"/>
      <c r="AT1328" s="64"/>
      <c r="AU1328" s="646"/>
      <c r="AV1328" s="185"/>
    </row>
    <row r="1329" spans="1:48" ht="30" outlineLevel="3" x14ac:dyDescent="0.25">
      <c r="A1329" s="63" t="str">
        <f t="shared" si="229"/>
        <v>4.15.3.1.12.61-64-60</v>
      </c>
      <c r="B1329" s="64">
        <v>4</v>
      </c>
      <c r="C1329" s="64">
        <v>15</v>
      </c>
      <c r="D1329" s="64">
        <v>3</v>
      </c>
      <c r="E1329" s="64">
        <v>1</v>
      </c>
      <c r="F1329" s="64">
        <v>12</v>
      </c>
      <c r="G1329" s="64" t="s">
        <v>1547</v>
      </c>
      <c r="H1329" s="65"/>
      <c r="I1329" s="65"/>
      <c r="J1329" s="66"/>
      <c r="K1329" s="67" t="s">
        <v>1554</v>
      </c>
      <c r="L1329" s="64" t="s">
        <v>1540</v>
      </c>
      <c r="M1329" s="68" t="s">
        <v>1543</v>
      </c>
      <c r="N1329" s="64" t="s">
        <v>47</v>
      </c>
      <c r="O1329" s="64" t="s">
        <v>1544</v>
      </c>
      <c r="P1329" s="64"/>
      <c r="Q1329" s="69"/>
      <c r="R1329" s="69"/>
      <c r="S1329" s="65"/>
      <c r="T1329" s="64"/>
      <c r="U1329" s="370">
        <v>0</v>
      </c>
      <c r="V1329" s="674">
        <f t="shared" si="232"/>
        <v>0</v>
      </c>
      <c r="W1329" s="75"/>
      <c r="X1329" s="75"/>
      <c r="Y1329" s="75"/>
      <c r="Z1329" s="75"/>
      <c r="AA1329" s="75"/>
      <c r="AB1329" s="75"/>
      <c r="AC1329" s="97"/>
      <c r="AD1329" s="97"/>
      <c r="AE1329" s="591"/>
      <c r="AF1329" s="259"/>
      <c r="AG1329" s="510">
        <v>0</v>
      </c>
      <c r="AH1329" s="370">
        <v>0</v>
      </c>
      <c r="AI1329" s="75"/>
      <c r="AJ1329" s="75"/>
      <c r="AK1329" s="75"/>
      <c r="AL1329" s="75"/>
      <c r="AM1329" s="75"/>
      <c r="AN1329" s="64" t="s">
        <v>181</v>
      </c>
      <c r="AO1329" s="64"/>
      <c r="AP1329" s="64"/>
      <c r="AQ1329" s="189"/>
      <c r="AR1329" s="64"/>
      <c r="AS1329" s="476"/>
      <c r="AT1329" s="64"/>
      <c r="AU1329" s="646"/>
      <c r="AV1329" s="185"/>
    </row>
    <row r="1330" spans="1:48" ht="30" outlineLevel="3" x14ac:dyDescent="0.25">
      <c r="A1330" s="63" t="str">
        <f t="shared" si="229"/>
        <v>4.15.3.1.13.58-59</v>
      </c>
      <c r="B1330" s="64">
        <v>4</v>
      </c>
      <c r="C1330" s="64">
        <v>15</v>
      </c>
      <c r="D1330" s="64">
        <v>3</v>
      </c>
      <c r="E1330" s="64">
        <v>1</v>
      </c>
      <c r="F1330" s="64">
        <v>13</v>
      </c>
      <c r="G1330" s="64" t="s">
        <v>1549</v>
      </c>
      <c r="H1330" s="65"/>
      <c r="I1330" s="65"/>
      <c r="J1330" s="66"/>
      <c r="K1330" s="67" t="s">
        <v>1555</v>
      </c>
      <c r="L1330" s="64" t="s">
        <v>1540</v>
      </c>
      <c r="M1330" s="68" t="s">
        <v>1543</v>
      </c>
      <c r="N1330" s="64" t="s">
        <v>47</v>
      </c>
      <c r="O1330" s="64" t="s">
        <v>1544</v>
      </c>
      <c r="P1330" s="64"/>
      <c r="Q1330" s="69"/>
      <c r="R1330" s="69"/>
      <c r="S1330" s="65"/>
      <c r="T1330" s="64"/>
      <c r="U1330" s="370">
        <v>0</v>
      </c>
      <c r="V1330" s="674">
        <f t="shared" si="232"/>
        <v>0</v>
      </c>
      <c r="W1330" s="75"/>
      <c r="X1330" s="75"/>
      <c r="Y1330" s="75"/>
      <c r="Z1330" s="75"/>
      <c r="AA1330" s="75"/>
      <c r="AB1330" s="75"/>
      <c r="AC1330" s="97"/>
      <c r="AD1330" s="97"/>
      <c r="AE1330" s="591"/>
      <c r="AF1330" s="259"/>
      <c r="AG1330" s="510">
        <v>0</v>
      </c>
      <c r="AH1330" s="370">
        <v>0</v>
      </c>
      <c r="AI1330" s="75"/>
      <c r="AJ1330" s="75"/>
      <c r="AK1330" s="75"/>
      <c r="AL1330" s="75"/>
      <c r="AM1330" s="75"/>
      <c r="AN1330" s="64" t="s">
        <v>181</v>
      </c>
      <c r="AO1330" s="64"/>
      <c r="AP1330" s="64"/>
      <c r="AQ1330" s="189"/>
      <c r="AR1330" s="64"/>
      <c r="AS1330" s="476"/>
      <c r="AT1330" s="64"/>
      <c r="AU1330" s="646"/>
      <c r="AV1330" s="185"/>
    </row>
    <row r="1331" spans="1:48" ht="30" outlineLevel="3" x14ac:dyDescent="0.25">
      <c r="A1331" s="63" t="str">
        <f t="shared" si="229"/>
        <v>4.15.3.1.14.62-63</v>
      </c>
      <c r="B1331" s="64">
        <v>4</v>
      </c>
      <c r="C1331" s="64">
        <v>15</v>
      </c>
      <c r="D1331" s="64">
        <v>3</v>
      </c>
      <c r="E1331" s="64">
        <v>1</v>
      </c>
      <c r="F1331" s="64">
        <v>14</v>
      </c>
      <c r="G1331" s="64" t="s">
        <v>1551</v>
      </c>
      <c r="H1331" s="65"/>
      <c r="I1331" s="65"/>
      <c r="J1331" s="66"/>
      <c r="K1331" s="67" t="s">
        <v>1783</v>
      </c>
      <c r="L1331" s="64" t="s">
        <v>1540</v>
      </c>
      <c r="M1331" s="68" t="s">
        <v>1543</v>
      </c>
      <c r="N1331" s="64" t="s">
        <v>47</v>
      </c>
      <c r="O1331" s="64" t="s">
        <v>1544</v>
      </c>
      <c r="P1331" s="64"/>
      <c r="Q1331" s="69"/>
      <c r="R1331" s="69"/>
      <c r="S1331" s="65"/>
      <c r="T1331" s="64"/>
      <c r="U1331" s="370">
        <v>0</v>
      </c>
      <c r="V1331" s="674">
        <f t="shared" si="232"/>
        <v>0</v>
      </c>
      <c r="W1331" s="75"/>
      <c r="X1331" s="75"/>
      <c r="Y1331" s="75"/>
      <c r="Z1331" s="75"/>
      <c r="AA1331" s="75"/>
      <c r="AB1331" s="75"/>
      <c r="AC1331" s="97"/>
      <c r="AD1331" s="97"/>
      <c r="AE1331" s="591"/>
      <c r="AF1331" s="259"/>
      <c r="AG1331" s="510">
        <v>0</v>
      </c>
      <c r="AH1331" s="370">
        <v>0</v>
      </c>
      <c r="AI1331" s="75"/>
      <c r="AJ1331" s="75"/>
      <c r="AK1331" s="75"/>
      <c r="AL1331" s="75"/>
      <c r="AM1331" s="75"/>
      <c r="AN1331" s="64" t="s">
        <v>181</v>
      </c>
      <c r="AO1331" s="64"/>
      <c r="AP1331" s="64"/>
      <c r="AQ1331" s="189"/>
      <c r="AR1331" s="64"/>
      <c r="AS1331" s="476"/>
      <c r="AT1331" s="64"/>
      <c r="AU1331" s="646"/>
      <c r="AV1331" s="185"/>
    </row>
    <row r="1332" spans="1:48" ht="30" outlineLevel="3" x14ac:dyDescent="0.25">
      <c r="A1332" s="63" t="str">
        <f t="shared" si="229"/>
        <v>4.15.3.1.15.60-61-64</v>
      </c>
      <c r="B1332" s="64">
        <v>4</v>
      </c>
      <c r="C1332" s="64">
        <v>15</v>
      </c>
      <c r="D1332" s="64">
        <v>3</v>
      </c>
      <c r="E1332" s="64">
        <v>1</v>
      </c>
      <c r="F1332" s="64">
        <v>15</v>
      </c>
      <c r="G1332" s="64" t="s">
        <v>1062</v>
      </c>
      <c r="H1332" s="65"/>
      <c r="I1332" s="65"/>
      <c r="J1332" s="66"/>
      <c r="K1332" s="67" t="s">
        <v>1556</v>
      </c>
      <c r="L1332" s="64" t="s">
        <v>1540</v>
      </c>
      <c r="M1332" s="68" t="s">
        <v>1543</v>
      </c>
      <c r="N1332" s="64" t="s">
        <v>47</v>
      </c>
      <c r="O1332" s="64" t="s">
        <v>1544</v>
      </c>
      <c r="P1332" s="64"/>
      <c r="Q1332" s="69"/>
      <c r="R1332" s="69"/>
      <c r="S1332" s="65"/>
      <c r="T1332" s="64"/>
      <c r="U1332" s="370">
        <v>0</v>
      </c>
      <c r="V1332" s="674">
        <f t="shared" si="232"/>
        <v>0</v>
      </c>
      <c r="W1332" s="75"/>
      <c r="X1332" s="75"/>
      <c r="Y1332" s="75"/>
      <c r="Z1332" s="75"/>
      <c r="AA1332" s="75"/>
      <c r="AB1332" s="75"/>
      <c r="AC1332" s="97"/>
      <c r="AD1332" s="97"/>
      <c r="AE1332" s="591"/>
      <c r="AF1332" s="259"/>
      <c r="AG1332" s="510">
        <v>0</v>
      </c>
      <c r="AH1332" s="370">
        <v>0</v>
      </c>
      <c r="AI1332" s="75"/>
      <c r="AJ1332" s="75"/>
      <c r="AK1332" s="75"/>
      <c r="AL1332" s="75"/>
      <c r="AM1332" s="75"/>
      <c r="AN1332" s="64" t="s">
        <v>181</v>
      </c>
      <c r="AO1332" s="64"/>
      <c r="AP1332" s="64"/>
      <c r="AQ1332" s="189"/>
      <c r="AR1332" s="64"/>
      <c r="AS1332" s="476"/>
      <c r="AT1332" s="64"/>
      <c r="AU1332" s="646"/>
      <c r="AV1332" s="185"/>
    </row>
    <row r="1333" spans="1:48" ht="30" outlineLevel="3" x14ac:dyDescent="0.25">
      <c r="A1333" s="63" t="str">
        <f t="shared" si="229"/>
        <v>4.15.3.1.16.58-59</v>
      </c>
      <c r="B1333" s="64">
        <v>4</v>
      </c>
      <c r="C1333" s="64">
        <v>15</v>
      </c>
      <c r="D1333" s="64">
        <v>3</v>
      </c>
      <c r="E1333" s="64">
        <v>1</v>
      </c>
      <c r="F1333" s="64">
        <v>16</v>
      </c>
      <c r="G1333" s="64" t="s">
        <v>1549</v>
      </c>
      <c r="H1333" s="65"/>
      <c r="I1333" s="65"/>
      <c r="J1333" s="66"/>
      <c r="K1333" s="67" t="s">
        <v>1557</v>
      </c>
      <c r="L1333" s="64" t="s">
        <v>1540</v>
      </c>
      <c r="M1333" s="68" t="s">
        <v>1543</v>
      </c>
      <c r="N1333" s="64" t="s">
        <v>47</v>
      </c>
      <c r="O1333" s="64" t="s">
        <v>1544</v>
      </c>
      <c r="P1333" s="64"/>
      <c r="Q1333" s="69"/>
      <c r="R1333" s="69"/>
      <c r="S1333" s="65"/>
      <c r="T1333" s="64"/>
      <c r="U1333" s="370">
        <v>0</v>
      </c>
      <c r="V1333" s="674">
        <f t="shared" si="232"/>
        <v>0</v>
      </c>
      <c r="W1333" s="75"/>
      <c r="X1333" s="75"/>
      <c r="Y1333" s="75"/>
      <c r="Z1333" s="75"/>
      <c r="AA1333" s="75"/>
      <c r="AB1333" s="75"/>
      <c r="AC1333" s="97"/>
      <c r="AD1333" s="97"/>
      <c r="AE1333" s="591"/>
      <c r="AF1333" s="259"/>
      <c r="AG1333" s="510">
        <v>0</v>
      </c>
      <c r="AH1333" s="370">
        <v>0</v>
      </c>
      <c r="AI1333" s="75"/>
      <c r="AJ1333" s="75"/>
      <c r="AK1333" s="75"/>
      <c r="AL1333" s="75"/>
      <c r="AM1333" s="75"/>
      <c r="AN1333" s="64" t="s">
        <v>181</v>
      </c>
      <c r="AO1333" s="64"/>
      <c r="AP1333" s="64"/>
      <c r="AQ1333" s="189"/>
      <c r="AR1333" s="64"/>
      <c r="AS1333" s="476"/>
      <c r="AT1333" s="64"/>
      <c r="AU1333" s="646"/>
      <c r="AV1333" s="185"/>
    </row>
    <row r="1334" spans="1:48" ht="30" outlineLevel="3" x14ac:dyDescent="0.25">
      <c r="A1334" s="63" t="str">
        <f t="shared" si="229"/>
        <v>4.15.3.1.17.62-63</v>
      </c>
      <c r="B1334" s="64">
        <v>4</v>
      </c>
      <c r="C1334" s="64">
        <v>15</v>
      </c>
      <c r="D1334" s="64">
        <v>3</v>
      </c>
      <c r="E1334" s="64">
        <v>1</v>
      </c>
      <c r="F1334" s="64">
        <v>17</v>
      </c>
      <c r="G1334" s="64" t="s">
        <v>1551</v>
      </c>
      <c r="H1334" s="65"/>
      <c r="I1334" s="65"/>
      <c r="J1334" s="66"/>
      <c r="K1334" s="67" t="s">
        <v>1784</v>
      </c>
      <c r="L1334" s="64" t="s">
        <v>1540</v>
      </c>
      <c r="M1334" s="68" t="s">
        <v>1543</v>
      </c>
      <c r="N1334" s="64" t="s">
        <v>47</v>
      </c>
      <c r="O1334" s="64" t="s">
        <v>1544</v>
      </c>
      <c r="P1334" s="64"/>
      <c r="Q1334" s="69"/>
      <c r="R1334" s="69"/>
      <c r="S1334" s="65"/>
      <c r="T1334" s="64"/>
      <c r="U1334" s="370">
        <v>0</v>
      </c>
      <c r="V1334" s="674">
        <f t="shared" si="232"/>
        <v>0</v>
      </c>
      <c r="W1334" s="75"/>
      <c r="X1334" s="75"/>
      <c r="Y1334" s="75"/>
      <c r="Z1334" s="75"/>
      <c r="AA1334" s="75"/>
      <c r="AB1334" s="75"/>
      <c r="AC1334" s="97"/>
      <c r="AD1334" s="97"/>
      <c r="AE1334" s="591"/>
      <c r="AF1334" s="259"/>
      <c r="AG1334" s="510">
        <v>0</v>
      </c>
      <c r="AH1334" s="370">
        <v>0</v>
      </c>
      <c r="AI1334" s="75"/>
      <c r="AJ1334" s="75"/>
      <c r="AK1334" s="75"/>
      <c r="AL1334" s="75"/>
      <c r="AM1334" s="75"/>
      <c r="AN1334" s="64" t="s">
        <v>181</v>
      </c>
      <c r="AO1334" s="64"/>
      <c r="AP1334" s="64"/>
      <c r="AQ1334" s="189"/>
      <c r="AR1334" s="64"/>
      <c r="AS1334" s="476"/>
      <c r="AT1334" s="64"/>
      <c r="AU1334" s="646"/>
      <c r="AV1334" s="185"/>
    </row>
    <row r="1335" spans="1:48" ht="30" outlineLevel="3" x14ac:dyDescent="0.25">
      <c r="A1335" s="63" t="str">
        <f t="shared" si="229"/>
        <v>4.15.3.1.18.58-64</v>
      </c>
      <c r="B1335" s="64">
        <v>4</v>
      </c>
      <c r="C1335" s="64">
        <v>15</v>
      </c>
      <c r="D1335" s="64">
        <v>3</v>
      </c>
      <c r="E1335" s="64">
        <v>1</v>
      </c>
      <c r="F1335" s="64">
        <v>18</v>
      </c>
      <c r="G1335" s="64" t="s">
        <v>64</v>
      </c>
      <c r="H1335" s="65"/>
      <c r="I1335" s="65"/>
      <c r="J1335" s="66"/>
      <c r="K1335" s="67" t="s">
        <v>1718</v>
      </c>
      <c r="L1335" s="64" t="s">
        <v>1540</v>
      </c>
      <c r="M1335" s="68" t="s">
        <v>1543</v>
      </c>
      <c r="N1335" s="64" t="s">
        <v>47</v>
      </c>
      <c r="O1335" s="64" t="s">
        <v>1544</v>
      </c>
      <c r="P1335" s="64"/>
      <c r="Q1335" s="69"/>
      <c r="R1335" s="69"/>
      <c r="S1335" s="65"/>
      <c r="T1335" s="64"/>
      <c r="U1335" s="370">
        <v>0</v>
      </c>
      <c r="V1335" s="674">
        <f t="shared" si="232"/>
        <v>0</v>
      </c>
      <c r="W1335" s="75"/>
      <c r="X1335" s="75"/>
      <c r="Y1335" s="75"/>
      <c r="Z1335" s="75"/>
      <c r="AA1335" s="75"/>
      <c r="AB1335" s="75"/>
      <c r="AC1335" s="97"/>
      <c r="AD1335" s="97"/>
      <c r="AE1335" s="591"/>
      <c r="AF1335" s="259"/>
      <c r="AG1335" s="510">
        <v>0</v>
      </c>
      <c r="AH1335" s="370">
        <v>0</v>
      </c>
      <c r="AI1335" s="75"/>
      <c r="AJ1335" s="75"/>
      <c r="AK1335" s="75"/>
      <c r="AL1335" s="75"/>
      <c r="AM1335" s="75"/>
      <c r="AN1335" s="64" t="s">
        <v>181</v>
      </c>
      <c r="AO1335" s="64"/>
      <c r="AP1335" s="64"/>
      <c r="AQ1335" s="189"/>
      <c r="AR1335" s="64"/>
      <c r="AS1335" s="476"/>
      <c r="AT1335" s="64"/>
      <c r="AU1335" s="646"/>
      <c r="AV1335" s="185"/>
    </row>
    <row r="1336" spans="1:48" ht="30" outlineLevel="3" x14ac:dyDescent="0.25">
      <c r="A1336" s="63" t="str">
        <f t="shared" si="229"/>
        <v>4.15.3.1.19.58-64</v>
      </c>
      <c r="B1336" s="64">
        <v>4</v>
      </c>
      <c r="C1336" s="64">
        <v>15</v>
      </c>
      <c r="D1336" s="64">
        <v>3</v>
      </c>
      <c r="E1336" s="64">
        <v>1</v>
      </c>
      <c r="F1336" s="64">
        <v>19</v>
      </c>
      <c r="G1336" s="64" t="s">
        <v>64</v>
      </c>
      <c r="H1336" s="65"/>
      <c r="I1336" s="65"/>
      <c r="J1336" s="66"/>
      <c r="K1336" s="67" t="s">
        <v>1719</v>
      </c>
      <c r="L1336" s="64" t="s">
        <v>1540</v>
      </c>
      <c r="M1336" s="68" t="s">
        <v>1543</v>
      </c>
      <c r="N1336" s="64" t="s">
        <v>47</v>
      </c>
      <c r="O1336" s="64" t="s">
        <v>1544</v>
      </c>
      <c r="P1336" s="64"/>
      <c r="Q1336" s="69"/>
      <c r="R1336" s="69"/>
      <c r="S1336" s="65"/>
      <c r="T1336" s="64"/>
      <c r="U1336" s="370">
        <v>0</v>
      </c>
      <c r="V1336" s="674">
        <f t="shared" si="232"/>
        <v>0</v>
      </c>
      <c r="W1336" s="75"/>
      <c r="X1336" s="75"/>
      <c r="Y1336" s="75"/>
      <c r="Z1336" s="75"/>
      <c r="AA1336" s="75"/>
      <c r="AB1336" s="75"/>
      <c r="AC1336" s="97"/>
      <c r="AD1336" s="97"/>
      <c r="AE1336" s="591"/>
      <c r="AF1336" s="259"/>
      <c r="AG1336" s="510">
        <v>0</v>
      </c>
      <c r="AH1336" s="370">
        <v>0</v>
      </c>
      <c r="AI1336" s="75"/>
      <c r="AJ1336" s="75"/>
      <c r="AK1336" s="75"/>
      <c r="AL1336" s="75"/>
      <c r="AM1336" s="75"/>
      <c r="AN1336" s="64" t="s">
        <v>181</v>
      </c>
      <c r="AO1336" s="64"/>
      <c r="AP1336" s="64"/>
      <c r="AQ1336" s="189"/>
      <c r="AR1336" s="64"/>
      <c r="AS1336" s="476"/>
      <c r="AT1336" s="64"/>
      <c r="AU1336" s="646"/>
      <c r="AV1336" s="185"/>
    </row>
    <row r="1337" spans="1:48" ht="30" outlineLevel="3" x14ac:dyDescent="0.25">
      <c r="A1337" s="63" t="str">
        <f t="shared" si="229"/>
        <v>4.15.3.1.20.60-61-64</v>
      </c>
      <c r="B1337" s="64">
        <v>4</v>
      </c>
      <c r="C1337" s="64">
        <v>15</v>
      </c>
      <c r="D1337" s="64">
        <v>3</v>
      </c>
      <c r="E1337" s="64">
        <v>1</v>
      </c>
      <c r="F1337" s="64">
        <v>20</v>
      </c>
      <c r="G1337" s="64" t="s">
        <v>1062</v>
      </c>
      <c r="H1337" s="65"/>
      <c r="I1337" s="65"/>
      <c r="J1337" s="66"/>
      <c r="K1337" s="67" t="s">
        <v>1558</v>
      </c>
      <c r="L1337" s="64" t="s">
        <v>1540</v>
      </c>
      <c r="M1337" s="68" t="s">
        <v>1543</v>
      </c>
      <c r="N1337" s="64" t="s">
        <v>47</v>
      </c>
      <c r="O1337" s="64" t="s">
        <v>1544</v>
      </c>
      <c r="P1337" s="64"/>
      <c r="Q1337" s="69"/>
      <c r="R1337" s="69"/>
      <c r="S1337" s="65"/>
      <c r="T1337" s="64"/>
      <c r="U1337" s="370">
        <v>0</v>
      </c>
      <c r="V1337" s="674">
        <f t="shared" si="232"/>
        <v>0</v>
      </c>
      <c r="W1337" s="75"/>
      <c r="X1337" s="75"/>
      <c r="Y1337" s="75"/>
      <c r="Z1337" s="75"/>
      <c r="AA1337" s="75"/>
      <c r="AB1337" s="75"/>
      <c r="AC1337" s="97"/>
      <c r="AD1337" s="97"/>
      <c r="AE1337" s="591"/>
      <c r="AF1337" s="259"/>
      <c r="AG1337" s="510">
        <v>0</v>
      </c>
      <c r="AH1337" s="370">
        <v>0</v>
      </c>
      <c r="AI1337" s="75"/>
      <c r="AJ1337" s="75"/>
      <c r="AK1337" s="75"/>
      <c r="AL1337" s="75"/>
      <c r="AM1337" s="75"/>
      <c r="AN1337" s="64" t="s">
        <v>181</v>
      </c>
      <c r="AO1337" s="64"/>
      <c r="AP1337" s="64"/>
      <c r="AQ1337" s="189"/>
      <c r="AR1337" s="64"/>
      <c r="AS1337" s="476"/>
      <c r="AT1337" s="64"/>
      <c r="AU1337" s="646"/>
      <c r="AV1337" s="185"/>
    </row>
    <row r="1338" spans="1:48" ht="30" outlineLevel="3" x14ac:dyDescent="0.25">
      <c r="A1338" s="63" t="str">
        <f t="shared" si="229"/>
        <v>4.15.3.1.21.58-59</v>
      </c>
      <c r="B1338" s="64">
        <v>4</v>
      </c>
      <c r="C1338" s="64">
        <v>15</v>
      </c>
      <c r="D1338" s="64">
        <v>3</v>
      </c>
      <c r="E1338" s="64">
        <v>1</v>
      </c>
      <c r="F1338" s="64">
        <v>21</v>
      </c>
      <c r="G1338" s="64" t="s">
        <v>1549</v>
      </c>
      <c r="H1338" s="65"/>
      <c r="I1338" s="65"/>
      <c r="J1338" s="66"/>
      <c r="K1338" s="67" t="s">
        <v>1559</v>
      </c>
      <c r="L1338" s="64" t="s">
        <v>1540</v>
      </c>
      <c r="M1338" s="68" t="s">
        <v>1543</v>
      </c>
      <c r="N1338" s="64" t="s">
        <v>47</v>
      </c>
      <c r="O1338" s="64" t="s">
        <v>1544</v>
      </c>
      <c r="P1338" s="64"/>
      <c r="Q1338" s="69"/>
      <c r="R1338" s="69"/>
      <c r="S1338" s="65"/>
      <c r="T1338" s="64"/>
      <c r="U1338" s="370">
        <v>0</v>
      </c>
      <c r="V1338" s="674">
        <f t="shared" si="232"/>
        <v>0</v>
      </c>
      <c r="W1338" s="75"/>
      <c r="X1338" s="75"/>
      <c r="Y1338" s="75"/>
      <c r="Z1338" s="75"/>
      <c r="AA1338" s="75"/>
      <c r="AB1338" s="75"/>
      <c r="AC1338" s="97"/>
      <c r="AD1338" s="97"/>
      <c r="AE1338" s="591"/>
      <c r="AF1338" s="259"/>
      <c r="AG1338" s="510">
        <v>0</v>
      </c>
      <c r="AH1338" s="370">
        <v>0</v>
      </c>
      <c r="AI1338" s="75"/>
      <c r="AJ1338" s="75"/>
      <c r="AK1338" s="75"/>
      <c r="AL1338" s="75"/>
      <c r="AM1338" s="75"/>
      <c r="AN1338" s="64" t="s">
        <v>181</v>
      </c>
      <c r="AO1338" s="64"/>
      <c r="AP1338" s="64"/>
      <c r="AQ1338" s="189"/>
      <c r="AR1338" s="64"/>
      <c r="AS1338" s="476"/>
      <c r="AT1338" s="64"/>
      <c r="AU1338" s="646"/>
      <c r="AV1338" s="185"/>
    </row>
    <row r="1339" spans="1:48" ht="30" outlineLevel="3" x14ac:dyDescent="0.25">
      <c r="A1339" s="63" t="str">
        <f t="shared" si="229"/>
        <v>4.15.3.1.22.62-63</v>
      </c>
      <c r="B1339" s="64">
        <v>4</v>
      </c>
      <c r="C1339" s="64">
        <v>15</v>
      </c>
      <c r="D1339" s="64">
        <v>3</v>
      </c>
      <c r="E1339" s="64">
        <v>1</v>
      </c>
      <c r="F1339" s="64">
        <v>22</v>
      </c>
      <c r="G1339" s="64" t="s">
        <v>1551</v>
      </c>
      <c r="H1339" s="65"/>
      <c r="I1339" s="65"/>
      <c r="J1339" s="66"/>
      <c r="K1339" s="67" t="s">
        <v>1785</v>
      </c>
      <c r="L1339" s="64" t="s">
        <v>1540</v>
      </c>
      <c r="M1339" s="68" t="s">
        <v>1543</v>
      </c>
      <c r="N1339" s="64" t="s">
        <v>47</v>
      </c>
      <c r="O1339" s="64" t="s">
        <v>1544</v>
      </c>
      <c r="P1339" s="64"/>
      <c r="Q1339" s="69"/>
      <c r="R1339" s="69"/>
      <c r="S1339" s="65"/>
      <c r="T1339" s="64"/>
      <c r="U1339" s="370">
        <v>0</v>
      </c>
      <c r="V1339" s="674">
        <f t="shared" si="232"/>
        <v>0</v>
      </c>
      <c r="W1339" s="75"/>
      <c r="X1339" s="75"/>
      <c r="Y1339" s="75"/>
      <c r="Z1339" s="75"/>
      <c r="AA1339" s="75"/>
      <c r="AB1339" s="75"/>
      <c r="AC1339" s="97"/>
      <c r="AD1339" s="97"/>
      <c r="AE1339" s="591"/>
      <c r="AF1339" s="259"/>
      <c r="AG1339" s="510">
        <v>0</v>
      </c>
      <c r="AH1339" s="370">
        <v>0</v>
      </c>
      <c r="AI1339" s="75"/>
      <c r="AJ1339" s="75"/>
      <c r="AK1339" s="75"/>
      <c r="AL1339" s="75"/>
      <c r="AM1339" s="75"/>
      <c r="AN1339" s="64" t="s">
        <v>181</v>
      </c>
      <c r="AO1339" s="64"/>
      <c r="AP1339" s="64"/>
      <c r="AQ1339" s="189"/>
      <c r="AR1339" s="64"/>
      <c r="AS1339" s="476"/>
      <c r="AT1339" s="64"/>
      <c r="AU1339" s="646"/>
      <c r="AV1339" s="185"/>
    </row>
    <row r="1340" spans="1:48" s="153" customFormat="1" outlineLevel="2" x14ac:dyDescent="0.25">
      <c r="A1340" s="148" t="str">
        <f t="shared" si="229"/>
        <v>4.15.3.2.0.0</v>
      </c>
      <c r="B1340" s="82">
        <v>4</v>
      </c>
      <c r="C1340" s="82">
        <v>15</v>
      </c>
      <c r="D1340" s="82">
        <v>3</v>
      </c>
      <c r="E1340" s="82">
        <v>2</v>
      </c>
      <c r="F1340" s="82">
        <v>0</v>
      </c>
      <c r="G1340" s="82">
        <v>0</v>
      </c>
      <c r="H1340" s="149"/>
      <c r="I1340" s="149"/>
      <c r="J1340" s="1260" t="s">
        <v>1560</v>
      </c>
      <c r="K1340" s="1259"/>
      <c r="L1340" s="82" t="s">
        <v>72</v>
      </c>
      <c r="M1340" s="82" t="s">
        <v>73</v>
      </c>
      <c r="N1340" s="82" t="s">
        <v>74</v>
      </c>
      <c r="O1340" s="82" t="s">
        <v>1540</v>
      </c>
      <c r="P1340" s="82"/>
      <c r="Q1340" s="82"/>
      <c r="R1340" s="82"/>
      <c r="S1340" s="149"/>
      <c r="T1340" s="82"/>
      <c r="U1340" s="209">
        <f>SUM(U1341:U1357)</f>
        <v>1056900</v>
      </c>
      <c r="V1340" s="380">
        <f t="shared" ref="V1340:AG1340" si="233">+SUM(V1341:V1357)</f>
        <v>982200</v>
      </c>
      <c r="W1340" s="380">
        <f t="shared" si="233"/>
        <v>0</v>
      </c>
      <c r="X1340" s="380">
        <f t="shared" si="233"/>
        <v>1056900</v>
      </c>
      <c r="Y1340" s="380">
        <f t="shared" si="233"/>
        <v>0</v>
      </c>
      <c r="Z1340" s="380">
        <f t="shared" si="233"/>
        <v>0</v>
      </c>
      <c r="AA1340" s="380">
        <f t="shared" si="233"/>
        <v>0</v>
      </c>
      <c r="AB1340" s="380">
        <f t="shared" si="233"/>
        <v>0</v>
      </c>
      <c r="AC1340" s="380">
        <f t="shared" si="233"/>
        <v>0</v>
      </c>
      <c r="AD1340" s="380">
        <f t="shared" si="233"/>
        <v>0</v>
      </c>
      <c r="AE1340" s="380">
        <f t="shared" si="233"/>
        <v>0</v>
      </c>
      <c r="AF1340" s="380">
        <f t="shared" si="233"/>
        <v>0</v>
      </c>
      <c r="AG1340" s="380">
        <f t="shared" si="233"/>
        <v>2113800</v>
      </c>
      <c r="AH1340" s="380">
        <f>+SUM(AH1341:AH1357)</f>
        <v>2113800</v>
      </c>
      <c r="AI1340" s="380">
        <f t="shared" ref="AI1340:AJ1340" si="234">+SUM(AI1341:AI1357)</f>
        <v>0</v>
      </c>
      <c r="AJ1340" s="380">
        <f t="shared" si="234"/>
        <v>982200</v>
      </c>
      <c r="AK1340" s="198"/>
      <c r="AL1340" s="198"/>
      <c r="AM1340" s="198"/>
      <c r="AN1340" s="82" t="s">
        <v>181</v>
      </c>
      <c r="AO1340" s="82"/>
      <c r="AP1340" s="82"/>
      <c r="AQ1340" s="365"/>
      <c r="AR1340" s="82"/>
      <c r="AS1340" s="483"/>
      <c r="AT1340" s="82"/>
      <c r="AU1340" s="666"/>
      <c r="AV1340" s="444"/>
    </row>
    <row r="1341" spans="1:48" outlineLevel="3" x14ac:dyDescent="0.25">
      <c r="A1341" s="63" t="str">
        <f t="shared" si="229"/>
        <v>4.15.3.2.1.58-64</v>
      </c>
      <c r="B1341" s="64">
        <v>4</v>
      </c>
      <c r="C1341" s="64">
        <v>15</v>
      </c>
      <c r="D1341" s="64">
        <v>3</v>
      </c>
      <c r="E1341" s="64">
        <v>2</v>
      </c>
      <c r="F1341" s="64">
        <v>1</v>
      </c>
      <c r="G1341" s="64" t="s">
        <v>64</v>
      </c>
      <c r="H1341" s="65"/>
      <c r="I1341" s="65"/>
      <c r="J1341" s="65"/>
      <c r="K1341" s="67" t="s">
        <v>122</v>
      </c>
      <c r="L1341" s="64" t="s">
        <v>72</v>
      </c>
      <c r="M1341" s="64" t="s">
        <v>73</v>
      </c>
      <c r="N1341" s="64" t="s">
        <v>74</v>
      </c>
      <c r="O1341" s="64" t="s">
        <v>1540</v>
      </c>
      <c r="P1341" s="64"/>
      <c r="Q1341" s="64"/>
      <c r="R1341" s="64"/>
      <c r="S1341" s="65"/>
      <c r="T1341" s="64"/>
      <c r="U1341" s="75"/>
      <c r="V1341" s="674">
        <f t="shared" si="232"/>
        <v>0</v>
      </c>
      <c r="W1341" s="75"/>
      <c r="X1341" s="75"/>
      <c r="Y1341" s="75"/>
      <c r="Z1341" s="75"/>
      <c r="AA1341" s="75"/>
      <c r="AB1341" s="75"/>
      <c r="AC1341" s="97"/>
      <c r="AD1341" s="97"/>
      <c r="AE1341" s="591"/>
      <c r="AF1341" s="259"/>
      <c r="AG1341" s="510">
        <v>0</v>
      </c>
      <c r="AH1341" s="370">
        <v>0</v>
      </c>
      <c r="AI1341" s="75"/>
      <c r="AJ1341" s="75"/>
      <c r="AK1341" s="75"/>
      <c r="AL1341" s="75"/>
      <c r="AM1341" s="75"/>
      <c r="AN1341" s="64" t="s">
        <v>181</v>
      </c>
      <c r="AO1341" s="64"/>
      <c r="AP1341" s="64"/>
      <c r="AQ1341" s="189"/>
      <c r="AR1341" s="64"/>
      <c r="AS1341" s="476"/>
      <c r="AT1341" s="64"/>
      <c r="AU1341" s="646"/>
      <c r="AV1341" s="335" t="s">
        <v>1094</v>
      </c>
    </row>
    <row r="1342" spans="1:48" ht="30" outlineLevel="3" x14ac:dyDescent="0.25">
      <c r="A1342" s="63" t="str">
        <f t="shared" si="229"/>
        <v>4.15.3.2.3.58-64</v>
      </c>
      <c r="B1342" s="64">
        <v>4</v>
      </c>
      <c r="C1342" s="64">
        <v>15</v>
      </c>
      <c r="D1342" s="64">
        <v>3</v>
      </c>
      <c r="E1342" s="64">
        <v>2</v>
      </c>
      <c r="F1342" s="64">
        <v>3</v>
      </c>
      <c r="G1342" s="64" t="s">
        <v>64</v>
      </c>
      <c r="H1342" s="65"/>
      <c r="I1342" s="65"/>
      <c r="J1342" s="65"/>
      <c r="K1342" s="67" t="s">
        <v>1561</v>
      </c>
      <c r="L1342" s="64" t="s">
        <v>72</v>
      </c>
      <c r="M1342" s="64" t="s">
        <v>73</v>
      </c>
      <c r="N1342" s="64" t="s">
        <v>74</v>
      </c>
      <c r="O1342" s="64" t="s">
        <v>1540</v>
      </c>
      <c r="P1342" s="64"/>
      <c r="Q1342" s="64"/>
      <c r="R1342" s="64"/>
      <c r="S1342" s="65"/>
      <c r="T1342" s="64"/>
      <c r="U1342" s="75"/>
      <c r="V1342" s="674">
        <f t="shared" si="232"/>
        <v>0</v>
      </c>
      <c r="W1342" s="75"/>
      <c r="X1342" s="75"/>
      <c r="Y1342" s="75"/>
      <c r="Z1342" s="75"/>
      <c r="AA1342" s="75"/>
      <c r="AB1342" s="75"/>
      <c r="AC1342" s="97"/>
      <c r="AD1342" s="97"/>
      <c r="AE1342" s="591"/>
      <c r="AF1342" s="259"/>
      <c r="AG1342" s="510">
        <v>0</v>
      </c>
      <c r="AH1342" s="370">
        <v>0</v>
      </c>
      <c r="AI1342" s="75"/>
      <c r="AJ1342" s="75"/>
      <c r="AK1342" s="75"/>
      <c r="AL1342" s="75"/>
      <c r="AM1342" s="75"/>
      <c r="AN1342" s="64" t="s">
        <v>181</v>
      </c>
      <c r="AO1342" s="64"/>
      <c r="AP1342" s="64"/>
      <c r="AQ1342" s="189"/>
      <c r="AR1342" s="64"/>
      <c r="AS1342" s="476"/>
      <c r="AT1342" s="64"/>
      <c r="AU1342" s="646"/>
      <c r="AV1342" s="335" t="s">
        <v>1094</v>
      </c>
    </row>
    <row r="1343" spans="1:48" outlineLevel="3" x14ac:dyDescent="0.25">
      <c r="A1343" s="63" t="str">
        <f t="shared" si="229"/>
        <v>4.15.3.2.4.58-64</v>
      </c>
      <c r="B1343" s="64">
        <v>4</v>
      </c>
      <c r="C1343" s="64">
        <v>15</v>
      </c>
      <c r="D1343" s="64">
        <v>3</v>
      </c>
      <c r="E1343" s="64">
        <v>2</v>
      </c>
      <c r="F1343" s="64">
        <v>4</v>
      </c>
      <c r="G1343" s="64" t="s">
        <v>64</v>
      </c>
      <c r="H1343" s="65"/>
      <c r="I1343" s="65"/>
      <c r="J1343" s="66"/>
      <c r="K1343" s="65" t="s">
        <v>1562</v>
      </c>
      <c r="L1343" s="64" t="s">
        <v>72</v>
      </c>
      <c r="M1343" s="64" t="s">
        <v>73</v>
      </c>
      <c r="N1343" s="64" t="s">
        <v>74</v>
      </c>
      <c r="O1343" s="64" t="s">
        <v>1540</v>
      </c>
      <c r="P1343" s="64"/>
      <c r="Q1343" s="64"/>
      <c r="R1343" s="64"/>
      <c r="S1343" s="65"/>
      <c r="T1343" s="64"/>
      <c r="U1343" s="75"/>
      <c r="V1343" s="674">
        <f t="shared" si="232"/>
        <v>0</v>
      </c>
      <c r="W1343" s="75"/>
      <c r="X1343" s="75"/>
      <c r="Y1343" s="75"/>
      <c r="Z1343" s="75"/>
      <c r="AA1343" s="75"/>
      <c r="AB1343" s="75"/>
      <c r="AC1343" s="97"/>
      <c r="AD1343" s="97"/>
      <c r="AE1343" s="591"/>
      <c r="AF1343" s="259"/>
      <c r="AG1343" s="510">
        <v>0</v>
      </c>
      <c r="AH1343" s="370">
        <v>0</v>
      </c>
      <c r="AI1343" s="75"/>
      <c r="AJ1343" s="75"/>
      <c r="AK1343" s="75"/>
      <c r="AL1343" s="75"/>
      <c r="AM1343" s="75"/>
      <c r="AN1343" s="64" t="s">
        <v>181</v>
      </c>
      <c r="AO1343" s="64"/>
      <c r="AP1343" s="64"/>
      <c r="AQ1343" s="189"/>
      <c r="AR1343" s="64"/>
      <c r="AS1343" s="476"/>
      <c r="AT1343" s="64"/>
      <c r="AU1343" s="646"/>
      <c r="AV1343" s="185"/>
    </row>
    <row r="1344" spans="1:48" outlineLevel="3" x14ac:dyDescent="0.25">
      <c r="A1344" s="63" t="str">
        <f t="shared" si="229"/>
        <v>4.15.3.2.5.58</v>
      </c>
      <c r="B1344" s="64">
        <v>4</v>
      </c>
      <c r="C1344" s="64">
        <v>15</v>
      </c>
      <c r="D1344" s="64">
        <v>3</v>
      </c>
      <c r="E1344" s="64">
        <v>2</v>
      </c>
      <c r="F1344" s="64">
        <v>5</v>
      </c>
      <c r="G1344" s="64">
        <v>58</v>
      </c>
      <c r="H1344" s="65"/>
      <c r="I1344" s="65"/>
      <c r="J1344" s="66"/>
      <c r="K1344" s="121" t="s">
        <v>1563</v>
      </c>
      <c r="L1344" s="64" t="s">
        <v>72</v>
      </c>
      <c r="M1344" s="64" t="s">
        <v>73</v>
      </c>
      <c r="N1344" s="64" t="s">
        <v>74</v>
      </c>
      <c r="O1344" s="64" t="s">
        <v>1540</v>
      </c>
      <c r="P1344" s="64"/>
      <c r="Q1344" s="64"/>
      <c r="R1344" s="64"/>
      <c r="S1344" s="65"/>
      <c r="T1344" s="64"/>
      <c r="U1344" s="1365">
        <f>+AH1344/2</f>
        <v>1056900</v>
      </c>
      <c r="V1344" s="702">
        <f t="shared" si="232"/>
        <v>982200</v>
      </c>
      <c r="W1344" s="75"/>
      <c r="X1344" s="1365">
        <f>+AH1344/2</f>
        <v>1056900</v>
      </c>
      <c r="Y1344" s="79"/>
      <c r="Z1344" s="75"/>
      <c r="AA1344" s="75"/>
      <c r="AB1344" s="75"/>
      <c r="AC1344" s="97"/>
      <c r="AD1344" s="97"/>
      <c r="AE1344" s="591"/>
      <c r="AF1344" s="259"/>
      <c r="AG1344" s="1366">
        <v>2113800</v>
      </c>
      <c r="AH1344" s="1364">
        <v>2113800</v>
      </c>
      <c r="AI1344" s="79"/>
      <c r="AJ1344" s="1367">
        <f>327400+327400+327400</f>
        <v>982200</v>
      </c>
      <c r="AK1344" s="79"/>
      <c r="AL1344" s="79"/>
      <c r="AM1344" s="79"/>
      <c r="AN1344" s="64" t="s">
        <v>181</v>
      </c>
      <c r="AO1344" s="1370" t="s">
        <v>649</v>
      </c>
      <c r="AP1344" s="1370" t="s">
        <v>649</v>
      </c>
      <c r="AQ1344" s="1370" t="s">
        <v>649</v>
      </c>
      <c r="AR1344" s="1373">
        <v>44562</v>
      </c>
      <c r="AS1344" s="1373">
        <v>44926</v>
      </c>
      <c r="AT1344" s="1370" t="s">
        <v>1814</v>
      </c>
      <c r="AU1344" s="1374" t="s">
        <v>1923</v>
      </c>
      <c r="AV1344" s="1274" t="s">
        <v>1838</v>
      </c>
    </row>
    <row r="1345" spans="1:61" outlineLevel="3" x14ac:dyDescent="0.25">
      <c r="A1345" s="63" t="str">
        <f t="shared" si="229"/>
        <v>4.15.3.2.5.59</v>
      </c>
      <c r="B1345" s="64">
        <v>4</v>
      </c>
      <c r="C1345" s="64">
        <v>15</v>
      </c>
      <c r="D1345" s="64">
        <v>3</v>
      </c>
      <c r="E1345" s="64">
        <v>2</v>
      </c>
      <c r="F1345" s="64">
        <v>5</v>
      </c>
      <c r="G1345" s="64">
        <v>59</v>
      </c>
      <c r="H1345" s="65"/>
      <c r="I1345" s="65"/>
      <c r="J1345" s="66"/>
      <c r="K1345" s="121" t="s">
        <v>1564</v>
      </c>
      <c r="L1345" s="64" t="s">
        <v>72</v>
      </c>
      <c r="M1345" s="64" t="s">
        <v>73</v>
      </c>
      <c r="N1345" s="64" t="s">
        <v>74</v>
      </c>
      <c r="O1345" s="64" t="s">
        <v>1540</v>
      </c>
      <c r="P1345" s="64"/>
      <c r="Q1345" s="64"/>
      <c r="R1345" s="64"/>
      <c r="S1345" s="65"/>
      <c r="T1345" s="64"/>
      <c r="U1345" s="1365"/>
      <c r="V1345" s="674">
        <f t="shared" si="232"/>
        <v>0</v>
      </c>
      <c r="W1345" s="75"/>
      <c r="X1345" s="1365"/>
      <c r="Y1345" s="79"/>
      <c r="Z1345" s="75"/>
      <c r="AA1345" s="75"/>
      <c r="AB1345" s="75"/>
      <c r="AC1345" s="97"/>
      <c r="AD1345" s="97"/>
      <c r="AE1345" s="591"/>
      <c r="AF1345" s="259"/>
      <c r="AG1345" s="1366"/>
      <c r="AH1345" s="1364"/>
      <c r="AI1345" s="79"/>
      <c r="AJ1345" s="1368"/>
      <c r="AK1345" s="79"/>
      <c r="AL1345" s="79"/>
      <c r="AM1345" s="79"/>
      <c r="AN1345" s="64" t="s">
        <v>181</v>
      </c>
      <c r="AO1345" s="1371"/>
      <c r="AP1345" s="1371"/>
      <c r="AQ1345" s="1371"/>
      <c r="AR1345" s="1371"/>
      <c r="AS1345" s="1371"/>
      <c r="AT1345" s="1371"/>
      <c r="AU1345" s="1375"/>
      <c r="AV1345" s="1275"/>
    </row>
    <row r="1346" spans="1:61" outlineLevel="3" x14ac:dyDescent="0.25">
      <c r="A1346" s="63" t="str">
        <f t="shared" si="229"/>
        <v>4.15.3.2.5.60</v>
      </c>
      <c r="B1346" s="64">
        <v>4</v>
      </c>
      <c r="C1346" s="64">
        <v>15</v>
      </c>
      <c r="D1346" s="64">
        <v>3</v>
      </c>
      <c r="E1346" s="64">
        <v>2</v>
      </c>
      <c r="F1346" s="64">
        <v>5</v>
      </c>
      <c r="G1346" s="64">
        <v>60</v>
      </c>
      <c r="H1346" s="65"/>
      <c r="I1346" s="65"/>
      <c r="J1346" s="66"/>
      <c r="K1346" s="121" t="s">
        <v>1565</v>
      </c>
      <c r="L1346" s="64" t="s">
        <v>72</v>
      </c>
      <c r="M1346" s="64" t="s">
        <v>73</v>
      </c>
      <c r="N1346" s="64" t="s">
        <v>74</v>
      </c>
      <c r="O1346" s="64" t="s">
        <v>1540</v>
      </c>
      <c r="P1346" s="64"/>
      <c r="Q1346" s="64"/>
      <c r="R1346" s="64"/>
      <c r="S1346" s="65"/>
      <c r="T1346" s="64"/>
      <c r="U1346" s="1365"/>
      <c r="V1346" s="674">
        <f t="shared" si="232"/>
        <v>0</v>
      </c>
      <c r="W1346" s="75"/>
      <c r="X1346" s="1365"/>
      <c r="Y1346" s="79"/>
      <c r="Z1346" s="75"/>
      <c r="AA1346" s="75"/>
      <c r="AB1346" s="75"/>
      <c r="AC1346" s="97"/>
      <c r="AD1346" s="97"/>
      <c r="AE1346" s="591"/>
      <c r="AF1346" s="259"/>
      <c r="AG1346" s="1366"/>
      <c r="AH1346" s="1364"/>
      <c r="AI1346" s="79"/>
      <c r="AJ1346" s="1368"/>
      <c r="AK1346" s="79"/>
      <c r="AL1346" s="79"/>
      <c r="AM1346" s="79"/>
      <c r="AN1346" s="64" t="s">
        <v>181</v>
      </c>
      <c r="AO1346" s="1371"/>
      <c r="AP1346" s="1371"/>
      <c r="AQ1346" s="1371"/>
      <c r="AR1346" s="1371"/>
      <c r="AS1346" s="1371"/>
      <c r="AT1346" s="1371"/>
      <c r="AU1346" s="1375"/>
      <c r="AV1346" s="1275"/>
    </row>
    <row r="1347" spans="1:61" outlineLevel="3" x14ac:dyDescent="0.25">
      <c r="A1347" s="63" t="str">
        <f t="shared" si="229"/>
        <v>4.15.3.2.5.61</v>
      </c>
      <c r="B1347" s="64">
        <v>4</v>
      </c>
      <c r="C1347" s="64">
        <v>15</v>
      </c>
      <c r="D1347" s="64">
        <v>3</v>
      </c>
      <c r="E1347" s="64">
        <v>2</v>
      </c>
      <c r="F1347" s="64">
        <v>5</v>
      </c>
      <c r="G1347" s="64">
        <v>61</v>
      </c>
      <c r="H1347" s="65"/>
      <c r="I1347" s="65"/>
      <c r="J1347" s="66"/>
      <c r="K1347" s="121" t="s">
        <v>1566</v>
      </c>
      <c r="L1347" s="64" t="s">
        <v>72</v>
      </c>
      <c r="M1347" s="64" t="s">
        <v>73</v>
      </c>
      <c r="N1347" s="64" t="s">
        <v>74</v>
      </c>
      <c r="O1347" s="64" t="s">
        <v>1540</v>
      </c>
      <c r="P1347" s="64"/>
      <c r="Q1347" s="64"/>
      <c r="R1347" s="64"/>
      <c r="S1347" s="65"/>
      <c r="T1347" s="64"/>
      <c r="U1347" s="1365"/>
      <c r="V1347" s="674">
        <f t="shared" si="232"/>
        <v>0</v>
      </c>
      <c r="W1347" s="75"/>
      <c r="X1347" s="1365"/>
      <c r="Y1347" s="79"/>
      <c r="Z1347" s="75"/>
      <c r="AA1347" s="75"/>
      <c r="AB1347" s="75"/>
      <c r="AC1347" s="97"/>
      <c r="AD1347" s="97"/>
      <c r="AE1347" s="591"/>
      <c r="AF1347" s="259"/>
      <c r="AG1347" s="1366"/>
      <c r="AH1347" s="1364"/>
      <c r="AI1347" s="79"/>
      <c r="AJ1347" s="1368"/>
      <c r="AK1347" s="79"/>
      <c r="AL1347" s="79"/>
      <c r="AM1347" s="79"/>
      <c r="AN1347" s="64" t="s">
        <v>181</v>
      </c>
      <c r="AO1347" s="1371"/>
      <c r="AP1347" s="1371"/>
      <c r="AQ1347" s="1371"/>
      <c r="AR1347" s="1371"/>
      <c r="AS1347" s="1371"/>
      <c r="AT1347" s="1371"/>
      <c r="AU1347" s="1375"/>
      <c r="AV1347" s="1275"/>
    </row>
    <row r="1348" spans="1:61" outlineLevel="3" x14ac:dyDescent="0.25">
      <c r="A1348" s="63" t="str">
        <f t="shared" si="229"/>
        <v>4.15.3.2.5.62</v>
      </c>
      <c r="B1348" s="64">
        <v>4</v>
      </c>
      <c r="C1348" s="64">
        <v>15</v>
      </c>
      <c r="D1348" s="64">
        <v>3</v>
      </c>
      <c r="E1348" s="64">
        <v>2</v>
      </c>
      <c r="F1348" s="64">
        <v>5</v>
      </c>
      <c r="G1348" s="64">
        <v>62</v>
      </c>
      <c r="H1348" s="65"/>
      <c r="I1348" s="65"/>
      <c r="J1348" s="66"/>
      <c r="K1348" s="121" t="s">
        <v>1786</v>
      </c>
      <c r="L1348" s="64" t="s">
        <v>72</v>
      </c>
      <c r="M1348" s="64" t="s">
        <v>73</v>
      </c>
      <c r="N1348" s="64" t="s">
        <v>74</v>
      </c>
      <c r="O1348" s="64" t="s">
        <v>1540</v>
      </c>
      <c r="P1348" s="64"/>
      <c r="Q1348" s="64"/>
      <c r="R1348" s="64"/>
      <c r="S1348" s="65"/>
      <c r="T1348" s="64"/>
      <c r="U1348" s="1365"/>
      <c r="V1348" s="674">
        <f t="shared" si="232"/>
        <v>0</v>
      </c>
      <c r="W1348" s="75"/>
      <c r="X1348" s="1365"/>
      <c r="Y1348" s="79"/>
      <c r="Z1348" s="75"/>
      <c r="AA1348" s="75"/>
      <c r="AB1348" s="75"/>
      <c r="AC1348" s="97"/>
      <c r="AD1348" s="97"/>
      <c r="AE1348" s="591"/>
      <c r="AF1348" s="259"/>
      <c r="AG1348" s="1366"/>
      <c r="AH1348" s="1364"/>
      <c r="AI1348" s="79"/>
      <c r="AJ1348" s="1368"/>
      <c r="AK1348" s="79"/>
      <c r="AL1348" s="79"/>
      <c r="AM1348" s="79"/>
      <c r="AN1348" s="64" t="s">
        <v>181</v>
      </c>
      <c r="AO1348" s="1371"/>
      <c r="AP1348" s="1371"/>
      <c r="AQ1348" s="1371"/>
      <c r="AR1348" s="1371"/>
      <c r="AS1348" s="1371"/>
      <c r="AT1348" s="1371"/>
      <c r="AU1348" s="1375"/>
      <c r="AV1348" s="1275"/>
    </row>
    <row r="1349" spans="1:61" outlineLevel="3" x14ac:dyDescent="0.25">
      <c r="A1349" s="63" t="str">
        <f t="shared" si="229"/>
        <v>4.15.3.2.5.63</v>
      </c>
      <c r="B1349" s="64">
        <v>4</v>
      </c>
      <c r="C1349" s="64">
        <v>15</v>
      </c>
      <c r="D1349" s="64">
        <v>3</v>
      </c>
      <c r="E1349" s="64">
        <v>2</v>
      </c>
      <c r="F1349" s="64">
        <v>5</v>
      </c>
      <c r="G1349" s="64">
        <v>63</v>
      </c>
      <c r="H1349" s="65"/>
      <c r="I1349" s="65"/>
      <c r="J1349" s="66"/>
      <c r="K1349" s="121" t="s">
        <v>1567</v>
      </c>
      <c r="L1349" s="64" t="s">
        <v>72</v>
      </c>
      <c r="M1349" s="64" t="s">
        <v>73</v>
      </c>
      <c r="N1349" s="64" t="s">
        <v>74</v>
      </c>
      <c r="O1349" s="64" t="s">
        <v>1540</v>
      </c>
      <c r="P1349" s="64"/>
      <c r="Q1349" s="64"/>
      <c r="R1349" s="64"/>
      <c r="S1349" s="65"/>
      <c r="T1349" s="64"/>
      <c r="U1349" s="1365"/>
      <c r="V1349" s="674">
        <f t="shared" si="232"/>
        <v>0</v>
      </c>
      <c r="W1349" s="75"/>
      <c r="X1349" s="1365"/>
      <c r="Y1349" s="79"/>
      <c r="Z1349" s="75"/>
      <c r="AA1349" s="75"/>
      <c r="AB1349" s="75"/>
      <c r="AC1349" s="97"/>
      <c r="AD1349" s="97"/>
      <c r="AE1349" s="591"/>
      <c r="AF1349" s="259"/>
      <c r="AG1349" s="1366"/>
      <c r="AH1349" s="1364"/>
      <c r="AI1349" s="79"/>
      <c r="AJ1349" s="1368"/>
      <c r="AK1349" s="79"/>
      <c r="AL1349" s="79"/>
      <c r="AM1349" s="79"/>
      <c r="AN1349" s="64" t="s">
        <v>181</v>
      </c>
      <c r="AO1349" s="1371"/>
      <c r="AP1349" s="1371"/>
      <c r="AQ1349" s="1371"/>
      <c r="AR1349" s="1371"/>
      <c r="AS1349" s="1371"/>
      <c r="AT1349" s="1371"/>
      <c r="AU1349" s="1375"/>
      <c r="AV1349" s="1275"/>
    </row>
    <row r="1350" spans="1:61" outlineLevel="3" x14ac:dyDescent="0.25">
      <c r="A1350" s="63" t="str">
        <f t="shared" si="229"/>
        <v>4.15.3.2.5.64</v>
      </c>
      <c r="B1350" s="64">
        <v>4</v>
      </c>
      <c r="C1350" s="64">
        <v>15</v>
      </c>
      <c r="D1350" s="64">
        <v>3</v>
      </c>
      <c r="E1350" s="64">
        <v>2</v>
      </c>
      <c r="F1350" s="64">
        <v>5</v>
      </c>
      <c r="G1350" s="64">
        <v>64</v>
      </c>
      <c r="H1350" s="65"/>
      <c r="I1350" s="65"/>
      <c r="J1350" s="66"/>
      <c r="K1350" s="121" t="s">
        <v>1568</v>
      </c>
      <c r="L1350" s="64" t="s">
        <v>72</v>
      </c>
      <c r="M1350" s="64" t="s">
        <v>73</v>
      </c>
      <c r="N1350" s="64" t="s">
        <v>74</v>
      </c>
      <c r="O1350" s="64" t="s">
        <v>1540</v>
      </c>
      <c r="P1350" s="64"/>
      <c r="Q1350" s="64"/>
      <c r="R1350" s="64"/>
      <c r="S1350" s="65"/>
      <c r="T1350" s="64"/>
      <c r="U1350" s="1365"/>
      <c r="V1350" s="674">
        <f t="shared" si="232"/>
        <v>0</v>
      </c>
      <c r="W1350" s="75"/>
      <c r="X1350" s="1365"/>
      <c r="Y1350" s="79"/>
      <c r="Z1350" s="75"/>
      <c r="AA1350" s="75"/>
      <c r="AB1350" s="75"/>
      <c r="AC1350" s="97"/>
      <c r="AD1350" s="97"/>
      <c r="AE1350" s="591"/>
      <c r="AF1350" s="259"/>
      <c r="AG1350" s="1366"/>
      <c r="AH1350" s="1364"/>
      <c r="AI1350" s="79"/>
      <c r="AJ1350" s="1369"/>
      <c r="AK1350" s="79"/>
      <c r="AL1350" s="79"/>
      <c r="AM1350" s="79"/>
      <c r="AN1350" s="64" t="s">
        <v>181</v>
      </c>
      <c r="AO1350" s="1372"/>
      <c r="AP1350" s="1372"/>
      <c r="AQ1350" s="1372"/>
      <c r="AR1350" s="1372"/>
      <c r="AS1350" s="1372"/>
      <c r="AT1350" s="1372"/>
      <c r="AU1350" s="1376"/>
      <c r="AV1350" s="1276"/>
    </row>
    <row r="1351" spans="1:61" ht="30" outlineLevel="3" x14ac:dyDescent="0.25">
      <c r="A1351" s="63" t="str">
        <f t="shared" si="229"/>
        <v>4.15.3.2.6.58</v>
      </c>
      <c r="B1351" s="64">
        <v>4</v>
      </c>
      <c r="C1351" s="64">
        <v>15</v>
      </c>
      <c r="D1351" s="64">
        <v>3</v>
      </c>
      <c r="E1351" s="64">
        <v>2</v>
      </c>
      <c r="F1351" s="64">
        <v>6</v>
      </c>
      <c r="G1351" s="64">
        <v>58</v>
      </c>
      <c r="H1351" s="65"/>
      <c r="I1351" s="65"/>
      <c r="J1351" s="65"/>
      <c r="K1351" s="67" t="s">
        <v>1569</v>
      </c>
      <c r="L1351" s="64" t="s">
        <v>72</v>
      </c>
      <c r="M1351" s="64" t="s">
        <v>73</v>
      </c>
      <c r="N1351" s="64" t="s">
        <v>74</v>
      </c>
      <c r="O1351" s="64">
        <v>0</v>
      </c>
      <c r="P1351" s="64"/>
      <c r="Q1351" s="64"/>
      <c r="R1351" s="64"/>
      <c r="S1351" s="65"/>
      <c r="T1351" s="64"/>
      <c r="U1351" s="75"/>
      <c r="V1351" s="674">
        <f t="shared" si="232"/>
        <v>0</v>
      </c>
      <c r="W1351" s="75"/>
      <c r="X1351" s="75"/>
      <c r="Y1351" s="75"/>
      <c r="Z1351" s="75"/>
      <c r="AA1351" s="75"/>
      <c r="AB1351" s="75"/>
      <c r="AC1351" s="97"/>
      <c r="AD1351" s="97"/>
      <c r="AE1351" s="591"/>
      <c r="AF1351" s="259"/>
      <c r="AG1351" s="510">
        <v>0</v>
      </c>
      <c r="AH1351" s="370">
        <v>0</v>
      </c>
      <c r="AI1351" s="75"/>
      <c r="AJ1351" s="75"/>
      <c r="AK1351" s="75"/>
      <c r="AL1351" s="75"/>
      <c r="AM1351" s="75"/>
      <c r="AN1351" s="64" t="s">
        <v>181</v>
      </c>
      <c r="AO1351" s="64"/>
      <c r="AP1351" s="64"/>
      <c r="AQ1351" s="189"/>
      <c r="AR1351" s="64"/>
      <c r="AS1351" s="476"/>
      <c r="AT1351" s="64"/>
      <c r="AU1351" s="646"/>
      <c r="AV1351" s="185"/>
    </row>
    <row r="1352" spans="1:61" outlineLevel="3" x14ac:dyDescent="0.25">
      <c r="A1352" s="63" t="str">
        <f t="shared" si="229"/>
        <v>4.15.3.2.6.59</v>
      </c>
      <c r="B1352" s="64">
        <v>4</v>
      </c>
      <c r="C1352" s="64">
        <v>15</v>
      </c>
      <c r="D1352" s="64">
        <v>3</v>
      </c>
      <c r="E1352" s="64">
        <v>2</v>
      </c>
      <c r="F1352" s="64">
        <v>6</v>
      </c>
      <c r="G1352" s="64">
        <v>59</v>
      </c>
      <c r="H1352" s="65"/>
      <c r="I1352" s="65"/>
      <c r="J1352" s="65"/>
      <c r="K1352" s="65" t="s">
        <v>1570</v>
      </c>
      <c r="L1352" s="64" t="s">
        <v>72</v>
      </c>
      <c r="M1352" s="64" t="s">
        <v>73</v>
      </c>
      <c r="N1352" s="64" t="s">
        <v>74</v>
      </c>
      <c r="O1352" s="64">
        <v>1</v>
      </c>
      <c r="P1352" s="64"/>
      <c r="Q1352" s="64"/>
      <c r="R1352" s="64"/>
      <c r="S1352" s="65"/>
      <c r="T1352" s="64"/>
      <c r="U1352" s="75"/>
      <c r="V1352" s="674">
        <f t="shared" si="232"/>
        <v>0</v>
      </c>
      <c r="W1352" s="75"/>
      <c r="X1352" s="75"/>
      <c r="Y1352" s="75"/>
      <c r="Z1352" s="75"/>
      <c r="AA1352" s="75"/>
      <c r="AB1352" s="75"/>
      <c r="AC1352" s="97"/>
      <c r="AD1352" s="97"/>
      <c r="AE1352" s="591"/>
      <c r="AF1352" s="259"/>
      <c r="AG1352" s="510">
        <v>0</v>
      </c>
      <c r="AH1352" s="370">
        <v>0</v>
      </c>
      <c r="AI1352" s="75"/>
      <c r="AJ1352" s="75"/>
      <c r="AK1352" s="75"/>
      <c r="AL1352" s="75"/>
      <c r="AM1352" s="75"/>
      <c r="AN1352" s="64" t="s">
        <v>181</v>
      </c>
      <c r="AO1352" s="64"/>
      <c r="AP1352" s="64"/>
      <c r="AQ1352" s="189"/>
      <c r="AR1352" s="64"/>
      <c r="AS1352" s="476"/>
      <c r="AT1352" s="64"/>
      <c r="AU1352" s="646"/>
      <c r="AV1352" s="185"/>
    </row>
    <row r="1353" spans="1:61" outlineLevel="3" x14ac:dyDescent="0.25">
      <c r="A1353" s="63" t="str">
        <f t="shared" si="229"/>
        <v>4.15.3.2.6.60</v>
      </c>
      <c r="B1353" s="64">
        <v>4</v>
      </c>
      <c r="C1353" s="64">
        <v>15</v>
      </c>
      <c r="D1353" s="64">
        <v>3</v>
      </c>
      <c r="E1353" s="64">
        <v>2</v>
      </c>
      <c r="F1353" s="64">
        <v>6</v>
      </c>
      <c r="G1353" s="64">
        <v>60</v>
      </c>
      <c r="H1353" s="65"/>
      <c r="I1353" s="65"/>
      <c r="J1353" s="65"/>
      <c r="K1353" s="65" t="s">
        <v>1571</v>
      </c>
      <c r="L1353" s="64" t="s">
        <v>72</v>
      </c>
      <c r="M1353" s="64" t="s">
        <v>73</v>
      </c>
      <c r="N1353" s="64" t="s">
        <v>74</v>
      </c>
      <c r="O1353" s="64">
        <v>2</v>
      </c>
      <c r="P1353" s="64"/>
      <c r="Q1353" s="64"/>
      <c r="R1353" s="64"/>
      <c r="S1353" s="65"/>
      <c r="T1353" s="64"/>
      <c r="U1353" s="75"/>
      <c r="V1353" s="674">
        <f t="shared" si="232"/>
        <v>0</v>
      </c>
      <c r="W1353" s="75"/>
      <c r="X1353" s="75"/>
      <c r="Y1353" s="75"/>
      <c r="Z1353" s="75"/>
      <c r="AA1353" s="75"/>
      <c r="AB1353" s="75"/>
      <c r="AC1353" s="97"/>
      <c r="AD1353" s="97"/>
      <c r="AE1353" s="591"/>
      <c r="AF1353" s="259"/>
      <c r="AG1353" s="510">
        <v>0</v>
      </c>
      <c r="AH1353" s="370">
        <v>0</v>
      </c>
      <c r="AI1353" s="75"/>
      <c r="AJ1353" s="75"/>
      <c r="AK1353" s="75"/>
      <c r="AL1353" s="75"/>
      <c r="AM1353" s="75"/>
      <c r="AN1353" s="64" t="s">
        <v>181</v>
      </c>
      <c r="AO1353" s="64"/>
      <c r="AP1353" s="64"/>
      <c r="AQ1353" s="189"/>
      <c r="AR1353" s="64"/>
      <c r="AS1353" s="476"/>
      <c r="AT1353" s="64"/>
      <c r="AU1353" s="646"/>
      <c r="AV1353" s="185"/>
    </row>
    <row r="1354" spans="1:61" outlineLevel="3" x14ac:dyDescent="0.25">
      <c r="A1354" s="63" t="str">
        <f t="shared" si="229"/>
        <v>4.15.3.2.6.61</v>
      </c>
      <c r="B1354" s="64">
        <v>4</v>
      </c>
      <c r="C1354" s="64">
        <v>15</v>
      </c>
      <c r="D1354" s="64">
        <v>3</v>
      </c>
      <c r="E1354" s="64">
        <v>2</v>
      </c>
      <c r="F1354" s="64">
        <v>6</v>
      </c>
      <c r="G1354" s="64">
        <v>61</v>
      </c>
      <c r="H1354" s="65"/>
      <c r="I1354" s="65"/>
      <c r="J1354" s="65"/>
      <c r="K1354" s="65" t="s">
        <v>1572</v>
      </c>
      <c r="L1354" s="64" t="s">
        <v>72</v>
      </c>
      <c r="M1354" s="64" t="s">
        <v>73</v>
      </c>
      <c r="N1354" s="64" t="s">
        <v>74</v>
      </c>
      <c r="O1354" s="64">
        <v>3</v>
      </c>
      <c r="P1354" s="64"/>
      <c r="Q1354" s="64"/>
      <c r="R1354" s="64"/>
      <c r="S1354" s="65"/>
      <c r="T1354" s="64"/>
      <c r="U1354" s="75"/>
      <c r="V1354" s="674">
        <f t="shared" si="232"/>
        <v>0</v>
      </c>
      <c r="W1354" s="75"/>
      <c r="X1354" s="75"/>
      <c r="Y1354" s="75"/>
      <c r="Z1354" s="75"/>
      <c r="AA1354" s="75"/>
      <c r="AB1354" s="75"/>
      <c r="AC1354" s="97"/>
      <c r="AD1354" s="97"/>
      <c r="AE1354" s="591"/>
      <c r="AF1354" s="259"/>
      <c r="AG1354" s="510">
        <v>0</v>
      </c>
      <c r="AH1354" s="370">
        <v>0</v>
      </c>
      <c r="AI1354" s="75"/>
      <c r="AJ1354" s="75"/>
      <c r="AK1354" s="75"/>
      <c r="AL1354" s="75"/>
      <c r="AM1354" s="75"/>
      <c r="AN1354" s="64" t="s">
        <v>181</v>
      </c>
      <c r="AO1354" s="64"/>
      <c r="AP1354" s="64"/>
      <c r="AQ1354" s="189"/>
      <c r="AR1354" s="64"/>
      <c r="AS1354" s="476"/>
      <c r="AT1354" s="64"/>
      <c r="AU1354" s="646"/>
      <c r="AV1354" s="185"/>
    </row>
    <row r="1355" spans="1:61" outlineLevel="3" x14ac:dyDescent="0.25">
      <c r="A1355" s="63" t="str">
        <f t="shared" si="229"/>
        <v>4.15.3.2.6.62</v>
      </c>
      <c r="B1355" s="64">
        <v>4</v>
      </c>
      <c r="C1355" s="64">
        <v>15</v>
      </c>
      <c r="D1355" s="64">
        <v>3</v>
      </c>
      <c r="E1355" s="64">
        <v>2</v>
      </c>
      <c r="F1355" s="64">
        <v>6</v>
      </c>
      <c r="G1355" s="64">
        <v>62</v>
      </c>
      <c r="H1355" s="65"/>
      <c r="I1355" s="65"/>
      <c r="J1355" s="65"/>
      <c r="K1355" s="65" t="s">
        <v>1573</v>
      </c>
      <c r="L1355" s="64" t="s">
        <v>72</v>
      </c>
      <c r="M1355" s="64" t="s">
        <v>73</v>
      </c>
      <c r="N1355" s="64" t="s">
        <v>74</v>
      </c>
      <c r="O1355" s="64">
        <v>4</v>
      </c>
      <c r="P1355" s="64"/>
      <c r="Q1355" s="64"/>
      <c r="R1355" s="64"/>
      <c r="S1355" s="65"/>
      <c r="T1355" s="64"/>
      <c r="U1355" s="75"/>
      <c r="V1355" s="674">
        <f t="shared" si="232"/>
        <v>0</v>
      </c>
      <c r="W1355" s="75"/>
      <c r="X1355" s="75"/>
      <c r="Y1355" s="75"/>
      <c r="Z1355" s="75"/>
      <c r="AA1355" s="75"/>
      <c r="AB1355" s="75"/>
      <c r="AC1355" s="97"/>
      <c r="AD1355" s="97"/>
      <c r="AE1355" s="591"/>
      <c r="AF1355" s="259"/>
      <c r="AG1355" s="510">
        <v>0</v>
      </c>
      <c r="AH1355" s="370">
        <v>0</v>
      </c>
      <c r="AI1355" s="75"/>
      <c r="AJ1355" s="75"/>
      <c r="AK1355" s="75"/>
      <c r="AL1355" s="75"/>
      <c r="AM1355" s="75"/>
      <c r="AN1355" s="64" t="s">
        <v>181</v>
      </c>
      <c r="AO1355" s="64"/>
      <c r="AP1355" s="64"/>
      <c r="AQ1355" s="189"/>
      <c r="AR1355" s="64"/>
      <c r="AS1355" s="476"/>
      <c r="AT1355" s="64"/>
      <c r="AU1355" s="646"/>
      <c r="AV1355" s="185"/>
    </row>
    <row r="1356" spans="1:61" outlineLevel="3" x14ac:dyDescent="0.25">
      <c r="A1356" s="63" t="str">
        <f t="shared" si="229"/>
        <v>4.15.3.2.6.63</v>
      </c>
      <c r="B1356" s="64">
        <v>4</v>
      </c>
      <c r="C1356" s="64">
        <v>15</v>
      </c>
      <c r="D1356" s="64">
        <v>3</v>
      </c>
      <c r="E1356" s="64">
        <v>2</v>
      </c>
      <c r="F1356" s="64">
        <v>6</v>
      </c>
      <c r="G1356" s="64">
        <v>63</v>
      </c>
      <c r="H1356" s="65"/>
      <c r="I1356" s="65"/>
      <c r="J1356" s="65"/>
      <c r="K1356" s="65" t="s">
        <v>1787</v>
      </c>
      <c r="L1356" s="64" t="s">
        <v>72</v>
      </c>
      <c r="M1356" s="64" t="s">
        <v>73</v>
      </c>
      <c r="N1356" s="64" t="s">
        <v>74</v>
      </c>
      <c r="O1356" s="64">
        <v>5</v>
      </c>
      <c r="P1356" s="64"/>
      <c r="Q1356" s="64"/>
      <c r="R1356" s="64"/>
      <c r="S1356" s="65"/>
      <c r="T1356" s="64"/>
      <c r="U1356" s="75"/>
      <c r="V1356" s="674">
        <f t="shared" si="232"/>
        <v>0</v>
      </c>
      <c r="W1356" s="75"/>
      <c r="X1356" s="75"/>
      <c r="Y1356" s="75"/>
      <c r="Z1356" s="75"/>
      <c r="AA1356" s="75"/>
      <c r="AB1356" s="75"/>
      <c r="AC1356" s="97"/>
      <c r="AD1356" s="97"/>
      <c r="AE1356" s="591"/>
      <c r="AF1356" s="259"/>
      <c r="AG1356" s="510">
        <v>0</v>
      </c>
      <c r="AH1356" s="370">
        <v>0</v>
      </c>
      <c r="AI1356" s="75"/>
      <c r="AJ1356" s="75"/>
      <c r="AK1356" s="75"/>
      <c r="AL1356" s="75"/>
      <c r="AM1356" s="75"/>
      <c r="AN1356" s="64" t="s">
        <v>181</v>
      </c>
      <c r="AO1356" s="64"/>
      <c r="AP1356" s="64"/>
      <c r="AQ1356" s="189"/>
      <c r="AR1356" s="64"/>
      <c r="AS1356" s="476"/>
      <c r="AT1356" s="64"/>
      <c r="AU1356" s="646"/>
      <c r="AV1356" s="185"/>
    </row>
    <row r="1357" spans="1:61" outlineLevel="3" x14ac:dyDescent="0.25">
      <c r="A1357" s="63" t="str">
        <f t="shared" si="229"/>
        <v>4.15.3.2.6.64</v>
      </c>
      <c r="B1357" s="64">
        <v>4</v>
      </c>
      <c r="C1357" s="64">
        <v>15</v>
      </c>
      <c r="D1357" s="64">
        <v>3</v>
      </c>
      <c r="E1357" s="64">
        <v>2</v>
      </c>
      <c r="F1357" s="64">
        <v>6</v>
      </c>
      <c r="G1357" s="64">
        <v>64</v>
      </c>
      <c r="H1357" s="65"/>
      <c r="I1357" s="65"/>
      <c r="J1357" s="65"/>
      <c r="K1357" s="67" t="s">
        <v>1574</v>
      </c>
      <c r="L1357" s="64" t="s">
        <v>72</v>
      </c>
      <c r="M1357" s="64" t="s">
        <v>73</v>
      </c>
      <c r="N1357" s="64" t="s">
        <v>74</v>
      </c>
      <c r="O1357" s="64">
        <v>6</v>
      </c>
      <c r="P1357" s="64"/>
      <c r="Q1357" s="64"/>
      <c r="R1357" s="64"/>
      <c r="S1357" s="65"/>
      <c r="T1357" s="64"/>
      <c r="U1357" s="75"/>
      <c r="V1357" s="674">
        <f t="shared" si="232"/>
        <v>0</v>
      </c>
      <c r="W1357" s="75"/>
      <c r="X1357" s="75"/>
      <c r="Y1357" s="75"/>
      <c r="Z1357" s="75"/>
      <c r="AA1357" s="75"/>
      <c r="AB1357" s="75"/>
      <c r="AC1357" s="97"/>
      <c r="AD1357" s="97"/>
      <c r="AE1357" s="591"/>
      <c r="AF1357" s="259"/>
      <c r="AG1357" s="510">
        <v>0</v>
      </c>
      <c r="AH1357" s="370">
        <v>0</v>
      </c>
      <c r="AI1357" s="75"/>
      <c r="AJ1357" s="75"/>
      <c r="AK1357" s="75"/>
      <c r="AL1357" s="75"/>
      <c r="AM1357" s="75"/>
      <c r="AN1357" s="64" t="s">
        <v>181</v>
      </c>
      <c r="AO1357" s="64"/>
      <c r="AP1357" s="64"/>
      <c r="AQ1357" s="189"/>
      <c r="AR1357" s="64"/>
      <c r="AS1357" s="476"/>
      <c r="AT1357" s="64"/>
      <c r="AU1357" s="646"/>
      <c r="AV1357" s="185"/>
    </row>
    <row r="1358" spans="1:61" s="153" customFormat="1" ht="30" customHeight="1" outlineLevel="2" x14ac:dyDescent="0.25">
      <c r="A1358" s="108" t="str">
        <f t="shared" si="229"/>
        <v>4.16.3.0.0.0</v>
      </c>
      <c r="B1358" s="109">
        <v>4</v>
      </c>
      <c r="C1358" s="109">
        <v>16</v>
      </c>
      <c r="D1358" s="109">
        <v>3</v>
      </c>
      <c r="E1358" s="109">
        <v>0</v>
      </c>
      <c r="F1358" s="109">
        <v>0</v>
      </c>
      <c r="G1358" s="109">
        <v>0</v>
      </c>
      <c r="H1358" s="110"/>
      <c r="I1358" s="1277" t="s">
        <v>1575</v>
      </c>
      <c r="J1358" s="1278"/>
      <c r="K1358" s="1279"/>
      <c r="L1358" s="109" t="s">
        <v>1576</v>
      </c>
      <c r="M1358" s="109" t="s">
        <v>1464</v>
      </c>
      <c r="N1358" s="109" t="s">
        <v>1444</v>
      </c>
      <c r="O1358" s="109" t="s">
        <v>1577</v>
      </c>
      <c r="P1358" s="109"/>
      <c r="Q1358" s="108"/>
      <c r="R1358" s="108"/>
      <c r="S1358" s="108"/>
      <c r="T1358" s="109"/>
      <c r="U1358" s="112">
        <f>+U1359+U1368+U1377+U1386+U1395+U1404+U1413+U1422</f>
        <v>870666.66666666651</v>
      </c>
      <c r="V1358" s="686">
        <f t="shared" ref="V1358:AG1358" si="235">+V1359+V1368+V1377+V1386+V1395+V1404+V1413+V1422</f>
        <v>0</v>
      </c>
      <c r="W1358" s="374">
        <f t="shared" si="235"/>
        <v>124</v>
      </c>
      <c r="X1358" s="374">
        <f t="shared" si="235"/>
        <v>667666.66666666651</v>
      </c>
      <c r="Y1358" s="374">
        <f t="shared" si="235"/>
        <v>0</v>
      </c>
      <c r="Z1358" s="374">
        <f t="shared" si="235"/>
        <v>138</v>
      </c>
      <c r="AA1358" s="374">
        <f t="shared" si="235"/>
        <v>555666.66666666651</v>
      </c>
      <c r="AB1358" s="374">
        <f t="shared" si="235"/>
        <v>0</v>
      </c>
      <c r="AC1358" s="374">
        <f t="shared" si="235"/>
        <v>79</v>
      </c>
      <c r="AD1358" s="374">
        <f t="shared" si="235"/>
        <v>75000</v>
      </c>
      <c r="AE1358" s="374">
        <f t="shared" si="235"/>
        <v>0</v>
      </c>
      <c r="AF1358" s="374">
        <f t="shared" si="235"/>
        <v>0</v>
      </c>
      <c r="AG1358" s="374">
        <f t="shared" si="235"/>
        <v>2169000</v>
      </c>
      <c r="AH1358" s="374">
        <f t="shared" ref="AH1358:AM1358" si="236">+AH1359+AH1368+AH1377+AH1386+AH1395+AH1404+AH1413+AH1422</f>
        <v>2169000</v>
      </c>
      <c r="AI1358" s="514">
        <f t="shared" si="236"/>
        <v>0</v>
      </c>
      <c r="AJ1358" s="514">
        <f t="shared" si="236"/>
        <v>0</v>
      </c>
      <c r="AK1358" s="514">
        <f t="shared" si="236"/>
        <v>0</v>
      </c>
      <c r="AL1358" s="514">
        <f t="shared" si="236"/>
        <v>0</v>
      </c>
      <c r="AM1358" s="514">
        <f t="shared" si="236"/>
        <v>0</v>
      </c>
      <c r="AN1358" s="109" t="s">
        <v>181</v>
      </c>
      <c r="AO1358" s="109"/>
      <c r="AP1358" s="109"/>
      <c r="AQ1358" s="411"/>
      <c r="AR1358" s="109"/>
      <c r="AS1358" s="473"/>
      <c r="AT1358" s="109"/>
      <c r="AU1358" s="659"/>
      <c r="AV1358" s="461"/>
      <c r="AW1358" s="289"/>
      <c r="AX1358" s="290"/>
      <c r="AY1358" s="291"/>
      <c r="AZ1358" s="1280"/>
      <c r="BA1358" s="1280"/>
      <c r="BB1358" s="1281"/>
      <c r="BC1358" s="289"/>
      <c r="BD1358" s="289"/>
      <c r="BE1358" s="289"/>
      <c r="BF1358" s="289"/>
      <c r="BG1358" s="289"/>
      <c r="BH1358" s="290"/>
      <c r="BI1358" s="291"/>
    </row>
    <row r="1359" spans="1:61" s="153" customFormat="1" ht="48.75" customHeight="1" outlineLevel="2" x14ac:dyDescent="0.25">
      <c r="A1359" s="148" t="str">
        <f t="shared" si="229"/>
        <v>4.16.3.1.0.58</v>
      </c>
      <c r="B1359" s="82">
        <v>4</v>
      </c>
      <c r="C1359" s="82">
        <v>16</v>
      </c>
      <c r="D1359" s="82">
        <v>3</v>
      </c>
      <c r="E1359" s="82">
        <v>1</v>
      </c>
      <c r="F1359" s="82">
        <v>0</v>
      </c>
      <c r="G1359" s="82">
        <v>58</v>
      </c>
      <c r="H1359" s="149"/>
      <c r="I1359" s="149"/>
      <c r="J1359" s="1260" t="s">
        <v>1578</v>
      </c>
      <c r="K1359" s="1259"/>
      <c r="L1359" s="82" t="s">
        <v>1452</v>
      </c>
      <c r="M1359" s="82" t="s">
        <v>1464</v>
      </c>
      <c r="N1359" s="82" t="s">
        <v>1444</v>
      </c>
      <c r="O1359" s="82" t="s">
        <v>1204</v>
      </c>
      <c r="P1359" s="82"/>
      <c r="Q1359" s="82"/>
      <c r="R1359" s="82"/>
      <c r="S1359" s="149"/>
      <c r="T1359" s="82"/>
      <c r="U1359" s="152">
        <f>SUM(U1360:U1367)</f>
        <v>120166.66666666666</v>
      </c>
      <c r="V1359" s="682">
        <f t="shared" ref="V1359:AG1359" si="237">+SUM(V1360:V1367)</f>
        <v>0</v>
      </c>
      <c r="W1359" s="380">
        <f t="shared" si="237"/>
        <v>17</v>
      </c>
      <c r="X1359" s="380">
        <f t="shared" si="237"/>
        <v>92166.666666666657</v>
      </c>
      <c r="Y1359" s="380">
        <f t="shared" si="237"/>
        <v>0</v>
      </c>
      <c r="Z1359" s="380">
        <f t="shared" si="237"/>
        <v>19</v>
      </c>
      <c r="AA1359" s="380">
        <f t="shared" si="237"/>
        <v>75166.666666666657</v>
      </c>
      <c r="AB1359" s="380">
        <f t="shared" si="237"/>
        <v>0</v>
      </c>
      <c r="AC1359" s="380">
        <f t="shared" si="237"/>
        <v>8</v>
      </c>
      <c r="AD1359" s="380">
        <f t="shared" si="237"/>
        <v>7500</v>
      </c>
      <c r="AE1359" s="380">
        <f t="shared" si="237"/>
        <v>0</v>
      </c>
      <c r="AF1359" s="380">
        <f t="shared" si="237"/>
        <v>0</v>
      </c>
      <c r="AG1359" s="380">
        <f t="shared" si="237"/>
        <v>295000</v>
      </c>
      <c r="AH1359" s="380">
        <f>+SUM(AH1360:AH1367)</f>
        <v>295000</v>
      </c>
      <c r="AI1359" s="513">
        <f>+SUM(AI1360:AI1367)</f>
        <v>0</v>
      </c>
      <c r="AJ1359" s="513">
        <f>+SUM(AJ1360:AJ1367)</f>
        <v>0</v>
      </c>
      <c r="AK1359" s="198"/>
      <c r="AL1359" s="198"/>
      <c r="AM1359" s="198"/>
      <c r="AN1359" s="82" t="s">
        <v>181</v>
      </c>
      <c r="AO1359" s="82"/>
      <c r="AP1359" s="82"/>
      <c r="AQ1359" s="365"/>
      <c r="AR1359" s="82"/>
      <c r="AS1359" s="483"/>
      <c r="AT1359" s="82"/>
      <c r="AU1359" s="666"/>
      <c r="AV1359" s="449" t="s">
        <v>1579</v>
      </c>
    </row>
    <row r="1360" spans="1:61" outlineLevel="3" x14ac:dyDescent="0.25">
      <c r="A1360" s="63" t="str">
        <f t="shared" si="229"/>
        <v>4.16.3.1.1.58</v>
      </c>
      <c r="B1360" s="64">
        <v>4</v>
      </c>
      <c r="C1360" s="64">
        <v>16</v>
      </c>
      <c r="D1360" s="64">
        <v>3</v>
      </c>
      <c r="E1360" s="64">
        <v>1</v>
      </c>
      <c r="F1360" s="64">
        <v>1</v>
      </c>
      <c r="G1360" s="64">
        <v>58</v>
      </c>
      <c r="H1360" s="65"/>
      <c r="I1360" s="65"/>
      <c r="J1360" s="66"/>
      <c r="K1360" s="65" t="s">
        <v>1580</v>
      </c>
      <c r="L1360" s="64" t="s">
        <v>1576</v>
      </c>
      <c r="M1360" s="64" t="s">
        <v>144</v>
      </c>
      <c r="N1360" s="64" t="s">
        <v>265</v>
      </c>
      <c r="O1360" s="64" t="s">
        <v>1544</v>
      </c>
      <c r="P1360" s="64"/>
      <c r="Q1360" s="64"/>
      <c r="R1360" s="170">
        <v>12</v>
      </c>
      <c r="S1360" s="65" t="s">
        <v>1581</v>
      </c>
      <c r="T1360" s="64">
        <v>3</v>
      </c>
      <c r="U1360" s="179">
        <f>$AH1360/4</f>
        <v>0</v>
      </c>
      <c r="V1360" s="674">
        <v>0</v>
      </c>
      <c r="W1360" s="75">
        <v>3</v>
      </c>
      <c r="X1360" s="75"/>
      <c r="Y1360" s="75"/>
      <c r="Z1360" s="75">
        <v>3</v>
      </c>
      <c r="AA1360" s="75"/>
      <c r="AB1360" s="75"/>
      <c r="AC1360" s="97">
        <v>3</v>
      </c>
      <c r="AD1360" s="97"/>
      <c r="AE1360" s="591"/>
      <c r="AF1360" s="259" t="s">
        <v>1582</v>
      </c>
      <c r="AG1360" s="510">
        <v>0</v>
      </c>
      <c r="AH1360" s="370">
        <v>0</v>
      </c>
      <c r="AI1360" s="75"/>
      <c r="AJ1360" s="75"/>
      <c r="AK1360" s="75"/>
      <c r="AL1360" s="75"/>
      <c r="AM1360" s="75"/>
      <c r="AN1360" s="64" t="s">
        <v>181</v>
      </c>
      <c r="AO1360" s="64"/>
      <c r="AP1360" s="64"/>
      <c r="AQ1360" s="189"/>
      <c r="AR1360" s="64"/>
      <c r="AS1360" s="476"/>
      <c r="AT1360" s="64"/>
      <c r="AU1360" s="646"/>
      <c r="AV1360" s="185"/>
    </row>
    <row r="1361" spans="1:48" ht="30" outlineLevel="3" x14ac:dyDescent="0.25">
      <c r="A1361" s="63" t="str">
        <f t="shared" si="229"/>
        <v>4.16.3.1.2.58</v>
      </c>
      <c r="B1361" s="64">
        <v>4</v>
      </c>
      <c r="C1361" s="64">
        <v>16</v>
      </c>
      <c r="D1361" s="64">
        <v>3</v>
      </c>
      <c r="E1361" s="64">
        <v>1</v>
      </c>
      <c r="F1361" s="64">
        <v>2</v>
      </c>
      <c r="G1361" s="64">
        <v>58</v>
      </c>
      <c r="H1361" s="65"/>
      <c r="I1361" s="65"/>
      <c r="J1361" s="66"/>
      <c r="K1361" s="65" t="s">
        <v>1583</v>
      </c>
      <c r="L1361" s="64" t="s">
        <v>1475</v>
      </c>
      <c r="M1361" s="64" t="s">
        <v>1318</v>
      </c>
      <c r="N1361" s="64" t="s">
        <v>1223</v>
      </c>
      <c r="O1361" s="64" t="s">
        <v>1544</v>
      </c>
      <c r="P1361" s="69"/>
      <c r="Q1361" s="69"/>
      <c r="R1361" s="64">
        <v>12</v>
      </c>
      <c r="S1361" s="65" t="s">
        <v>1581</v>
      </c>
      <c r="T1361" s="64">
        <v>3</v>
      </c>
      <c r="U1361" s="179">
        <v>45000</v>
      </c>
      <c r="V1361" s="674">
        <v>0</v>
      </c>
      <c r="W1361" s="75">
        <v>3</v>
      </c>
      <c r="X1361" s="179">
        <v>45000</v>
      </c>
      <c r="Y1361" s="179"/>
      <c r="Z1361" s="75">
        <v>3</v>
      </c>
      <c r="AA1361" s="179"/>
      <c r="AB1361" s="179"/>
      <c r="AC1361" s="97"/>
      <c r="AD1361" s="179"/>
      <c r="AE1361" s="616"/>
      <c r="AF1361" s="259" t="s">
        <v>1584</v>
      </c>
      <c r="AG1361" s="510">
        <v>90000</v>
      </c>
      <c r="AH1361" s="370">
        <f>12*15000/2</f>
        <v>90000</v>
      </c>
      <c r="AI1361" s="75"/>
      <c r="AJ1361" s="75"/>
      <c r="AK1361" s="75"/>
      <c r="AL1361" s="75"/>
      <c r="AM1361" s="75"/>
      <c r="AN1361" s="64" t="s">
        <v>181</v>
      </c>
      <c r="AO1361" s="64"/>
      <c r="AP1361" s="64"/>
      <c r="AQ1361" s="189"/>
      <c r="AR1361" s="64"/>
      <c r="AS1361" s="476"/>
      <c r="AT1361" s="64"/>
      <c r="AU1361" s="646"/>
      <c r="AV1361" s="335" t="s">
        <v>1585</v>
      </c>
    </row>
    <row r="1362" spans="1:48" outlineLevel="3" x14ac:dyDescent="0.25">
      <c r="A1362" s="63" t="str">
        <f t="shared" si="229"/>
        <v>4.16.3.1.3.58</v>
      </c>
      <c r="B1362" s="64">
        <v>4</v>
      </c>
      <c r="C1362" s="64">
        <v>16</v>
      </c>
      <c r="D1362" s="64">
        <v>3</v>
      </c>
      <c r="E1362" s="64">
        <v>1</v>
      </c>
      <c r="F1362" s="64">
        <v>3</v>
      </c>
      <c r="G1362" s="64">
        <v>58</v>
      </c>
      <c r="H1362" s="65"/>
      <c r="I1362" s="65"/>
      <c r="J1362" s="66"/>
      <c r="K1362" s="65" t="s">
        <v>1586</v>
      </c>
      <c r="L1362" s="64" t="s">
        <v>1475</v>
      </c>
      <c r="M1362" s="64" t="s">
        <v>1318</v>
      </c>
      <c r="N1362" s="64" t="s">
        <v>1249</v>
      </c>
      <c r="O1362" s="64" t="s">
        <v>1544</v>
      </c>
      <c r="P1362" s="69"/>
      <c r="Q1362" s="69"/>
      <c r="R1362" s="171">
        <v>6</v>
      </c>
      <c r="S1362" s="65"/>
      <c r="T1362" s="64">
        <v>1</v>
      </c>
      <c r="U1362" s="179">
        <f>$AH1362/4</f>
        <v>0</v>
      </c>
      <c r="V1362" s="674">
        <v>0</v>
      </c>
      <c r="W1362" s="75">
        <v>2</v>
      </c>
      <c r="X1362" s="179">
        <f>$AH1362/4</f>
        <v>0</v>
      </c>
      <c r="Y1362" s="179"/>
      <c r="Z1362" s="75">
        <v>1</v>
      </c>
      <c r="AA1362" s="179">
        <f>$AH1362/4</f>
        <v>0</v>
      </c>
      <c r="AB1362" s="179"/>
      <c r="AC1362" s="97">
        <v>2</v>
      </c>
      <c r="AD1362" s="179">
        <f>$AH1362/4</f>
        <v>0</v>
      </c>
      <c r="AE1362" s="616"/>
      <c r="AF1362" s="259" t="s">
        <v>1587</v>
      </c>
      <c r="AG1362" s="510">
        <v>0</v>
      </c>
      <c r="AH1362" s="370">
        <v>0</v>
      </c>
      <c r="AI1362" s="75"/>
      <c r="AJ1362" s="75"/>
      <c r="AK1362" s="75"/>
      <c r="AL1362" s="75"/>
      <c r="AM1362" s="75"/>
      <c r="AN1362" s="64" t="s">
        <v>181</v>
      </c>
      <c r="AO1362" s="64"/>
      <c r="AP1362" s="64"/>
      <c r="AQ1362" s="189"/>
      <c r="AR1362" s="64"/>
      <c r="AS1362" s="476"/>
      <c r="AT1362" s="64"/>
      <c r="AU1362" s="646"/>
      <c r="AV1362" s="185" t="s">
        <v>127</v>
      </c>
    </row>
    <row r="1363" spans="1:48" outlineLevel="3" x14ac:dyDescent="0.25">
      <c r="A1363" s="63" t="str">
        <f t="shared" si="229"/>
        <v>4.16.3.1.4.58</v>
      </c>
      <c r="B1363" s="64">
        <v>4</v>
      </c>
      <c r="C1363" s="64">
        <v>16</v>
      </c>
      <c r="D1363" s="64">
        <v>3</v>
      </c>
      <c r="E1363" s="64">
        <v>1</v>
      </c>
      <c r="F1363" s="64">
        <v>4</v>
      </c>
      <c r="G1363" s="64">
        <v>58</v>
      </c>
      <c r="H1363" s="65"/>
      <c r="I1363" s="65"/>
      <c r="J1363" s="66"/>
      <c r="K1363" s="65" t="s">
        <v>1588</v>
      </c>
      <c r="L1363" s="64" t="s">
        <v>1475</v>
      </c>
      <c r="M1363" s="64" t="s">
        <v>1318</v>
      </c>
      <c r="N1363" s="64" t="s">
        <v>74</v>
      </c>
      <c r="O1363" s="64" t="s">
        <v>1524</v>
      </c>
      <c r="P1363" s="69"/>
      <c r="Q1363" s="69"/>
      <c r="R1363" s="171">
        <v>14</v>
      </c>
      <c r="S1363" s="65" t="s">
        <v>1589</v>
      </c>
      <c r="T1363" s="64">
        <v>5</v>
      </c>
      <c r="U1363" s="179">
        <f>$AH1363/3</f>
        <v>39666.666666666664</v>
      </c>
      <c r="V1363" s="674">
        <v>0</v>
      </c>
      <c r="W1363" s="75">
        <v>4</v>
      </c>
      <c r="X1363" s="179">
        <f>$AH1363/3</f>
        <v>39666.666666666664</v>
      </c>
      <c r="Y1363" s="179"/>
      <c r="Z1363" s="75">
        <v>5</v>
      </c>
      <c r="AA1363" s="179">
        <f>$AH1363/3</f>
        <v>39666.666666666664</v>
      </c>
      <c r="AB1363" s="179"/>
      <c r="AC1363" s="97"/>
      <c r="AD1363" s="179"/>
      <c r="AE1363" s="616"/>
      <c r="AF1363" s="259" t="s">
        <v>1590</v>
      </c>
      <c r="AG1363" s="510">
        <v>119000</v>
      </c>
      <c r="AH1363" s="370">
        <f>14*8500</f>
        <v>119000</v>
      </c>
      <c r="AI1363" s="75"/>
      <c r="AJ1363" s="75"/>
      <c r="AK1363" s="75"/>
      <c r="AL1363" s="75"/>
      <c r="AM1363" s="75"/>
      <c r="AN1363" s="64" t="s">
        <v>181</v>
      </c>
      <c r="AO1363" s="64"/>
      <c r="AP1363" s="64"/>
      <c r="AQ1363" s="189"/>
      <c r="AR1363" s="64"/>
      <c r="AS1363" s="476"/>
      <c r="AT1363" s="64"/>
      <c r="AU1363" s="646"/>
      <c r="AV1363" s="185"/>
    </row>
    <row r="1364" spans="1:48" outlineLevel="3" x14ac:dyDescent="0.25">
      <c r="A1364" s="63" t="str">
        <f t="shared" si="229"/>
        <v>4.16.3.1.5.58</v>
      </c>
      <c r="B1364" s="64">
        <v>4</v>
      </c>
      <c r="C1364" s="64">
        <v>16</v>
      </c>
      <c r="D1364" s="64">
        <v>3</v>
      </c>
      <c r="E1364" s="64">
        <v>1</v>
      </c>
      <c r="F1364" s="64">
        <v>5</v>
      </c>
      <c r="G1364" s="64">
        <v>58</v>
      </c>
      <c r="H1364" s="65"/>
      <c r="I1364" s="65"/>
      <c r="J1364" s="66"/>
      <c r="K1364" s="65" t="s">
        <v>1591</v>
      </c>
      <c r="L1364" s="64" t="s">
        <v>1475</v>
      </c>
      <c r="M1364" s="64" t="s">
        <v>1318</v>
      </c>
      <c r="N1364" s="64" t="s">
        <v>74</v>
      </c>
      <c r="O1364" s="64" t="s">
        <v>1524</v>
      </c>
      <c r="P1364" s="69"/>
      <c r="Q1364" s="69"/>
      <c r="R1364" s="171">
        <f>4*2</f>
        <v>8</v>
      </c>
      <c r="S1364" s="65" t="s">
        <v>1589</v>
      </c>
      <c r="T1364" s="64">
        <v>4</v>
      </c>
      <c r="U1364" s="179">
        <f>$AH1364/2</f>
        <v>28000</v>
      </c>
      <c r="V1364" s="674">
        <v>0</v>
      </c>
      <c r="W1364" s="75"/>
      <c r="X1364" s="179"/>
      <c r="Y1364" s="179"/>
      <c r="Z1364" s="75">
        <v>4</v>
      </c>
      <c r="AA1364" s="179">
        <f>$AH1364/2</f>
        <v>28000</v>
      </c>
      <c r="AB1364" s="179"/>
      <c r="AC1364" s="97"/>
      <c r="AD1364" s="179"/>
      <c r="AE1364" s="616"/>
      <c r="AF1364" s="259" t="s">
        <v>1592</v>
      </c>
      <c r="AG1364" s="510">
        <v>56000</v>
      </c>
      <c r="AH1364" s="370">
        <f>8*7000</f>
        <v>56000</v>
      </c>
      <c r="AI1364" s="75"/>
      <c r="AJ1364" s="75"/>
      <c r="AK1364" s="75"/>
      <c r="AL1364" s="75"/>
      <c r="AM1364" s="75"/>
      <c r="AN1364" s="64" t="s">
        <v>181</v>
      </c>
      <c r="AO1364" s="64"/>
      <c r="AP1364" s="64"/>
      <c r="AQ1364" s="189"/>
      <c r="AR1364" s="64"/>
      <c r="AS1364" s="476"/>
      <c r="AT1364" s="64"/>
      <c r="AU1364" s="646"/>
      <c r="AV1364" s="185"/>
    </row>
    <row r="1365" spans="1:48" outlineLevel="3" x14ac:dyDescent="0.25">
      <c r="A1365" s="63" t="str">
        <f t="shared" si="229"/>
        <v>4.16.3.1.6.58</v>
      </c>
      <c r="B1365" s="64">
        <v>4</v>
      </c>
      <c r="C1365" s="64">
        <v>16</v>
      </c>
      <c r="D1365" s="64">
        <v>3</v>
      </c>
      <c r="E1365" s="64">
        <v>1</v>
      </c>
      <c r="F1365" s="64">
        <v>6</v>
      </c>
      <c r="G1365" s="64">
        <v>58</v>
      </c>
      <c r="H1365" s="65"/>
      <c r="I1365" s="65"/>
      <c r="J1365" s="66"/>
      <c r="K1365" s="65" t="s">
        <v>1593</v>
      </c>
      <c r="L1365" s="64" t="s">
        <v>1475</v>
      </c>
      <c r="M1365" s="64" t="s">
        <v>1318</v>
      </c>
      <c r="N1365" s="64" t="s">
        <v>74</v>
      </c>
      <c r="O1365" s="64" t="s">
        <v>1475</v>
      </c>
      <c r="P1365" s="69"/>
      <c r="Q1365" s="69"/>
      <c r="R1365" s="171">
        <v>1</v>
      </c>
      <c r="S1365" s="65" t="s">
        <v>1589</v>
      </c>
      <c r="T1365" s="64"/>
      <c r="U1365" s="179">
        <f>$AH1365/4</f>
        <v>0</v>
      </c>
      <c r="V1365" s="674">
        <v>0</v>
      </c>
      <c r="W1365" s="75">
        <v>1</v>
      </c>
      <c r="X1365" s="179">
        <f>$AH1365/4</f>
        <v>0</v>
      </c>
      <c r="Y1365" s="179"/>
      <c r="Z1365" s="75"/>
      <c r="AA1365" s="179">
        <f>$AH1365/4</f>
        <v>0</v>
      </c>
      <c r="AB1365" s="179"/>
      <c r="AC1365" s="97"/>
      <c r="AD1365" s="179">
        <f>$AH1365/4</f>
        <v>0</v>
      </c>
      <c r="AE1365" s="616"/>
      <c r="AF1365" s="259" t="s">
        <v>1593</v>
      </c>
      <c r="AG1365" s="510">
        <v>0</v>
      </c>
      <c r="AH1365" s="370">
        <v>0</v>
      </c>
      <c r="AI1365" s="75"/>
      <c r="AJ1365" s="75"/>
      <c r="AK1365" s="75"/>
      <c r="AL1365" s="75"/>
      <c r="AM1365" s="75"/>
      <c r="AN1365" s="64" t="s">
        <v>181</v>
      </c>
      <c r="AO1365" s="64"/>
      <c r="AP1365" s="64"/>
      <c r="AQ1365" s="189"/>
      <c r="AR1365" s="64"/>
      <c r="AS1365" s="476"/>
      <c r="AT1365" s="64"/>
      <c r="AU1365" s="646"/>
      <c r="AV1365" s="185"/>
    </row>
    <row r="1366" spans="1:48" outlineLevel="3" x14ac:dyDescent="0.25">
      <c r="A1366" s="63" t="str">
        <f t="shared" si="229"/>
        <v>4.16.3.1.7.58</v>
      </c>
      <c r="B1366" s="64">
        <v>4</v>
      </c>
      <c r="C1366" s="64">
        <v>16</v>
      </c>
      <c r="D1366" s="64">
        <v>3</v>
      </c>
      <c r="E1366" s="64">
        <v>1</v>
      </c>
      <c r="F1366" s="64">
        <v>7</v>
      </c>
      <c r="G1366" s="64">
        <v>58</v>
      </c>
      <c r="H1366" s="65"/>
      <c r="I1366" s="65"/>
      <c r="J1366" s="66"/>
      <c r="K1366" s="65" t="s">
        <v>1594</v>
      </c>
      <c r="L1366" s="64" t="s">
        <v>1475</v>
      </c>
      <c r="M1366" s="64" t="s">
        <v>1318</v>
      </c>
      <c r="N1366" s="64" t="s">
        <v>74</v>
      </c>
      <c r="O1366" s="64" t="s">
        <v>1475</v>
      </c>
      <c r="P1366" s="69"/>
      <c r="Q1366" s="69"/>
      <c r="R1366" s="64">
        <v>1</v>
      </c>
      <c r="S1366" s="65" t="s">
        <v>1589</v>
      </c>
      <c r="T1366" s="64"/>
      <c r="U1366" s="179">
        <f>$AH1366/4</f>
        <v>0</v>
      </c>
      <c r="V1366" s="674">
        <v>0</v>
      </c>
      <c r="W1366" s="75">
        <v>1</v>
      </c>
      <c r="X1366" s="179">
        <f>$AH1366/4</f>
        <v>0</v>
      </c>
      <c r="Y1366" s="179"/>
      <c r="Z1366" s="75"/>
      <c r="AA1366" s="179">
        <f>$AH1366/4</f>
        <v>0</v>
      </c>
      <c r="AB1366" s="179"/>
      <c r="AC1366" s="97"/>
      <c r="AD1366" s="179">
        <f>$AH1366/4</f>
        <v>0</v>
      </c>
      <c r="AE1366" s="616"/>
      <c r="AF1366" s="259" t="s">
        <v>1595</v>
      </c>
      <c r="AG1366" s="510">
        <v>0</v>
      </c>
      <c r="AH1366" s="370">
        <v>0</v>
      </c>
      <c r="AI1366" s="75"/>
      <c r="AJ1366" s="75"/>
      <c r="AK1366" s="75"/>
      <c r="AL1366" s="75"/>
      <c r="AM1366" s="75"/>
      <c r="AN1366" s="64" t="s">
        <v>181</v>
      </c>
      <c r="AO1366" s="64"/>
      <c r="AP1366" s="64"/>
      <c r="AQ1366" s="189"/>
      <c r="AR1366" s="64"/>
      <c r="AS1366" s="476"/>
      <c r="AT1366" s="64"/>
      <c r="AU1366" s="646"/>
      <c r="AV1366" s="185"/>
    </row>
    <row r="1367" spans="1:48" outlineLevel="3" x14ac:dyDescent="0.25">
      <c r="A1367" s="63" t="str">
        <f t="shared" si="229"/>
        <v>4.16.3.1.8.58</v>
      </c>
      <c r="B1367" s="64">
        <v>4</v>
      </c>
      <c r="C1367" s="64">
        <v>16</v>
      </c>
      <c r="D1367" s="64">
        <v>3</v>
      </c>
      <c r="E1367" s="64">
        <v>1</v>
      </c>
      <c r="F1367" s="64">
        <v>8</v>
      </c>
      <c r="G1367" s="64">
        <v>58</v>
      </c>
      <c r="H1367" s="65"/>
      <c r="I1367" s="65"/>
      <c r="J1367" s="66"/>
      <c r="K1367" s="65" t="s">
        <v>1596</v>
      </c>
      <c r="L1367" s="64" t="s">
        <v>1475</v>
      </c>
      <c r="M1367" s="64" t="s">
        <v>1318</v>
      </c>
      <c r="N1367" s="64" t="s">
        <v>74</v>
      </c>
      <c r="O1367" s="64" t="s">
        <v>1475</v>
      </c>
      <c r="P1367" s="69"/>
      <c r="Q1367" s="69"/>
      <c r="R1367" s="64">
        <v>12</v>
      </c>
      <c r="S1367" s="65" t="s">
        <v>1597</v>
      </c>
      <c r="T1367" s="64">
        <v>3</v>
      </c>
      <c r="U1367" s="179">
        <f>$AH1367/4</f>
        <v>7500</v>
      </c>
      <c r="V1367" s="674">
        <v>0</v>
      </c>
      <c r="W1367" s="75">
        <v>3</v>
      </c>
      <c r="X1367" s="179">
        <f>$AH1367/4</f>
        <v>7500</v>
      </c>
      <c r="Y1367" s="179"/>
      <c r="Z1367" s="75">
        <v>3</v>
      </c>
      <c r="AA1367" s="179">
        <f>$AH1367/4</f>
        <v>7500</v>
      </c>
      <c r="AB1367" s="179"/>
      <c r="AC1367" s="97">
        <v>3</v>
      </c>
      <c r="AD1367" s="179">
        <f>$AH1367/4</f>
        <v>7500</v>
      </c>
      <c r="AE1367" s="616"/>
      <c r="AF1367" s="259" t="s">
        <v>765</v>
      </c>
      <c r="AG1367" s="510">
        <v>30000</v>
      </c>
      <c r="AH1367" s="370">
        <f>12*5000/2</f>
        <v>30000</v>
      </c>
      <c r="AI1367" s="75"/>
      <c r="AJ1367" s="75"/>
      <c r="AK1367" s="75"/>
      <c r="AL1367" s="75"/>
      <c r="AM1367" s="75"/>
      <c r="AN1367" s="64" t="s">
        <v>181</v>
      </c>
      <c r="AO1367" s="64"/>
      <c r="AP1367" s="64"/>
      <c r="AQ1367" s="189"/>
      <c r="AR1367" s="64"/>
      <c r="AS1367" s="476"/>
      <c r="AT1367" s="64"/>
      <c r="AU1367" s="646"/>
      <c r="AV1367" s="185" t="s">
        <v>780</v>
      </c>
    </row>
    <row r="1368" spans="1:48" s="153" customFormat="1" ht="53.25" customHeight="1" outlineLevel="2" x14ac:dyDescent="0.25">
      <c r="A1368" s="148" t="str">
        <f t="shared" si="229"/>
        <v>4.16.3.2.0.59</v>
      </c>
      <c r="B1368" s="82">
        <v>4</v>
      </c>
      <c r="C1368" s="82">
        <v>16</v>
      </c>
      <c r="D1368" s="82">
        <v>3</v>
      </c>
      <c r="E1368" s="82">
        <v>2</v>
      </c>
      <c r="F1368" s="82">
        <v>0</v>
      </c>
      <c r="G1368" s="82">
        <v>59</v>
      </c>
      <c r="H1368" s="149"/>
      <c r="I1368" s="149"/>
      <c r="J1368" s="1260" t="s">
        <v>1598</v>
      </c>
      <c r="K1368" s="1259"/>
      <c r="L1368" s="82" t="s">
        <v>1576</v>
      </c>
      <c r="M1368" s="82" t="s">
        <v>1464</v>
      </c>
      <c r="N1368" s="82" t="s">
        <v>1444</v>
      </c>
      <c r="O1368" s="82" t="s">
        <v>1204</v>
      </c>
      <c r="P1368" s="82"/>
      <c r="Q1368" s="82"/>
      <c r="R1368" s="82"/>
      <c r="S1368" s="149"/>
      <c r="T1368" s="82"/>
      <c r="U1368" s="209">
        <f>SUM(U1369:U1376)</f>
        <v>127166.66666666666</v>
      </c>
      <c r="V1368" s="682">
        <f t="shared" ref="V1368:AG1368" si="238">+SUM(V1369:V1376)</f>
        <v>0</v>
      </c>
      <c r="W1368" s="380">
        <f t="shared" si="238"/>
        <v>17</v>
      </c>
      <c r="X1368" s="380">
        <f t="shared" si="238"/>
        <v>92166.666666666657</v>
      </c>
      <c r="Y1368" s="380">
        <f t="shared" si="238"/>
        <v>0</v>
      </c>
      <c r="Z1368" s="380">
        <f t="shared" si="238"/>
        <v>20</v>
      </c>
      <c r="AA1368" s="380">
        <f t="shared" si="238"/>
        <v>82166.666666666657</v>
      </c>
      <c r="AB1368" s="380">
        <f t="shared" si="238"/>
        <v>0</v>
      </c>
      <c r="AC1368" s="380">
        <f t="shared" si="238"/>
        <v>11</v>
      </c>
      <c r="AD1368" s="380">
        <f t="shared" si="238"/>
        <v>7500</v>
      </c>
      <c r="AE1368" s="380">
        <f t="shared" si="238"/>
        <v>0</v>
      </c>
      <c r="AF1368" s="380">
        <f t="shared" si="238"/>
        <v>0</v>
      </c>
      <c r="AG1368" s="380">
        <f t="shared" si="238"/>
        <v>309000</v>
      </c>
      <c r="AH1368" s="380">
        <f>+SUM(AH1369:AH1376)</f>
        <v>309000</v>
      </c>
      <c r="AI1368" s="513">
        <f>+SUM(AI1369:AI1376)</f>
        <v>0</v>
      </c>
      <c r="AJ1368" s="513">
        <f>+SUM(AJ1369:AJ1376)</f>
        <v>0</v>
      </c>
      <c r="AK1368" s="198"/>
      <c r="AL1368" s="198"/>
      <c r="AM1368" s="198"/>
      <c r="AN1368" s="82" t="s">
        <v>181</v>
      </c>
      <c r="AO1368" s="82"/>
      <c r="AP1368" s="82"/>
      <c r="AQ1368" s="365"/>
      <c r="AR1368" s="82"/>
      <c r="AS1368" s="483"/>
      <c r="AT1368" s="82"/>
      <c r="AU1368" s="666"/>
      <c r="AV1368" s="449" t="s">
        <v>1579</v>
      </c>
    </row>
    <row r="1369" spans="1:48" ht="18" customHeight="1" outlineLevel="3" x14ac:dyDescent="0.25">
      <c r="A1369" s="63" t="str">
        <f t="shared" si="229"/>
        <v>4.16.3.2.1.59</v>
      </c>
      <c r="B1369" s="64">
        <v>4</v>
      </c>
      <c r="C1369" s="64">
        <v>16</v>
      </c>
      <c r="D1369" s="64">
        <v>3</v>
      </c>
      <c r="E1369" s="64">
        <v>2</v>
      </c>
      <c r="F1369" s="64">
        <v>1</v>
      </c>
      <c r="G1369" s="64">
        <v>59</v>
      </c>
      <c r="H1369" s="65"/>
      <c r="I1369" s="65"/>
      <c r="J1369" s="66"/>
      <c r="K1369" s="65" t="s">
        <v>1580</v>
      </c>
      <c r="L1369" s="64" t="s">
        <v>1576</v>
      </c>
      <c r="M1369" s="64" t="s">
        <v>144</v>
      </c>
      <c r="N1369" s="64" t="s">
        <v>265</v>
      </c>
      <c r="O1369" s="64" t="s">
        <v>1544</v>
      </c>
      <c r="P1369" s="64"/>
      <c r="Q1369" s="64"/>
      <c r="R1369" s="64">
        <v>12</v>
      </c>
      <c r="S1369" s="65" t="s">
        <v>1581</v>
      </c>
      <c r="T1369" s="64">
        <v>3</v>
      </c>
      <c r="U1369" s="75">
        <f>$AH1369/4</f>
        <v>0</v>
      </c>
      <c r="V1369" s="674">
        <v>0</v>
      </c>
      <c r="W1369" s="75">
        <v>3</v>
      </c>
      <c r="X1369" s="75">
        <f>$AH1369/4</f>
        <v>0</v>
      </c>
      <c r="Y1369" s="75"/>
      <c r="Z1369" s="75">
        <v>3</v>
      </c>
      <c r="AA1369" s="75">
        <f>$AH1369/4</f>
        <v>0</v>
      </c>
      <c r="AB1369" s="75"/>
      <c r="AC1369" s="97">
        <v>3</v>
      </c>
      <c r="AD1369" s="75">
        <f>$AH1369/4</f>
        <v>0</v>
      </c>
      <c r="AE1369" s="592"/>
      <c r="AF1369" s="259" t="s">
        <v>1582</v>
      </c>
      <c r="AG1369" s="510">
        <v>0</v>
      </c>
      <c r="AH1369" s="370">
        <v>0</v>
      </c>
      <c r="AI1369" s="75"/>
      <c r="AJ1369" s="75"/>
      <c r="AK1369" s="75"/>
      <c r="AL1369" s="75"/>
      <c r="AM1369" s="75"/>
      <c r="AN1369" s="64" t="s">
        <v>181</v>
      </c>
      <c r="AO1369" s="64"/>
      <c r="AP1369" s="64"/>
      <c r="AQ1369" s="189"/>
      <c r="AR1369" s="64"/>
      <c r="AS1369" s="476"/>
      <c r="AT1369" s="64"/>
      <c r="AU1369" s="646"/>
      <c r="AV1369" s="185"/>
    </row>
    <row r="1370" spans="1:48" ht="32.25" customHeight="1" outlineLevel="3" x14ac:dyDescent="0.25">
      <c r="A1370" s="63" t="str">
        <f t="shared" si="229"/>
        <v>4.16.3.2.2.59</v>
      </c>
      <c r="B1370" s="64">
        <v>4</v>
      </c>
      <c r="C1370" s="64">
        <v>16</v>
      </c>
      <c r="D1370" s="64">
        <v>3</v>
      </c>
      <c r="E1370" s="64">
        <v>2</v>
      </c>
      <c r="F1370" s="64">
        <v>2</v>
      </c>
      <c r="G1370" s="64">
        <v>59</v>
      </c>
      <c r="H1370" s="65"/>
      <c r="I1370" s="65"/>
      <c r="J1370" s="66"/>
      <c r="K1370" s="65" t="s">
        <v>1583</v>
      </c>
      <c r="L1370" s="64" t="s">
        <v>1475</v>
      </c>
      <c r="M1370" s="64" t="s">
        <v>1318</v>
      </c>
      <c r="N1370" s="64" t="s">
        <v>1223</v>
      </c>
      <c r="O1370" s="64" t="s">
        <v>1544</v>
      </c>
      <c r="P1370" s="69"/>
      <c r="Q1370" s="69"/>
      <c r="R1370" s="64">
        <v>12</v>
      </c>
      <c r="S1370" s="65" t="s">
        <v>1581</v>
      </c>
      <c r="T1370" s="64">
        <v>3</v>
      </c>
      <c r="U1370" s="179">
        <v>45000</v>
      </c>
      <c r="V1370" s="674">
        <v>0</v>
      </c>
      <c r="W1370" s="75">
        <v>3</v>
      </c>
      <c r="X1370" s="179">
        <v>45000</v>
      </c>
      <c r="Y1370" s="179"/>
      <c r="Z1370" s="75">
        <v>3</v>
      </c>
      <c r="AA1370" s="75"/>
      <c r="AB1370" s="75"/>
      <c r="AC1370" s="97">
        <v>3</v>
      </c>
      <c r="AD1370" s="75"/>
      <c r="AE1370" s="592"/>
      <c r="AF1370" s="259" t="s">
        <v>1584</v>
      </c>
      <c r="AG1370" s="510">
        <f>12*15000/2</f>
        <v>90000</v>
      </c>
      <c r="AH1370" s="370">
        <f>12*15000/2</f>
        <v>90000</v>
      </c>
      <c r="AI1370" s="75"/>
      <c r="AJ1370" s="75"/>
      <c r="AK1370" s="75"/>
      <c r="AL1370" s="75"/>
      <c r="AM1370" s="75"/>
      <c r="AN1370" s="64" t="s">
        <v>181</v>
      </c>
      <c r="AO1370" s="64"/>
      <c r="AP1370" s="64"/>
      <c r="AQ1370" s="189"/>
      <c r="AR1370" s="64"/>
      <c r="AS1370" s="476"/>
      <c r="AT1370" s="64"/>
      <c r="AU1370" s="646"/>
      <c r="AV1370" s="335" t="s">
        <v>1585</v>
      </c>
    </row>
    <row r="1371" spans="1:48" ht="15" customHeight="1" outlineLevel="3" x14ac:dyDescent="0.25">
      <c r="A1371" s="63" t="str">
        <f t="shared" si="229"/>
        <v>4.16.3.2.3.59</v>
      </c>
      <c r="B1371" s="64">
        <v>4</v>
      </c>
      <c r="C1371" s="64">
        <v>16</v>
      </c>
      <c r="D1371" s="64">
        <v>3</v>
      </c>
      <c r="E1371" s="64">
        <v>2</v>
      </c>
      <c r="F1371" s="64">
        <v>3</v>
      </c>
      <c r="G1371" s="64">
        <v>59</v>
      </c>
      <c r="H1371" s="65"/>
      <c r="I1371" s="65"/>
      <c r="J1371" s="66"/>
      <c r="K1371" s="65" t="s">
        <v>1586</v>
      </c>
      <c r="L1371" s="64" t="s">
        <v>1475</v>
      </c>
      <c r="M1371" s="64" t="s">
        <v>1318</v>
      </c>
      <c r="N1371" s="64" t="s">
        <v>1249</v>
      </c>
      <c r="O1371" s="64" t="s">
        <v>1544</v>
      </c>
      <c r="P1371" s="69"/>
      <c r="Q1371" s="69"/>
      <c r="R1371" s="171">
        <v>6</v>
      </c>
      <c r="S1371" s="65"/>
      <c r="T1371" s="64">
        <v>1</v>
      </c>
      <c r="U1371" s="75">
        <f>$AH1371/4</f>
        <v>0</v>
      </c>
      <c r="V1371" s="674">
        <v>0</v>
      </c>
      <c r="W1371" s="75">
        <v>2</v>
      </c>
      <c r="X1371" s="75">
        <f>$AH1371/4</f>
        <v>0</v>
      </c>
      <c r="Y1371" s="75"/>
      <c r="Z1371" s="75">
        <v>1</v>
      </c>
      <c r="AA1371" s="75">
        <f>$AH1371/4</f>
        <v>0</v>
      </c>
      <c r="AB1371" s="75"/>
      <c r="AC1371" s="97">
        <v>2</v>
      </c>
      <c r="AD1371" s="75">
        <f>$AH1371/4</f>
        <v>0</v>
      </c>
      <c r="AE1371" s="592"/>
      <c r="AF1371" s="259" t="s">
        <v>1587</v>
      </c>
      <c r="AG1371" s="510">
        <v>0</v>
      </c>
      <c r="AH1371" s="370">
        <v>0</v>
      </c>
      <c r="AI1371" s="75"/>
      <c r="AJ1371" s="75"/>
      <c r="AK1371" s="75"/>
      <c r="AL1371" s="75"/>
      <c r="AM1371" s="75"/>
      <c r="AN1371" s="64" t="s">
        <v>181</v>
      </c>
      <c r="AO1371" s="64"/>
      <c r="AP1371" s="64"/>
      <c r="AQ1371" s="189"/>
      <c r="AR1371" s="64"/>
      <c r="AS1371" s="476"/>
      <c r="AT1371" s="64"/>
      <c r="AU1371" s="646"/>
      <c r="AV1371" s="185" t="s">
        <v>127</v>
      </c>
    </row>
    <row r="1372" spans="1:48" ht="15" customHeight="1" outlineLevel="3" x14ac:dyDescent="0.25">
      <c r="A1372" s="63" t="str">
        <f t="shared" si="229"/>
        <v>4.16.3.2.4.59</v>
      </c>
      <c r="B1372" s="64">
        <v>4</v>
      </c>
      <c r="C1372" s="64">
        <v>16</v>
      </c>
      <c r="D1372" s="64">
        <v>3</v>
      </c>
      <c r="E1372" s="64">
        <v>2</v>
      </c>
      <c r="F1372" s="64">
        <v>4</v>
      </c>
      <c r="G1372" s="64">
        <v>59</v>
      </c>
      <c r="H1372" s="65"/>
      <c r="I1372" s="65"/>
      <c r="J1372" s="66"/>
      <c r="K1372" s="65" t="s">
        <v>1588</v>
      </c>
      <c r="L1372" s="64" t="s">
        <v>1475</v>
      </c>
      <c r="M1372" s="64" t="s">
        <v>1318</v>
      </c>
      <c r="N1372" s="64" t="s">
        <v>74</v>
      </c>
      <c r="O1372" s="64" t="s">
        <v>1524</v>
      </c>
      <c r="P1372" s="69"/>
      <c r="Q1372" s="69"/>
      <c r="R1372" s="171">
        <v>14</v>
      </c>
      <c r="S1372" s="65" t="s">
        <v>1589</v>
      </c>
      <c r="T1372" s="64">
        <v>5</v>
      </c>
      <c r="U1372" s="179">
        <f>$AH1372/3</f>
        <v>39666.666666666664</v>
      </c>
      <c r="V1372" s="674">
        <v>0</v>
      </c>
      <c r="W1372" s="75">
        <v>4</v>
      </c>
      <c r="X1372" s="179">
        <f>$AH1372/3</f>
        <v>39666.666666666664</v>
      </c>
      <c r="Y1372" s="179"/>
      <c r="Z1372" s="75">
        <v>5</v>
      </c>
      <c r="AA1372" s="179">
        <f>$AH1372/3</f>
        <v>39666.666666666664</v>
      </c>
      <c r="AB1372" s="179"/>
      <c r="AC1372" s="97"/>
      <c r="AD1372" s="75"/>
      <c r="AE1372" s="592"/>
      <c r="AF1372" s="259" t="s">
        <v>1590</v>
      </c>
      <c r="AG1372" s="510">
        <f>14*8500</f>
        <v>119000</v>
      </c>
      <c r="AH1372" s="370">
        <f>14*8500</f>
        <v>119000</v>
      </c>
      <c r="AI1372" s="75"/>
      <c r="AJ1372" s="75"/>
      <c r="AK1372" s="75"/>
      <c r="AL1372" s="75"/>
      <c r="AM1372" s="75"/>
      <c r="AN1372" s="64" t="s">
        <v>181</v>
      </c>
      <c r="AO1372" s="64"/>
      <c r="AP1372" s="64"/>
      <c r="AQ1372" s="189"/>
      <c r="AR1372" s="64"/>
      <c r="AS1372" s="476"/>
      <c r="AT1372" s="64"/>
      <c r="AU1372" s="646"/>
      <c r="AV1372" s="185"/>
    </row>
    <row r="1373" spans="1:48" ht="15" customHeight="1" outlineLevel="3" x14ac:dyDescent="0.25">
      <c r="A1373" s="63" t="str">
        <f t="shared" si="229"/>
        <v>4.16.3.2.5.59</v>
      </c>
      <c r="B1373" s="64">
        <v>4</v>
      </c>
      <c r="C1373" s="64">
        <v>16</v>
      </c>
      <c r="D1373" s="64">
        <v>3</v>
      </c>
      <c r="E1373" s="64">
        <v>2</v>
      </c>
      <c r="F1373" s="64">
        <v>5</v>
      </c>
      <c r="G1373" s="64">
        <v>59</v>
      </c>
      <c r="H1373" s="65"/>
      <c r="I1373" s="65"/>
      <c r="J1373" s="66"/>
      <c r="K1373" s="65" t="s">
        <v>1591</v>
      </c>
      <c r="L1373" s="64" t="s">
        <v>1475</v>
      </c>
      <c r="M1373" s="64" t="s">
        <v>1318</v>
      </c>
      <c r="N1373" s="64" t="s">
        <v>74</v>
      </c>
      <c r="O1373" s="64" t="s">
        <v>1524</v>
      </c>
      <c r="P1373" s="69"/>
      <c r="Q1373" s="69"/>
      <c r="R1373" s="64">
        <v>10</v>
      </c>
      <c r="S1373" s="65" t="s">
        <v>1589</v>
      </c>
      <c r="T1373" s="64">
        <v>5</v>
      </c>
      <c r="U1373" s="75">
        <f>$AH1373/2</f>
        <v>35000</v>
      </c>
      <c r="V1373" s="674">
        <v>0</v>
      </c>
      <c r="W1373" s="75"/>
      <c r="X1373" s="75"/>
      <c r="Y1373" s="75"/>
      <c r="Z1373" s="75">
        <v>5</v>
      </c>
      <c r="AA1373" s="75">
        <f>$AH1373/2</f>
        <v>35000</v>
      </c>
      <c r="AB1373" s="75"/>
      <c r="AC1373" s="97"/>
      <c r="AD1373" s="75"/>
      <c r="AE1373" s="592"/>
      <c r="AF1373" s="259" t="s">
        <v>1592</v>
      </c>
      <c r="AG1373" s="510">
        <f>10*7000</f>
        <v>70000</v>
      </c>
      <c r="AH1373" s="370">
        <f>10*7000</f>
        <v>70000</v>
      </c>
      <c r="AI1373" s="75"/>
      <c r="AJ1373" s="75"/>
      <c r="AK1373" s="75"/>
      <c r="AL1373" s="75"/>
      <c r="AM1373" s="75"/>
      <c r="AN1373" s="64" t="s">
        <v>181</v>
      </c>
      <c r="AO1373" s="64"/>
      <c r="AP1373" s="64"/>
      <c r="AQ1373" s="189"/>
      <c r="AR1373" s="64"/>
      <c r="AS1373" s="476"/>
      <c r="AT1373" s="64"/>
      <c r="AU1373" s="646"/>
      <c r="AV1373" s="185"/>
    </row>
    <row r="1374" spans="1:48" ht="15" customHeight="1" outlineLevel="3" x14ac:dyDescent="0.25">
      <c r="A1374" s="63" t="str">
        <f t="shared" si="229"/>
        <v>4.16.3.2.6.59</v>
      </c>
      <c r="B1374" s="64">
        <v>4</v>
      </c>
      <c r="C1374" s="64">
        <v>16</v>
      </c>
      <c r="D1374" s="64">
        <v>3</v>
      </c>
      <c r="E1374" s="64">
        <v>2</v>
      </c>
      <c r="F1374" s="64">
        <v>6</v>
      </c>
      <c r="G1374" s="64">
        <v>59</v>
      </c>
      <c r="H1374" s="65"/>
      <c r="I1374" s="65"/>
      <c r="J1374" s="66"/>
      <c r="K1374" s="65" t="s">
        <v>1593</v>
      </c>
      <c r="L1374" s="64" t="s">
        <v>1475</v>
      </c>
      <c r="M1374" s="64" t="s">
        <v>1318</v>
      </c>
      <c r="N1374" s="64" t="s">
        <v>74</v>
      </c>
      <c r="O1374" s="64" t="s">
        <v>1475</v>
      </c>
      <c r="P1374" s="69"/>
      <c r="Q1374" s="69"/>
      <c r="R1374" s="171">
        <v>1</v>
      </c>
      <c r="S1374" s="65" t="s">
        <v>1589</v>
      </c>
      <c r="T1374" s="64"/>
      <c r="U1374" s="75">
        <f>$AH1374/4</f>
        <v>0</v>
      </c>
      <c r="V1374" s="674">
        <v>0</v>
      </c>
      <c r="W1374" s="75">
        <v>1</v>
      </c>
      <c r="X1374" s="75">
        <f>$AH1374/4</f>
        <v>0</v>
      </c>
      <c r="Y1374" s="75"/>
      <c r="Z1374" s="75"/>
      <c r="AA1374" s="75">
        <f>$AH1374/4</f>
        <v>0</v>
      </c>
      <c r="AB1374" s="75"/>
      <c r="AC1374" s="97"/>
      <c r="AD1374" s="75">
        <f>$AH1374/4</f>
        <v>0</v>
      </c>
      <c r="AE1374" s="592"/>
      <c r="AF1374" s="259" t="s">
        <v>1593</v>
      </c>
      <c r="AG1374" s="510">
        <v>0</v>
      </c>
      <c r="AH1374" s="370">
        <v>0</v>
      </c>
      <c r="AI1374" s="75"/>
      <c r="AJ1374" s="75"/>
      <c r="AK1374" s="75"/>
      <c r="AL1374" s="75"/>
      <c r="AM1374" s="75"/>
      <c r="AN1374" s="64" t="s">
        <v>181</v>
      </c>
      <c r="AO1374" s="64"/>
      <c r="AP1374" s="64"/>
      <c r="AQ1374" s="189"/>
      <c r="AR1374" s="64"/>
      <c r="AS1374" s="476"/>
      <c r="AT1374" s="64"/>
      <c r="AU1374" s="646"/>
      <c r="AV1374" s="185"/>
    </row>
    <row r="1375" spans="1:48" ht="15" customHeight="1" outlineLevel="3" x14ac:dyDescent="0.25">
      <c r="A1375" s="63" t="str">
        <f t="shared" si="229"/>
        <v>4.16.3.2.7.59</v>
      </c>
      <c r="B1375" s="64">
        <v>4</v>
      </c>
      <c r="C1375" s="64">
        <v>16</v>
      </c>
      <c r="D1375" s="64">
        <v>3</v>
      </c>
      <c r="E1375" s="64">
        <v>2</v>
      </c>
      <c r="F1375" s="64">
        <v>7</v>
      </c>
      <c r="G1375" s="64">
        <v>59</v>
      </c>
      <c r="H1375" s="65"/>
      <c r="I1375" s="65"/>
      <c r="J1375" s="66"/>
      <c r="K1375" s="65" t="s">
        <v>1594</v>
      </c>
      <c r="L1375" s="64" t="s">
        <v>1475</v>
      </c>
      <c r="M1375" s="64" t="s">
        <v>1318</v>
      </c>
      <c r="N1375" s="64" t="s">
        <v>74</v>
      </c>
      <c r="O1375" s="64" t="s">
        <v>1475</v>
      </c>
      <c r="P1375" s="69"/>
      <c r="Q1375" s="69"/>
      <c r="R1375" s="64">
        <v>1</v>
      </c>
      <c r="S1375" s="65" t="s">
        <v>1589</v>
      </c>
      <c r="T1375" s="64"/>
      <c r="U1375" s="75">
        <f>$AH1375/4</f>
        <v>0</v>
      </c>
      <c r="V1375" s="674">
        <v>0</v>
      </c>
      <c r="W1375" s="75">
        <v>1</v>
      </c>
      <c r="X1375" s="75">
        <f>$AH1375/4</f>
        <v>0</v>
      </c>
      <c r="Y1375" s="75"/>
      <c r="Z1375" s="75"/>
      <c r="AA1375" s="75">
        <f>$AH1375/4</f>
        <v>0</v>
      </c>
      <c r="AB1375" s="75"/>
      <c r="AC1375" s="97"/>
      <c r="AD1375" s="75">
        <f>$AH1375/4</f>
        <v>0</v>
      </c>
      <c r="AE1375" s="592"/>
      <c r="AF1375" s="259" t="s">
        <v>1595</v>
      </c>
      <c r="AG1375" s="510">
        <v>0</v>
      </c>
      <c r="AH1375" s="370">
        <v>0</v>
      </c>
      <c r="AI1375" s="75"/>
      <c r="AJ1375" s="75"/>
      <c r="AK1375" s="75"/>
      <c r="AL1375" s="75"/>
      <c r="AM1375" s="75"/>
      <c r="AN1375" s="64" t="s">
        <v>181</v>
      </c>
      <c r="AO1375" s="64"/>
      <c r="AP1375" s="64"/>
      <c r="AQ1375" s="189"/>
      <c r="AR1375" s="64"/>
      <c r="AS1375" s="476"/>
      <c r="AT1375" s="64"/>
      <c r="AU1375" s="646"/>
      <c r="AV1375" s="185"/>
    </row>
    <row r="1376" spans="1:48" ht="15" customHeight="1" outlineLevel="3" x14ac:dyDescent="0.25">
      <c r="A1376" s="63" t="str">
        <f t="shared" si="229"/>
        <v>4.16.3.2.8.59</v>
      </c>
      <c r="B1376" s="64">
        <v>4</v>
      </c>
      <c r="C1376" s="64">
        <v>16</v>
      </c>
      <c r="D1376" s="64">
        <v>3</v>
      </c>
      <c r="E1376" s="64">
        <v>2</v>
      </c>
      <c r="F1376" s="64">
        <v>8</v>
      </c>
      <c r="G1376" s="64">
        <v>59</v>
      </c>
      <c r="H1376" s="65"/>
      <c r="I1376" s="65"/>
      <c r="J1376" s="66"/>
      <c r="K1376" s="65" t="s">
        <v>1596</v>
      </c>
      <c r="L1376" s="64" t="s">
        <v>1475</v>
      </c>
      <c r="M1376" s="64" t="s">
        <v>1318</v>
      </c>
      <c r="N1376" s="64" t="s">
        <v>74</v>
      </c>
      <c r="O1376" s="64" t="s">
        <v>1475</v>
      </c>
      <c r="P1376" s="69"/>
      <c r="Q1376" s="69"/>
      <c r="R1376" s="64">
        <v>12</v>
      </c>
      <c r="S1376" s="65" t="s">
        <v>1597</v>
      </c>
      <c r="T1376" s="64">
        <v>3</v>
      </c>
      <c r="U1376" s="75">
        <f>$AH1376/4</f>
        <v>7500</v>
      </c>
      <c r="V1376" s="674">
        <v>0</v>
      </c>
      <c r="W1376" s="75">
        <v>3</v>
      </c>
      <c r="X1376" s="75">
        <f>$AH1376/4</f>
        <v>7500</v>
      </c>
      <c r="Y1376" s="75"/>
      <c r="Z1376" s="75">
        <v>3</v>
      </c>
      <c r="AA1376" s="75">
        <f>$AH1376/4</f>
        <v>7500</v>
      </c>
      <c r="AB1376" s="75"/>
      <c r="AC1376" s="97">
        <v>3</v>
      </c>
      <c r="AD1376" s="75">
        <f>$AH1376/4</f>
        <v>7500</v>
      </c>
      <c r="AE1376" s="592"/>
      <c r="AF1376" s="259" t="s">
        <v>765</v>
      </c>
      <c r="AG1376" s="510">
        <f>12*5000/2</f>
        <v>30000</v>
      </c>
      <c r="AH1376" s="370">
        <f>12*5000/2</f>
        <v>30000</v>
      </c>
      <c r="AI1376" s="75"/>
      <c r="AJ1376" s="75"/>
      <c r="AK1376" s="157"/>
      <c r="AL1376" s="157"/>
      <c r="AM1376" s="157"/>
      <c r="AN1376" s="64" t="s">
        <v>181</v>
      </c>
      <c r="AO1376" s="64"/>
      <c r="AP1376" s="64"/>
      <c r="AQ1376" s="189"/>
      <c r="AR1376" s="64"/>
      <c r="AS1376" s="476"/>
      <c r="AT1376" s="64"/>
      <c r="AU1376" s="646"/>
      <c r="AV1376" s="185" t="s">
        <v>780</v>
      </c>
    </row>
    <row r="1377" spans="1:48" s="153" customFormat="1" ht="54.75" customHeight="1" outlineLevel="2" x14ac:dyDescent="0.25">
      <c r="A1377" s="148" t="str">
        <f t="shared" si="229"/>
        <v>4.16.3.3.0.63</v>
      </c>
      <c r="B1377" s="82">
        <v>4</v>
      </c>
      <c r="C1377" s="82">
        <v>16</v>
      </c>
      <c r="D1377" s="82">
        <v>3</v>
      </c>
      <c r="E1377" s="82">
        <v>3</v>
      </c>
      <c r="F1377" s="82">
        <v>0</v>
      </c>
      <c r="G1377" s="82">
        <v>63</v>
      </c>
      <c r="H1377" s="149"/>
      <c r="I1377" s="149"/>
      <c r="J1377" s="1260" t="s">
        <v>1599</v>
      </c>
      <c r="K1377" s="1259"/>
      <c r="L1377" s="82" t="s">
        <v>1452</v>
      </c>
      <c r="M1377" s="82" t="s">
        <v>1464</v>
      </c>
      <c r="N1377" s="82" t="s">
        <v>1444</v>
      </c>
      <c r="O1377" s="82" t="s">
        <v>1204</v>
      </c>
      <c r="P1377" s="82"/>
      <c r="Q1377" s="82"/>
      <c r="R1377" s="82"/>
      <c r="S1377" s="149"/>
      <c r="T1377" s="82"/>
      <c r="U1377" s="209">
        <f>SUM(U1378:U1385)</f>
        <v>120166.66666666666</v>
      </c>
      <c r="V1377" s="682">
        <f t="shared" ref="V1377:AG1377" si="239">+SUM(V1378:V1385)</f>
        <v>0</v>
      </c>
      <c r="W1377" s="380">
        <f t="shared" si="239"/>
        <v>17</v>
      </c>
      <c r="X1377" s="380">
        <f t="shared" si="239"/>
        <v>92166.666666666657</v>
      </c>
      <c r="Y1377" s="380">
        <f t="shared" si="239"/>
        <v>0</v>
      </c>
      <c r="Z1377" s="380">
        <f t="shared" si="239"/>
        <v>19</v>
      </c>
      <c r="AA1377" s="380">
        <f t="shared" si="239"/>
        <v>75166.666666666657</v>
      </c>
      <c r="AB1377" s="380">
        <f t="shared" si="239"/>
        <v>0</v>
      </c>
      <c r="AC1377" s="380">
        <f t="shared" si="239"/>
        <v>11</v>
      </c>
      <c r="AD1377" s="380">
        <f t="shared" si="239"/>
        <v>7500</v>
      </c>
      <c r="AE1377" s="380">
        <f t="shared" si="239"/>
        <v>0</v>
      </c>
      <c r="AF1377" s="380">
        <f t="shared" si="239"/>
        <v>0</v>
      </c>
      <c r="AG1377" s="380">
        <f t="shared" si="239"/>
        <v>295000</v>
      </c>
      <c r="AH1377" s="380">
        <f>+SUM(AH1378:AH1385)</f>
        <v>295000</v>
      </c>
      <c r="AI1377" s="198"/>
      <c r="AJ1377" s="198"/>
      <c r="AK1377" s="198"/>
      <c r="AL1377" s="198"/>
      <c r="AM1377" s="198"/>
      <c r="AN1377" s="82" t="s">
        <v>181</v>
      </c>
      <c r="AO1377" s="82"/>
      <c r="AP1377" s="82"/>
      <c r="AQ1377" s="365"/>
      <c r="AR1377" s="82"/>
      <c r="AS1377" s="483"/>
      <c r="AT1377" s="82"/>
      <c r="AU1377" s="666"/>
      <c r="AV1377" s="449" t="s">
        <v>1579</v>
      </c>
    </row>
    <row r="1378" spans="1:48" outlineLevel="3" x14ac:dyDescent="0.25">
      <c r="A1378" s="63" t="str">
        <f t="shared" si="229"/>
        <v>4.16.3.3.1.63</v>
      </c>
      <c r="B1378" s="64">
        <v>4</v>
      </c>
      <c r="C1378" s="64">
        <v>16</v>
      </c>
      <c r="D1378" s="64">
        <v>3</v>
      </c>
      <c r="E1378" s="64">
        <v>3</v>
      </c>
      <c r="F1378" s="64">
        <v>1</v>
      </c>
      <c r="G1378" s="64">
        <v>63</v>
      </c>
      <c r="H1378" s="65"/>
      <c r="I1378" s="65"/>
      <c r="J1378" s="66"/>
      <c r="K1378" s="65" t="s">
        <v>1580</v>
      </c>
      <c r="L1378" s="64" t="s">
        <v>1576</v>
      </c>
      <c r="M1378" s="64" t="s">
        <v>144</v>
      </c>
      <c r="N1378" s="64" t="s">
        <v>265</v>
      </c>
      <c r="O1378" s="64" t="s">
        <v>1544</v>
      </c>
      <c r="P1378" s="64"/>
      <c r="Q1378" s="64"/>
      <c r="R1378" s="64">
        <v>12</v>
      </c>
      <c r="S1378" s="65" t="s">
        <v>1581</v>
      </c>
      <c r="T1378" s="64">
        <v>3</v>
      </c>
      <c r="U1378" s="179">
        <f>$AH1378/4</f>
        <v>0</v>
      </c>
      <c r="V1378" s="674">
        <v>0</v>
      </c>
      <c r="W1378" s="75">
        <v>3</v>
      </c>
      <c r="X1378" s="179">
        <f>$AH1378/4</f>
        <v>0</v>
      </c>
      <c r="Y1378" s="179"/>
      <c r="Z1378" s="75">
        <v>3</v>
      </c>
      <c r="AA1378" s="179">
        <f>$AH1378/4</f>
        <v>0</v>
      </c>
      <c r="AB1378" s="179"/>
      <c r="AC1378" s="97">
        <v>3</v>
      </c>
      <c r="AD1378" s="179">
        <f>$AH1378/4</f>
        <v>0</v>
      </c>
      <c r="AE1378" s="616"/>
      <c r="AF1378" s="259" t="s">
        <v>1582</v>
      </c>
      <c r="AG1378" s="510">
        <v>0</v>
      </c>
      <c r="AH1378" s="370">
        <v>0</v>
      </c>
      <c r="AI1378" s="75"/>
      <c r="AJ1378" s="75"/>
      <c r="AK1378" s="75"/>
      <c r="AL1378" s="75"/>
      <c r="AM1378" s="75"/>
      <c r="AN1378" s="64" t="s">
        <v>181</v>
      </c>
      <c r="AO1378" s="64"/>
      <c r="AP1378" s="64"/>
      <c r="AQ1378" s="189"/>
      <c r="AR1378" s="64"/>
      <c r="AS1378" s="476"/>
      <c r="AT1378" s="64"/>
      <c r="AU1378" s="646"/>
      <c r="AV1378" s="185"/>
    </row>
    <row r="1379" spans="1:48" ht="30" outlineLevel="3" x14ac:dyDescent="0.25">
      <c r="A1379" s="63" t="str">
        <f t="shared" si="229"/>
        <v>4.16.3.3.2.63</v>
      </c>
      <c r="B1379" s="64">
        <v>4</v>
      </c>
      <c r="C1379" s="64">
        <v>16</v>
      </c>
      <c r="D1379" s="64">
        <v>3</v>
      </c>
      <c r="E1379" s="64">
        <v>3</v>
      </c>
      <c r="F1379" s="64">
        <v>2</v>
      </c>
      <c r="G1379" s="64">
        <v>63</v>
      </c>
      <c r="H1379" s="65"/>
      <c r="I1379" s="65"/>
      <c r="J1379" s="66"/>
      <c r="K1379" s="65" t="s">
        <v>1583</v>
      </c>
      <c r="L1379" s="64" t="s">
        <v>1475</v>
      </c>
      <c r="M1379" s="64" t="s">
        <v>1318</v>
      </c>
      <c r="N1379" s="64" t="s">
        <v>1223</v>
      </c>
      <c r="O1379" s="64" t="s">
        <v>1544</v>
      </c>
      <c r="P1379" s="69"/>
      <c r="Q1379" s="69"/>
      <c r="R1379" s="64">
        <v>12</v>
      </c>
      <c r="S1379" s="65" t="s">
        <v>1581</v>
      </c>
      <c r="T1379" s="64">
        <v>3</v>
      </c>
      <c r="U1379" s="179">
        <v>45000</v>
      </c>
      <c r="V1379" s="674">
        <v>0</v>
      </c>
      <c r="W1379" s="75">
        <v>3</v>
      </c>
      <c r="X1379" s="179">
        <v>45000</v>
      </c>
      <c r="Y1379" s="179"/>
      <c r="Z1379" s="75">
        <v>3</v>
      </c>
      <c r="AA1379" s="179"/>
      <c r="AB1379" s="179"/>
      <c r="AC1379" s="97">
        <v>3</v>
      </c>
      <c r="AD1379" s="179"/>
      <c r="AE1379" s="616"/>
      <c r="AF1379" s="259" t="s">
        <v>1584</v>
      </c>
      <c r="AG1379" s="510">
        <f>12*15000/2</f>
        <v>90000</v>
      </c>
      <c r="AH1379" s="370">
        <f>12*15000/2</f>
        <v>90000</v>
      </c>
      <c r="AI1379" s="75"/>
      <c r="AJ1379" s="75"/>
      <c r="AK1379" s="75"/>
      <c r="AL1379" s="75"/>
      <c r="AM1379" s="75"/>
      <c r="AN1379" s="64" t="s">
        <v>181</v>
      </c>
      <c r="AO1379" s="64"/>
      <c r="AP1379" s="64"/>
      <c r="AQ1379" s="189"/>
      <c r="AR1379" s="64"/>
      <c r="AS1379" s="476"/>
      <c r="AT1379" s="64"/>
      <c r="AU1379" s="646"/>
      <c r="AV1379" s="335" t="s">
        <v>1585</v>
      </c>
    </row>
    <row r="1380" spans="1:48" outlineLevel="3" x14ac:dyDescent="0.25">
      <c r="A1380" s="63" t="str">
        <f t="shared" si="229"/>
        <v>4.16.3.3.3.63</v>
      </c>
      <c r="B1380" s="64">
        <v>4</v>
      </c>
      <c r="C1380" s="64">
        <v>16</v>
      </c>
      <c r="D1380" s="64">
        <v>3</v>
      </c>
      <c r="E1380" s="64">
        <v>3</v>
      </c>
      <c r="F1380" s="64">
        <v>3</v>
      </c>
      <c r="G1380" s="64">
        <v>63</v>
      </c>
      <c r="H1380" s="65"/>
      <c r="I1380" s="65"/>
      <c r="J1380" s="66"/>
      <c r="K1380" s="65" t="s">
        <v>1586</v>
      </c>
      <c r="L1380" s="64" t="s">
        <v>1475</v>
      </c>
      <c r="M1380" s="64" t="s">
        <v>1318</v>
      </c>
      <c r="N1380" s="64" t="s">
        <v>1249</v>
      </c>
      <c r="O1380" s="64" t="s">
        <v>1544</v>
      </c>
      <c r="P1380" s="69"/>
      <c r="Q1380" s="69"/>
      <c r="R1380" s="171">
        <v>6</v>
      </c>
      <c r="S1380" s="65"/>
      <c r="T1380" s="64">
        <v>1</v>
      </c>
      <c r="U1380" s="179">
        <f>$AH1380/4</f>
        <v>0</v>
      </c>
      <c r="V1380" s="674">
        <v>0</v>
      </c>
      <c r="W1380" s="75">
        <v>2</v>
      </c>
      <c r="X1380" s="179">
        <f>$AH1380/4</f>
        <v>0</v>
      </c>
      <c r="Y1380" s="179"/>
      <c r="Z1380" s="75">
        <v>1</v>
      </c>
      <c r="AA1380" s="179">
        <f>$AH1380/4</f>
        <v>0</v>
      </c>
      <c r="AB1380" s="179"/>
      <c r="AC1380" s="97">
        <v>2</v>
      </c>
      <c r="AD1380" s="179">
        <f>$AH1380/4</f>
        <v>0</v>
      </c>
      <c r="AE1380" s="616"/>
      <c r="AF1380" s="259" t="s">
        <v>1587</v>
      </c>
      <c r="AG1380" s="510">
        <v>0</v>
      </c>
      <c r="AH1380" s="370">
        <v>0</v>
      </c>
      <c r="AI1380" s="75"/>
      <c r="AJ1380" s="75"/>
      <c r="AK1380" s="75"/>
      <c r="AL1380" s="75"/>
      <c r="AM1380" s="75"/>
      <c r="AN1380" s="64" t="s">
        <v>181</v>
      </c>
      <c r="AO1380" s="64"/>
      <c r="AP1380" s="64"/>
      <c r="AQ1380" s="189"/>
      <c r="AR1380" s="64"/>
      <c r="AS1380" s="476"/>
      <c r="AT1380" s="64"/>
      <c r="AU1380" s="646"/>
      <c r="AV1380" s="185" t="s">
        <v>127</v>
      </c>
    </row>
    <row r="1381" spans="1:48" outlineLevel="3" x14ac:dyDescent="0.25">
      <c r="A1381" s="63" t="str">
        <f t="shared" si="229"/>
        <v>4.16.3.3.4.63</v>
      </c>
      <c r="B1381" s="64">
        <v>4</v>
      </c>
      <c r="C1381" s="64">
        <v>16</v>
      </c>
      <c r="D1381" s="64">
        <v>3</v>
      </c>
      <c r="E1381" s="64">
        <v>3</v>
      </c>
      <c r="F1381" s="64">
        <v>4</v>
      </c>
      <c r="G1381" s="64">
        <v>63</v>
      </c>
      <c r="H1381" s="65"/>
      <c r="I1381" s="65"/>
      <c r="J1381" s="66"/>
      <c r="K1381" s="65" t="s">
        <v>1588</v>
      </c>
      <c r="L1381" s="64" t="s">
        <v>1475</v>
      </c>
      <c r="M1381" s="64" t="s">
        <v>1318</v>
      </c>
      <c r="N1381" s="64" t="s">
        <v>74</v>
      </c>
      <c r="O1381" s="64" t="s">
        <v>1524</v>
      </c>
      <c r="P1381" s="69"/>
      <c r="Q1381" s="69"/>
      <c r="R1381" s="171">
        <v>14</v>
      </c>
      <c r="S1381" s="65" t="s">
        <v>1589</v>
      </c>
      <c r="T1381" s="64">
        <v>5</v>
      </c>
      <c r="U1381" s="179">
        <f>$AH1381/3</f>
        <v>39666.666666666664</v>
      </c>
      <c r="V1381" s="674">
        <v>0</v>
      </c>
      <c r="W1381" s="75">
        <v>4</v>
      </c>
      <c r="X1381" s="179">
        <f>$AH1381/3</f>
        <v>39666.666666666664</v>
      </c>
      <c r="Y1381" s="179"/>
      <c r="Z1381" s="75">
        <v>5</v>
      </c>
      <c r="AA1381" s="179">
        <f>$AH1381/3</f>
        <v>39666.666666666664</v>
      </c>
      <c r="AB1381" s="179"/>
      <c r="AC1381" s="97"/>
      <c r="AD1381" s="179"/>
      <c r="AE1381" s="616"/>
      <c r="AF1381" s="259" t="s">
        <v>1590</v>
      </c>
      <c r="AG1381" s="510">
        <f>14*8500</f>
        <v>119000</v>
      </c>
      <c r="AH1381" s="370">
        <f>14*8500</f>
        <v>119000</v>
      </c>
      <c r="AI1381" s="75"/>
      <c r="AJ1381" s="75"/>
      <c r="AK1381" s="75"/>
      <c r="AL1381" s="75"/>
      <c r="AM1381" s="75"/>
      <c r="AN1381" s="64" t="s">
        <v>181</v>
      </c>
      <c r="AO1381" s="64"/>
      <c r="AP1381" s="64"/>
      <c r="AQ1381" s="189"/>
      <c r="AR1381" s="64"/>
      <c r="AS1381" s="476"/>
      <c r="AT1381" s="64"/>
      <c r="AU1381" s="646"/>
      <c r="AV1381" s="185"/>
    </row>
    <row r="1382" spans="1:48" outlineLevel="3" x14ac:dyDescent="0.25">
      <c r="A1382" s="63" t="str">
        <f t="shared" si="229"/>
        <v>4.16.3.3.5.63</v>
      </c>
      <c r="B1382" s="64">
        <v>4</v>
      </c>
      <c r="C1382" s="64">
        <v>16</v>
      </c>
      <c r="D1382" s="64">
        <v>3</v>
      </c>
      <c r="E1382" s="64">
        <v>3</v>
      </c>
      <c r="F1382" s="64">
        <v>5</v>
      </c>
      <c r="G1382" s="64">
        <v>63</v>
      </c>
      <c r="H1382" s="65"/>
      <c r="I1382" s="65"/>
      <c r="J1382" s="66"/>
      <c r="K1382" s="65" t="s">
        <v>1591</v>
      </c>
      <c r="L1382" s="64" t="s">
        <v>1475</v>
      </c>
      <c r="M1382" s="64" t="s">
        <v>1318</v>
      </c>
      <c r="N1382" s="64" t="s">
        <v>74</v>
      </c>
      <c r="O1382" s="64" t="s">
        <v>1524</v>
      </c>
      <c r="P1382" s="69"/>
      <c r="Q1382" s="69"/>
      <c r="R1382" s="171">
        <f>4*2</f>
        <v>8</v>
      </c>
      <c r="S1382" s="65" t="s">
        <v>1589</v>
      </c>
      <c r="T1382" s="64">
        <v>4</v>
      </c>
      <c r="U1382" s="179">
        <f>$AH1382/2</f>
        <v>28000</v>
      </c>
      <c r="V1382" s="674">
        <v>0</v>
      </c>
      <c r="W1382" s="75"/>
      <c r="X1382" s="179"/>
      <c r="Y1382" s="179"/>
      <c r="Z1382" s="75">
        <v>4</v>
      </c>
      <c r="AA1382" s="179">
        <f>$AH1382/2</f>
        <v>28000</v>
      </c>
      <c r="AB1382" s="179"/>
      <c r="AC1382" s="97"/>
      <c r="AD1382" s="179"/>
      <c r="AE1382" s="616"/>
      <c r="AF1382" s="259" t="s">
        <v>1592</v>
      </c>
      <c r="AG1382" s="510">
        <f>8*7000</f>
        <v>56000</v>
      </c>
      <c r="AH1382" s="370">
        <f>8*7000</f>
        <v>56000</v>
      </c>
      <c r="AI1382" s="75"/>
      <c r="AJ1382" s="75"/>
      <c r="AK1382" s="75"/>
      <c r="AL1382" s="75"/>
      <c r="AM1382" s="75"/>
      <c r="AN1382" s="64" t="s">
        <v>181</v>
      </c>
      <c r="AO1382" s="64"/>
      <c r="AP1382" s="64"/>
      <c r="AQ1382" s="189"/>
      <c r="AR1382" s="64"/>
      <c r="AS1382" s="476"/>
      <c r="AT1382" s="64"/>
      <c r="AU1382" s="646"/>
      <c r="AV1382" s="185"/>
    </row>
    <row r="1383" spans="1:48" outlineLevel="3" x14ac:dyDescent="0.25">
      <c r="A1383" s="63" t="str">
        <f t="shared" si="229"/>
        <v>4.16.3.3.6.63</v>
      </c>
      <c r="B1383" s="64">
        <v>4</v>
      </c>
      <c r="C1383" s="64">
        <v>16</v>
      </c>
      <c r="D1383" s="64">
        <v>3</v>
      </c>
      <c r="E1383" s="64">
        <v>3</v>
      </c>
      <c r="F1383" s="64">
        <v>6</v>
      </c>
      <c r="G1383" s="64">
        <v>63</v>
      </c>
      <c r="H1383" s="65"/>
      <c r="I1383" s="65"/>
      <c r="J1383" s="66"/>
      <c r="K1383" s="65" t="s">
        <v>1593</v>
      </c>
      <c r="L1383" s="64" t="s">
        <v>1475</v>
      </c>
      <c r="M1383" s="64" t="s">
        <v>1318</v>
      </c>
      <c r="N1383" s="64" t="s">
        <v>74</v>
      </c>
      <c r="O1383" s="64" t="s">
        <v>1475</v>
      </c>
      <c r="P1383" s="69"/>
      <c r="Q1383" s="69"/>
      <c r="R1383" s="171">
        <v>1</v>
      </c>
      <c r="S1383" s="65" t="s">
        <v>1589</v>
      </c>
      <c r="T1383" s="64"/>
      <c r="U1383" s="179">
        <f>$AH1383/4</f>
        <v>0</v>
      </c>
      <c r="V1383" s="674">
        <v>0</v>
      </c>
      <c r="W1383" s="75">
        <v>1</v>
      </c>
      <c r="X1383" s="179">
        <f>$AH1383/4</f>
        <v>0</v>
      </c>
      <c r="Y1383" s="179"/>
      <c r="Z1383" s="75"/>
      <c r="AA1383" s="179">
        <f>$AH1383/4</f>
        <v>0</v>
      </c>
      <c r="AB1383" s="179"/>
      <c r="AC1383" s="97"/>
      <c r="AD1383" s="179">
        <f>$AH1383/4</f>
        <v>0</v>
      </c>
      <c r="AE1383" s="616"/>
      <c r="AF1383" s="259" t="s">
        <v>1593</v>
      </c>
      <c r="AG1383" s="510">
        <v>0</v>
      </c>
      <c r="AH1383" s="370">
        <v>0</v>
      </c>
      <c r="AI1383" s="75"/>
      <c r="AJ1383" s="75"/>
      <c r="AK1383" s="75"/>
      <c r="AL1383" s="75"/>
      <c r="AM1383" s="75"/>
      <c r="AN1383" s="64" t="s">
        <v>181</v>
      </c>
      <c r="AO1383" s="64"/>
      <c r="AP1383" s="64"/>
      <c r="AQ1383" s="189"/>
      <c r="AR1383" s="64"/>
      <c r="AS1383" s="476"/>
      <c r="AT1383" s="64"/>
      <c r="AU1383" s="646"/>
      <c r="AV1383" s="185"/>
    </row>
    <row r="1384" spans="1:48" outlineLevel="3" x14ac:dyDescent="0.25">
      <c r="A1384" s="63" t="str">
        <f t="shared" si="229"/>
        <v>4.16.3.3.7.63</v>
      </c>
      <c r="B1384" s="64">
        <v>4</v>
      </c>
      <c r="C1384" s="64">
        <v>16</v>
      </c>
      <c r="D1384" s="64">
        <v>3</v>
      </c>
      <c r="E1384" s="64">
        <v>3</v>
      </c>
      <c r="F1384" s="64">
        <v>7</v>
      </c>
      <c r="G1384" s="64">
        <v>63</v>
      </c>
      <c r="H1384" s="65"/>
      <c r="I1384" s="65"/>
      <c r="J1384" s="66"/>
      <c r="K1384" s="65" t="s">
        <v>1594</v>
      </c>
      <c r="L1384" s="64" t="s">
        <v>1475</v>
      </c>
      <c r="M1384" s="64" t="s">
        <v>1318</v>
      </c>
      <c r="N1384" s="64" t="s">
        <v>74</v>
      </c>
      <c r="O1384" s="64" t="s">
        <v>1475</v>
      </c>
      <c r="P1384" s="69"/>
      <c r="Q1384" s="69"/>
      <c r="R1384" s="64">
        <v>1</v>
      </c>
      <c r="S1384" s="65" t="s">
        <v>1589</v>
      </c>
      <c r="T1384" s="64"/>
      <c r="U1384" s="179">
        <f>$AH1384/4</f>
        <v>0</v>
      </c>
      <c r="V1384" s="674">
        <v>0</v>
      </c>
      <c r="W1384" s="75">
        <v>1</v>
      </c>
      <c r="X1384" s="179">
        <f>$AH1384/4</f>
        <v>0</v>
      </c>
      <c r="Y1384" s="179"/>
      <c r="Z1384" s="75"/>
      <c r="AA1384" s="179">
        <f>$AH1384/4</f>
        <v>0</v>
      </c>
      <c r="AB1384" s="179"/>
      <c r="AC1384" s="97"/>
      <c r="AD1384" s="179">
        <f>$AH1384/4</f>
        <v>0</v>
      </c>
      <c r="AE1384" s="616"/>
      <c r="AF1384" s="259" t="s">
        <v>1595</v>
      </c>
      <c r="AG1384" s="510">
        <v>0</v>
      </c>
      <c r="AH1384" s="370">
        <v>0</v>
      </c>
      <c r="AI1384" s="75"/>
      <c r="AJ1384" s="75"/>
      <c r="AK1384" s="75"/>
      <c r="AL1384" s="75"/>
      <c r="AM1384" s="75"/>
      <c r="AN1384" s="64" t="s">
        <v>181</v>
      </c>
      <c r="AO1384" s="64"/>
      <c r="AP1384" s="64"/>
      <c r="AQ1384" s="189"/>
      <c r="AR1384" s="64"/>
      <c r="AS1384" s="476"/>
      <c r="AT1384" s="64"/>
      <c r="AU1384" s="646"/>
      <c r="AV1384" s="185"/>
    </row>
    <row r="1385" spans="1:48" outlineLevel="3" x14ac:dyDescent="0.25">
      <c r="A1385" s="63" t="str">
        <f t="shared" si="229"/>
        <v>4.16.3.3.8.63</v>
      </c>
      <c r="B1385" s="64">
        <v>4</v>
      </c>
      <c r="C1385" s="64">
        <v>16</v>
      </c>
      <c r="D1385" s="64">
        <v>3</v>
      </c>
      <c r="E1385" s="64">
        <v>3</v>
      </c>
      <c r="F1385" s="64">
        <v>8</v>
      </c>
      <c r="G1385" s="64">
        <v>63</v>
      </c>
      <c r="H1385" s="65"/>
      <c r="I1385" s="65"/>
      <c r="J1385" s="66"/>
      <c r="K1385" s="65" t="s">
        <v>1596</v>
      </c>
      <c r="L1385" s="64" t="s">
        <v>1475</v>
      </c>
      <c r="M1385" s="64" t="s">
        <v>1318</v>
      </c>
      <c r="N1385" s="64" t="s">
        <v>74</v>
      </c>
      <c r="O1385" s="64" t="s">
        <v>1475</v>
      </c>
      <c r="P1385" s="69"/>
      <c r="Q1385" s="69"/>
      <c r="R1385" s="64">
        <v>12</v>
      </c>
      <c r="S1385" s="65" t="s">
        <v>1597</v>
      </c>
      <c r="T1385" s="64">
        <v>3</v>
      </c>
      <c r="U1385" s="179">
        <f>$AH1385/4</f>
        <v>7500</v>
      </c>
      <c r="V1385" s="674">
        <v>0</v>
      </c>
      <c r="W1385" s="75">
        <v>3</v>
      </c>
      <c r="X1385" s="179">
        <f>$AH1385/4</f>
        <v>7500</v>
      </c>
      <c r="Y1385" s="179"/>
      <c r="Z1385" s="75">
        <v>3</v>
      </c>
      <c r="AA1385" s="179">
        <f>$AH1385/4</f>
        <v>7500</v>
      </c>
      <c r="AB1385" s="179"/>
      <c r="AC1385" s="97">
        <v>3</v>
      </c>
      <c r="AD1385" s="179">
        <f>$AH1385/4</f>
        <v>7500</v>
      </c>
      <c r="AE1385" s="616"/>
      <c r="AF1385" s="259" t="s">
        <v>765</v>
      </c>
      <c r="AG1385" s="510">
        <f>12*5000/2</f>
        <v>30000</v>
      </c>
      <c r="AH1385" s="370">
        <f>12*5000/2</f>
        <v>30000</v>
      </c>
      <c r="AI1385" s="75"/>
      <c r="AJ1385" s="75"/>
      <c r="AK1385" s="157"/>
      <c r="AL1385" s="157"/>
      <c r="AM1385" s="157"/>
      <c r="AN1385" s="64" t="s">
        <v>181</v>
      </c>
      <c r="AO1385" s="64"/>
      <c r="AP1385" s="64"/>
      <c r="AQ1385" s="189"/>
      <c r="AR1385" s="64"/>
      <c r="AS1385" s="476"/>
      <c r="AT1385" s="64"/>
      <c r="AU1385" s="646"/>
      <c r="AV1385" s="185" t="s">
        <v>780</v>
      </c>
    </row>
    <row r="1386" spans="1:48" s="153" customFormat="1" ht="54.75" customHeight="1" outlineLevel="2" x14ac:dyDescent="0.25">
      <c r="A1386" s="148" t="str">
        <f t="shared" si="229"/>
        <v>4.16.3.4.0.64</v>
      </c>
      <c r="B1386" s="82">
        <v>4</v>
      </c>
      <c r="C1386" s="82">
        <v>16</v>
      </c>
      <c r="D1386" s="82">
        <v>3</v>
      </c>
      <c r="E1386" s="82">
        <v>4</v>
      </c>
      <c r="F1386" s="82">
        <v>0</v>
      </c>
      <c r="G1386" s="82">
        <v>64</v>
      </c>
      <c r="H1386" s="149"/>
      <c r="I1386" s="149"/>
      <c r="J1386" s="1260" t="s">
        <v>1600</v>
      </c>
      <c r="K1386" s="1259"/>
      <c r="L1386" s="82" t="s">
        <v>1576</v>
      </c>
      <c r="M1386" s="82" t="s">
        <v>1464</v>
      </c>
      <c r="N1386" s="82" t="s">
        <v>1444</v>
      </c>
      <c r="O1386" s="82" t="s">
        <v>1204</v>
      </c>
      <c r="P1386" s="82"/>
      <c r="Q1386" s="82"/>
      <c r="R1386" s="82"/>
      <c r="S1386" s="149"/>
      <c r="T1386" s="82"/>
      <c r="U1386" s="209">
        <f>SUM(U1387:U1394)</f>
        <v>120166.66666666666</v>
      </c>
      <c r="V1386" s="682">
        <f t="shared" ref="V1386:AG1386" si="240">+SUM(V1387:V1394)</f>
        <v>0</v>
      </c>
      <c r="W1386" s="380">
        <f t="shared" si="240"/>
        <v>17</v>
      </c>
      <c r="X1386" s="380">
        <f t="shared" si="240"/>
        <v>92166.666666666657</v>
      </c>
      <c r="Y1386" s="380">
        <f t="shared" si="240"/>
        <v>0</v>
      </c>
      <c r="Z1386" s="380">
        <f t="shared" si="240"/>
        <v>19</v>
      </c>
      <c r="AA1386" s="380">
        <f t="shared" si="240"/>
        <v>75166.666666666657</v>
      </c>
      <c r="AB1386" s="380">
        <f t="shared" si="240"/>
        <v>0</v>
      </c>
      <c r="AC1386" s="380">
        <f t="shared" si="240"/>
        <v>11</v>
      </c>
      <c r="AD1386" s="380">
        <f t="shared" si="240"/>
        <v>7500</v>
      </c>
      <c r="AE1386" s="380">
        <f t="shared" si="240"/>
        <v>0</v>
      </c>
      <c r="AF1386" s="380">
        <f t="shared" si="240"/>
        <v>0</v>
      </c>
      <c r="AG1386" s="380">
        <f t="shared" si="240"/>
        <v>295000</v>
      </c>
      <c r="AH1386" s="380">
        <f>+SUM(AH1387:AH1394)</f>
        <v>295000</v>
      </c>
      <c r="AI1386" s="198"/>
      <c r="AJ1386" s="198"/>
      <c r="AK1386" s="198"/>
      <c r="AL1386" s="198"/>
      <c r="AM1386" s="198"/>
      <c r="AN1386" s="82" t="s">
        <v>181</v>
      </c>
      <c r="AO1386" s="82"/>
      <c r="AP1386" s="82"/>
      <c r="AQ1386" s="365"/>
      <c r="AR1386" s="82"/>
      <c r="AS1386" s="483"/>
      <c r="AT1386" s="82"/>
      <c r="AU1386" s="666"/>
      <c r="AV1386" s="449" t="s">
        <v>1579</v>
      </c>
    </row>
    <row r="1387" spans="1:48" ht="15" customHeight="1" outlineLevel="3" x14ac:dyDescent="0.25">
      <c r="A1387" s="63" t="str">
        <f t="shared" si="229"/>
        <v>4.16.3.4.1.64</v>
      </c>
      <c r="B1387" s="64">
        <v>4</v>
      </c>
      <c r="C1387" s="64">
        <v>16</v>
      </c>
      <c r="D1387" s="64">
        <v>3</v>
      </c>
      <c r="E1387" s="64">
        <v>4</v>
      </c>
      <c r="F1387" s="64">
        <v>1</v>
      </c>
      <c r="G1387" s="64">
        <v>64</v>
      </c>
      <c r="H1387" s="65"/>
      <c r="I1387" s="65"/>
      <c r="J1387" s="66"/>
      <c r="K1387" s="65" t="s">
        <v>1580</v>
      </c>
      <c r="L1387" s="64" t="s">
        <v>1576</v>
      </c>
      <c r="M1387" s="64" t="s">
        <v>144</v>
      </c>
      <c r="N1387" s="64" t="s">
        <v>265</v>
      </c>
      <c r="O1387" s="64" t="s">
        <v>1544</v>
      </c>
      <c r="P1387" s="64"/>
      <c r="Q1387" s="64"/>
      <c r="R1387" s="64">
        <v>12</v>
      </c>
      <c r="S1387" s="65" t="s">
        <v>1581</v>
      </c>
      <c r="T1387" s="64">
        <v>3</v>
      </c>
      <c r="U1387" s="179">
        <f>$AH1387/4</f>
        <v>0</v>
      </c>
      <c r="V1387" s="674">
        <v>0</v>
      </c>
      <c r="W1387" s="75">
        <v>3</v>
      </c>
      <c r="X1387" s="179">
        <f>$AH1387/4</f>
        <v>0</v>
      </c>
      <c r="Y1387" s="179"/>
      <c r="Z1387" s="75">
        <v>3</v>
      </c>
      <c r="AA1387" s="179">
        <f>$AH1387/4</f>
        <v>0</v>
      </c>
      <c r="AB1387" s="179"/>
      <c r="AC1387" s="97">
        <v>3</v>
      </c>
      <c r="AD1387" s="179">
        <f>$AH1387/4</f>
        <v>0</v>
      </c>
      <c r="AE1387" s="616"/>
      <c r="AF1387" s="259" t="s">
        <v>1582</v>
      </c>
      <c r="AG1387" s="510">
        <v>0</v>
      </c>
      <c r="AH1387" s="370">
        <v>0</v>
      </c>
      <c r="AI1387" s="75"/>
      <c r="AJ1387" s="75"/>
      <c r="AK1387" s="75"/>
      <c r="AL1387" s="75"/>
      <c r="AM1387" s="75"/>
      <c r="AN1387" s="64" t="s">
        <v>181</v>
      </c>
      <c r="AO1387" s="64"/>
      <c r="AP1387" s="64"/>
      <c r="AQ1387" s="189"/>
      <c r="AR1387" s="64"/>
      <c r="AS1387" s="476"/>
      <c r="AT1387" s="64"/>
      <c r="AU1387" s="646"/>
      <c r="AV1387" s="185"/>
    </row>
    <row r="1388" spans="1:48" ht="32.25" customHeight="1" outlineLevel="3" x14ac:dyDescent="0.25">
      <c r="A1388" s="63" t="str">
        <f t="shared" si="229"/>
        <v>4.16.3.4.2.64</v>
      </c>
      <c r="B1388" s="64">
        <v>4</v>
      </c>
      <c r="C1388" s="64">
        <v>16</v>
      </c>
      <c r="D1388" s="64">
        <v>3</v>
      </c>
      <c r="E1388" s="64">
        <v>4</v>
      </c>
      <c r="F1388" s="64">
        <v>2</v>
      </c>
      <c r="G1388" s="64">
        <v>64</v>
      </c>
      <c r="H1388" s="65"/>
      <c r="I1388" s="65"/>
      <c r="J1388" s="66"/>
      <c r="K1388" s="65" t="s">
        <v>1583</v>
      </c>
      <c r="L1388" s="64" t="s">
        <v>1475</v>
      </c>
      <c r="M1388" s="64" t="s">
        <v>1318</v>
      </c>
      <c r="N1388" s="64" t="s">
        <v>1223</v>
      </c>
      <c r="O1388" s="64" t="s">
        <v>1544</v>
      </c>
      <c r="P1388" s="69"/>
      <c r="Q1388" s="69"/>
      <c r="R1388" s="64">
        <v>12</v>
      </c>
      <c r="S1388" s="65" t="s">
        <v>1581</v>
      </c>
      <c r="T1388" s="64">
        <v>3</v>
      </c>
      <c r="U1388" s="179">
        <v>45000</v>
      </c>
      <c r="V1388" s="674">
        <v>0</v>
      </c>
      <c r="W1388" s="75">
        <v>3</v>
      </c>
      <c r="X1388" s="179">
        <v>45000</v>
      </c>
      <c r="Y1388" s="179"/>
      <c r="Z1388" s="75">
        <v>3</v>
      </c>
      <c r="AA1388" s="179"/>
      <c r="AB1388" s="179"/>
      <c r="AC1388" s="97">
        <v>3</v>
      </c>
      <c r="AD1388" s="179"/>
      <c r="AE1388" s="616"/>
      <c r="AF1388" s="259" t="s">
        <v>1584</v>
      </c>
      <c r="AG1388" s="510">
        <f>12*15000/2</f>
        <v>90000</v>
      </c>
      <c r="AH1388" s="370">
        <f>12*15000/2</f>
        <v>90000</v>
      </c>
      <c r="AI1388" s="75"/>
      <c r="AJ1388" s="75"/>
      <c r="AK1388" s="75"/>
      <c r="AL1388" s="75"/>
      <c r="AM1388" s="75"/>
      <c r="AN1388" s="64" t="s">
        <v>181</v>
      </c>
      <c r="AO1388" s="64"/>
      <c r="AP1388" s="64"/>
      <c r="AQ1388" s="189"/>
      <c r="AR1388" s="64"/>
      <c r="AS1388" s="476"/>
      <c r="AT1388" s="64"/>
      <c r="AU1388" s="646"/>
      <c r="AV1388" s="335" t="s">
        <v>1585</v>
      </c>
    </row>
    <row r="1389" spans="1:48" ht="15" customHeight="1" outlineLevel="3" x14ac:dyDescent="0.25">
      <c r="A1389" s="63" t="str">
        <f t="shared" si="229"/>
        <v>4.16.3.4.3.6</v>
      </c>
      <c r="B1389" s="64">
        <v>4</v>
      </c>
      <c r="C1389" s="64">
        <v>16</v>
      </c>
      <c r="D1389" s="64">
        <v>3</v>
      </c>
      <c r="E1389" s="64">
        <v>4</v>
      </c>
      <c r="F1389" s="64">
        <v>3</v>
      </c>
      <c r="G1389" s="64">
        <v>6</v>
      </c>
      <c r="H1389" s="65"/>
      <c r="I1389" s="65"/>
      <c r="J1389" s="66"/>
      <c r="K1389" s="65" t="s">
        <v>1586</v>
      </c>
      <c r="L1389" s="64" t="s">
        <v>1475</v>
      </c>
      <c r="M1389" s="64" t="s">
        <v>1318</v>
      </c>
      <c r="N1389" s="64" t="s">
        <v>1249</v>
      </c>
      <c r="O1389" s="64" t="s">
        <v>1544</v>
      </c>
      <c r="P1389" s="69"/>
      <c r="Q1389" s="69"/>
      <c r="R1389" s="171">
        <v>6</v>
      </c>
      <c r="S1389" s="65"/>
      <c r="T1389" s="64">
        <v>1</v>
      </c>
      <c r="U1389" s="179">
        <f>$AH1389/4</f>
        <v>0</v>
      </c>
      <c r="V1389" s="674">
        <v>0</v>
      </c>
      <c r="W1389" s="75">
        <v>2</v>
      </c>
      <c r="X1389" s="179">
        <f>$AH1389/4</f>
        <v>0</v>
      </c>
      <c r="Y1389" s="179"/>
      <c r="Z1389" s="75">
        <v>1</v>
      </c>
      <c r="AA1389" s="179">
        <f>$AH1389/4</f>
        <v>0</v>
      </c>
      <c r="AB1389" s="179"/>
      <c r="AC1389" s="97">
        <v>2</v>
      </c>
      <c r="AD1389" s="179">
        <f>$AH1389/4</f>
        <v>0</v>
      </c>
      <c r="AE1389" s="616"/>
      <c r="AF1389" s="259" t="s">
        <v>1587</v>
      </c>
      <c r="AG1389" s="510">
        <v>0</v>
      </c>
      <c r="AH1389" s="370">
        <v>0</v>
      </c>
      <c r="AI1389" s="75"/>
      <c r="AJ1389" s="75"/>
      <c r="AK1389" s="75"/>
      <c r="AL1389" s="75"/>
      <c r="AM1389" s="75"/>
      <c r="AN1389" s="64" t="s">
        <v>181</v>
      </c>
      <c r="AO1389" s="64"/>
      <c r="AP1389" s="64"/>
      <c r="AQ1389" s="189"/>
      <c r="AR1389" s="64"/>
      <c r="AS1389" s="476"/>
      <c r="AT1389" s="64"/>
      <c r="AU1389" s="646"/>
      <c r="AV1389" s="185" t="s">
        <v>127</v>
      </c>
    </row>
    <row r="1390" spans="1:48" ht="15" customHeight="1" outlineLevel="3" x14ac:dyDescent="0.25">
      <c r="A1390" s="63" t="str">
        <f t="shared" si="229"/>
        <v>4.16.3.4.4.64</v>
      </c>
      <c r="B1390" s="64">
        <v>4</v>
      </c>
      <c r="C1390" s="64">
        <v>16</v>
      </c>
      <c r="D1390" s="64">
        <v>3</v>
      </c>
      <c r="E1390" s="64">
        <v>4</v>
      </c>
      <c r="F1390" s="64">
        <v>4</v>
      </c>
      <c r="G1390" s="64">
        <v>64</v>
      </c>
      <c r="H1390" s="65"/>
      <c r="I1390" s="65"/>
      <c r="J1390" s="65"/>
      <c r="K1390" s="65" t="s">
        <v>1588</v>
      </c>
      <c r="L1390" s="64" t="s">
        <v>1475</v>
      </c>
      <c r="M1390" s="64" t="s">
        <v>1318</v>
      </c>
      <c r="N1390" s="64" t="s">
        <v>74</v>
      </c>
      <c r="O1390" s="64" t="s">
        <v>1524</v>
      </c>
      <c r="P1390" s="69"/>
      <c r="Q1390" s="69"/>
      <c r="R1390" s="171">
        <v>14</v>
      </c>
      <c r="S1390" s="65" t="s">
        <v>1589</v>
      </c>
      <c r="T1390" s="64">
        <v>5</v>
      </c>
      <c r="U1390" s="179">
        <f>$AH1390/3</f>
        <v>39666.666666666664</v>
      </c>
      <c r="V1390" s="674">
        <v>0</v>
      </c>
      <c r="W1390" s="75">
        <v>4</v>
      </c>
      <c r="X1390" s="179">
        <f>$AH1390/3</f>
        <v>39666.666666666664</v>
      </c>
      <c r="Y1390" s="179"/>
      <c r="Z1390" s="75">
        <v>5</v>
      </c>
      <c r="AA1390" s="179">
        <f>$AH1390/3</f>
        <v>39666.666666666664</v>
      </c>
      <c r="AB1390" s="179"/>
      <c r="AC1390" s="97"/>
      <c r="AD1390" s="179"/>
      <c r="AE1390" s="616"/>
      <c r="AF1390" s="259" t="s">
        <v>1590</v>
      </c>
      <c r="AG1390" s="510">
        <f>14*8500</f>
        <v>119000</v>
      </c>
      <c r="AH1390" s="370">
        <f>14*8500</f>
        <v>119000</v>
      </c>
      <c r="AI1390" s="75"/>
      <c r="AJ1390" s="75"/>
      <c r="AK1390" s="75"/>
      <c r="AL1390" s="75"/>
      <c r="AM1390" s="75"/>
      <c r="AN1390" s="64" t="s">
        <v>181</v>
      </c>
      <c r="AO1390" s="64"/>
      <c r="AP1390" s="64"/>
      <c r="AQ1390" s="189"/>
      <c r="AR1390" s="64"/>
      <c r="AS1390" s="476"/>
      <c r="AT1390" s="64"/>
      <c r="AU1390" s="646"/>
      <c r="AV1390" s="185"/>
    </row>
    <row r="1391" spans="1:48" ht="15" customHeight="1" outlineLevel="3" x14ac:dyDescent="0.25">
      <c r="A1391" s="63" t="str">
        <f t="shared" si="229"/>
        <v>4.16.3.4.5.64</v>
      </c>
      <c r="B1391" s="64">
        <v>4</v>
      </c>
      <c r="C1391" s="64">
        <v>16</v>
      </c>
      <c r="D1391" s="64">
        <v>3</v>
      </c>
      <c r="E1391" s="64">
        <v>4</v>
      </c>
      <c r="F1391" s="64">
        <v>5</v>
      </c>
      <c r="G1391" s="64">
        <v>64</v>
      </c>
      <c r="H1391" s="65"/>
      <c r="I1391" s="65"/>
      <c r="J1391" s="66"/>
      <c r="K1391" s="65" t="s">
        <v>1591</v>
      </c>
      <c r="L1391" s="64" t="s">
        <v>1475</v>
      </c>
      <c r="M1391" s="64" t="s">
        <v>1318</v>
      </c>
      <c r="N1391" s="64" t="s">
        <v>74</v>
      </c>
      <c r="O1391" s="64" t="s">
        <v>1524</v>
      </c>
      <c r="P1391" s="69"/>
      <c r="Q1391" s="69"/>
      <c r="R1391" s="171">
        <f>4*2</f>
        <v>8</v>
      </c>
      <c r="S1391" s="65" t="s">
        <v>1589</v>
      </c>
      <c r="T1391" s="64">
        <v>4</v>
      </c>
      <c r="U1391" s="179">
        <f>$AH1391/2</f>
        <v>28000</v>
      </c>
      <c r="V1391" s="674">
        <v>0</v>
      </c>
      <c r="W1391" s="75"/>
      <c r="X1391" s="179"/>
      <c r="Y1391" s="179"/>
      <c r="Z1391" s="75">
        <v>4</v>
      </c>
      <c r="AA1391" s="179">
        <f>$AH1391/2</f>
        <v>28000</v>
      </c>
      <c r="AB1391" s="179"/>
      <c r="AC1391" s="97"/>
      <c r="AD1391" s="179"/>
      <c r="AE1391" s="616"/>
      <c r="AF1391" s="259" t="s">
        <v>1592</v>
      </c>
      <c r="AG1391" s="510">
        <f>8*7000</f>
        <v>56000</v>
      </c>
      <c r="AH1391" s="370">
        <f>8*7000</f>
        <v>56000</v>
      </c>
      <c r="AI1391" s="75"/>
      <c r="AJ1391" s="75"/>
      <c r="AK1391" s="75"/>
      <c r="AL1391" s="75"/>
      <c r="AM1391" s="75"/>
      <c r="AN1391" s="64" t="s">
        <v>181</v>
      </c>
      <c r="AO1391" s="64"/>
      <c r="AP1391" s="64"/>
      <c r="AQ1391" s="189"/>
      <c r="AR1391" s="64"/>
      <c r="AS1391" s="476"/>
      <c r="AT1391" s="64"/>
      <c r="AU1391" s="646"/>
      <c r="AV1391" s="185"/>
    </row>
    <row r="1392" spans="1:48" ht="15" customHeight="1" outlineLevel="3" x14ac:dyDescent="0.25">
      <c r="A1392" s="63" t="str">
        <f t="shared" si="229"/>
        <v>4.16.3.4.6.64</v>
      </c>
      <c r="B1392" s="64">
        <v>4</v>
      </c>
      <c r="C1392" s="64">
        <v>16</v>
      </c>
      <c r="D1392" s="64">
        <v>3</v>
      </c>
      <c r="E1392" s="64">
        <v>4</v>
      </c>
      <c r="F1392" s="64">
        <v>6</v>
      </c>
      <c r="G1392" s="64">
        <v>64</v>
      </c>
      <c r="H1392" s="65"/>
      <c r="I1392" s="65"/>
      <c r="J1392" s="66"/>
      <c r="K1392" s="65" t="s">
        <v>1593</v>
      </c>
      <c r="L1392" s="64" t="s">
        <v>1475</v>
      </c>
      <c r="M1392" s="64" t="s">
        <v>1318</v>
      </c>
      <c r="N1392" s="64" t="s">
        <v>74</v>
      </c>
      <c r="O1392" s="64" t="s">
        <v>1475</v>
      </c>
      <c r="P1392" s="69"/>
      <c r="Q1392" s="69"/>
      <c r="R1392" s="171">
        <v>1</v>
      </c>
      <c r="S1392" s="65" t="s">
        <v>1589</v>
      </c>
      <c r="T1392" s="64"/>
      <c r="U1392" s="179">
        <f>$AH1392/4</f>
        <v>0</v>
      </c>
      <c r="V1392" s="674">
        <v>0</v>
      </c>
      <c r="W1392" s="75">
        <v>1</v>
      </c>
      <c r="X1392" s="179">
        <f>$AH1392/4</f>
        <v>0</v>
      </c>
      <c r="Y1392" s="179"/>
      <c r="Z1392" s="75"/>
      <c r="AA1392" s="179">
        <f>$AH1392/4</f>
        <v>0</v>
      </c>
      <c r="AB1392" s="179"/>
      <c r="AC1392" s="97"/>
      <c r="AD1392" s="179">
        <f>$AH1392/4</f>
        <v>0</v>
      </c>
      <c r="AE1392" s="616"/>
      <c r="AF1392" s="259" t="s">
        <v>1593</v>
      </c>
      <c r="AG1392" s="510">
        <v>0</v>
      </c>
      <c r="AH1392" s="370">
        <v>0</v>
      </c>
      <c r="AI1392" s="75"/>
      <c r="AJ1392" s="75"/>
      <c r="AK1392" s="75"/>
      <c r="AL1392" s="75"/>
      <c r="AM1392" s="75"/>
      <c r="AN1392" s="64" t="s">
        <v>181</v>
      </c>
      <c r="AO1392" s="64"/>
      <c r="AP1392" s="64"/>
      <c r="AQ1392" s="189"/>
      <c r="AR1392" s="64"/>
      <c r="AS1392" s="476"/>
      <c r="AT1392" s="64"/>
      <c r="AU1392" s="646"/>
      <c r="AV1392" s="185"/>
    </row>
    <row r="1393" spans="1:48" ht="15" customHeight="1" outlineLevel="3" x14ac:dyDescent="0.25">
      <c r="A1393" s="63" t="str">
        <f t="shared" si="229"/>
        <v>4.16.3.4.7.64</v>
      </c>
      <c r="B1393" s="64">
        <v>4</v>
      </c>
      <c r="C1393" s="64">
        <v>16</v>
      </c>
      <c r="D1393" s="64">
        <v>3</v>
      </c>
      <c r="E1393" s="64">
        <v>4</v>
      </c>
      <c r="F1393" s="64">
        <v>7</v>
      </c>
      <c r="G1393" s="64">
        <v>64</v>
      </c>
      <c r="H1393" s="65"/>
      <c r="I1393" s="65"/>
      <c r="J1393" s="66"/>
      <c r="K1393" s="65" t="s">
        <v>1594</v>
      </c>
      <c r="L1393" s="64" t="s">
        <v>1475</v>
      </c>
      <c r="M1393" s="64" t="s">
        <v>1318</v>
      </c>
      <c r="N1393" s="64" t="s">
        <v>74</v>
      </c>
      <c r="O1393" s="64" t="s">
        <v>1475</v>
      </c>
      <c r="P1393" s="69"/>
      <c r="Q1393" s="69"/>
      <c r="R1393" s="64">
        <v>1</v>
      </c>
      <c r="S1393" s="65" t="s">
        <v>1589</v>
      </c>
      <c r="T1393" s="64"/>
      <c r="U1393" s="179">
        <f>$AH1393/4</f>
        <v>0</v>
      </c>
      <c r="V1393" s="674">
        <v>0</v>
      </c>
      <c r="W1393" s="75">
        <v>1</v>
      </c>
      <c r="X1393" s="179">
        <f>$AH1393/4</f>
        <v>0</v>
      </c>
      <c r="Y1393" s="179"/>
      <c r="Z1393" s="75"/>
      <c r="AA1393" s="179">
        <f>$AH1393/4</f>
        <v>0</v>
      </c>
      <c r="AB1393" s="179"/>
      <c r="AC1393" s="97"/>
      <c r="AD1393" s="179">
        <f>$AH1393/4</f>
        <v>0</v>
      </c>
      <c r="AE1393" s="616"/>
      <c r="AF1393" s="259" t="s">
        <v>1595</v>
      </c>
      <c r="AG1393" s="510">
        <v>0</v>
      </c>
      <c r="AH1393" s="370">
        <v>0</v>
      </c>
      <c r="AI1393" s="75"/>
      <c r="AJ1393" s="75"/>
      <c r="AK1393" s="75"/>
      <c r="AL1393" s="75"/>
      <c r="AM1393" s="75"/>
      <c r="AN1393" s="64" t="s">
        <v>181</v>
      </c>
      <c r="AO1393" s="64"/>
      <c r="AP1393" s="64"/>
      <c r="AQ1393" s="189"/>
      <c r="AR1393" s="64"/>
      <c r="AS1393" s="476"/>
      <c r="AT1393" s="64"/>
      <c r="AU1393" s="646"/>
      <c r="AV1393" s="185"/>
    </row>
    <row r="1394" spans="1:48" ht="15" customHeight="1" outlineLevel="3" x14ac:dyDescent="0.25">
      <c r="A1394" s="63" t="str">
        <f t="shared" si="229"/>
        <v>4.16.3.4.8.64</v>
      </c>
      <c r="B1394" s="64">
        <v>4</v>
      </c>
      <c r="C1394" s="64">
        <v>16</v>
      </c>
      <c r="D1394" s="64">
        <v>3</v>
      </c>
      <c r="E1394" s="64">
        <v>4</v>
      </c>
      <c r="F1394" s="64">
        <v>8</v>
      </c>
      <c r="G1394" s="64">
        <v>64</v>
      </c>
      <c r="H1394" s="65"/>
      <c r="I1394" s="65"/>
      <c r="J1394" s="66"/>
      <c r="K1394" s="65" t="s">
        <v>1596</v>
      </c>
      <c r="L1394" s="64" t="s">
        <v>1475</v>
      </c>
      <c r="M1394" s="64" t="s">
        <v>1318</v>
      </c>
      <c r="N1394" s="64" t="s">
        <v>74</v>
      </c>
      <c r="O1394" s="64" t="s">
        <v>1475</v>
      </c>
      <c r="P1394" s="69"/>
      <c r="Q1394" s="69"/>
      <c r="R1394" s="64">
        <v>12</v>
      </c>
      <c r="S1394" s="65" t="s">
        <v>1597</v>
      </c>
      <c r="T1394" s="64">
        <v>3</v>
      </c>
      <c r="U1394" s="179">
        <f>$AH1394/4</f>
        <v>7500</v>
      </c>
      <c r="V1394" s="674">
        <v>0</v>
      </c>
      <c r="W1394" s="75">
        <v>3</v>
      </c>
      <c r="X1394" s="179">
        <f>$AH1394/4</f>
        <v>7500</v>
      </c>
      <c r="Y1394" s="179"/>
      <c r="Z1394" s="75">
        <v>3</v>
      </c>
      <c r="AA1394" s="179">
        <f>$AH1394/4</f>
        <v>7500</v>
      </c>
      <c r="AB1394" s="179"/>
      <c r="AC1394" s="97">
        <v>3</v>
      </c>
      <c r="AD1394" s="179">
        <f>$AH1394/4</f>
        <v>7500</v>
      </c>
      <c r="AE1394" s="616"/>
      <c r="AF1394" s="259" t="s">
        <v>765</v>
      </c>
      <c r="AG1394" s="510">
        <f>12*5000/2</f>
        <v>30000</v>
      </c>
      <c r="AH1394" s="370">
        <f>12*5000/2</f>
        <v>30000</v>
      </c>
      <c r="AI1394" s="75"/>
      <c r="AJ1394" s="75"/>
      <c r="AK1394" s="75"/>
      <c r="AL1394" s="75"/>
      <c r="AM1394" s="75"/>
      <c r="AN1394" s="64" t="s">
        <v>181</v>
      </c>
      <c r="AO1394" s="64"/>
      <c r="AP1394" s="64"/>
      <c r="AQ1394" s="189"/>
      <c r="AR1394" s="64"/>
      <c r="AS1394" s="476"/>
      <c r="AT1394" s="64"/>
      <c r="AU1394" s="646"/>
      <c r="AV1394" s="185" t="s">
        <v>780</v>
      </c>
    </row>
    <row r="1395" spans="1:48" s="153" customFormat="1" ht="50.25" customHeight="1" outlineLevel="2" x14ac:dyDescent="0.25">
      <c r="A1395" s="148" t="str">
        <f t="shared" si="229"/>
        <v>4.16.3.5.0.61</v>
      </c>
      <c r="B1395" s="82">
        <v>4</v>
      </c>
      <c r="C1395" s="82">
        <v>16</v>
      </c>
      <c r="D1395" s="82">
        <v>3</v>
      </c>
      <c r="E1395" s="82">
        <v>5</v>
      </c>
      <c r="F1395" s="82">
        <v>0</v>
      </c>
      <c r="G1395" s="82">
        <v>61</v>
      </c>
      <c r="H1395" s="149"/>
      <c r="I1395" s="149"/>
      <c r="J1395" s="1260" t="s">
        <v>1601</v>
      </c>
      <c r="K1395" s="1259"/>
      <c r="L1395" s="82" t="s">
        <v>1576</v>
      </c>
      <c r="M1395" s="82" t="s">
        <v>1464</v>
      </c>
      <c r="N1395" s="82" t="s">
        <v>1444</v>
      </c>
      <c r="O1395" s="82" t="s">
        <v>1204</v>
      </c>
      <c r="P1395" s="82"/>
      <c r="Q1395" s="82"/>
      <c r="R1395" s="82"/>
      <c r="S1395" s="149"/>
      <c r="T1395" s="82"/>
      <c r="U1395" s="209">
        <f>SUM(U1396:U1403)</f>
        <v>120166.66666666666</v>
      </c>
      <c r="V1395" s="682">
        <f t="shared" ref="V1395:AG1395" si="241">+SUM(V1396:V1403)</f>
        <v>0</v>
      </c>
      <c r="W1395" s="380">
        <f t="shared" si="241"/>
        <v>17</v>
      </c>
      <c r="X1395" s="380">
        <f t="shared" si="241"/>
        <v>92166.666666666657</v>
      </c>
      <c r="Y1395" s="380">
        <f t="shared" si="241"/>
        <v>0</v>
      </c>
      <c r="Z1395" s="380">
        <f t="shared" si="241"/>
        <v>19</v>
      </c>
      <c r="AA1395" s="380">
        <f t="shared" si="241"/>
        <v>75166.666666666657</v>
      </c>
      <c r="AB1395" s="380">
        <f t="shared" si="241"/>
        <v>0</v>
      </c>
      <c r="AC1395" s="380">
        <f t="shared" si="241"/>
        <v>11</v>
      </c>
      <c r="AD1395" s="380">
        <f t="shared" si="241"/>
        <v>7500</v>
      </c>
      <c r="AE1395" s="380">
        <f t="shared" si="241"/>
        <v>0</v>
      </c>
      <c r="AF1395" s="380">
        <f t="shared" si="241"/>
        <v>0</v>
      </c>
      <c r="AG1395" s="380">
        <f t="shared" si="241"/>
        <v>295000</v>
      </c>
      <c r="AH1395" s="380">
        <f>+SUM(AH1396:AH1403)</f>
        <v>295000</v>
      </c>
      <c r="AI1395" s="198"/>
      <c r="AJ1395" s="198"/>
      <c r="AK1395" s="198"/>
      <c r="AL1395" s="198"/>
      <c r="AM1395" s="198"/>
      <c r="AN1395" s="82" t="s">
        <v>181</v>
      </c>
      <c r="AO1395" s="82"/>
      <c r="AP1395" s="82"/>
      <c r="AQ1395" s="365"/>
      <c r="AR1395" s="82"/>
      <c r="AS1395" s="483"/>
      <c r="AT1395" s="82"/>
      <c r="AU1395" s="666"/>
      <c r="AV1395" s="449" t="s">
        <v>1579</v>
      </c>
    </row>
    <row r="1396" spans="1:48" ht="15" customHeight="1" outlineLevel="3" x14ac:dyDescent="0.25">
      <c r="A1396" s="63" t="str">
        <f t="shared" si="229"/>
        <v>4.16.3.5.1.61</v>
      </c>
      <c r="B1396" s="64">
        <v>4</v>
      </c>
      <c r="C1396" s="64">
        <v>16</v>
      </c>
      <c r="D1396" s="64">
        <v>3</v>
      </c>
      <c r="E1396" s="64">
        <v>5</v>
      </c>
      <c r="F1396" s="64">
        <v>1</v>
      </c>
      <c r="G1396" s="64">
        <v>61</v>
      </c>
      <c r="H1396" s="65"/>
      <c r="I1396" s="65"/>
      <c r="J1396" s="66"/>
      <c r="K1396" s="65" t="s">
        <v>1580</v>
      </c>
      <c r="L1396" s="64" t="s">
        <v>1576</v>
      </c>
      <c r="M1396" s="64" t="s">
        <v>144</v>
      </c>
      <c r="N1396" s="64" t="s">
        <v>265</v>
      </c>
      <c r="O1396" s="64" t="s">
        <v>1544</v>
      </c>
      <c r="P1396" s="64"/>
      <c r="Q1396" s="64"/>
      <c r="R1396" s="64">
        <v>12</v>
      </c>
      <c r="S1396" s="65" t="s">
        <v>1581</v>
      </c>
      <c r="T1396" s="64">
        <v>3</v>
      </c>
      <c r="U1396" s="179">
        <f>$AH1396/4</f>
        <v>0</v>
      </c>
      <c r="V1396" s="674">
        <v>0</v>
      </c>
      <c r="W1396" s="75">
        <v>3</v>
      </c>
      <c r="X1396" s="179">
        <f>$AH1396/4</f>
        <v>0</v>
      </c>
      <c r="Y1396" s="179"/>
      <c r="Z1396" s="75">
        <v>3</v>
      </c>
      <c r="AA1396" s="179">
        <f>$AH1396/4</f>
        <v>0</v>
      </c>
      <c r="AB1396" s="179"/>
      <c r="AC1396" s="97">
        <v>3</v>
      </c>
      <c r="AD1396" s="179">
        <f>$AH1396/4</f>
        <v>0</v>
      </c>
      <c r="AE1396" s="616"/>
      <c r="AF1396" s="259" t="s">
        <v>1582</v>
      </c>
      <c r="AG1396" s="510">
        <v>0</v>
      </c>
      <c r="AH1396" s="370">
        <v>0</v>
      </c>
      <c r="AI1396" s="75"/>
      <c r="AJ1396" s="75"/>
      <c r="AK1396" s="75"/>
      <c r="AL1396" s="75"/>
      <c r="AM1396" s="75"/>
      <c r="AN1396" s="64" t="s">
        <v>181</v>
      </c>
      <c r="AO1396" s="64"/>
      <c r="AP1396" s="64"/>
      <c r="AQ1396" s="189"/>
      <c r="AR1396" s="64"/>
      <c r="AS1396" s="476"/>
      <c r="AT1396" s="64"/>
      <c r="AU1396" s="646"/>
      <c r="AV1396" s="185"/>
    </row>
    <row r="1397" spans="1:48" ht="30" customHeight="1" outlineLevel="3" x14ac:dyDescent="0.25">
      <c r="A1397" s="63" t="str">
        <f t="shared" si="229"/>
        <v>4.16.3.5.2.61</v>
      </c>
      <c r="B1397" s="64">
        <v>4</v>
      </c>
      <c r="C1397" s="64">
        <v>16</v>
      </c>
      <c r="D1397" s="64">
        <v>3</v>
      </c>
      <c r="E1397" s="64">
        <v>5</v>
      </c>
      <c r="F1397" s="64">
        <v>2</v>
      </c>
      <c r="G1397" s="64">
        <v>61</v>
      </c>
      <c r="H1397" s="65"/>
      <c r="I1397" s="65"/>
      <c r="J1397" s="66"/>
      <c r="K1397" s="65" t="s">
        <v>1583</v>
      </c>
      <c r="L1397" s="64" t="s">
        <v>1475</v>
      </c>
      <c r="M1397" s="64" t="s">
        <v>1318</v>
      </c>
      <c r="N1397" s="64" t="s">
        <v>1223</v>
      </c>
      <c r="O1397" s="64" t="s">
        <v>1544</v>
      </c>
      <c r="P1397" s="69"/>
      <c r="Q1397" s="69"/>
      <c r="R1397" s="64">
        <v>12</v>
      </c>
      <c r="S1397" s="65" t="s">
        <v>1581</v>
      </c>
      <c r="T1397" s="64">
        <v>3</v>
      </c>
      <c r="U1397" s="179">
        <v>45000</v>
      </c>
      <c r="V1397" s="674">
        <v>0</v>
      </c>
      <c r="W1397" s="75">
        <v>3</v>
      </c>
      <c r="X1397" s="179">
        <v>45000</v>
      </c>
      <c r="Y1397" s="179"/>
      <c r="Z1397" s="75">
        <v>3</v>
      </c>
      <c r="AA1397" s="179"/>
      <c r="AB1397" s="179"/>
      <c r="AC1397" s="97">
        <v>3</v>
      </c>
      <c r="AD1397" s="179"/>
      <c r="AE1397" s="616"/>
      <c r="AF1397" s="259" t="s">
        <v>1584</v>
      </c>
      <c r="AG1397" s="510">
        <f>12*15000/2</f>
        <v>90000</v>
      </c>
      <c r="AH1397" s="370">
        <f>12*15000/2</f>
        <v>90000</v>
      </c>
      <c r="AI1397" s="75"/>
      <c r="AJ1397" s="75"/>
      <c r="AK1397" s="75"/>
      <c r="AL1397" s="75"/>
      <c r="AM1397" s="75"/>
      <c r="AN1397" s="64" t="s">
        <v>181</v>
      </c>
      <c r="AO1397" s="64"/>
      <c r="AP1397" s="64"/>
      <c r="AQ1397" s="189"/>
      <c r="AR1397" s="64"/>
      <c r="AS1397" s="476"/>
      <c r="AT1397" s="64"/>
      <c r="AU1397" s="646"/>
      <c r="AV1397" s="335" t="s">
        <v>1585</v>
      </c>
    </row>
    <row r="1398" spans="1:48" ht="15" customHeight="1" outlineLevel="3" x14ac:dyDescent="0.25">
      <c r="A1398" s="63" t="str">
        <f t="shared" si="229"/>
        <v>4.16.3.5.3.61</v>
      </c>
      <c r="B1398" s="64">
        <v>4</v>
      </c>
      <c r="C1398" s="64">
        <v>16</v>
      </c>
      <c r="D1398" s="64">
        <v>3</v>
      </c>
      <c r="E1398" s="64">
        <v>5</v>
      </c>
      <c r="F1398" s="64">
        <v>3</v>
      </c>
      <c r="G1398" s="64">
        <v>61</v>
      </c>
      <c r="H1398" s="65"/>
      <c r="I1398" s="65"/>
      <c r="J1398" s="66"/>
      <c r="K1398" s="65" t="s">
        <v>1586</v>
      </c>
      <c r="L1398" s="64" t="s">
        <v>1475</v>
      </c>
      <c r="M1398" s="64" t="s">
        <v>1318</v>
      </c>
      <c r="N1398" s="64" t="s">
        <v>1249</v>
      </c>
      <c r="O1398" s="64" t="s">
        <v>1544</v>
      </c>
      <c r="P1398" s="69"/>
      <c r="Q1398" s="69"/>
      <c r="R1398" s="171">
        <v>6</v>
      </c>
      <c r="S1398" s="65"/>
      <c r="T1398" s="64">
        <v>1</v>
      </c>
      <c r="U1398" s="179">
        <f>$AH1398/4</f>
        <v>0</v>
      </c>
      <c r="V1398" s="674">
        <v>0</v>
      </c>
      <c r="W1398" s="75">
        <v>2</v>
      </c>
      <c r="X1398" s="179">
        <f>$AH1398/4</f>
        <v>0</v>
      </c>
      <c r="Y1398" s="179"/>
      <c r="Z1398" s="75">
        <v>1</v>
      </c>
      <c r="AA1398" s="179">
        <f>$AH1398/4</f>
        <v>0</v>
      </c>
      <c r="AB1398" s="179"/>
      <c r="AC1398" s="97">
        <v>2</v>
      </c>
      <c r="AD1398" s="179">
        <f>$AH1398/4</f>
        <v>0</v>
      </c>
      <c r="AE1398" s="616"/>
      <c r="AF1398" s="259" t="s">
        <v>1587</v>
      </c>
      <c r="AG1398" s="510">
        <v>0</v>
      </c>
      <c r="AH1398" s="370">
        <v>0</v>
      </c>
      <c r="AI1398" s="75"/>
      <c r="AJ1398" s="75"/>
      <c r="AK1398" s="75"/>
      <c r="AL1398" s="75"/>
      <c r="AM1398" s="75"/>
      <c r="AN1398" s="64" t="s">
        <v>181</v>
      </c>
      <c r="AO1398" s="64"/>
      <c r="AP1398" s="64"/>
      <c r="AQ1398" s="189"/>
      <c r="AR1398" s="64"/>
      <c r="AS1398" s="476"/>
      <c r="AT1398" s="64"/>
      <c r="AU1398" s="646"/>
      <c r="AV1398" s="185" t="s">
        <v>127</v>
      </c>
    </row>
    <row r="1399" spans="1:48" ht="15" customHeight="1" outlineLevel="3" x14ac:dyDescent="0.25">
      <c r="A1399" s="63" t="str">
        <f t="shared" si="229"/>
        <v>4.16.3.5.4.61</v>
      </c>
      <c r="B1399" s="64">
        <v>4</v>
      </c>
      <c r="C1399" s="64">
        <v>16</v>
      </c>
      <c r="D1399" s="64">
        <v>3</v>
      </c>
      <c r="E1399" s="64">
        <v>5</v>
      </c>
      <c r="F1399" s="64">
        <v>4</v>
      </c>
      <c r="G1399" s="64">
        <v>61</v>
      </c>
      <c r="H1399" s="65"/>
      <c r="I1399" s="65"/>
      <c r="J1399" s="66"/>
      <c r="K1399" s="65" t="s">
        <v>1588</v>
      </c>
      <c r="L1399" s="64" t="s">
        <v>1475</v>
      </c>
      <c r="M1399" s="64" t="s">
        <v>1318</v>
      </c>
      <c r="N1399" s="64" t="s">
        <v>74</v>
      </c>
      <c r="O1399" s="64" t="s">
        <v>1524</v>
      </c>
      <c r="P1399" s="69"/>
      <c r="Q1399" s="69"/>
      <c r="R1399" s="171">
        <v>14</v>
      </c>
      <c r="S1399" s="65" t="s">
        <v>1589</v>
      </c>
      <c r="T1399" s="64">
        <v>5</v>
      </c>
      <c r="U1399" s="179">
        <f>$AH1399/3</f>
        <v>39666.666666666664</v>
      </c>
      <c r="V1399" s="674">
        <v>0</v>
      </c>
      <c r="W1399" s="75">
        <v>4</v>
      </c>
      <c r="X1399" s="179">
        <f>$AH1399/3</f>
        <v>39666.666666666664</v>
      </c>
      <c r="Y1399" s="179"/>
      <c r="Z1399" s="75">
        <v>5</v>
      </c>
      <c r="AA1399" s="179">
        <f>$AH1399/3</f>
        <v>39666.666666666664</v>
      </c>
      <c r="AB1399" s="179"/>
      <c r="AC1399" s="97"/>
      <c r="AD1399" s="179"/>
      <c r="AE1399" s="616"/>
      <c r="AF1399" s="259" t="s">
        <v>1590</v>
      </c>
      <c r="AG1399" s="510">
        <f>14*8500</f>
        <v>119000</v>
      </c>
      <c r="AH1399" s="370">
        <f>14*8500</f>
        <v>119000</v>
      </c>
      <c r="AI1399" s="75"/>
      <c r="AJ1399" s="75"/>
      <c r="AK1399" s="75"/>
      <c r="AL1399" s="75"/>
      <c r="AM1399" s="75"/>
      <c r="AN1399" s="64" t="s">
        <v>181</v>
      </c>
      <c r="AO1399" s="64"/>
      <c r="AP1399" s="64"/>
      <c r="AQ1399" s="189"/>
      <c r="AR1399" s="64"/>
      <c r="AS1399" s="476"/>
      <c r="AT1399" s="64"/>
      <c r="AU1399" s="646"/>
      <c r="AV1399" s="185"/>
    </row>
    <row r="1400" spans="1:48" ht="15" customHeight="1" outlineLevel="3" x14ac:dyDescent="0.25">
      <c r="A1400" s="63" t="str">
        <f t="shared" si="229"/>
        <v>4.16.3.5.5.61</v>
      </c>
      <c r="B1400" s="64">
        <v>4</v>
      </c>
      <c r="C1400" s="64">
        <v>16</v>
      </c>
      <c r="D1400" s="64">
        <v>3</v>
      </c>
      <c r="E1400" s="64">
        <v>5</v>
      </c>
      <c r="F1400" s="64">
        <v>5</v>
      </c>
      <c r="G1400" s="64">
        <v>61</v>
      </c>
      <c r="H1400" s="65"/>
      <c r="I1400" s="65"/>
      <c r="J1400" s="66"/>
      <c r="K1400" s="65" t="s">
        <v>1591</v>
      </c>
      <c r="L1400" s="64" t="s">
        <v>1475</v>
      </c>
      <c r="M1400" s="64" t="s">
        <v>1318</v>
      </c>
      <c r="N1400" s="64" t="s">
        <v>74</v>
      </c>
      <c r="O1400" s="64" t="s">
        <v>1524</v>
      </c>
      <c r="P1400" s="69"/>
      <c r="Q1400" s="69"/>
      <c r="R1400" s="171">
        <f>4*2</f>
        <v>8</v>
      </c>
      <c r="S1400" s="65" t="s">
        <v>1589</v>
      </c>
      <c r="T1400" s="64">
        <v>4</v>
      </c>
      <c r="U1400" s="179">
        <f>$AH1400/2</f>
        <v>28000</v>
      </c>
      <c r="V1400" s="674">
        <v>0</v>
      </c>
      <c r="W1400" s="75"/>
      <c r="X1400" s="179"/>
      <c r="Y1400" s="179"/>
      <c r="Z1400" s="75">
        <v>4</v>
      </c>
      <c r="AA1400" s="179">
        <f>$AH1400/2</f>
        <v>28000</v>
      </c>
      <c r="AB1400" s="179"/>
      <c r="AC1400" s="97"/>
      <c r="AD1400" s="179"/>
      <c r="AE1400" s="616"/>
      <c r="AF1400" s="259" t="s">
        <v>1592</v>
      </c>
      <c r="AG1400" s="510">
        <f>8*7000</f>
        <v>56000</v>
      </c>
      <c r="AH1400" s="370">
        <f>8*7000</f>
        <v>56000</v>
      </c>
      <c r="AI1400" s="75"/>
      <c r="AJ1400" s="75"/>
      <c r="AK1400" s="75"/>
      <c r="AL1400" s="75"/>
      <c r="AM1400" s="75"/>
      <c r="AN1400" s="64" t="s">
        <v>181</v>
      </c>
      <c r="AO1400" s="64"/>
      <c r="AP1400" s="64"/>
      <c r="AQ1400" s="189"/>
      <c r="AR1400" s="64"/>
      <c r="AS1400" s="476"/>
      <c r="AT1400" s="64"/>
      <c r="AU1400" s="646"/>
      <c r="AV1400" s="185"/>
    </row>
    <row r="1401" spans="1:48" ht="15" customHeight="1" outlineLevel="3" x14ac:dyDescent="0.25">
      <c r="A1401" s="63" t="str">
        <f t="shared" si="229"/>
        <v>4.16.3.5.6.61</v>
      </c>
      <c r="B1401" s="64">
        <v>4</v>
      </c>
      <c r="C1401" s="64">
        <v>16</v>
      </c>
      <c r="D1401" s="64">
        <v>3</v>
      </c>
      <c r="E1401" s="64">
        <v>5</v>
      </c>
      <c r="F1401" s="64">
        <v>6</v>
      </c>
      <c r="G1401" s="64">
        <v>61</v>
      </c>
      <c r="H1401" s="65"/>
      <c r="I1401" s="65"/>
      <c r="J1401" s="66"/>
      <c r="K1401" s="65" t="s">
        <v>1593</v>
      </c>
      <c r="L1401" s="64" t="s">
        <v>1475</v>
      </c>
      <c r="M1401" s="64" t="s">
        <v>1318</v>
      </c>
      <c r="N1401" s="64" t="s">
        <v>74</v>
      </c>
      <c r="O1401" s="64" t="s">
        <v>1475</v>
      </c>
      <c r="P1401" s="69"/>
      <c r="Q1401" s="69"/>
      <c r="R1401" s="171">
        <v>1</v>
      </c>
      <c r="S1401" s="65" t="s">
        <v>1589</v>
      </c>
      <c r="T1401" s="64"/>
      <c r="U1401" s="179">
        <f>$AH1401/4</f>
        <v>0</v>
      </c>
      <c r="V1401" s="674">
        <v>0</v>
      </c>
      <c r="W1401" s="75">
        <v>1</v>
      </c>
      <c r="X1401" s="179">
        <f>$AH1401/4</f>
        <v>0</v>
      </c>
      <c r="Y1401" s="179"/>
      <c r="Z1401" s="75"/>
      <c r="AA1401" s="179">
        <f>$AH1401/4</f>
        <v>0</v>
      </c>
      <c r="AB1401" s="179"/>
      <c r="AC1401" s="97"/>
      <c r="AD1401" s="179">
        <f>$AH1401/4</f>
        <v>0</v>
      </c>
      <c r="AE1401" s="616"/>
      <c r="AF1401" s="259" t="s">
        <v>1593</v>
      </c>
      <c r="AG1401" s="510">
        <v>0</v>
      </c>
      <c r="AH1401" s="370">
        <v>0</v>
      </c>
      <c r="AI1401" s="75"/>
      <c r="AJ1401" s="75"/>
      <c r="AK1401" s="75"/>
      <c r="AL1401" s="75"/>
      <c r="AM1401" s="75"/>
      <c r="AN1401" s="64" t="s">
        <v>181</v>
      </c>
      <c r="AO1401" s="64"/>
      <c r="AP1401" s="64"/>
      <c r="AQ1401" s="189"/>
      <c r="AR1401" s="64"/>
      <c r="AS1401" s="476"/>
      <c r="AT1401" s="64"/>
      <c r="AU1401" s="646"/>
      <c r="AV1401" s="185"/>
    </row>
    <row r="1402" spans="1:48" ht="15" customHeight="1" outlineLevel="3" x14ac:dyDescent="0.25">
      <c r="A1402" s="63" t="str">
        <f t="shared" si="229"/>
        <v>4.16.3.5.7.61</v>
      </c>
      <c r="B1402" s="64">
        <v>4</v>
      </c>
      <c r="C1402" s="64">
        <v>16</v>
      </c>
      <c r="D1402" s="64">
        <v>3</v>
      </c>
      <c r="E1402" s="64">
        <v>5</v>
      </c>
      <c r="F1402" s="64">
        <v>7</v>
      </c>
      <c r="G1402" s="64">
        <v>61</v>
      </c>
      <c r="H1402" s="65"/>
      <c r="I1402" s="65"/>
      <c r="J1402" s="66"/>
      <c r="K1402" s="65" t="s">
        <v>1594</v>
      </c>
      <c r="L1402" s="64" t="s">
        <v>1475</v>
      </c>
      <c r="M1402" s="64" t="s">
        <v>1318</v>
      </c>
      <c r="N1402" s="64" t="s">
        <v>74</v>
      </c>
      <c r="O1402" s="64" t="s">
        <v>1475</v>
      </c>
      <c r="P1402" s="69"/>
      <c r="Q1402" s="69"/>
      <c r="R1402" s="64">
        <v>1</v>
      </c>
      <c r="S1402" s="65" t="s">
        <v>1589</v>
      </c>
      <c r="T1402" s="64"/>
      <c r="U1402" s="179">
        <f>$AH1402/4</f>
        <v>0</v>
      </c>
      <c r="V1402" s="674">
        <v>0</v>
      </c>
      <c r="W1402" s="75">
        <v>1</v>
      </c>
      <c r="X1402" s="179">
        <f>$AH1402/4</f>
        <v>0</v>
      </c>
      <c r="Y1402" s="179"/>
      <c r="Z1402" s="75"/>
      <c r="AA1402" s="179">
        <f>$AH1402/4</f>
        <v>0</v>
      </c>
      <c r="AB1402" s="179"/>
      <c r="AC1402" s="97"/>
      <c r="AD1402" s="179">
        <f>$AH1402/4</f>
        <v>0</v>
      </c>
      <c r="AE1402" s="616"/>
      <c r="AF1402" s="259" t="s">
        <v>1595</v>
      </c>
      <c r="AG1402" s="510">
        <v>0</v>
      </c>
      <c r="AH1402" s="370">
        <v>0</v>
      </c>
      <c r="AI1402" s="75"/>
      <c r="AJ1402" s="75"/>
      <c r="AK1402" s="75"/>
      <c r="AL1402" s="75"/>
      <c r="AM1402" s="75"/>
      <c r="AN1402" s="64" t="s">
        <v>181</v>
      </c>
      <c r="AO1402" s="64"/>
      <c r="AP1402" s="64"/>
      <c r="AQ1402" s="189"/>
      <c r="AR1402" s="64"/>
      <c r="AS1402" s="476"/>
      <c r="AT1402" s="64"/>
      <c r="AU1402" s="646"/>
      <c r="AV1402" s="185"/>
    </row>
    <row r="1403" spans="1:48" ht="15" customHeight="1" outlineLevel="3" x14ac:dyDescent="0.25">
      <c r="A1403" s="63" t="str">
        <f t="shared" si="229"/>
        <v>4.16.3.5.8.61</v>
      </c>
      <c r="B1403" s="64">
        <v>4</v>
      </c>
      <c r="C1403" s="64">
        <v>16</v>
      </c>
      <c r="D1403" s="64">
        <v>3</v>
      </c>
      <c r="E1403" s="64">
        <v>5</v>
      </c>
      <c r="F1403" s="64">
        <v>8</v>
      </c>
      <c r="G1403" s="64">
        <v>61</v>
      </c>
      <c r="H1403" s="65"/>
      <c r="I1403" s="65"/>
      <c r="J1403" s="66"/>
      <c r="K1403" s="65" t="s">
        <v>1596</v>
      </c>
      <c r="L1403" s="64" t="s">
        <v>1475</v>
      </c>
      <c r="M1403" s="64" t="s">
        <v>1318</v>
      </c>
      <c r="N1403" s="64" t="s">
        <v>74</v>
      </c>
      <c r="O1403" s="64" t="s">
        <v>1475</v>
      </c>
      <c r="P1403" s="69"/>
      <c r="Q1403" s="69"/>
      <c r="R1403" s="64">
        <v>12</v>
      </c>
      <c r="S1403" s="65" t="s">
        <v>1597</v>
      </c>
      <c r="T1403" s="64">
        <v>3</v>
      </c>
      <c r="U1403" s="179">
        <f>$AH1403/4</f>
        <v>7500</v>
      </c>
      <c r="V1403" s="674">
        <v>0</v>
      </c>
      <c r="W1403" s="75">
        <v>3</v>
      </c>
      <c r="X1403" s="179">
        <f>$AH1403/4</f>
        <v>7500</v>
      </c>
      <c r="Y1403" s="179"/>
      <c r="Z1403" s="75">
        <v>3</v>
      </c>
      <c r="AA1403" s="179">
        <f>$AH1403/4</f>
        <v>7500</v>
      </c>
      <c r="AB1403" s="179"/>
      <c r="AC1403" s="97">
        <v>3</v>
      </c>
      <c r="AD1403" s="179">
        <f>$AH1403/4</f>
        <v>7500</v>
      </c>
      <c r="AE1403" s="616"/>
      <c r="AF1403" s="259" t="s">
        <v>765</v>
      </c>
      <c r="AG1403" s="510">
        <f>12*5000/2</f>
        <v>30000</v>
      </c>
      <c r="AH1403" s="370">
        <f>12*5000/2</f>
        <v>30000</v>
      </c>
      <c r="AI1403" s="75"/>
      <c r="AJ1403" s="75"/>
      <c r="AK1403" s="75"/>
      <c r="AL1403" s="75"/>
      <c r="AM1403" s="75"/>
      <c r="AN1403" s="64" t="s">
        <v>181</v>
      </c>
      <c r="AO1403" s="64"/>
      <c r="AP1403" s="64"/>
      <c r="AQ1403" s="189"/>
      <c r="AR1403" s="64"/>
      <c r="AS1403" s="476"/>
      <c r="AT1403" s="64"/>
      <c r="AU1403" s="646"/>
      <c r="AV1403" s="185" t="s">
        <v>780</v>
      </c>
    </row>
    <row r="1404" spans="1:48" s="153" customFormat="1" ht="54.75" customHeight="1" outlineLevel="2" x14ac:dyDescent="0.25">
      <c r="A1404" s="148" t="str">
        <f t="shared" si="229"/>
        <v>4.16.3.6.0.62</v>
      </c>
      <c r="B1404" s="82">
        <v>4</v>
      </c>
      <c r="C1404" s="82">
        <v>16</v>
      </c>
      <c r="D1404" s="82">
        <v>3</v>
      </c>
      <c r="E1404" s="82">
        <v>6</v>
      </c>
      <c r="F1404" s="82">
        <v>0</v>
      </c>
      <c r="G1404" s="82">
        <v>62</v>
      </c>
      <c r="H1404" s="149"/>
      <c r="I1404" s="149"/>
      <c r="J1404" s="1260" t="s">
        <v>1602</v>
      </c>
      <c r="K1404" s="1259"/>
      <c r="L1404" s="82" t="s">
        <v>1576</v>
      </c>
      <c r="M1404" s="82" t="s">
        <v>1464</v>
      </c>
      <c r="N1404" s="82" t="s">
        <v>1444</v>
      </c>
      <c r="O1404" s="82" t="s">
        <v>1204</v>
      </c>
      <c r="P1404" s="82"/>
      <c r="Q1404" s="82"/>
      <c r="R1404" s="82"/>
      <c r="S1404" s="149"/>
      <c r="T1404" s="82"/>
      <c r="U1404" s="209">
        <f>SUM(U1405:U1412)</f>
        <v>127166.66666666666</v>
      </c>
      <c r="V1404" s="682">
        <f t="shared" ref="V1404:AG1404" si="242">+SUM(V1405:V1412)</f>
        <v>0</v>
      </c>
      <c r="W1404" s="380">
        <f t="shared" si="242"/>
        <v>17</v>
      </c>
      <c r="X1404" s="380">
        <f t="shared" si="242"/>
        <v>92166.666666666657</v>
      </c>
      <c r="Y1404" s="380">
        <f t="shared" si="242"/>
        <v>0</v>
      </c>
      <c r="Z1404" s="380">
        <f t="shared" si="242"/>
        <v>20</v>
      </c>
      <c r="AA1404" s="380">
        <f t="shared" si="242"/>
        <v>82166.666666666657</v>
      </c>
      <c r="AB1404" s="380">
        <f t="shared" si="242"/>
        <v>0</v>
      </c>
      <c r="AC1404" s="380">
        <f t="shared" si="242"/>
        <v>11</v>
      </c>
      <c r="AD1404" s="380">
        <f t="shared" si="242"/>
        <v>7500</v>
      </c>
      <c r="AE1404" s="380">
        <f t="shared" si="242"/>
        <v>0</v>
      </c>
      <c r="AF1404" s="380">
        <f t="shared" si="242"/>
        <v>0</v>
      </c>
      <c r="AG1404" s="380">
        <f t="shared" si="242"/>
        <v>309000</v>
      </c>
      <c r="AH1404" s="380">
        <f>+SUM(AH1405:AH1412)</f>
        <v>309000</v>
      </c>
      <c r="AI1404" s="198"/>
      <c r="AJ1404" s="198"/>
      <c r="AK1404" s="198"/>
      <c r="AL1404" s="198"/>
      <c r="AM1404" s="198"/>
      <c r="AN1404" s="82" t="s">
        <v>181</v>
      </c>
      <c r="AO1404" s="82"/>
      <c r="AP1404" s="82"/>
      <c r="AQ1404" s="365"/>
      <c r="AR1404" s="82"/>
      <c r="AS1404" s="483"/>
      <c r="AT1404" s="82"/>
      <c r="AU1404" s="666"/>
      <c r="AV1404" s="449" t="s">
        <v>1579</v>
      </c>
    </row>
    <row r="1405" spans="1:48" ht="15" customHeight="1" outlineLevel="3" x14ac:dyDescent="0.25">
      <c r="A1405" s="63" t="str">
        <f t="shared" si="229"/>
        <v>4.16.3.6.1.62</v>
      </c>
      <c r="B1405" s="64">
        <v>4</v>
      </c>
      <c r="C1405" s="64">
        <v>16</v>
      </c>
      <c r="D1405" s="64">
        <v>3</v>
      </c>
      <c r="E1405" s="64">
        <v>6</v>
      </c>
      <c r="F1405" s="64">
        <v>1</v>
      </c>
      <c r="G1405" s="64">
        <v>62</v>
      </c>
      <c r="H1405" s="65"/>
      <c r="I1405" s="65"/>
      <c r="J1405" s="66"/>
      <c r="K1405" s="65" t="s">
        <v>1580</v>
      </c>
      <c r="L1405" s="64" t="s">
        <v>1576</v>
      </c>
      <c r="M1405" s="64" t="s">
        <v>144</v>
      </c>
      <c r="N1405" s="64" t="s">
        <v>265</v>
      </c>
      <c r="O1405" s="64" t="s">
        <v>1544</v>
      </c>
      <c r="P1405" s="64"/>
      <c r="Q1405" s="64"/>
      <c r="R1405" s="64">
        <v>12</v>
      </c>
      <c r="S1405" s="65" t="s">
        <v>1581</v>
      </c>
      <c r="T1405" s="64">
        <v>3</v>
      </c>
      <c r="U1405" s="155">
        <f>$AH1405/4</f>
        <v>0</v>
      </c>
      <c r="V1405" s="674">
        <v>0</v>
      </c>
      <c r="W1405" s="75">
        <v>3</v>
      </c>
      <c r="X1405" s="155">
        <f>$AH1405/4</f>
        <v>0</v>
      </c>
      <c r="Y1405" s="155"/>
      <c r="Z1405" s="75">
        <v>3</v>
      </c>
      <c r="AA1405" s="155">
        <f>$AH1405/4</f>
        <v>0</v>
      </c>
      <c r="AB1405" s="155"/>
      <c r="AC1405" s="97">
        <v>3</v>
      </c>
      <c r="AD1405" s="155">
        <f>$AH1405/4</f>
        <v>0</v>
      </c>
      <c r="AE1405" s="599"/>
      <c r="AF1405" s="259" t="s">
        <v>1582</v>
      </c>
      <c r="AG1405" s="510">
        <v>0</v>
      </c>
      <c r="AH1405" s="370">
        <v>0</v>
      </c>
      <c r="AI1405" s="75"/>
      <c r="AJ1405" s="75"/>
      <c r="AK1405" s="75"/>
      <c r="AL1405" s="75"/>
      <c r="AM1405" s="75"/>
      <c r="AN1405" s="64" t="s">
        <v>181</v>
      </c>
      <c r="AO1405" s="64"/>
      <c r="AP1405" s="64"/>
      <c r="AQ1405" s="189"/>
      <c r="AR1405" s="64"/>
      <c r="AS1405" s="476"/>
      <c r="AT1405" s="64"/>
      <c r="AU1405" s="646"/>
      <c r="AV1405" s="185"/>
    </row>
    <row r="1406" spans="1:48" ht="28.5" customHeight="1" outlineLevel="3" x14ac:dyDescent="0.25">
      <c r="A1406" s="63" t="str">
        <f t="shared" si="229"/>
        <v>4.16.3.6.2.62</v>
      </c>
      <c r="B1406" s="64">
        <v>4</v>
      </c>
      <c r="C1406" s="64">
        <v>16</v>
      </c>
      <c r="D1406" s="64">
        <v>3</v>
      </c>
      <c r="E1406" s="64">
        <v>6</v>
      </c>
      <c r="F1406" s="64">
        <v>2</v>
      </c>
      <c r="G1406" s="64">
        <v>62</v>
      </c>
      <c r="H1406" s="65"/>
      <c r="I1406" s="65"/>
      <c r="J1406" s="66"/>
      <c r="K1406" s="65" t="s">
        <v>1583</v>
      </c>
      <c r="L1406" s="64" t="s">
        <v>1475</v>
      </c>
      <c r="M1406" s="64" t="s">
        <v>1318</v>
      </c>
      <c r="N1406" s="64" t="s">
        <v>1223</v>
      </c>
      <c r="O1406" s="64" t="s">
        <v>1544</v>
      </c>
      <c r="P1406" s="69"/>
      <c r="Q1406" s="69"/>
      <c r="R1406" s="64">
        <v>12</v>
      </c>
      <c r="S1406" s="65" t="s">
        <v>1581</v>
      </c>
      <c r="T1406" s="64">
        <v>3</v>
      </c>
      <c r="U1406" s="155">
        <v>45000</v>
      </c>
      <c r="V1406" s="674">
        <v>0</v>
      </c>
      <c r="W1406" s="75">
        <v>3</v>
      </c>
      <c r="X1406" s="155">
        <v>45000</v>
      </c>
      <c r="Y1406" s="155"/>
      <c r="Z1406" s="75">
        <v>3</v>
      </c>
      <c r="AA1406" s="155"/>
      <c r="AB1406" s="155"/>
      <c r="AC1406" s="97">
        <v>3</v>
      </c>
      <c r="AD1406" s="155"/>
      <c r="AE1406" s="599"/>
      <c r="AF1406" s="259" t="s">
        <v>1584</v>
      </c>
      <c r="AG1406" s="510">
        <f>12*15000/2</f>
        <v>90000</v>
      </c>
      <c r="AH1406" s="370">
        <f>12*15000/2</f>
        <v>90000</v>
      </c>
      <c r="AI1406" s="75"/>
      <c r="AJ1406" s="75"/>
      <c r="AK1406" s="75"/>
      <c r="AL1406" s="75"/>
      <c r="AM1406" s="75"/>
      <c r="AN1406" s="64" t="s">
        <v>181</v>
      </c>
      <c r="AO1406" s="64"/>
      <c r="AP1406" s="64"/>
      <c r="AQ1406" s="189"/>
      <c r="AR1406" s="64"/>
      <c r="AS1406" s="476"/>
      <c r="AT1406" s="64"/>
      <c r="AU1406" s="646"/>
      <c r="AV1406" s="335" t="s">
        <v>1585</v>
      </c>
    </row>
    <row r="1407" spans="1:48" ht="15" customHeight="1" outlineLevel="3" x14ac:dyDescent="0.25">
      <c r="A1407" s="63" t="str">
        <f t="shared" si="229"/>
        <v>4.16.3.6.3.62</v>
      </c>
      <c r="B1407" s="64">
        <v>4</v>
      </c>
      <c r="C1407" s="64">
        <v>16</v>
      </c>
      <c r="D1407" s="64">
        <v>3</v>
      </c>
      <c r="E1407" s="64">
        <v>6</v>
      </c>
      <c r="F1407" s="64">
        <v>3</v>
      </c>
      <c r="G1407" s="64">
        <v>62</v>
      </c>
      <c r="H1407" s="65"/>
      <c r="I1407" s="65"/>
      <c r="J1407" s="66"/>
      <c r="K1407" s="65" t="s">
        <v>1586</v>
      </c>
      <c r="L1407" s="64" t="s">
        <v>1475</v>
      </c>
      <c r="M1407" s="64" t="s">
        <v>1318</v>
      </c>
      <c r="N1407" s="64" t="s">
        <v>1249</v>
      </c>
      <c r="O1407" s="64" t="s">
        <v>1544</v>
      </c>
      <c r="P1407" s="69"/>
      <c r="Q1407" s="69"/>
      <c r="R1407" s="171">
        <v>6</v>
      </c>
      <c r="S1407" s="65"/>
      <c r="T1407" s="64">
        <v>1</v>
      </c>
      <c r="U1407" s="155">
        <f>$AH1407/4</f>
        <v>0</v>
      </c>
      <c r="V1407" s="674">
        <v>0</v>
      </c>
      <c r="W1407" s="75">
        <v>2</v>
      </c>
      <c r="X1407" s="155">
        <f>$AH1407/4</f>
        <v>0</v>
      </c>
      <c r="Y1407" s="155"/>
      <c r="Z1407" s="75">
        <v>1</v>
      </c>
      <c r="AA1407" s="155">
        <f>$AH1407/4</f>
        <v>0</v>
      </c>
      <c r="AB1407" s="155"/>
      <c r="AC1407" s="97">
        <v>2</v>
      </c>
      <c r="AD1407" s="155">
        <f>$AH1407/4</f>
        <v>0</v>
      </c>
      <c r="AE1407" s="599"/>
      <c r="AF1407" s="259" t="s">
        <v>1587</v>
      </c>
      <c r="AG1407" s="510">
        <v>0</v>
      </c>
      <c r="AH1407" s="370">
        <v>0</v>
      </c>
      <c r="AI1407" s="75"/>
      <c r="AJ1407" s="75"/>
      <c r="AK1407" s="75"/>
      <c r="AL1407" s="75"/>
      <c r="AM1407" s="75"/>
      <c r="AN1407" s="64" t="s">
        <v>181</v>
      </c>
      <c r="AO1407" s="64"/>
      <c r="AP1407" s="64"/>
      <c r="AQ1407" s="189"/>
      <c r="AR1407" s="64"/>
      <c r="AS1407" s="476"/>
      <c r="AT1407" s="64"/>
      <c r="AU1407" s="646"/>
      <c r="AV1407" s="185" t="s">
        <v>127</v>
      </c>
    </row>
    <row r="1408" spans="1:48" ht="15" customHeight="1" outlineLevel="3" x14ac:dyDescent="0.25">
      <c r="A1408" s="63" t="str">
        <f t="shared" si="229"/>
        <v>4.16.3.6.4.62</v>
      </c>
      <c r="B1408" s="64">
        <v>4</v>
      </c>
      <c r="C1408" s="64">
        <v>16</v>
      </c>
      <c r="D1408" s="64">
        <v>3</v>
      </c>
      <c r="E1408" s="64">
        <v>6</v>
      </c>
      <c r="F1408" s="64">
        <v>4</v>
      </c>
      <c r="G1408" s="64">
        <v>62</v>
      </c>
      <c r="H1408" s="65"/>
      <c r="I1408" s="65"/>
      <c r="J1408" s="65"/>
      <c r="K1408" s="65" t="s">
        <v>1588</v>
      </c>
      <c r="L1408" s="64" t="s">
        <v>1475</v>
      </c>
      <c r="M1408" s="64" t="s">
        <v>1318</v>
      </c>
      <c r="N1408" s="64" t="s">
        <v>74</v>
      </c>
      <c r="O1408" s="64" t="s">
        <v>1524</v>
      </c>
      <c r="P1408" s="69"/>
      <c r="Q1408" s="69"/>
      <c r="R1408" s="171">
        <v>14</v>
      </c>
      <c r="S1408" s="65" t="s">
        <v>1589</v>
      </c>
      <c r="T1408" s="64">
        <v>5</v>
      </c>
      <c r="U1408" s="155">
        <f>$AH1408/3</f>
        <v>39666.666666666664</v>
      </c>
      <c r="V1408" s="674">
        <v>0</v>
      </c>
      <c r="W1408" s="75">
        <v>4</v>
      </c>
      <c r="X1408" s="155">
        <f>$AH1408/3</f>
        <v>39666.666666666664</v>
      </c>
      <c r="Y1408" s="155"/>
      <c r="Z1408" s="75">
        <v>5</v>
      </c>
      <c r="AA1408" s="155">
        <f>$AH1408/3</f>
        <v>39666.666666666664</v>
      </c>
      <c r="AB1408" s="155"/>
      <c r="AC1408" s="97"/>
      <c r="AD1408" s="155"/>
      <c r="AE1408" s="599"/>
      <c r="AF1408" s="259" t="s">
        <v>1590</v>
      </c>
      <c r="AG1408" s="510">
        <f>14*8500</f>
        <v>119000</v>
      </c>
      <c r="AH1408" s="370">
        <f>14*8500</f>
        <v>119000</v>
      </c>
      <c r="AI1408" s="75"/>
      <c r="AJ1408" s="75"/>
      <c r="AK1408" s="75"/>
      <c r="AL1408" s="75"/>
      <c r="AM1408" s="75"/>
      <c r="AN1408" s="64" t="s">
        <v>181</v>
      </c>
      <c r="AO1408" s="64"/>
      <c r="AP1408" s="64"/>
      <c r="AQ1408" s="189"/>
      <c r="AR1408" s="64"/>
      <c r="AS1408" s="476"/>
      <c r="AT1408" s="64"/>
      <c r="AU1408" s="646"/>
      <c r="AV1408" s="185"/>
    </row>
    <row r="1409" spans="1:54" ht="15" customHeight="1" outlineLevel="3" x14ac:dyDescent="0.25">
      <c r="A1409" s="63" t="str">
        <f t="shared" si="229"/>
        <v>4.16.3.6.5.62</v>
      </c>
      <c r="B1409" s="64">
        <v>4</v>
      </c>
      <c r="C1409" s="64">
        <v>16</v>
      </c>
      <c r="D1409" s="64">
        <v>3</v>
      </c>
      <c r="E1409" s="64">
        <v>6</v>
      </c>
      <c r="F1409" s="64">
        <v>5</v>
      </c>
      <c r="G1409" s="64">
        <v>62</v>
      </c>
      <c r="H1409" s="65"/>
      <c r="I1409" s="65"/>
      <c r="J1409" s="66"/>
      <c r="K1409" s="65" t="s">
        <v>1591</v>
      </c>
      <c r="L1409" s="64" t="s">
        <v>1475</v>
      </c>
      <c r="M1409" s="64" t="s">
        <v>1318</v>
      </c>
      <c r="N1409" s="64" t="s">
        <v>74</v>
      </c>
      <c r="O1409" s="64" t="s">
        <v>1524</v>
      </c>
      <c r="P1409" s="69"/>
      <c r="Q1409" s="69"/>
      <c r="R1409" s="64">
        <v>10</v>
      </c>
      <c r="S1409" s="65" t="s">
        <v>1589</v>
      </c>
      <c r="T1409" s="64">
        <v>5</v>
      </c>
      <c r="U1409" s="155">
        <f>$AH1409/2</f>
        <v>35000</v>
      </c>
      <c r="V1409" s="674">
        <v>0</v>
      </c>
      <c r="W1409" s="75"/>
      <c r="X1409" s="155"/>
      <c r="Y1409" s="155"/>
      <c r="Z1409" s="75">
        <v>5</v>
      </c>
      <c r="AA1409" s="155">
        <f>$AH1409/2</f>
        <v>35000</v>
      </c>
      <c r="AB1409" s="155"/>
      <c r="AC1409" s="97"/>
      <c r="AD1409" s="155"/>
      <c r="AE1409" s="599"/>
      <c r="AF1409" s="259" t="s">
        <v>1592</v>
      </c>
      <c r="AG1409" s="510">
        <f>10*7000</f>
        <v>70000</v>
      </c>
      <c r="AH1409" s="370">
        <f>10*7000</f>
        <v>70000</v>
      </c>
      <c r="AI1409" s="75"/>
      <c r="AJ1409" s="75"/>
      <c r="AK1409" s="75"/>
      <c r="AL1409" s="75"/>
      <c r="AM1409" s="75"/>
      <c r="AN1409" s="64" t="s">
        <v>181</v>
      </c>
      <c r="AO1409" s="64"/>
      <c r="AP1409" s="64"/>
      <c r="AQ1409" s="189"/>
      <c r="AR1409" s="64"/>
      <c r="AS1409" s="476"/>
      <c r="AT1409" s="64"/>
      <c r="AU1409" s="646"/>
      <c r="AV1409" s="185"/>
      <c r="BB1409" s="272"/>
    </row>
    <row r="1410" spans="1:54" ht="15" customHeight="1" outlineLevel="3" x14ac:dyDescent="0.25">
      <c r="A1410" s="63" t="str">
        <f t="shared" si="229"/>
        <v>4.16.3.6.6.62</v>
      </c>
      <c r="B1410" s="64">
        <v>4</v>
      </c>
      <c r="C1410" s="64">
        <v>16</v>
      </c>
      <c r="D1410" s="64">
        <v>3</v>
      </c>
      <c r="E1410" s="64">
        <v>6</v>
      </c>
      <c r="F1410" s="64">
        <v>6</v>
      </c>
      <c r="G1410" s="64">
        <v>62</v>
      </c>
      <c r="H1410" s="65"/>
      <c r="I1410" s="65"/>
      <c r="J1410" s="66"/>
      <c r="K1410" s="65" t="s">
        <v>1593</v>
      </c>
      <c r="L1410" s="64" t="s">
        <v>1475</v>
      </c>
      <c r="M1410" s="64" t="s">
        <v>1318</v>
      </c>
      <c r="N1410" s="64" t="s">
        <v>74</v>
      </c>
      <c r="O1410" s="64" t="s">
        <v>1475</v>
      </c>
      <c r="P1410" s="69"/>
      <c r="Q1410" s="69"/>
      <c r="R1410" s="171">
        <v>1</v>
      </c>
      <c r="S1410" s="65" t="s">
        <v>1589</v>
      </c>
      <c r="T1410" s="64"/>
      <c r="U1410" s="155">
        <f>$AH1410/4</f>
        <v>0</v>
      </c>
      <c r="V1410" s="674">
        <v>0</v>
      </c>
      <c r="W1410" s="75">
        <v>1</v>
      </c>
      <c r="X1410" s="155">
        <f>$AH1410/4</f>
        <v>0</v>
      </c>
      <c r="Y1410" s="155"/>
      <c r="Z1410" s="75"/>
      <c r="AA1410" s="155">
        <f>$AH1410/4</f>
        <v>0</v>
      </c>
      <c r="AB1410" s="155"/>
      <c r="AC1410" s="97"/>
      <c r="AD1410" s="155">
        <f>$AH1410/4</f>
        <v>0</v>
      </c>
      <c r="AE1410" s="599"/>
      <c r="AF1410" s="259" t="s">
        <v>1593</v>
      </c>
      <c r="AG1410" s="510">
        <v>0</v>
      </c>
      <c r="AH1410" s="370">
        <v>0</v>
      </c>
      <c r="AI1410" s="75"/>
      <c r="AJ1410" s="75"/>
      <c r="AK1410" s="75"/>
      <c r="AL1410" s="75"/>
      <c r="AM1410" s="75"/>
      <c r="AN1410" s="64" t="s">
        <v>181</v>
      </c>
      <c r="AO1410" s="64"/>
      <c r="AP1410" s="64"/>
      <c r="AQ1410" s="189"/>
      <c r="AR1410" s="64"/>
      <c r="AS1410" s="476"/>
      <c r="AT1410" s="64"/>
      <c r="AU1410" s="646"/>
      <c r="AV1410" s="185"/>
    </row>
    <row r="1411" spans="1:54" ht="15" customHeight="1" outlineLevel="3" x14ac:dyDescent="0.25">
      <c r="A1411" s="63" t="str">
        <f t="shared" si="229"/>
        <v>4.16.3.6.7.62</v>
      </c>
      <c r="B1411" s="64">
        <v>4</v>
      </c>
      <c r="C1411" s="64">
        <v>16</v>
      </c>
      <c r="D1411" s="64">
        <v>3</v>
      </c>
      <c r="E1411" s="64">
        <v>6</v>
      </c>
      <c r="F1411" s="64">
        <v>7</v>
      </c>
      <c r="G1411" s="64">
        <v>62</v>
      </c>
      <c r="H1411" s="65"/>
      <c r="I1411" s="65"/>
      <c r="J1411" s="66"/>
      <c r="K1411" s="65" t="s">
        <v>1594</v>
      </c>
      <c r="L1411" s="64" t="s">
        <v>1475</v>
      </c>
      <c r="M1411" s="64" t="s">
        <v>1318</v>
      </c>
      <c r="N1411" s="64" t="s">
        <v>74</v>
      </c>
      <c r="O1411" s="64" t="s">
        <v>1475</v>
      </c>
      <c r="P1411" s="69"/>
      <c r="Q1411" s="69"/>
      <c r="R1411" s="64">
        <v>1</v>
      </c>
      <c r="S1411" s="65" t="s">
        <v>1589</v>
      </c>
      <c r="T1411" s="64"/>
      <c r="U1411" s="155">
        <f>$AH1411/4</f>
        <v>0</v>
      </c>
      <c r="V1411" s="674">
        <v>0</v>
      </c>
      <c r="W1411" s="75">
        <v>1</v>
      </c>
      <c r="X1411" s="155">
        <f>$AH1411/4</f>
        <v>0</v>
      </c>
      <c r="Y1411" s="155"/>
      <c r="Z1411" s="75"/>
      <c r="AA1411" s="155">
        <f>$AH1411/4</f>
        <v>0</v>
      </c>
      <c r="AB1411" s="155"/>
      <c r="AC1411" s="97"/>
      <c r="AD1411" s="155">
        <f>$AH1411/4</f>
        <v>0</v>
      </c>
      <c r="AE1411" s="599"/>
      <c r="AF1411" s="259" t="s">
        <v>1595</v>
      </c>
      <c r="AG1411" s="510">
        <v>0</v>
      </c>
      <c r="AH1411" s="370">
        <v>0</v>
      </c>
      <c r="AI1411" s="75"/>
      <c r="AJ1411" s="75"/>
      <c r="AK1411" s="75"/>
      <c r="AL1411" s="75"/>
      <c r="AM1411" s="75"/>
      <c r="AN1411" s="64" t="s">
        <v>181</v>
      </c>
      <c r="AO1411" s="64"/>
      <c r="AP1411" s="64"/>
      <c r="AQ1411" s="189"/>
      <c r="AR1411" s="64"/>
      <c r="AS1411" s="476"/>
      <c r="AT1411" s="64"/>
      <c r="AU1411" s="646"/>
      <c r="AV1411" s="185"/>
    </row>
    <row r="1412" spans="1:54" ht="15" customHeight="1" outlineLevel="3" x14ac:dyDescent="0.25">
      <c r="A1412" s="63" t="str">
        <f t="shared" si="229"/>
        <v>4.16.3.6.8.62</v>
      </c>
      <c r="B1412" s="64">
        <v>4</v>
      </c>
      <c r="C1412" s="64">
        <v>16</v>
      </c>
      <c r="D1412" s="64">
        <v>3</v>
      </c>
      <c r="E1412" s="64">
        <v>6</v>
      </c>
      <c r="F1412" s="64">
        <v>8</v>
      </c>
      <c r="G1412" s="64">
        <v>62</v>
      </c>
      <c r="H1412" s="65"/>
      <c r="I1412" s="65"/>
      <c r="J1412" s="66"/>
      <c r="K1412" s="65" t="s">
        <v>1596</v>
      </c>
      <c r="L1412" s="64" t="s">
        <v>1475</v>
      </c>
      <c r="M1412" s="64" t="s">
        <v>1318</v>
      </c>
      <c r="N1412" s="64" t="s">
        <v>74</v>
      </c>
      <c r="O1412" s="64" t="s">
        <v>1475</v>
      </c>
      <c r="P1412" s="69"/>
      <c r="Q1412" s="69"/>
      <c r="R1412" s="64">
        <v>12</v>
      </c>
      <c r="S1412" s="65" t="s">
        <v>1597</v>
      </c>
      <c r="T1412" s="64">
        <v>3</v>
      </c>
      <c r="U1412" s="155">
        <f>$AH1412/4</f>
        <v>7500</v>
      </c>
      <c r="V1412" s="674">
        <v>0</v>
      </c>
      <c r="W1412" s="75">
        <v>3</v>
      </c>
      <c r="X1412" s="155">
        <f>$AH1412/4</f>
        <v>7500</v>
      </c>
      <c r="Y1412" s="155"/>
      <c r="Z1412" s="75">
        <v>3</v>
      </c>
      <c r="AA1412" s="155">
        <f>$AH1412/4</f>
        <v>7500</v>
      </c>
      <c r="AB1412" s="155"/>
      <c r="AC1412" s="97">
        <v>3</v>
      </c>
      <c r="AD1412" s="155">
        <f>$AH1412/4</f>
        <v>7500</v>
      </c>
      <c r="AE1412" s="599"/>
      <c r="AF1412" s="259" t="s">
        <v>765</v>
      </c>
      <c r="AG1412" s="529">
        <f>12*5000/2</f>
        <v>30000</v>
      </c>
      <c r="AH1412" s="371">
        <f>12*5000/2</f>
        <v>30000</v>
      </c>
      <c r="AI1412" s="78"/>
      <c r="AJ1412" s="78"/>
      <c r="AK1412" s="78"/>
      <c r="AL1412" s="78"/>
      <c r="AM1412" s="78"/>
      <c r="AN1412" s="64" t="s">
        <v>181</v>
      </c>
      <c r="AO1412" s="64"/>
      <c r="AP1412" s="64"/>
      <c r="AQ1412" s="189"/>
      <c r="AR1412" s="64"/>
      <c r="AS1412" s="476"/>
      <c r="AT1412" s="64"/>
      <c r="AU1412" s="646"/>
      <c r="AV1412" s="185" t="s">
        <v>780</v>
      </c>
    </row>
    <row r="1413" spans="1:54" s="153" customFormat="1" ht="57.75" customHeight="1" outlineLevel="2" x14ac:dyDescent="0.25">
      <c r="A1413" s="148" t="str">
        <f t="shared" si="229"/>
        <v>4.16.3.7.0.60</v>
      </c>
      <c r="B1413" s="82">
        <v>4</v>
      </c>
      <c r="C1413" s="82">
        <v>16</v>
      </c>
      <c r="D1413" s="82">
        <v>3</v>
      </c>
      <c r="E1413" s="82">
        <v>7</v>
      </c>
      <c r="F1413" s="82">
        <v>0</v>
      </c>
      <c r="G1413" s="82">
        <v>60</v>
      </c>
      <c r="H1413" s="149"/>
      <c r="I1413" s="149"/>
      <c r="J1413" s="1260" t="s">
        <v>1603</v>
      </c>
      <c r="K1413" s="1259"/>
      <c r="L1413" s="82" t="s">
        <v>1576</v>
      </c>
      <c r="M1413" s="82" t="s">
        <v>1464</v>
      </c>
      <c r="N1413" s="82" t="s">
        <v>1444</v>
      </c>
      <c r="O1413" s="82" t="s">
        <v>1204</v>
      </c>
      <c r="P1413" s="82"/>
      <c r="Q1413" s="82"/>
      <c r="R1413" s="82"/>
      <c r="S1413" s="149"/>
      <c r="T1413" s="82"/>
      <c r="U1413" s="209">
        <f>SUM(U1414:U1421)</f>
        <v>113166.66666666666</v>
      </c>
      <c r="V1413" s="682">
        <f t="shared" ref="V1413:AG1413" si="243">+SUM(V1414:V1421)</f>
        <v>0</v>
      </c>
      <c r="W1413" s="380">
        <f t="shared" si="243"/>
        <v>17</v>
      </c>
      <c r="X1413" s="380">
        <f t="shared" si="243"/>
        <v>92166.666666666657</v>
      </c>
      <c r="Y1413" s="380">
        <f t="shared" si="243"/>
        <v>0</v>
      </c>
      <c r="Z1413" s="380">
        <f t="shared" si="243"/>
        <v>18</v>
      </c>
      <c r="AA1413" s="380">
        <f t="shared" si="243"/>
        <v>68166.666666666657</v>
      </c>
      <c r="AB1413" s="380">
        <f t="shared" si="243"/>
        <v>0</v>
      </c>
      <c r="AC1413" s="380">
        <f t="shared" si="243"/>
        <v>11</v>
      </c>
      <c r="AD1413" s="380">
        <f t="shared" si="243"/>
        <v>7500</v>
      </c>
      <c r="AE1413" s="380">
        <f t="shared" si="243"/>
        <v>0</v>
      </c>
      <c r="AF1413" s="380">
        <f t="shared" si="243"/>
        <v>0</v>
      </c>
      <c r="AG1413" s="380">
        <f t="shared" si="243"/>
        <v>281000</v>
      </c>
      <c r="AH1413" s="380">
        <f>+SUM(AH1414:AH1421)</f>
        <v>281000</v>
      </c>
      <c r="AI1413" s="198"/>
      <c r="AJ1413" s="198"/>
      <c r="AK1413" s="198"/>
      <c r="AL1413" s="198"/>
      <c r="AM1413" s="198"/>
      <c r="AN1413" s="82" t="s">
        <v>181</v>
      </c>
      <c r="AO1413" s="82"/>
      <c r="AP1413" s="82"/>
      <c r="AQ1413" s="365"/>
      <c r="AR1413" s="82"/>
      <c r="AS1413" s="483"/>
      <c r="AT1413" s="82"/>
      <c r="AU1413" s="666"/>
      <c r="AV1413" s="449" t="s">
        <v>1579</v>
      </c>
    </row>
    <row r="1414" spans="1:54" ht="15" customHeight="1" outlineLevel="4" x14ac:dyDescent="0.25">
      <c r="A1414" s="63" t="str">
        <f t="shared" si="229"/>
        <v>4.16.3.7.1.61</v>
      </c>
      <c r="B1414" s="64">
        <v>4</v>
      </c>
      <c r="C1414" s="64">
        <v>16</v>
      </c>
      <c r="D1414" s="64">
        <v>3</v>
      </c>
      <c r="E1414" s="64">
        <v>7</v>
      </c>
      <c r="F1414" s="64">
        <v>1</v>
      </c>
      <c r="G1414" s="64">
        <v>61</v>
      </c>
      <c r="H1414" s="65"/>
      <c r="I1414" s="65"/>
      <c r="J1414" s="66"/>
      <c r="K1414" s="65" t="s">
        <v>1580</v>
      </c>
      <c r="L1414" s="64" t="s">
        <v>1576</v>
      </c>
      <c r="M1414" s="64" t="s">
        <v>144</v>
      </c>
      <c r="N1414" s="64" t="s">
        <v>265</v>
      </c>
      <c r="O1414" s="64" t="s">
        <v>1544</v>
      </c>
      <c r="P1414" s="64"/>
      <c r="Q1414" s="64"/>
      <c r="R1414" s="170">
        <v>12</v>
      </c>
      <c r="S1414" s="65" t="s">
        <v>1581</v>
      </c>
      <c r="T1414" s="64">
        <v>3</v>
      </c>
      <c r="U1414" s="155">
        <f>$AH1414/4</f>
        <v>0</v>
      </c>
      <c r="V1414" s="674">
        <v>0</v>
      </c>
      <c r="W1414" s="75">
        <v>3</v>
      </c>
      <c r="X1414" s="155">
        <f>$AH1414/4</f>
        <v>0</v>
      </c>
      <c r="Y1414" s="155"/>
      <c r="Z1414" s="75">
        <v>3</v>
      </c>
      <c r="AA1414" s="155">
        <f>$AH1414/4</f>
        <v>0</v>
      </c>
      <c r="AB1414" s="155"/>
      <c r="AC1414" s="97">
        <v>3</v>
      </c>
      <c r="AD1414" s="155">
        <f>$AH1414/4</f>
        <v>0</v>
      </c>
      <c r="AE1414" s="599"/>
      <c r="AF1414" s="259" t="s">
        <v>1582</v>
      </c>
      <c r="AG1414" s="510">
        <v>0</v>
      </c>
      <c r="AH1414" s="370">
        <v>0</v>
      </c>
      <c r="AI1414" s="75"/>
      <c r="AJ1414" s="75"/>
      <c r="AK1414" s="75"/>
      <c r="AL1414" s="75"/>
      <c r="AM1414" s="75"/>
      <c r="AN1414" s="64" t="s">
        <v>181</v>
      </c>
      <c r="AO1414" s="64"/>
      <c r="AP1414" s="64"/>
      <c r="AQ1414" s="189"/>
      <c r="AR1414" s="64"/>
      <c r="AS1414" s="476"/>
      <c r="AT1414" s="64"/>
      <c r="AU1414" s="646"/>
      <c r="AV1414" s="185"/>
    </row>
    <row r="1415" spans="1:54" ht="36.75" customHeight="1" outlineLevel="4" x14ac:dyDescent="0.25">
      <c r="A1415" s="63" t="str">
        <f t="shared" si="229"/>
        <v>4.16.3.7.2.61</v>
      </c>
      <c r="B1415" s="64">
        <v>4</v>
      </c>
      <c r="C1415" s="64">
        <v>16</v>
      </c>
      <c r="D1415" s="64">
        <v>3</v>
      </c>
      <c r="E1415" s="64">
        <v>7</v>
      </c>
      <c r="F1415" s="64">
        <v>2</v>
      </c>
      <c r="G1415" s="64">
        <v>61</v>
      </c>
      <c r="H1415" s="65"/>
      <c r="I1415" s="65"/>
      <c r="J1415" s="66"/>
      <c r="K1415" s="65" t="s">
        <v>1583</v>
      </c>
      <c r="L1415" s="64" t="s">
        <v>1475</v>
      </c>
      <c r="M1415" s="64" t="s">
        <v>1318</v>
      </c>
      <c r="N1415" s="64" t="s">
        <v>1223</v>
      </c>
      <c r="O1415" s="64" t="s">
        <v>1544</v>
      </c>
      <c r="P1415" s="69"/>
      <c r="Q1415" s="69"/>
      <c r="R1415" s="64">
        <v>12</v>
      </c>
      <c r="S1415" s="65" t="s">
        <v>1581</v>
      </c>
      <c r="T1415" s="64">
        <v>3</v>
      </c>
      <c r="U1415" s="155">
        <v>45000</v>
      </c>
      <c r="V1415" s="674">
        <v>0</v>
      </c>
      <c r="W1415" s="75">
        <v>3</v>
      </c>
      <c r="X1415" s="155">
        <v>45000</v>
      </c>
      <c r="Y1415" s="155"/>
      <c r="Z1415" s="75">
        <v>3</v>
      </c>
      <c r="AA1415" s="155"/>
      <c r="AB1415" s="155"/>
      <c r="AC1415" s="97">
        <v>3</v>
      </c>
      <c r="AD1415" s="155"/>
      <c r="AE1415" s="599"/>
      <c r="AF1415" s="259" t="s">
        <v>1584</v>
      </c>
      <c r="AG1415" s="510">
        <f>12*15000/2</f>
        <v>90000</v>
      </c>
      <c r="AH1415" s="370">
        <f>12*15000/2</f>
        <v>90000</v>
      </c>
      <c r="AI1415" s="75"/>
      <c r="AJ1415" s="75"/>
      <c r="AK1415" s="75"/>
      <c r="AL1415" s="75"/>
      <c r="AM1415" s="75"/>
      <c r="AN1415" s="64" t="s">
        <v>181</v>
      </c>
      <c r="AO1415" s="64"/>
      <c r="AP1415" s="64"/>
      <c r="AQ1415" s="189"/>
      <c r="AR1415" s="64"/>
      <c r="AS1415" s="476"/>
      <c r="AT1415" s="64"/>
      <c r="AU1415" s="646"/>
      <c r="AV1415" s="335" t="s">
        <v>1585</v>
      </c>
    </row>
    <row r="1416" spans="1:54" ht="15" customHeight="1" outlineLevel="4" x14ac:dyDescent="0.25">
      <c r="A1416" s="63" t="str">
        <f t="shared" si="229"/>
        <v>4.16.3.7.3.61</v>
      </c>
      <c r="B1416" s="64">
        <v>4</v>
      </c>
      <c r="C1416" s="64">
        <v>16</v>
      </c>
      <c r="D1416" s="64">
        <v>3</v>
      </c>
      <c r="E1416" s="64">
        <v>7</v>
      </c>
      <c r="F1416" s="64">
        <v>3</v>
      </c>
      <c r="G1416" s="64">
        <v>61</v>
      </c>
      <c r="H1416" s="65"/>
      <c r="I1416" s="65"/>
      <c r="J1416" s="66"/>
      <c r="K1416" s="65" t="s">
        <v>1586</v>
      </c>
      <c r="L1416" s="64" t="s">
        <v>1475</v>
      </c>
      <c r="M1416" s="64" t="s">
        <v>1318</v>
      </c>
      <c r="N1416" s="64" t="s">
        <v>1249</v>
      </c>
      <c r="O1416" s="64" t="s">
        <v>1544</v>
      </c>
      <c r="P1416" s="69"/>
      <c r="Q1416" s="69"/>
      <c r="R1416" s="171">
        <v>6</v>
      </c>
      <c r="S1416" s="65"/>
      <c r="T1416" s="64">
        <v>1</v>
      </c>
      <c r="U1416" s="155">
        <f>$AH1416/4</f>
        <v>0</v>
      </c>
      <c r="V1416" s="674">
        <v>0</v>
      </c>
      <c r="W1416" s="75">
        <v>2</v>
      </c>
      <c r="X1416" s="155">
        <f>$AH1416/4</f>
        <v>0</v>
      </c>
      <c r="Y1416" s="155"/>
      <c r="Z1416" s="75">
        <v>1</v>
      </c>
      <c r="AA1416" s="155">
        <f>$AH1416/4</f>
        <v>0</v>
      </c>
      <c r="AB1416" s="155"/>
      <c r="AC1416" s="97">
        <v>2</v>
      </c>
      <c r="AD1416" s="155">
        <f>$AH1416/4</f>
        <v>0</v>
      </c>
      <c r="AE1416" s="599"/>
      <c r="AF1416" s="259" t="s">
        <v>1587</v>
      </c>
      <c r="AG1416" s="510">
        <v>0</v>
      </c>
      <c r="AH1416" s="370">
        <v>0</v>
      </c>
      <c r="AI1416" s="75"/>
      <c r="AJ1416" s="75"/>
      <c r="AK1416" s="75"/>
      <c r="AL1416" s="75"/>
      <c r="AM1416" s="75"/>
      <c r="AN1416" s="64" t="s">
        <v>181</v>
      </c>
      <c r="AO1416" s="64"/>
      <c r="AP1416" s="64"/>
      <c r="AQ1416" s="189"/>
      <c r="AR1416" s="64"/>
      <c r="AS1416" s="476"/>
      <c r="AT1416" s="64"/>
      <c r="AU1416" s="646"/>
      <c r="AV1416" s="185" t="s">
        <v>127</v>
      </c>
    </row>
    <row r="1417" spans="1:54" ht="15" customHeight="1" outlineLevel="4" x14ac:dyDescent="0.25">
      <c r="A1417" s="63" t="str">
        <f t="shared" si="229"/>
        <v>4.16.3.7.4.61</v>
      </c>
      <c r="B1417" s="64">
        <v>4</v>
      </c>
      <c r="C1417" s="64">
        <v>16</v>
      </c>
      <c r="D1417" s="64">
        <v>3</v>
      </c>
      <c r="E1417" s="64">
        <v>7</v>
      </c>
      <c r="F1417" s="64">
        <v>4</v>
      </c>
      <c r="G1417" s="64">
        <v>61</v>
      </c>
      <c r="H1417" s="65"/>
      <c r="I1417" s="65"/>
      <c r="J1417" s="66"/>
      <c r="K1417" s="65" t="s">
        <v>1588</v>
      </c>
      <c r="L1417" s="64" t="s">
        <v>1475</v>
      </c>
      <c r="M1417" s="64" t="s">
        <v>1318</v>
      </c>
      <c r="N1417" s="64" t="s">
        <v>74</v>
      </c>
      <c r="O1417" s="64" t="s">
        <v>1524</v>
      </c>
      <c r="P1417" s="69"/>
      <c r="Q1417" s="69"/>
      <c r="R1417" s="171">
        <v>14</v>
      </c>
      <c r="S1417" s="65" t="s">
        <v>1589</v>
      </c>
      <c r="T1417" s="64">
        <v>5</v>
      </c>
      <c r="U1417" s="155">
        <f>$AH1417/3</f>
        <v>39666.666666666664</v>
      </c>
      <c r="V1417" s="674">
        <v>0</v>
      </c>
      <c r="W1417" s="75">
        <v>4</v>
      </c>
      <c r="X1417" s="155">
        <f>$AH1417/3</f>
        <v>39666.666666666664</v>
      </c>
      <c r="Y1417" s="155"/>
      <c r="Z1417" s="75">
        <v>5</v>
      </c>
      <c r="AA1417" s="155">
        <f>$AH1417/3</f>
        <v>39666.666666666664</v>
      </c>
      <c r="AB1417" s="155"/>
      <c r="AC1417" s="97"/>
      <c r="AD1417" s="155"/>
      <c r="AE1417" s="599"/>
      <c r="AF1417" s="259" t="s">
        <v>1590</v>
      </c>
      <c r="AG1417" s="510">
        <f>14*8500</f>
        <v>119000</v>
      </c>
      <c r="AH1417" s="370">
        <f>14*8500</f>
        <v>119000</v>
      </c>
      <c r="AI1417" s="75"/>
      <c r="AJ1417" s="75"/>
      <c r="AK1417" s="75"/>
      <c r="AL1417" s="75"/>
      <c r="AM1417" s="75"/>
      <c r="AN1417" s="64" t="s">
        <v>181</v>
      </c>
      <c r="AO1417" s="64"/>
      <c r="AP1417" s="64"/>
      <c r="AQ1417" s="189"/>
      <c r="AR1417" s="64"/>
      <c r="AS1417" s="476"/>
      <c r="AT1417" s="64"/>
      <c r="AU1417" s="646"/>
      <c r="AV1417" s="185"/>
    </row>
    <row r="1418" spans="1:54" ht="15" customHeight="1" outlineLevel="4" x14ac:dyDescent="0.25">
      <c r="A1418" s="63" t="str">
        <f t="shared" si="229"/>
        <v>4.16.3.7.5.61</v>
      </c>
      <c r="B1418" s="64">
        <v>4</v>
      </c>
      <c r="C1418" s="64">
        <v>16</v>
      </c>
      <c r="D1418" s="64">
        <v>3</v>
      </c>
      <c r="E1418" s="64">
        <v>7</v>
      </c>
      <c r="F1418" s="64">
        <v>5</v>
      </c>
      <c r="G1418" s="64">
        <v>61</v>
      </c>
      <c r="H1418" s="65"/>
      <c r="I1418" s="65"/>
      <c r="J1418" s="66"/>
      <c r="K1418" s="65" t="s">
        <v>1591</v>
      </c>
      <c r="L1418" s="64" t="s">
        <v>1475</v>
      </c>
      <c r="M1418" s="64" t="s">
        <v>1318</v>
      </c>
      <c r="N1418" s="64" t="s">
        <v>74</v>
      </c>
      <c r="O1418" s="64" t="s">
        <v>1524</v>
      </c>
      <c r="P1418" s="69"/>
      <c r="Q1418" s="69"/>
      <c r="R1418" s="171">
        <f>3*2</f>
        <v>6</v>
      </c>
      <c r="S1418" s="65" t="s">
        <v>1589</v>
      </c>
      <c r="T1418" s="64">
        <v>3</v>
      </c>
      <c r="U1418" s="155">
        <f>$AH1418/2</f>
        <v>21000</v>
      </c>
      <c r="V1418" s="674">
        <v>0</v>
      </c>
      <c r="W1418" s="75"/>
      <c r="X1418" s="155"/>
      <c r="Y1418" s="155"/>
      <c r="Z1418" s="75">
        <v>3</v>
      </c>
      <c r="AA1418" s="155">
        <f>$AH1418/2</f>
        <v>21000</v>
      </c>
      <c r="AB1418" s="155"/>
      <c r="AC1418" s="97"/>
      <c r="AD1418" s="155"/>
      <c r="AE1418" s="599"/>
      <c r="AF1418" s="259" t="s">
        <v>1592</v>
      </c>
      <c r="AG1418" s="510">
        <f>6*7000</f>
        <v>42000</v>
      </c>
      <c r="AH1418" s="370">
        <f>6*7000</f>
        <v>42000</v>
      </c>
      <c r="AI1418" s="75"/>
      <c r="AJ1418" s="75"/>
      <c r="AK1418" s="75"/>
      <c r="AL1418" s="75"/>
      <c r="AM1418" s="75"/>
      <c r="AN1418" s="64" t="s">
        <v>181</v>
      </c>
      <c r="AO1418" s="64"/>
      <c r="AP1418" s="64"/>
      <c r="AQ1418" s="189"/>
      <c r="AR1418" s="64"/>
      <c r="AS1418" s="476"/>
      <c r="AT1418" s="64"/>
      <c r="AU1418" s="646"/>
      <c r="AV1418" s="185"/>
    </row>
    <row r="1419" spans="1:54" ht="15" customHeight="1" outlineLevel="4" x14ac:dyDescent="0.25">
      <c r="A1419" s="63" t="str">
        <f t="shared" si="229"/>
        <v>4.16.3.7.6.61</v>
      </c>
      <c r="B1419" s="64">
        <v>4</v>
      </c>
      <c r="C1419" s="64">
        <v>16</v>
      </c>
      <c r="D1419" s="64">
        <v>3</v>
      </c>
      <c r="E1419" s="64">
        <v>7</v>
      </c>
      <c r="F1419" s="64">
        <v>6</v>
      </c>
      <c r="G1419" s="64">
        <v>61</v>
      </c>
      <c r="H1419" s="65"/>
      <c r="I1419" s="65"/>
      <c r="J1419" s="66"/>
      <c r="K1419" s="65" t="s">
        <v>1593</v>
      </c>
      <c r="L1419" s="64" t="s">
        <v>1475</v>
      </c>
      <c r="M1419" s="64" t="s">
        <v>1318</v>
      </c>
      <c r="N1419" s="64" t="s">
        <v>74</v>
      </c>
      <c r="O1419" s="64" t="s">
        <v>1475</v>
      </c>
      <c r="P1419" s="69"/>
      <c r="Q1419" s="69"/>
      <c r="R1419" s="171">
        <v>1</v>
      </c>
      <c r="S1419" s="65" t="s">
        <v>1589</v>
      </c>
      <c r="T1419" s="64"/>
      <c r="U1419" s="155">
        <f>$AH1419/4</f>
        <v>0</v>
      </c>
      <c r="V1419" s="674">
        <v>0</v>
      </c>
      <c r="W1419" s="75">
        <v>1</v>
      </c>
      <c r="X1419" s="155">
        <f>$AH1419/4</f>
        <v>0</v>
      </c>
      <c r="Y1419" s="155"/>
      <c r="Z1419" s="75"/>
      <c r="AA1419" s="155">
        <f>$AH1419/4</f>
        <v>0</v>
      </c>
      <c r="AB1419" s="155"/>
      <c r="AC1419" s="97"/>
      <c r="AD1419" s="155">
        <f>$AH1419/4</f>
        <v>0</v>
      </c>
      <c r="AE1419" s="599"/>
      <c r="AF1419" s="259" t="s">
        <v>1593</v>
      </c>
      <c r="AG1419" s="510">
        <v>0</v>
      </c>
      <c r="AH1419" s="370">
        <v>0</v>
      </c>
      <c r="AI1419" s="75"/>
      <c r="AJ1419" s="75"/>
      <c r="AK1419" s="75"/>
      <c r="AL1419" s="75"/>
      <c r="AM1419" s="75"/>
      <c r="AN1419" s="64" t="s">
        <v>181</v>
      </c>
      <c r="AO1419" s="64"/>
      <c r="AP1419" s="64"/>
      <c r="AQ1419" s="189"/>
      <c r="AR1419" s="64"/>
      <c r="AS1419" s="476"/>
      <c r="AT1419" s="64"/>
      <c r="AU1419" s="646"/>
      <c r="AV1419" s="185"/>
    </row>
    <row r="1420" spans="1:54" ht="15" customHeight="1" outlineLevel="4" x14ac:dyDescent="0.25">
      <c r="A1420" s="63" t="str">
        <f t="shared" si="229"/>
        <v>4.16.3.7.7.61</v>
      </c>
      <c r="B1420" s="64">
        <v>4</v>
      </c>
      <c r="C1420" s="64">
        <v>16</v>
      </c>
      <c r="D1420" s="64">
        <v>3</v>
      </c>
      <c r="E1420" s="64">
        <v>7</v>
      </c>
      <c r="F1420" s="64">
        <v>7</v>
      </c>
      <c r="G1420" s="64">
        <v>61</v>
      </c>
      <c r="H1420" s="65"/>
      <c r="I1420" s="65"/>
      <c r="J1420" s="66"/>
      <c r="K1420" s="65" t="s">
        <v>1594</v>
      </c>
      <c r="L1420" s="64" t="s">
        <v>1475</v>
      </c>
      <c r="M1420" s="64" t="s">
        <v>1318</v>
      </c>
      <c r="N1420" s="64" t="s">
        <v>74</v>
      </c>
      <c r="O1420" s="64" t="s">
        <v>1475</v>
      </c>
      <c r="P1420" s="69"/>
      <c r="Q1420" s="69"/>
      <c r="R1420" s="64">
        <v>1</v>
      </c>
      <c r="S1420" s="65" t="s">
        <v>1589</v>
      </c>
      <c r="T1420" s="64"/>
      <c r="U1420" s="155">
        <f>$AH1420/4</f>
        <v>0</v>
      </c>
      <c r="V1420" s="674">
        <v>0</v>
      </c>
      <c r="W1420" s="75">
        <v>1</v>
      </c>
      <c r="X1420" s="155">
        <f>$AH1420/4</f>
        <v>0</v>
      </c>
      <c r="Y1420" s="155"/>
      <c r="Z1420" s="75"/>
      <c r="AA1420" s="155">
        <f>$AH1420/4</f>
        <v>0</v>
      </c>
      <c r="AB1420" s="155"/>
      <c r="AC1420" s="97"/>
      <c r="AD1420" s="155">
        <f>$AH1420/4</f>
        <v>0</v>
      </c>
      <c r="AE1420" s="599"/>
      <c r="AF1420" s="259" t="s">
        <v>1595</v>
      </c>
      <c r="AG1420" s="510">
        <v>0</v>
      </c>
      <c r="AH1420" s="370">
        <v>0</v>
      </c>
      <c r="AI1420" s="75"/>
      <c r="AJ1420" s="75"/>
      <c r="AK1420" s="75"/>
      <c r="AL1420" s="75"/>
      <c r="AM1420" s="75"/>
      <c r="AN1420" s="64" t="s">
        <v>181</v>
      </c>
      <c r="AO1420" s="64"/>
      <c r="AP1420" s="64"/>
      <c r="AQ1420" s="189"/>
      <c r="AR1420" s="64"/>
      <c r="AS1420" s="476"/>
      <c r="AT1420" s="64"/>
      <c r="AU1420" s="646"/>
      <c r="AV1420" s="185"/>
    </row>
    <row r="1421" spans="1:54" ht="15" customHeight="1" outlineLevel="4" x14ac:dyDescent="0.25">
      <c r="A1421" s="63" t="str">
        <f t="shared" si="229"/>
        <v>4.16.3.7.8.61</v>
      </c>
      <c r="B1421" s="64">
        <v>4</v>
      </c>
      <c r="C1421" s="64">
        <v>16</v>
      </c>
      <c r="D1421" s="64">
        <v>3</v>
      </c>
      <c r="E1421" s="64">
        <v>7</v>
      </c>
      <c r="F1421" s="64">
        <v>8</v>
      </c>
      <c r="G1421" s="64">
        <v>61</v>
      </c>
      <c r="H1421" s="65"/>
      <c r="I1421" s="65"/>
      <c r="J1421" s="66"/>
      <c r="K1421" s="65" t="s">
        <v>1596</v>
      </c>
      <c r="L1421" s="64" t="s">
        <v>1475</v>
      </c>
      <c r="M1421" s="64" t="s">
        <v>1318</v>
      </c>
      <c r="N1421" s="64" t="s">
        <v>74</v>
      </c>
      <c r="O1421" s="64" t="s">
        <v>1475</v>
      </c>
      <c r="P1421" s="69"/>
      <c r="Q1421" s="69"/>
      <c r="R1421" s="64">
        <v>12</v>
      </c>
      <c r="S1421" s="65" t="s">
        <v>1597</v>
      </c>
      <c r="T1421" s="64">
        <v>3</v>
      </c>
      <c r="U1421" s="155">
        <f>$AH1421/4</f>
        <v>7500</v>
      </c>
      <c r="V1421" s="674">
        <v>0</v>
      </c>
      <c r="W1421" s="75">
        <v>3</v>
      </c>
      <c r="X1421" s="155">
        <f>$AH1421/4</f>
        <v>7500</v>
      </c>
      <c r="Y1421" s="155"/>
      <c r="Z1421" s="75">
        <v>3</v>
      </c>
      <c r="AA1421" s="155">
        <f>$AH1421/4</f>
        <v>7500</v>
      </c>
      <c r="AB1421" s="155"/>
      <c r="AC1421" s="97">
        <v>3</v>
      </c>
      <c r="AD1421" s="155">
        <f>$AH1421/4</f>
        <v>7500</v>
      </c>
      <c r="AE1421" s="599"/>
      <c r="AF1421" s="259" t="s">
        <v>765</v>
      </c>
      <c r="AG1421" s="510">
        <f>12*5000/2</f>
        <v>30000</v>
      </c>
      <c r="AH1421" s="370">
        <f>12*5000/2</f>
        <v>30000</v>
      </c>
      <c r="AI1421" s="75"/>
      <c r="AJ1421" s="75"/>
      <c r="AK1421" s="75"/>
      <c r="AL1421" s="75"/>
      <c r="AM1421" s="75"/>
      <c r="AN1421" s="64" t="s">
        <v>181</v>
      </c>
      <c r="AO1421" s="64"/>
      <c r="AP1421" s="64"/>
      <c r="AQ1421" s="189"/>
      <c r="AR1421" s="64"/>
      <c r="AS1421" s="476"/>
      <c r="AT1421" s="64"/>
      <c r="AU1421" s="646"/>
      <c r="AV1421" s="185" t="s">
        <v>780</v>
      </c>
    </row>
    <row r="1422" spans="1:54" s="153" customFormat="1" ht="54" customHeight="1" outlineLevel="2" x14ac:dyDescent="0.25">
      <c r="A1422" s="148" t="str">
        <f t="shared" si="229"/>
        <v>4.16.3.8.0.0</v>
      </c>
      <c r="B1422" s="82">
        <v>4</v>
      </c>
      <c r="C1422" s="82">
        <v>16</v>
      </c>
      <c r="D1422" s="82">
        <v>3</v>
      </c>
      <c r="E1422" s="82">
        <v>8</v>
      </c>
      <c r="F1422" s="82">
        <v>0</v>
      </c>
      <c r="G1422" s="82">
        <v>0</v>
      </c>
      <c r="H1422" s="149"/>
      <c r="I1422" s="149"/>
      <c r="J1422" s="1260" t="s">
        <v>1604</v>
      </c>
      <c r="K1422" s="1259"/>
      <c r="L1422" s="82" t="s">
        <v>1576</v>
      </c>
      <c r="M1422" s="82" t="s">
        <v>1464</v>
      </c>
      <c r="N1422" s="82" t="s">
        <v>1444</v>
      </c>
      <c r="O1422" s="82" t="s">
        <v>1204</v>
      </c>
      <c r="P1422" s="82"/>
      <c r="Q1422" s="82"/>
      <c r="R1422" s="82"/>
      <c r="S1422" s="149"/>
      <c r="T1422" s="82"/>
      <c r="U1422" s="152">
        <f>SUM(U1423:U1427)</f>
        <v>22500</v>
      </c>
      <c r="V1422" s="682">
        <f t="shared" ref="V1422:AG1422" si="244">+SUM(V1423:V1427)</f>
        <v>0</v>
      </c>
      <c r="W1422" s="380">
        <f t="shared" si="244"/>
        <v>5</v>
      </c>
      <c r="X1422" s="380">
        <f t="shared" si="244"/>
        <v>22500</v>
      </c>
      <c r="Y1422" s="380">
        <f t="shared" si="244"/>
        <v>0</v>
      </c>
      <c r="Z1422" s="380">
        <f t="shared" si="244"/>
        <v>4</v>
      </c>
      <c r="AA1422" s="380">
        <f t="shared" si="244"/>
        <v>22500</v>
      </c>
      <c r="AB1422" s="380">
        <f t="shared" si="244"/>
        <v>0</v>
      </c>
      <c r="AC1422" s="380">
        <f t="shared" si="244"/>
        <v>5</v>
      </c>
      <c r="AD1422" s="380">
        <f t="shared" si="244"/>
        <v>22500</v>
      </c>
      <c r="AE1422" s="380">
        <f t="shared" si="244"/>
        <v>0</v>
      </c>
      <c r="AF1422" s="380">
        <f t="shared" si="244"/>
        <v>0</v>
      </c>
      <c r="AG1422" s="380">
        <f t="shared" si="244"/>
        <v>90000</v>
      </c>
      <c r="AH1422" s="380">
        <f>+SUM(AH1423:AH1427)</f>
        <v>90000</v>
      </c>
      <c r="AI1422" s="198"/>
      <c r="AJ1422" s="198"/>
      <c r="AK1422" s="198"/>
      <c r="AL1422" s="198"/>
      <c r="AM1422" s="198"/>
      <c r="AN1422" s="82" t="s">
        <v>181</v>
      </c>
      <c r="AO1422" s="82"/>
      <c r="AP1422" s="82"/>
      <c r="AQ1422" s="365"/>
      <c r="AR1422" s="82"/>
      <c r="AS1422" s="483"/>
      <c r="AT1422" s="82"/>
      <c r="AU1422" s="666"/>
      <c r="AV1422" s="449" t="s">
        <v>1579</v>
      </c>
    </row>
    <row r="1423" spans="1:54" ht="15" customHeight="1" outlineLevel="3" x14ac:dyDescent="0.25">
      <c r="A1423" s="63" t="str">
        <f t="shared" si="229"/>
        <v>4.16.3.8.1.58-64</v>
      </c>
      <c r="B1423" s="64">
        <v>4</v>
      </c>
      <c r="C1423" s="64">
        <v>16</v>
      </c>
      <c r="D1423" s="64">
        <v>3</v>
      </c>
      <c r="E1423" s="64">
        <v>8</v>
      </c>
      <c r="F1423" s="64">
        <v>1</v>
      </c>
      <c r="G1423" s="64" t="s">
        <v>64</v>
      </c>
      <c r="H1423" s="65"/>
      <c r="I1423" s="65"/>
      <c r="J1423" s="66"/>
      <c r="K1423" s="65" t="s">
        <v>1580</v>
      </c>
      <c r="L1423" s="64" t="s">
        <v>1576</v>
      </c>
      <c r="M1423" s="64" t="s">
        <v>144</v>
      </c>
      <c r="N1423" s="64" t="s">
        <v>265</v>
      </c>
      <c r="O1423" s="64" t="s">
        <v>1544</v>
      </c>
      <c r="P1423" s="64"/>
      <c r="Q1423" s="64"/>
      <c r="R1423" s="124">
        <v>12</v>
      </c>
      <c r="S1423" s="65"/>
      <c r="T1423" s="124"/>
      <c r="U1423" s="75"/>
      <c r="V1423" s="674">
        <v>0</v>
      </c>
      <c r="W1423" s="75"/>
      <c r="X1423" s="75"/>
      <c r="Y1423" s="75"/>
      <c r="Z1423" s="75"/>
      <c r="AA1423" s="75"/>
      <c r="AB1423" s="75"/>
      <c r="AC1423" s="97"/>
      <c r="AD1423" s="97"/>
      <c r="AE1423" s="591"/>
      <c r="AF1423" s="259" t="s">
        <v>1466</v>
      </c>
      <c r="AG1423" s="510">
        <v>0</v>
      </c>
      <c r="AH1423" s="370">
        <v>0</v>
      </c>
      <c r="AI1423" s="75"/>
      <c r="AJ1423" s="75"/>
      <c r="AK1423" s="75"/>
      <c r="AL1423" s="75"/>
      <c r="AM1423" s="75"/>
      <c r="AN1423" s="64" t="s">
        <v>181</v>
      </c>
      <c r="AO1423" s="64"/>
      <c r="AP1423" s="64"/>
      <c r="AQ1423" s="189"/>
      <c r="AR1423" s="64"/>
      <c r="AS1423" s="476"/>
      <c r="AT1423" s="64"/>
      <c r="AU1423" s="646"/>
      <c r="AV1423" s="185"/>
    </row>
    <row r="1424" spans="1:54" ht="15" customHeight="1" outlineLevel="3" x14ac:dyDescent="0.25">
      <c r="A1424" s="63" t="str">
        <f t="shared" si="229"/>
        <v>4.16.3.8.2.58-64</v>
      </c>
      <c r="B1424" s="64">
        <v>4</v>
      </c>
      <c r="C1424" s="64">
        <v>16</v>
      </c>
      <c r="D1424" s="64">
        <v>3</v>
      </c>
      <c r="E1424" s="64">
        <v>8</v>
      </c>
      <c r="F1424" s="64">
        <v>2</v>
      </c>
      <c r="G1424" s="64" t="s">
        <v>64</v>
      </c>
      <c r="H1424" s="65"/>
      <c r="I1424" s="65"/>
      <c r="J1424" s="66"/>
      <c r="K1424" s="65" t="s">
        <v>1605</v>
      </c>
      <c r="L1424" s="64" t="s">
        <v>1576</v>
      </c>
      <c r="M1424" s="64" t="s">
        <v>144</v>
      </c>
      <c r="N1424" s="64" t="s">
        <v>265</v>
      </c>
      <c r="O1424" s="64" t="s">
        <v>1544</v>
      </c>
      <c r="P1424" s="64"/>
      <c r="Q1424" s="64"/>
      <c r="R1424" s="124">
        <v>12</v>
      </c>
      <c r="S1424" s="65"/>
      <c r="T1424" s="124"/>
      <c r="U1424" s="75"/>
      <c r="V1424" s="674">
        <v>0</v>
      </c>
      <c r="W1424" s="75"/>
      <c r="X1424" s="75"/>
      <c r="Y1424" s="75"/>
      <c r="Z1424" s="75"/>
      <c r="AA1424" s="75"/>
      <c r="AB1424" s="75"/>
      <c r="AC1424" s="97"/>
      <c r="AD1424" s="97"/>
      <c r="AE1424" s="591"/>
      <c r="AF1424" s="259" t="s">
        <v>1606</v>
      </c>
      <c r="AG1424" s="510">
        <v>0</v>
      </c>
      <c r="AH1424" s="370">
        <v>0</v>
      </c>
      <c r="AI1424" s="75"/>
      <c r="AJ1424" s="75"/>
      <c r="AK1424" s="75"/>
      <c r="AL1424" s="75"/>
      <c r="AM1424" s="75"/>
      <c r="AN1424" s="64" t="s">
        <v>181</v>
      </c>
      <c r="AO1424" s="64"/>
      <c r="AP1424" s="64"/>
      <c r="AQ1424" s="189"/>
      <c r="AR1424" s="64"/>
      <c r="AS1424" s="476"/>
      <c r="AT1424" s="64"/>
      <c r="AU1424" s="646"/>
      <c r="AV1424" s="185"/>
    </row>
    <row r="1425" spans="1:48" ht="36.75" customHeight="1" outlineLevel="3" x14ac:dyDescent="0.25">
      <c r="A1425" s="63" t="str">
        <f t="shared" si="229"/>
        <v>4.16.3.8.3.58-64</v>
      </c>
      <c r="B1425" s="64">
        <v>4</v>
      </c>
      <c r="C1425" s="64">
        <v>16</v>
      </c>
      <c r="D1425" s="64">
        <v>3</v>
      </c>
      <c r="E1425" s="64">
        <v>8</v>
      </c>
      <c r="F1425" s="64">
        <v>3</v>
      </c>
      <c r="G1425" s="64" t="s">
        <v>64</v>
      </c>
      <c r="H1425" s="65"/>
      <c r="I1425" s="65"/>
      <c r="J1425" s="66"/>
      <c r="K1425" s="65" t="s">
        <v>1583</v>
      </c>
      <c r="L1425" s="64" t="s">
        <v>1475</v>
      </c>
      <c r="M1425" s="64" t="s">
        <v>1318</v>
      </c>
      <c r="N1425" s="64" t="s">
        <v>1223</v>
      </c>
      <c r="O1425" s="64" t="s">
        <v>1544</v>
      </c>
      <c r="P1425" s="69"/>
      <c r="Q1425" s="69"/>
      <c r="R1425" s="64">
        <v>12</v>
      </c>
      <c r="S1425" s="65" t="s">
        <v>1581</v>
      </c>
      <c r="T1425" s="64">
        <v>3</v>
      </c>
      <c r="U1425" s="75">
        <f>+$AH1425/4</f>
        <v>22500</v>
      </c>
      <c r="V1425" s="674">
        <v>0</v>
      </c>
      <c r="W1425" s="75">
        <v>3</v>
      </c>
      <c r="X1425" s="75">
        <f>+$AH1425/4</f>
        <v>22500</v>
      </c>
      <c r="Y1425" s="75"/>
      <c r="Z1425" s="75">
        <v>3</v>
      </c>
      <c r="AA1425" s="75">
        <f>+$AH1425/4</f>
        <v>22500</v>
      </c>
      <c r="AB1425" s="75"/>
      <c r="AC1425" s="97">
        <v>3</v>
      </c>
      <c r="AD1425" s="75">
        <f>+$AH1425/4</f>
        <v>22500</v>
      </c>
      <c r="AE1425" s="592"/>
      <c r="AF1425" s="259" t="s">
        <v>1584</v>
      </c>
      <c r="AG1425" s="510">
        <f>12*15000/2</f>
        <v>90000</v>
      </c>
      <c r="AH1425" s="370">
        <f>12*15000/2</f>
        <v>90000</v>
      </c>
      <c r="AI1425" s="75"/>
      <c r="AJ1425" s="75"/>
      <c r="AK1425" s="75"/>
      <c r="AL1425" s="75"/>
      <c r="AM1425" s="75"/>
      <c r="AN1425" s="64" t="s">
        <v>181</v>
      </c>
      <c r="AO1425" s="64"/>
      <c r="AP1425" s="64"/>
      <c r="AQ1425" s="189"/>
      <c r="AR1425" s="64"/>
      <c r="AS1425" s="476"/>
      <c r="AT1425" s="64"/>
      <c r="AU1425" s="646"/>
      <c r="AV1425" s="335" t="s">
        <v>1585</v>
      </c>
    </row>
    <row r="1426" spans="1:48" ht="15" customHeight="1" outlineLevel="3" x14ac:dyDescent="0.25">
      <c r="A1426" s="63" t="str">
        <f t="shared" si="229"/>
        <v>4.16.3.8.4.58-64</v>
      </c>
      <c r="B1426" s="64">
        <v>4</v>
      </c>
      <c r="C1426" s="64">
        <v>16</v>
      </c>
      <c r="D1426" s="64">
        <v>3</v>
      </c>
      <c r="E1426" s="64">
        <v>8</v>
      </c>
      <c r="F1426" s="64">
        <v>4</v>
      </c>
      <c r="G1426" s="64" t="s">
        <v>64</v>
      </c>
      <c r="H1426" s="65"/>
      <c r="I1426" s="65"/>
      <c r="J1426" s="66"/>
      <c r="K1426" s="65" t="s">
        <v>1586</v>
      </c>
      <c r="L1426" s="64" t="s">
        <v>1475</v>
      </c>
      <c r="M1426" s="64" t="s">
        <v>1318</v>
      </c>
      <c r="N1426" s="64" t="s">
        <v>1223</v>
      </c>
      <c r="O1426" s="64" t="s">
        <v>1544</v>
      </c>
      <c r="P1426" s="69"/>
      <c r="Q1426" s="69"/>
      <c r="R1426" s="171">
        <v>6</v>
      </c>
      <c r="S1426" s="65"/>
      <c r="T1426" s="64">
        <v>1</v>
      </c>
      <c r="U1426" s="75"/>
      <c r="V1426" s="674">
        <v>0</v>
      </c>
      <c r="W1426" s="75">
        <v>2</v>
      </c>
      <c r="X1426" s="75"/>
      <c r="Y1426" s="75"/>
      <c r="Z1426" s="75">
        <v>1</v>
      </c>
      <c r="AA1426" s="75"/>
      <c r="AB1426" s="75"/>
      <c r="AC1426" s="97">
        <v>2</v>
      </c>
      <c r="AD1426" s="97"/>
      <c r="AE1426" s="591"/>
      <c r="AF1426" s="259" t="s">
        <v>1587</v>
      </c>
      <c r="AG1426" s="510">
        <v>0</v>
      </c>
      <c r="AH1426" s="370">
        <v>0</v>
      </c>
      <c r="AI1426" s="75"/>
      <c r="AJ1426" s="75"/>
      <c r="AK1426" s="75"/>
      <c r="AL1426" s="75"/>
      <c r="AM1426" s="75"/>
      <c r="AN1426" s="64" t="s">
        <v>181</v>
      </c>
      <c r="AO1426" s="64"/>
      <c r="AP1426" s="64"/>
      <c r="AQ1426" s="189"/>
      <c r="AR1426" s="64"/>
      <c r="AS1426" s="476"/>
      <c r="AT1426" s="64"/>
      <c r="AU1426" s="646"/>
      <c r="AV1426" s="185"/>
    </row>
    <row r="1427" spans="1:48" ht="15" customHeight="1" outlineLevel="3" x14ac:dyDescent="0.25">
      <c r="A1427" s="63" t="str">
        <f t="shared" si="229"/>
        <v>4.16.3.8.5.58-64</v>
      </c>
      <c r="B1427" s="64">
        <v>4</v>
      </c>
      <c r="C1427" s="64">
        <v>16</v>
      </c>
      <c r="D1427" s="64">
        <v>3</v>
      </c>
      <c r="E1427" s="64">
        <v>8</v>
      </c>
      <c r="F1427" s="64">
        <v>5</v>
      </c>
      <c r="G1427" s="64" t="s">
        <v>64</v>
      </c>
      <c r="H1427" s="65"/>
      <c r="I1427" s="65"/>
      <c r="J1427" s="66"/>
      <c r="K1427" s="65" t="s">
        <v>1607</v>
      </c>
      <c r="L1427" s="64" t="s">
        <v>1475</v>
      </c>
      <c r="M1427" s="64" t="s">
        <v>1318</v>
      </c>
      <c r="N1427" s="64" t="s">
        <v>1249</v>
      </c>
      <c r="O1427" s="64" t="s">
        <v>1544</v>
      </c>
      <c r="P1427" s="64"/>
      <c r="Q1427" s="64"/>
      <c r="R1427" s="124">
        <v>2</v>
      </c>
      <c r="S1427" s="65"/>
      <c r="T1427" s="124">
        <v>2</v>
      </c>
      <c r="U1427" s="75"/>
      <c r="V1427" s="674">
        <v>0</v>
      </c>
      <c r="W1427" s="75"/>
      <c r="X1427" s="75"/>
      <c r="Y1427" s="75"/>
      <c r="Z1427" s="75"/>
      <c r="AA1427" s="75"/>
      <c r="AB1427" s="75"/>
      <c r="AC1427" s="97"/>
      <c r="AD1427" s="97"/>
      <c r="AE1427" s="591"/>
      <c r="AF1427" s="353" t="s">
        <v>1607</v>
      </c>
      <c r="AG1427" s="510">
        <v>0</v>
      </c>
      <c r="AH1427" s="370">
        <v>0</v>
      </c>
      <c r="AI1427" s="75"/>
      <c r="AJ1427" s="75"/>
      <c r="AK1427" s="75"/>
      <c r="AL1427" s="75"/>
      <c r="AM1427" s="75"/>
      <c r="AN1427" s="64" t="s">
        <v>181</v>
      </c>
      <c r="AO1427" s="64"/>
      <c r="AP1427" s="64"/>
      <c r="AQ1427" s="189"/>
      <c r="AR1427" s="64"/>
      <c r="AS1427" s="476"/>
      <c r="AT1427" s="64"/>
      <c r="AU1427" s="646"/>
      <c r="AV1427" s="185"/>
    </row>
    <row r="1428" spans="1:48" s="153" customFormat="1" ht="15" customHeight="1" x14ac:dyDescent="0.25">
      <c r="A1428" s="246" t="str">
        <f t="shared" si="229"/>
        <v>5.0.0.0.0.0</v>
      </c>
      <c r="B1428" s="44">
        <v>5</v>
      </c>
      <c r="C1428" s="44">
        <v>0</v>
      </c>
      <c r="D1428" s="44">
        <v>0</v>
      </c>
      <c r="E1428" s="44">
        <v>0</v>
      </c>
      <c r="F1428" s="44">
        <v>0</v>
      </c>
      <c r="G1428" s="44">
        <v>0</v>
      </c>
      <c r="H1428" s="1269" t="s">
        <v>1608</v>
      </c>
      <c r="I1428" s="1270"/>
      <c r="J1428" s="1270"/>
      <c r="K1428" s="1271"/>
      <c r="L1428" s="44" t="s">
        <v>1609</v>
      </c>
      <c r="M1428" s="44"/>
      <c r="N1428" s="44"/>
      <c r="O1428" s="44"/>
      <c r="P1428" s="44"/>
      <c r="Q1428" s="44"/>
      <c r="R1428" s="44"/>
      <c r="S1428" s="247"/>
      <c r="T1428" s="44"/>
      <c r="U1428" s="393">
        <f t="shared" ref="U1428:AG1428" si="245">+U1429</f>
        <v>0</v>
      </c>
      <c r="V1428" s="694">
        <f t="shared" si="245"/>
        <v>0</v>
      </c>
      <c r="W1428" s="393">
        <f t="shared" si="245"/>
        <v>0</v>
      </c>
      <c r="X1428" s="393">
        <f t="shared" si="245"/>
        <v>0</v>
      </c>
      <c r="Y1428" s="393">
        <f t="shared" si="245"/>
        <v>0</v>
      </c>
      <c r="Z1428" s="393">
        <f t="shared" si="245"/>
        <v>0</v>
      </c>
      <c r="AA1428" s="393">
        <f t="shared" si="245"/>
        <v>0</v>
      </c>
      <c r="AB1428" s="393">
        <f t="shared" si="245"/>
        <v>0</v>
      </c>
      <c r="AC1428" s="393">
        <f t="shared" si="245"/>
        <v>0</v>
      </c>
      <c r="AD1428" s="393">
        <f t="shared" si="245"/>
        <v>0</v>
      </c>
      <c r="AE1428" s="393">
        <f t="shared" si="245"/>
        <v>0</v>
      </c>
      <c r="AF1428" s="393">
        <f t="shared" si="245"/>
        <v>0</v>
      </c>
      <c r="AG1428" s="393">
        <f t="shared" si="245"/>
        <v>0</v>
      </c>
      <c r="AH1428" s="393">
        <f>+AH1429</f>
        <v>0</v>
      </c>
      <c r="AI1428" s="530">
        <f>+AI1429</f>
        <v>0</v>
      </c>
      <c r="AJ1428" s="530">
        <f>+AJ1429</f>
        <v>0</v>
      </c>
      <c r="AK1428" s="248"/>
      <c r="AL1428" s="248"/>
      <c r="AM1428" s="248"/>
      <c r="AN1428" s="44" t="s">
        <v>181</v>
      </c>
      <c r="AO1428" s="44"/>
      <c r="AP1428" s="44"/>
      <c r="AQ1428" s="420"/>
      <c r="AR1428" s="44"/>
      <c r="AS1428" s="486"/>
      <c r="AT1428" s="44"/>
      <c r="AU1428" s="658"/>
      <c r="AV1428" s="426"/>
    </row>
    <row r="1429" spans="1:48" s="153" customFormat="1" ht="30.75" customHeight="1" outlineLevel="1" x14ac:dyDescent="0.25">
      <c r="A1429" s="108" t="str">
        <f t="shared" si="229"/>
        <v>5.17.4.0.0.0</v>
      </c>
      <c r="B1429" s="109">
        <v>5</v>
      </c>
      <c r="C1429" s="109">
        <v>17</v>
      </c>
      <c r="D1429" s="109">
        <v>4</v>
      </c>
      <c r="E1429" s="109">
        <v>0</v>
      </c>
      <c r="F1429" s="109">
        <v>0</v>
      </c>
      <c r="G1429" s="109">
        <v>0</v>
      </c>
      <c r="H1429" s="110"/>
      <c r="I1429" s="1265" t="s">
        <v>1610</v>
      </c>
      <c r="J1429" s="1266"/>
      <c r="K1429" s="1267"/>
      <c r="L1429" s="109" t="s">
        <v>236</v>
      </c>
      <c r="M1429" s="109" t="s">
        <v>73</v>
      </c>
      <c r="N1429" s="109" t="s">
        <v>257</v>
      </c>
      <c r="O1429" s="109" t="s">
        <v>1611</v>
      </c>
      <c r="P1429" s="109"/>
      <c r="Q1429" s="109"/>
      <c r="R1429" s="109"/>
      <c r="S1429" s="110"/>
      <c r="T1429" s="109"/>
      <c r="U1429" s="514">
        <f t="shared" ref="U1429:AG1429" si="246">+U1430+U1434+U1438+U1446+U1456+U1464+U1472+U1476</f>
        <v>0</v>
      </c>
      <c r="V1429" s="695">
        <f t="shared" si="246"/>
        <v>0</v>
      </c>
      <c r="W1429" s="514">
        <f t="shared" si="246"/>
        <v>0</v>
      </c>
      <c r="X1429" s="514">
        <f t="shared" si="246"/>
        <v>0</v>
      </c>
      <c r="Y1429" s="514">
        <f t="shared" si="246"/>
        <v>0</v>
      </c>
      <c r="Z1429" s="514">
        <f t="shared" si="246"/>
        <v>0</v>
      </c>
      <c r="AA1429" s="514">
        <f t="shared" si="246"/>
        <v>0</v>
      </c>
      <c r="AB1429" s="514">
        <f t="shared" si="246"/>
        <v>0</v>
      </c>
      <c r="AC1429" s="514">
        <f t="shared" si="246"/>
        <v>0</v>
      </c>
      <c r="AD1429" s="514">
        <f t="shared" si="246"/>
        <v>0</v>
      </c>
      <c r="AE1429" s="514">
        <f t="shared" si="246"/>
        <v>0</v>
      </c>
      <c r="AF1429" s="514">
        <f t="shared" si="246"/>
        <v>0</v>
      </c>
      <c r="AG1429" s="514">
        <f t="shared" si="246"/>
        <v>0</v>
      </c>
      <c r="AH1429" s="514">
        <f>+AH1430+AH1434+AH1438+AH1446+AH1456+AH1464+AH1472+AH1476</f>
        <v>0</v>
      </c>
      <c r="AI1429" s="514">
        <f>+AI1430+AI1434+AI1438+AI1446+AI1456+AI1464+AI1472+AI1476</f>
        <v>0</v>
      </c>
      <c r="AJ1429" s="514">
        <f>+AJ1430+AJ1434+AJ1438+AJ1446+AJ1456+AJ1464+AJ1472+AJ1476</f>
        <v>0</v>
      </c>
      <c r="AK1429" s="112"/>
      <c r="AL1429" s="112"/>
      <c r="AM1429" s="112"/>
      <c r="AN1429" s="109" t="s">
        <v>181</v>
      </c>
      <c r="AO1429" s="109"/>
      <c r="AP1429" s="109"/>
      <c r="AQ1429" s="411"/>
      <c r="AR1429" s="109"/>
      <c r="AS1429" s="473"/>
      <c r="AT1429" s="109"/>
      <c r="AU1429" s="659"/>
      <c r="AV1429" s="445"/>
    </row>
    <row r="1430" spans="1:48" s="153" customFormat="1" outlineLevel="1" x14ac:dyDescent="0.25">
      <c r="A1430" s="148" t="str">
        <f t="shared" si="229"/>
        <v>5.17.4.1.0.0</v>
      </c>
      <c r="B1430" s="82">
        <v>5</v>
      </c>
      <c r="C1430" s="82">
        <v>17</v>
      </c>
      <c r="D1430" s="82">
        <v>4</v>
      </c>
      <c r="E1430" s="82">
        <v>1</v>
      </c>
      <c r="F1430" s="82">
        <v>0</v>
      </c>
      <c r="G1430" s="82">
        <v>0</v>
      </c>
      <c r="H1430" s="149"/>
      <c r="I1430" s="149"/>
      <c r="J1430" s="1260" t="s">
        <v>1612</v>
      </c>
      <c r="K1430" s="1259"/>
      <c r="L1430" s="82" t="s">
        <v>236</v>
      </c>
      <c r="M1430" s="82" t="s">
        <v>73</v>
      </c>
      <c r="N1430" s="82" t="s">
        <v>257</v>
      </c>
      <c r="O1430" s="82" t="s">
        <v>1613</v>
      </c>
      <c r="P1430" s="148"/>
      <c r="Q1430" s="148"/>
      <c r="R1430" s="82"/>
      <c r="S1430" s="149"/>
      <c r="T1430" s="82"/>
      <c r="U1430" s="512">
        <f>+SUM(U1431:U1433)</f>
        <v>0</v>
      </c>
      <c r="V1430" s="693">
        <f>+SUM(V1431:V1433)</f>
        <v>0</v>
      </c>
      <c r="W1430" s="152"/>
      <c r="X1430" s="152"/>
      <c r="Y1430" s="152"/>
      <c r="Z1430" s="152"/>
      <c r="AA1430" s="152"/>
      <c r="AB1430" s="152"/>
      <c r="AC1430" s="257"/>
      <c r="AD1430" s="257"/>
      <c r="AE1430" s="611"/>
      <c r="AF1430" s="358"/>
      <c r="AG1430" s="512">
        <f>+SUM(AG1431:AG1433)</f>
        <v>0</v>
      </c>
      <c r="AH1430" s="512">
        <f>+SUM(AH1431:AH1433)</f>
        <v>0</v>
      </c>
      <c r="AI1430" s="512">
        <f>+SUM(AI1431:AI1433)</f>
        <v>0</v>
      </c>
      <c r="AJ1430" s="512">
        <f>+SUM(AJ1431:AJ1433)</f>
        <v>0</v>
      </c>
      <c r="AK1430" s="152"/>
      <c r="AL1430" s="152"/>
      <c r="AM1430" s="152"/>
      <c r="AN1430" s="82" t="s">
        <v>181</v>
      </c>
      <c r="AO1430" s="82"/>
      <c r="AP1430" s="82"/>
      <c r="AQ1430" s="365"/>
      <c r="AR1430" s="82"/>
      <c r="AS1430" s="483"/>
      <c r="AT1430" s="82"/>
      <c r="AU1430" s="666"/>
      <c r="AV1430" s="444"/>
    </row>
    <row r="1431" spans="1:48" ht="30" outlineLevel="2" x14ac:dyDescent="0.25">
      <c r="A1431" s="63" t="str">
        <f t="shared" si="229"/>
        <v>5.17.4.1.1.58</v>
      </c>
      <c r="B1431" s="64">
        <v>5</v>
      </c>
      <c r="C1431" s="64">
        <v>17</v>
      </c>
      <c r="D1431" s="64">
        <v>4</v>
      </c>
      <c r="E1431" s="64">
        <v>1</v>
      </c>
      <c r="F1431" s="64">
        <v>1</v>
      </c>
      <c r="G1431" s="64">
        <v>58</v>
      </c>
      <c r="H1431" s="65"/>
      <c r="I1431" s="65"/>
      <c r="J1431" s="65"/>
      <c r="K1431" s="67" t="s">
        <v>1616</v>
      </c>
      <c r="L1431" s="64" t="s">
        <v>236</v>
      </c>
      <c r="M1431" s="64" t="s">
        <v>73</v>
      </c>
      <c r="N1431" s="64" t="s">
        <v>257</v>
      </c>
      <c r="O1431" s="64" t="s">
        <v>1613</v>
      </c>
      <c r="P1431" s="64"/>
      <c r="Q1431" s="64"/>
      <c r="R1431" s="64"/>
      <c r="S1431" s="65"/>
      <c r="T1431" s="64"/>
      <c r="U1431" s="510">
        <v>0</v>
      </c>
      <c r="V1431" s="696">
        <v>0</v>
      </c>
      <c r="W1431" s="75"/>
      <c r="X1431" s="75"/>
      <c r="Y1431" s="75"/>
      <c r="Z1431" s="75"/>
      <c r="AA1431" s="75"/>
      <c r="AB1431" s="75"/>
      <c r="AC1431" s="97"/>
      <c r="AD1431" s="97"/>
      <c r="AE1431" s="591"/>
      <c r="AF1431" s="259"/>
      <c r="AG1431" s="510">
        <v>0</v>
      </c>
      <c r="AH1431" s="510">
        <v>0</v>
      </c>
      <c r="AI1431" s="75"/>
      <c r="AJ1431" s="75"/>
      <c r="AK1431" s="75"/>
      <c r="AL1431" s="75"/>
      <c r="AM1431" s="75"/>
      <c r="AN1431" s="64" t="s">
        <v>181</v>
      </c>
      <c r="AO1431" s="64"/>
      <c r="AP1431" s="64"/>
      <c r="AQ1431" s="189"/>
      <c r="AR1431" s="64"/>
      <c r="AS1431" s="476"/>
      <c r="AT1431" s="64"/>
      <c r="AU1431" s="646"/>
      <c r="AV1431" s="185"/>
    </row>
    <row r="1432" spans="1:48" ht="45" outlineLevel="2" x14ac:dyDescent="0.25">
      <c r="A1432" s="63" t="str">
        <f t="shared" si="229"/>
        <v>5.17.4.1.2.58</v>
      </c>
      <c r="B1432" s="64">
        <v>5</v>
      </c>
      <c r="C1432" s="64">
        <v>17</v>
      </c>
      <c r="D1432" s="64">
        <v>4</v>
      </c>
      <c r="E1432" s="64">
        <v>1</v>
      </c>
      <c r="F1432" s="64">
        <v>2</v>
      </c>
      <c r="G1432" s="64">
        <v>58</v>
      </c>
      <c r="H1432" s="65"/>
      <c r="I1432" s="65"/>
      <c r="J1432" s="65"/>
      <c r="K1432" s="67" t="s">
        <v>1614</v>
      </c>
      <c r="L1432" s="64" t="s">
        <v>236</v>
      </c>
      <c r="M1432" s="64" t="s">
        <v>73</v>
      </c>
      <c r="N1432" s="64" t="s">
        <v>257</v>
      </c>
      <c r="O1432" s="64" t="s">
        <v>1613</v>
      </c>
      <c r="P1432" s="64"/>
      <c r="Q1432" s="64"/>
      <c r="R1432" s="64"/>
      <c r="S1432" s="65"/>
      <c r="T1432" s="64"/>
      <c r="U1432" s="510">
        <v>0</v>
      </c>
      <c r="V1432" s="696">
        <v>0</v>
      </c>
      <c r="W1432" s="75"/>
      <c r="X1432" s="75"/>
      <c r="Y1432" s="75"/>
      <c r="Z1432" s="75"/>
      <c r="AA1432" s="75"/>
      <c r="AB1432" s="75"/>
      <c r="AC1432" s="97"/>
      <c r="AD1432" s="97"/>
      <c r="AE1432" s="591"/>
      <c r="AF1432" s="259"/>
      <c r="AG1432" s="510">
        <v>0</v>
      </c>
      <c r="AH1432" s="510">
        <v>0</v>
      </c>
      <c r="AI1432" s="75"/>
      <c r="AJ1432" s="75"/>
      <c r="AK1432" s="75"/>
      <c r="AL1432" s="75"/>
      <c r="AM1432" s="75"/>
      <c r="AN1432" s="64" t="s">
        <v>181</v>
      </c>
      <c r="AO1432" s="64"/>
      <c r="AP1432" s="64"/>
      <c r="AQ1432" s="189"/>
      <c r="AR1432" s="64"/>
      <c r="AS1432" s="476"/>
      <c r="AT1432" s="64"/>
      <c r="AU1432" s="646"/>
      <c r="AV1432" s="185"/>
    </row>
    <row r="1433" spans="1:48" ht="19.5" customHeight="1" outlineLevel="2" x14ac:dyDescent="0.25">
      <c r="A1433" s="63" t="str">
        <f t="shared" si="229"/>
        <v>5.17.4.1.3.58</v>
      </c>
      <c r="B1433" s="293">
        <v>5</v>
      </c>
      <c r="C1433" s="293">
        <v>17</v>
      </c>
      <c r="D1433" s="293">
        <v>4</v>
      </c>
      <c r="E1433" s="293">
        <v>1</v>
      </c>
      <c r="F1433" s="293">
        <v>3</v>
      </c>
      <c r="G1433" s="293">
        <v>58</v>
      </c>
      <c r="H1433" s="65"/>
      <c r="I1433" s="65"/>
      <c r="J1433" s="65"/>
      <c r="K1433" s="65" t="s">
        <v>1878</v>
      </c>
      <c r="L1433" s="64" t="s">
        <v>236</v>
      </c>
      <c r="M1433" s="64" t="s">
        <v>73</v>
      </c>
      <c r="N1433" s="64" t="s">
        <v>257</v>
      </c>
      <c r="O1433" s="64" t="s">
        <v>1613</v>
      </c>
      <c r="P1433" s="64"/>
      <c r="Q1433" s="64"/>
      <c r="R1433" s="64"/>
      <c r="S1433" s="65"/>
      <c r="T1433" s="64"/>
      <c r="U1433" s="510">
        <v>0</v>
      </c>
      <c r="V1433" s="696">
        <v>0</v>
      </c>
      <c r="W1433" s="75"/>
      <c r="X1433" s="75"/>
      <c r="Y1433" s="75"/>
      <c r="Z1433" s="75"/>
      <c r="AA1433" s="75"/>
      <c r="AB1433" s="75"/>
      <c r="AC1433" s="97"/>
      <c r="AD1433" s="97"/>
      <c r="AE1433" s="591"/>
      <c r="AF1433" s="259"/>
      <c r="AG1433" s="510">
        <v>0</v>
      </c>
      <c r="AH1433" s="510">
        <v>0</v>
      </c>
      <c r="AI1433" s="75"/>
      <c r="AJ1433" s="75"/>
      <c r="AK1433" s="75"/>
      <c r="AL1433" s="75"/>
      <c r="AM1433" s="75"/>
      <c r="AN1433" s="64" t="s">
        <v>181</v>
      </c>
      <c r="AO1433" s="64"/>
      <c r="AP1433" s="64"/>
      <c r="AQ1433" s="189"/>
      <c r="AR1433" s="64"/>
      <c r="AS1433" s="476"/>
      <c r="AT1433" s="64"/>
      <c r="AU1433" s="646"/>
      <c r="AV1433" s="185"/>
    </row>
    <row r="1434" spans="1:48" s="153" customFormat="1" ht="15" customHeight="1" outlineLevel="1" x14ac:dyDescent="0.25">
      <c r="A1434" s="148" t="str">
        <f t="shared" si="229"/>
        <v>5.17.4.2.0.0</v>
      </c>
      <c r="B1434" s="82">
        <v>5</v>
      </c>
      <c r="C1434" s="82">
        <v>17</v>
      </c>
      <c r="D1434" s="82">
        <v>4</v>
      </c>
      <c r="E1434" s="82">
        <v>2</v>
      </c>
      <c r="F1434" s="82">
        <v>0</v>
      </c>
      <c r="G1434" s="82">
        <v>0</v>
      </c>
      <c r="H1434" s="149"/>
      <c r="I1434" s="149"/>
      <c r="J1434" s="1260" t="s">
        <v>1615</v>
      </c>
      <c r="K1434" s="1259"/>
      <c r="L1434" s="82" t="s">
        <v>236</v>
      </c>
      <c r="M1434" s="82" t="s">
        <v>977</v>
      </c>
      <c r="N1434" s="82" t="s">
        <v>257</v>
      </c>
      <c r="O1434" s="82" t="s">
        <v>1613</v>
      </c>
      <c r="P1434" s="294"/>
      <c r="Q1434" s="294"/>
      <c r="R1434" s="82"/>
      <c r="S1434" s="149"/>
      <c r="T1434" s="82"/>
      <c r="U1434" s="512">
        <f>+SUM(U1435:U1437)</f>
        <v>0</v>
      </c>
      <c r="V1434" s="693">
        <f>+SUM(V1435:V1437)</f>
        <v>0</v>
      </c>
      <c r="W1434" s="152"/>
      <c r="X1434" s="152"/>
      <c r="Y1434" s="152"/>
      <c r="Z1434" s="152"/>
      <c r="AA1434" s="152"/>
      <c r="AB1434" s="152"/>
      <c r="AC1434" s="257"/>
      <c r="AD1434" s="257"/>
      <c r="AE1434" s="611"/>
      <c r="AF1434" s="358"/>
      <c r="AG1434" s="512">
        <f>+SUM(AG1435:AG1437)</f>
        <v>0</v>
      </c>
      <c r="AH1434" s="512">
        <f>+SUM(AH1435:AH1437)</f>
        <v>0</v>
      </c>
      <c r="AI1434" s="512">
        <f>+SUM(AI1435:AI1437)</f>
        <v>0</v>
      </c>
      <c r="AJ1434" s="512">
        <f>+SUM(AJ1435:AJ1437)</f>
        <v>0</v>
      </c>
      <c r="AK1434" s="152"/>
      <c r="AL1434" s="152"/>
      <c r="AM1434" s="152"/>
      <c r="AN1434" s="82" t="s">
        <v>181</v>
      </c>
      <c r="AO1434" s="82"/>
      <c r="AP1434" s="82"/>
      <c r="AQ1434" s="365"/>
      <c r="AR1434" s="82"/>
      <c r="AS1434" s="483"/>
      <c r="AT1434" s="82"/>
      <c r="AU1434" s="666"/>
      <c r="AV1434" s="444"/>
    </row>
    <row r="1435" spans="1:48" ht="29.25" customHeight="1" outlineLevel="2" x14ac:dyDescent="0.25">
      <c r="A1435" s="63" t="str">
        <f t="shared" si="229"/>
        <v>5.17.4.2.1.59</v>
      </c>
      <c r="B1435" s="64">
        <v>5</v>
      </c>
      <c r="C1435" s="64">
        <v>17</v>
      </c>
      <c r="D1435" s="64">
        <v>4</v>
      </c>
      <c r="E1435" s="64">
        <v>2</v>
      </c>
      <c r="F1435" s="64">
        <v>1</v>
      </c>
      <c r="G1435" s="64">
        <v>59</v>
      </c>
      <c r="H1435" s="65"/>
      <c r="I1435" s="65"/>
      <c r="J1435" s="66"/>
      <c r="K1435" s="67" t="s">
        <v>1616</v>
      </c>
      <c r="L1435" s="64" t="s">
        <v>236</v>
      </c>
      <c r="M1435" s="64" t="s">
        <v>73</v>
      </c>
      <c r="N1435" s="64" t="s">
        <v>257</v>
      </c>
      <c r="O1435" s="64" t="s">
        <v>1613</v>
      </c>
      <c r="P1435" s="64"/>
      <c r="Q1435" s="64"/>
      <c r="R1435" s="64"/>
      <c r="S1435" s="65"/>
      <c r="T1435" s="64"/>
      <c r="U1435" s="510">
        <v>0</v>
      </c>
      <c r="V1435" s="696">
        <v>0</v>
      </c>
      <c r="W1435" s="75"/>
      <c r="X1435" s="75"/>
      <c r="Y1435" s="75"/>
      <c r="Z1435" s="75"/>
      <c r="AA1435" s="75"/>
      <c r="AB1435" s="75"/>
      <c r="AC1435" s="97"/>
      <c r="AD1435" s="97"/>
      <c r="AE1435" s="591"/>
      <c r="AF1435" s="259"/>
      <c r="AG1435" s="510">
        <v>0</v>
      </c>
      <c r="AH1435" s="510">
        <v>0</v>
      </c>
      <c r="AI1435" s="75"/>
      <c r="AJ1435" s="75"/>
      <c r="AK1435" s="75"/>
      <c r="AL1435" s="75"/>
      <c r="AM1435" s="75"/>
      <c r="AN1435" s="64" t="s">
        <v>181</v>
      </c>
      <c r="AO1435" s="64"/>
      <c r="AP1435" s="64"/>
      <c r="AQ1435" s="189"/>
      <c r="AR1435" s="64"/>
      <c r="AS1435" s="476"/>
      <c r="AT1435" s="64"/>
      <c r="AU1435" s="646"/>
      <c r="AV1435" s="185"/>
    </row>
    <row r="1436" spans="1:48" ht="33" customHeight="1" outlineLevel="2" x14ac:dyDescent="0.25">
      <c r="A1436" s="63" t="str">
        <f t="shared" si="229"/>
        <v>5.17.4.2.2.59</v>
      </c>
      <c r="B1436" s="64">
        <v>5</v>
      </c>
      <c r="C1436" s="64">
        <v>17</v>
      </c>
      <c r="D1436" s="64">
        <v>4</v>
      </c>
      <c r="E1436" s="64">
        <v>2</v>
      </c>
      <c r="F1436" s="64">
        <v>2</v>
      </c>
      <c r="G1436" s="64">
        <v>59</v>
      </c>
      <c r="H1436" s="65"/>
      <c r="I1436" s="65"/>
      <c r="J1436" s="66"/>
      <c r="K1436" s="67" t="s">
        <v>1617</v>
      </c>
      <c r="L1436" s="64" t="s">
        <v>236</v>
      </c>
      <c r="M1436" s="64" t="s">
        <v>73</v>
      </c>
      <c r="N1436" s="64" t="s">
        <v>257</v>
      </c>
      <c r="O1436" s="64" t="s">
        <v>1613</v>
      </c>
      <c r="P1436" s="64"/>
      <c r="Q1436" s="64"/>
      <c r="R1436" s="64"/>
      <c r="S1436" s="65"/>
      <c r="T1436" s="64"/>
      <c r="U1436" s="510">
        <v>0</v>
      </c>
      <c r="V1436" s="696">
        <v>0</v>
      </c>
      <c r="W1436" s="75"/>
      <c r="X1436" s="75"/>
      <c r="Y1436" s="75"/>
      <c r="Z1436" s="75"/>
      <c r="AA1436" s="75"/>
      <c r="AB1436" s="75"/>
      <c r="AC1436" s="97"/>
      <c r="AD1436" s="97"/>
      <c r="AE1436" s="591"/>
      <c r="AF1436" s="259"/>
      <c r="AG1436" s="510">
        <v>0</v>
      </c>
      <c r="AH1436" s="510">
        <v>0</v>
      </c>
      <c r="AI1436" s="75"/>
      <c r="AJ1436" s="75"/>
      <c r="AK1436" s="75"/>
      <c r="AL1436" s="75"/>
      <c r="AM1436" s="75"/>
      <c r="AN1436" s="64" t="s">
        <v>181</v>
      </c>
      <c r="AO1436" s="64"/>
      <c r="AP1436" s="64"/>
      <c r="AQ1436" s="189"/>
      <c r="AR1436" s="64"/>
      <c r="AS1436" s="476"/>
      <c r="AT1436" s="64"/>
      <c r="AU1436" s="646"/>
      <c r="AV1436" s="185"/>
    </row>
    <row r="1437" spans="1:48" ht="33" customHeight="1" outlineLevel="2" x14ac:dyDescent="0.25">
      <c r="A1437" s="63" t="str">
        <f t="shared" si="229"/>
        <v>5.17.4.2.3.59</v>
      </c>
      <c r="B1437" s="64">
        <v>5</v>
      </c>
      <c r="C1437" s="64">
        <v>17</v>
      </c>
      <c r="D1437" s="64">
        <v>4</v>
      </c>
      <c r="E1437" s="64">
        <v>2</v>
      </c>
      <c r="F1437" s="64">
        <v>3</v>
      </c>
      <c r="G1437" s="64">
        <v>59</v>
      </c>
      <c r="H1437" s="65"/>
      <c r="I1437" s="65"/>
      <c r="J1437" s="66"/>
      <c r="K1437" s="67" t="s">
        <v>1618</v>
      </c>
      <c r="L1437" s="64" t="s">
        <v>236</v>
      </c>
      <c r="M1437" s="64" t="s">
        <v>73</v>
      </c>
      <c r="N1437" s="64" t="s">
        <v>257</v>
      </c>
      <c r="O1437" s="64" t="s">
        <v>1613</v>
      </c>
      <c r="P1437" s="64"/>
      <c r="Q1437" s="64"/>
      <c r="R1437" s="64"/>
      <c r="S1437" s="65"/>
      <c r="T1437" s="64"/>
      <c r="U1437" s="510">
        <v>0</v>
      </c>
      <c r="V1437" s="696">
        <v>0</v>
      </c>
      <c r="W1437" s="75"/>
      <c r="X1437" s="75"/>
      <c r="Y1437" s="75"/>
      <c r="Z1437" s="75"/>
      <c r="AA1437" s="75"/>
      <c r="AB1437" s="75"/>
      <c r="AC1437" s="97"/>
      <c r="AD1437" s="97"/>
      <c r="AE1437" s="591"/>
      <c r="AF1437" s="259"/>
      <c r="AG1437" s="510">
        <v>0</v>
      </c>
      <c r="AH1437" s="510">
        <v>0</v>
      </c>
      <c r="AI1437" s="75"/>
      <c r="AJ1437" s="75"/>
      <c r="AK1437" s="75"/>
      <c r="AL1437" s="75"/>
      <c r="AM1437" s="75"/>
      <c r="AN1437" s="64" t="s">
        <v>181</v>
      </c>
      <c r="AO1437" s="64"/>
      <c r="AP1437" s="64"/>
      <c r="AQ1437" s="189"/>
      <c r="AR1437" s="64"/>
      <c r="AS1437" s="476"/>
      <c r="AT1437" s="64"/>
      <c r="AU1437" s="646"/>
      <c r="AV1437" s="185"/>
    </row>
    <row r="1438" spans="1:48" s="153" customFormat="1" outlineLevel="1" x14ac:dyDescent="0.25">
      <c r="A1438" s="148" t="str">
        <f t="shared" si="229"/>
        <v>5.17.4.3.0.0</v>
      </c>
      <c r="B1438" s="82">
        <v>5</v>
      </c>
      <c r="C1438" s="82">
        <v>17</v>
      </c>
      <c r="D1438" s="82">
        <v>4</v>
      </c>
      <c r="E1438" s="82">
        <v>3</v>
      </c>
      <c r="F1438" s="82">
        <v>0</v>
      </c>
      <c r="G1438" s="82">
        <v>0</v>
      </c>
      <c r="H1438" s="149"/>
      <c r="I1438" s="149"/>
      <c r="J1438" s="1260" t="s">
        <v>1619</v>
      </c>
      <c r="K1438" s="1259"/>
      <c r="L1438" s="82" t="s">
        <v>236</v>
      </c>
      <c r="M1438" s="82" t="s">
        <v>73</v>
      </c>
      <c r="N1438" s="82" t="s">
        <v>257</v>
      </c>
      <c r="O1438" s="82" t="s">
        <v>1613</v>
      </c>
      <c r="P1438" s="294"/>
      <c r="Q1438" s="294"/>
      <c r="R1438" s="82"/>
      <c r="S1438" s="149"/>
      <c r="T1438" s="82"/>
      <c r="U1438" s="512">
        <f>+SUM(U1439:U1445)</f>
        <v>0</v>
      </c>
      <c r="V1438" s="693">
        <f>+SUM(V1439:V1445)</f>
        <v>0</v>
      </c>
      <c r="W1438" s="152"/>
      <c r="X1438" s="152"/>
      <c r="Y1438" s="152"/>
      <c r="Z1438" s="152"/>
      <c r="AA1438" s="152"/>
      <c r="AB1438" s="152"/>
      <c r="AC1438" s="257"/>
      <c r="AD1438" s="257"/>
      <c r="AE1438" s="611"/>
      <c r="AF1438" s="358"/>
      <c r="AG1438" s="512">
        <f>+SUM(AG1439:AG1445)</f>
        <v>0</v>
      </c>
      <c r="AH1438" s="512">
        <f>+SUM(AH1439:AH1445)</f>
        <v>0</v>
      </c>
      <c r="AI1438" s="512">
        <f>+SUM(AI1439:AI1445)</f>
        <v>0</v>
      </c>
      <c r="AJ1438" s="512">
        <f>+SUM(AJ1439:AJ1445)</f>
        <v>0</v>
      </c>
      <c r="AK1438" s="152"/>
      <c r="AL1438" s="152"/>
      <c r="AM1438" s="152"/>
      <c r="AN1438" s="82" t="s">
        <v>181</v>
      </c>
      <c r="AO1438" s="82"/>
      <c r="AP1438" s="82"/>
      <c r="AQ1438" s="365"/>
      <c r="AR1438" s="82"/>
      <c r="AS1438" s="483"/>
      <c r="AT1438" s="82"/>
      <c r="AU1438" s="666"/>
      <c r="AV1438" s="444"/>
    </row>
    <row r="1439" spans="1:48" ht="30" outlineLevel="2" x14ac:dyDescent="0.25">
      <c r="A1439" s="63" t="str">
        <f t="shared" si="229"/>
        <v>5.17.4.3.1.63</v>
      </c>
      <c r="B1439" s="64">
        <v>5</v>
      </c>
      <c r="C1439" s="64">
        <v>17</v>
      </c>
      <c r="D1439" s="64">
        <v>4</v>
      </c>
      <c r="E1439" s="64">
        <v>3</v>
      </c>
      <c r="F1439" s="64">
        <v>1</v>
      </c>
      <c r="G1439" s="64">
        <v>63</v>
      </c>
      <c r="H1439" s="65"/>
      <c r="I1439" s="65"/>
      <c r="J1439" s="65"/>
      <c r="K1439" s="67" t="s">
        <v>1616</v>
      </c>
      <c r="L1439" s="64" t="s">
        <v>236</v>
      </c>
      <c r="M1439" s="64" t="s">
        <v>73</v>
      </c>
      <c r="N1439" s="64" t="s">
        <v>257</v>
      </c>
      <c r="O1439" s="64" t="s">
        <v>1613</v>
      </c>
      <c r="P1439" s="64"/>
      <c r="Q1439" s="64"/>
      <c r="R1439" s="64"/>
      <c r="S1439" s="65"/>
      <c r="T1439" s="64"/>
      <c r="U1439" s="510">
        <v>0</v>
      </c>
      <c r="V1439" s="696">
        <v>0</v>
      </c>
      <c r="W1439" s="75"/>
      <c r="X1439" s="75"/>
      <c r="Y1439" s="75"/>
      <c r="Z1439" s="75"/>
      <c r="AA1439" s="75"/>
      <c r="AB1439" s="75"/>
      <c r="AC1439" s="97"/>
      <c r="AD1439" s="97"/>
      <c r="AE1439" s="591"/>
      <c r="AF1439" s="259"/>
      <c r="AG1439" s="510">
        <v>0</v>
      </c>
      <c r="AH1439" s="510">
        <v>0</v>
      </c>
      <c r="AI1439" s="75"/>
      <c r="AJ1439" s="75"/>
      <c r="AK1439" s="75"/>
      <c r="AL1439" s="75"/>
      <c r="AM1439" s="75"/>
      <c r="AN1439" s="64" t="s">
        <v>181</v>
      </c>
      <c r="AO1439" s="64"/>
      <c r="AP1439" s="64"/>
      <c r="AQ1439" s="189"/>
      <c r="AR1439" s="64"/>
      <c r="AS1439" s="476"/>
      <c r="AT1439" s="64"/>
      <c r="AU1439" s="646"/>
      <c r="AV1439" s="185"/>
    </row>
    <row r="1440" spans="1:48" ht="30" outlineLevel="2" x14ac:dyDescent="0.25">
      <c r="A1440" s="63" t="str">
        <f t="shared" si="229"/>
        <v>5.17.4.3.2.63</v>
      </c>
      <c r="B1440" s="64">
        <v>5</v>
      </c>
      <c r="C1440" s="64">
        <v>17</v>
      </c>
      <c r="D1440" s="64">
        <v>4</v>
      </c>
      <c r="E1440" s="64">
        <v>3</v>
      </c>
      <c r="F1440" s="64">
        <v>2</v>
      </c>
      <c r="G1440" s="64">
        <v>63</v>
      </c>
      <c r="H1440" s="65"/>
      <c r="I1440" s="65"/>
      <c r="J1440" s="65"/>
      <c r="K1440" s="67" t="s">
        <v>1617</v>
      </c>
      <c r="L1440" s="64" t="s">
        <v>236</v>
      </c>
      <c r="M1440" s="64" t="s">
        <v>73</v>
      </c>
      <c r="N1440" s="64" t="s">
        <v>257</v>
      </c>
      <c r="O1440" s="64" t="s">
        <v>1613</v>
      </c>
      <c r="P1440" s="64"/>
      <c r="Q1440" s="64"/>
      <c r="R1440" s="64"/>
      <c r="S1440" s="65"/>
      <c r="T1440" s="64"/>
      <c r="U1440" s="510">
        <v>0</v>
      </c>
      <c r="V1440" s="696">
        <v>0</v>
      </c>
      <c r="W1440" s="75"/>
      <c r="X1440" s="75"/>
      <c r="Y1440" s="75"/>
      <c r="Z1440" s="75"/>
      <c r="AA1440" s="75"/>
      <c r="AB1440" s="75"/>
      <c r="AC1440" s="97"/>
      <c r="AD1440" s="97"/>
      <c r="AE1440" s="591"/>
      <c r="AF1440" s="259"/>
      <c r="AG1440" s="510">
        <v>0</v>
      </c>
      <c r="AH1440" s="510">
        <v>0</v>
      </c>
      <c r="AI1440" s="75"/>
      <c r="AJ1440" s="75"/>
      <c r="AK1440" s="75"/>
      <c r="AL1440" s="75"/>
      <c r="AM1440" s="75"/>
      <c r="AN1440" s="64" t="s">
        <v>181</v>
      </c>
      <c r="AO1440" s="64"/>
      <c r="AP1440" s="64"/>
      <c r="AQ1440" s="189"/>
      <c r="AR1440" s="64"/>
      <c r="AS1440" s="476"/>
      <c r="AT1440" s="64"/>
      <c r="AU1440" s="646"/>
      <c r="AV1440" s="185"/>
    </row>
    <row r="1441" spans="1:48" ht="15" customHeight="1" outlineLevel="2" x14ac:dyDescent="0.25">
      <c r="A1441" s="63" t="str">
        <f t="shared" si="229"/>
        <v>5.17.4.3.3.63</v>
      </c>
      <c r="B1441" s="64">
        <v>5</v>
      </c>
      <c r="C1441" s="64">
        <v>17</v>
      </c>
      <c r="D1441" s="64">
        <v>4</v>
      </c>
      <c r="E1441" s="64">
        <v>3</v>
      </c>
      <c r="F1441" s="64">
        <v>3</v>
      </c>
      <c r="G1441" s="64">
        <v>63</v>
      </c>
      <c r="H1441" s="65"/>
      <c r="I1441" s="65"/>
      <c r="J1441" s="66"/>
      <c r="K1441" s="65" t="s">
        <v>1620</v>
      </c>
      <c r="L1441" s="64" t="s">
        <v>236</v>
      </c>
      <c r="M1441" s="64" t="s">
        <v>73</v>
      </c>
      <c r="N1441" s="64" t="s">
        <v>257</v>
      </c>
      <c r="O1441" s="64" t="s">
        <v>1613</v>
      </c>
      <c r="P1441" s="64"/>
      <c r="Q1441" s="64"/>
      <c r="R1441" s="64"/>
      <c r="S1441" s="65"/>
      <c r="T1441" s="64"/>
      <c r="U1441" s="510">
        <v>0</v>
      </c>
      <c r="V1441" s="696">
        <v>0</v>
      </c>
      <c r="W1441" s="75"/>
      <c r="X1441" s="75"/>
      <c r="Y1441" s="75"/>
      <c r="Z1441" s="75"/>
      <c r="AA1441" s="75"/>
      <c r="AB1441" s="75"/>
      <c r="AC1441" s="97"/>
      <c r="AD1441" s="97"/>
      <c r="AE1441" s="591"/>
      <c r="AF1441" s="259"/>
      <c r="AG1441" s="510">
        <v>0</v>
      </c>
      <c r="AH1441" s="510">
        <v>0</v>
      </c>
      <c r="AI1441" s="75"/>
      <c r="AJ1441" s="75"/>
      <c r="AK1441" s="75"/>
      <c r="AL1441" s="75"/>
      <c r="AM1441" s="75"/>
      <c r="AN1441" s="64" t="s">
        <v>181</v>
      </c>
      <c r="AO1441" s="64"/>
      <c r="AP1441" s="64"/>
      <c r="AQ1441" s="189"/>
      <c r="AR1441" s="64"/>
      <c r="AS1441" s="476"/>
      <c r="AT1441" s="64"/>
      <c r="AU1441" s="646"/>
      <c r="AV1441" s="185"/>
    </row>
    <row r="1442" spans="1:48" ht="15" customHeight="1" outlineLevel="2" x14ac:dyDescent="0.25">
      <c r="A1442" s="63" t="str">
        <f t="shared" si="229"/>
        <v>5.17.4.3.4.63</v>
      </c>
      <c r="B1442" s="64">
        <v>5</v>
      </c>
      <c r="C1442" s="64">
        <v>17</v>
      </c>
      <c r="D1442" s="64">
        <v>4</v>
      </c>
      <c r="E1442" s="64">
        <v>3</v>
      </c>
      <c r="F1442" s="64">
        <v>4</v>
      </c>
      <c r="G1442" s="64">
        <v>63</v>
      </c>
      <c r="H1442" s="65"/>
      <c r="I1442" s="65"/>
      <c r="J1442" s="66"/>
      <c r="K1442" s="65" t="s">
        <v>1621</v>
      </c>
      <c r="L1442" s="64" t="s">
        <v>236</v>
      </c>
      <c r="M1442" s="64" t="s">
        <v>73</v>
      </c>
      <c r="N1442" s="64" t="s">
        <v>257</v>
      </c>
      <c r="O1442" s="64" t="s">
        <v>1613</v>
      </c>
      <c r="P1442" s="64"/>
      <c r="Q1442" s="64"/>
      <c r="R1442" s="64"/>
      <c r="S1442" s="65"/>
      <c r="T1442" s="64"/>
      <c r="U1442" s="510">
        <v>0</v>
      </c>
      <c r="V1442" s="696">
        <v>0</v>
      </c>
      <c r="W1442" s="75"/>
      <c r="X1442" s="75"/>
      <c r="Y1442" s="75"/>
      <c r="Z1442" s="75"/>
      <c r="AA1442" s="75"/>
      <c r="AB1442" s="75"/>
      <c r="AC1442" s="97"/>
      <c r="AD1442" s="97"/>
      <c r="AE1442" s="591"/>
      <c r="AF1442" s="259"/>
      <c r="AG1442" s="510">
        <v>0</v>
      </c>
      <c r="AH1442" s="510">
        <v>0</v>
      </c>
      <c r="AI1442" s="75"/>
      <c r="AJ1442" s="75"/>
      <c r="AK1442" s="75"/>
      <c r="AL1442" s="75"/>
      <c r="AM1442" s="75"/>
      <c r="AN1442" s="64" t="s">
        <v>181</v>
      </c>
      <c r="AO1442" s="64"/>
      <c r="AP1442" s="64"/>
      <c r="AQ1442" s="189"/>
      <c r="AR1442" s="64"/>
      <c r="AS1442" s="476"/>
      <c r="AT1442" s="64"/>
      <c r="AU1442" s="646"/>
      <c r="AV1442" s="185"/>
    </row>
    <row r="1443" spans="1:48" ht="15" customHeight="1" outlineLevel="2" x14ac:dyDescent="0.25">
      <c r="A1443" s="63" t="str">
        <f t="shared" si="229"/>
        <v>5.17.4.3.5.63</v>
      </c>
      <c r="B1443" s="64">
        <v>5</v>
      </c>
      <c r="C1443" s="64">
        <v>17</v>
      </c>
      <c r="D1443" s="64">
        <v>4</v>
      </c>
      <c r="E1443" s="64">
        <v>3</v>
      </c>
      <c r="F1443" s="64">
        <v>5</v>
      </c>
      <c r="G1443" s="64">
        <v>63</v>
      </c>
      <c r="H1443" s="65"/>
      <c r="I1443" s="65"/>
      <c r="J1443" s="66"/>
      <c r="K1443" s="65" t="s">
        <v>1622</v>
      </c>
      <c r="L1443" s="64" t="s">
        <v>236</v>
      </c>
      <c r="M1443" s="64" t="s">
        <v>73</v>
      </c>
      <c r="N1443" s="64" t="s">
        <v>257</v>
      </c>
      <c r="O1443" s="64" t="s">
        <v>1613</v>
      </c>
      <c r="P1443" s="64"/>
      <c r="Q1443" s="64"/>
      <c r="R1443" s="64"/>
      <c r="S1443" s="65"/>
      <c r="T1443" s="64"/>
      <c r="U1443" s="510">
        <v>0</v>
      </c>
      <c r="V1443" s="696">
        <v>0</v>
      </c>
      <c r="W1443" s="75"/>
      <c r="X1443" s="75"/>
      <c r="Y1443" s="75"/>
      <c r="Z1443" s="75"/>
      <c r="AA1443" s="75"/>
      <c r="AB1443" s="75"/>
      <c r="AC1443" s="97"/>
      <c r="AD1443" s="97"/>
      <c r="AE1443" s="591"/>
      <c r="AF1443" s="259"/>
      <c r="AG1443" s="510">
        <v>0</v>
      </c>
      <c r="AH1443" s="510">
        <v>0</v>
      </c>
      <c r="AI1443" s="75"/>
      <c r="AJ1443" s="75"/>
      <c r="AK1443" s="75"/>
      <c r="AL1443" s="75"/>
      <c r="AM1443" s="75"/>
      <c r="AN1443" s="64" t="s">
        <v>181</v>
      </c>
      <c r="AO1443" s="64"/>
      <c r="AP1443" s="64"/>
      <c r="AQ1443" s="189"/>
      <c r="AR1443" s="64"/>
      <c r="AS1443" s="476"/>
      <c r="AT1443" s="64"/>
      <c r="AU1443" s="646"/>
      <c r="AV1443" s="185"/>
    </row>
    <row r="1444" spans="1:48" ht="35.25" customHeight="1" outlineLevel="2" x14ac:dyDescent="0.25">
      <c r="A1444" s="63" t="str">
        <f t="shared" si="229"/>
        <v>5.17.4.3.6.63</v>
      </c>
      <c r="B1444" s="64">
        <v>5</v>
      </c>
      <c r="C1444" s="64">
        <v>17</v>
      </c>
      <c r="D1444" s="64">
        <v>4</v>
      </c>
      <c r="E1444" s="64">
        <v>3</v>
      </c>
      <c r="F1444" s="64">
        <v>6</v>
      </c>
      <c r="G1444" s="64">
        <v>63</v>
      </c>
      <c r="H1444" s="65"/>
      <c r="I1444" s="65"/>
      <c r="J1444" s="66"/>
      <c r="K1444" s="67" t="s">
        <v>1623</v>
      </c>
      <c r="L1444" s="64" t="s">
        <v>236</v>
      </c>
      <c r="M1444" s="64" t="s">
        <v>73</v>
      </c>
      <c r="N1444" s="64" t="s">
        <v>257</v>
      </c>
      <c r="O1444" s="64" t="s">
        <v>1613</v>
      </c>
      <c r="P1444" s="64"/>
      <c r="Q1444" s="64"/>
      <c r="R1444" s="64"/>
      <c r="S1444" s="65"/>
      <c r="T1444" s="64"/>
      <c r="U1444" s="510">
        <v>0</v>
      </c>
      <c r="V1444" s="696">
        <v>0</v>
      </c>
      <c r="W1444" s="75"/>
      <c r="X1444" s="75"/>
      <c r="Y1444" s="75"/>
      <c r="Z1444" s="75"/>
      <c r="AA1444" s="75"/>
      <c r="AB1444" s="75"/>
      <c r="AC1444" s="97"/>
      <c r="AD1444" s="97"/>
      <c r="AE1444" s="591"/>
      <c r="AF1444" s="259"/>
      <c r="AG1444" s="510">
        <v>0</v>
      </c>
      <c r="AH1444" s="510">
        <v>0</v>
      </c>
      <c r="AI1444" s="75"/>
      <c r="AJ1444" s="75"/>
      <c r="AK1444" s="75"/>
      <c r="AL1444" s="75"/>
      <c r="AM1444" s="75"/>
      <c r="AN1444" s="64" t="s">
        <v>181</v>
      </c>
      <c r="AO1444" s="64"/>
      <c r="AP1444" s="64"/>
      <c r="AQ1444" s="189"/>
      <c r="AR1444" s="64"/>
      <c r="AS1444" s="476"/>
      <c r="AT1444" s="64"/>
      <c r="AU1444" s="646"/>
      <c r="AV1444" s="185"/>
    </row>
    <row r="1445" spans="1:48" ht="39" customHeight="1" outlineLevel="2" x14ac:dyDescent="0.25">
      <c r="A1445" s="63" t="str">
        <f t="shared" si="229"/>
        <v>5.17.4.3.7.63</v>
      </c>
      <c r="B1445" s="64">
        <v>5</v>
      </c>
      <c r="C1445" s="64">
        <v>17</v>
      </c>
      <c r="D1445" s="64">
        <v>4</v>
      </c>
      <c r="E1445" s="64">
        <v>3</v>
      </c>
      <c r="F1445" s="64">
        <v>7</v>
      </c>
      <c r="G1445" s="64">
        <v>63</v>
      </c>
      <c r="H1445" s="65"/>
      <c r="I1445" s="65"/>
      <c r="J1445" s="65"/>
      <c r="K1445" s="67" t="s">
        <v>1624</v>
      </c>
      <c r="L1445" s="64" t="s">
        <v>236</v>
      </c>
      <c r="M1445" s="64" t="s">
        <v>73</v>
      </c>
      <c r="N1445" s="64" t="s">
        <v>226</v>
      </c>
      <c r="O1445" s="64" t="s">
        <v>1613</v>
      </c>
      <c r="P1445" s="170"/>
      <c r="Q1445" s="295"/>
      <c r="R1445" s="64"/>
      <c r="S1445" s="65"/>
      <c r="T1445" s="64"/>
      <c r="U1445" s="510">
        <v>0</v>
      </c>
      <c r="V1445" s="696">
        <v>0</v>
      </c>
      <c r="W1445" s="75"/>
      <c r="X1445" s="75"/>
      <c r="Y1445" s="75"/>
      <c r="Z1445" s="75"/>
      <c r="AA1445" s="75"/>
      <c r="AB1445" s="75"/>
      <c r="AC1445" s="97"/>
      <c r="AD1445" s="97"/>
      <c r="AE1445" s="591"/>
      <c r="AF1445" s="259"/>
      <c r="AG1445" s="510">
        <v>0</v>
      </c>
      <c r="AH1445" s="510">
        <v>0</v>
      </c>
      <c r="AI1445" s="75"/>
      <c r="AJ1445" s="75"/>
      <c r="AK1445" s="75"/>
      <c r="AL1445" s="75"/>
      <c r="AM1445" s="75"/>
      <c r="AN1445" s="64" t="s">
        <v>181</v>
      </c>
      <c r="AO1445" s="64"/>
      <c r="AP1445" s="64"/>
      <c r="AQ1445" s="189"/>
      <c r="AR1445" s="64"/>
      <c r="AS1445" s="476"/>
      <c r="AT1445" s="64"/>
      <c r="AU1445" s="646"/>
      <c r="AV1445" s="185"/>
    </row>
    <row r="1446" spans="1:48" s="153" customFormat="1" ht="15" customHeight="1" outlineLevel="1" x14ac:dyDescent="0.25">
      <c r="A1446" s="148" t="str">
        <f t="shared" si="229"/>
        <v>5.17.4.4.0.0</v>
      </c>
      <c r="B1446" s="82">
        <v>5</v>
      </c>
      <c r="C1446" s="82">
        <v>17</v>
      </c>
      <c r="D1446" s="82">
        <v>4</v>
      </c>
      <c r="E1446" s="82">
        <v>4</v>
      </c>
      <c r="F1446" s="82">
        <v>0</v>
      </c>
      <c r="G1446" s="82">
        <v>0</v>
      </c>
      <c r="H1446" s="149"/>
      <c r="I1446" s="149"/>
      <c r="J1446" s="1260" t="s">
        <v>1625</v>
      </c>
      <c r="K1446" s="1259"/>
      <c r="L1446" s="82" t="s">
        <v>236</v>
      </c>
      <c r="M1446" s="82" t="s">
        <v>73</v>
      </c>
      <c r="N1446" s="82" t="s">
        <v>257</v>
      </c>
      <c r="O1446" s="82" t="s">
        <v>1613</v>
      </c>
      <c r="P1446" s="294"/>
      <c r="Q1446" s="294"/>
      <c r="R1446" s="82"/>
      <c r="S1446" s="149"/>
      <c r="T1446" s="82"/>
      <c r="U1446" s="512">
        <f>+SUM(U1447:U1455)</f>
        <v>0</v>
      </c>
      <c r="V1446" s="693">
        <f>+SUM(V1447:V1455)</f>
        <v>0</v>
      </c>
      <c r="W1446" s="152"/>
      <c r="X1446" s="152"/>
      <c r="Y1446" s="152"/>
      <c r="Z1446" s="152"/>
      <c r="AA1446" s="152"/>
      <c r="AB1446" s="152"/>
      <c r="AC1446" s="257"/>
      <c r="AD1446" s="257"/>
      <c r="AE1446" s="611"/>
      <c r="AF1446" s="358"/>
      <c r="AG1446" s="512">
        <f>+SUM(AG1447:AG1455)</f>
        <v>0</v>
      </c>
      <c r="AH1446" s="512">
        <f>+SUM(AH1447:AH1455)</f>
        <v>0</v>
      </c>
      <c r="AI1446" s="512">
        <f>+SUM(AI1447:AI1455)</f>
        <v>0</v>
      </c>
      <c r="AJ1446" s="512">
        <f>+SUM(AJ1447:AJ1455)</f>
        <v>0</v>
      </c>
      <c r="AK1446" s="152"/>
      <c r="AL1446" s="152"/>
      <c r="AM1446" s="152"/>
      <c r="AN1446" s="82" t="s">
        <v>181</v>
      </c>
      <c r="AO1446" s="82"/>
      <c r="AP1446" s="82"/>
      <c r="AQ1446" s="365"/>
      <c r="AR1446" s="82"/>
      <c r="AS1446" s="483"/>
      <c r="AT1446" s="82"/>
      <c r="AU1446" s="666"/>
      <c r="AV1446" s="444"/>
    </row>
    <row r="1447" spans="1:48" ht="30" outlineLevel="3" x14ac:dyDescent="0.25">
      <c r="A1447" s="63" t="str">
        <f t="shared" si="229"/>
        <v>5.17.4.4.1.64</v>
      </c>
      <c r="B1447" s="64">
        <v>5</v>
      </c>
      <c r="C1447" s="64">
        <v>17</v>
      </c>
      <c r="D1447" s="64">
        <v>4</v>
      </c>
      <c r="E1447" s="64">
        <v>4</v>
      </c>
      <c r="F1447" s="64">
        <v>1</v>
      </c>
      <c r="G1447" s="64">
        <v>64</v>
      </c>
      <c r="H1447" s="65"/>
      <c r="I1447" s="65"/>
      <c r="J1447" s="66"/>
      <c r="K1447" s="67" t="s">
        <v>1616</v>
      </c>
      <c r="L1447" s="64" t="s">
        <v>236</v>
      </c>
      <c r="M1447" s="64" t="s">
        <v>73</v>
      </c>
      <c r="N1447" s="64" t="s">
        <v>257</v>
      </c>
      <c r="O1447" s="64" t="s">
        <v>1613</v>
      </c>
      <c r="P1447" s="64"/>
      <c r="Q1447" s="64"/>
      <c r="R1447" s="64"/>
      <c r="S1447" s="65"/>
      <c r="T1447" s="64"/>
      <c r="U1447" s="510">
        <v>0</v>
      </c>
      <c r="V1447" s="696">
        <v>0</v>
      </c>
      <c r="W1447" s="75"/>
      <c r="X1447" s="75"/>
      <c r="Y1447" s="75"/>
      <c r="Z1447" s="75"/>
      <c r="AA1447" s="75"/>
      <c r="AB1447" s="75"/>
      <c r="AC1447" s="97"/>
      <c r="AD1447" s="97"/>
      <c r="AE1447" s="591"/>
      <c r="AF1447" s="259"/>
      <c r="AG1447" s="510">
        <v>0</v>
      </c>
      <c r="AH1447" s="510">
        <v>0</v>
      </c>
      <c r="AI1447" s="75"/>
      <c r="AJ1447" s="75"/>
      <c r="AK1447" s="75"/>
      <c r="AL1447" s="75"/>
      <c r="AM1447" s="75"/>
      <c r="AN1447" s="64" t="s">
        <v>181</v>
      </c>
      <c r="AO1447" s="64"/>
      <c r="AP1447" s="64"/>
      <c r="AQ1447" s="189"/>
      <c r="AR1447" s="64"/>
      <c r="AS1447" s="476"/>
      <c r="AT1447" s="64"/>
      <c r="AU1447" s="646"/>
      <c r="AV1447" s="185"/>
    </row>
    <row r="1448" spans="1:48" ht="31.5" customHeight="1" outlineLevel="3" x14ac:dyDescent="0.25">
      <c r="A1448" s="63" t="str">
        <f t="shared" si="229"/>
        <v>5.17.4.4.2.64</v>
      </c>
      <c r="B1448" s="64">
        <v>5</v>
      </c>
      <c r="C1448" s="64">
        <v>17</v>
      </c>
      <c r="D1448" s="64">
        <v>4</v>
      </c>
      <c r="E1448" s="64">
        <v>4</v>
      </c>
      <c r="F1448" s="64">
        <v>2</v>
      </c>
      <c r="G1448" s="64">
        <v>64</v>
      </c>
      <c r="H1448" s="65"/>
      <c r="I1448" s="65"/>
      <c r="J1448" s="66"/>
      <c r="K1448" s="67" t="s">
        <v>1617</v>
      </c>
      <c r="L1448" s="64" t="s">
        <v>236</v>
      </c>
      <c r="M1448" s="64" t="s">
        <v>73</v>
      </c>
      <c r="N1448" s="64" t="s">
        <v>257</v>
      </c>
      <c r="O1448" s="64" t="s">
        <v>1613</v>
      </c>
      <c r="P1448" s="64"/>
      <c r="Q1448" s="64"/>
      <c r="R1448" s="64"/>
      <c r="S1448" s="65"/>
      <c r="T1448" s="64"/>
      <c r="U1448" s="510">
        <v>0</v>
      </c>
      <c r="V1448" s="696">
        <v>0</v>
      </c>
      <c r="W1448" s="75"/>
      <c r="X1448" s="75"/>
      <c r="Y1448" s="75"/>
      <c r="Z1448" s="75"/>
      <c r="AA1448" s="75"/>
      <c r="AB1448" s="75"/>
      <c r="AC1448" s="97"/>
      <c r="AD1448" s="97"/>
      <c r="AE1448" s="591"/>
      <c r="AF1448" s="259"/>
      <c r="AG1448" s="510">
        <v>0</v>
      </c>
      <c r="AH1448" s="510">
        <v>0</v>
      </c>
      <c r="AI1448" s="75"/>
      <c r="AJ1448" s="75"/>
      <c r="AK1448" s="75"/>
      <c r="AL1448" s="75"/>
      <c r="AM1448" s="75"/>
      <c r="AN1448" s="64" t="s">
        <v>181</v>
      </c>
      <c r="AO1448" s="64"/>
      <c r="AP1448" s="64"/>
      <c r="AQ1448" s="189"/>
      <c r="AR1448" s="64"/>
      <c r="AS1448" s="476"/>
      <c r="AT1448" s="64"/>
      <c r="AU1448" s="646"/>
      <c r="AV1448" s="185"/>
    </row>
    <row r="1449" spans="1:48" ht="30" customHeight="1" outlineLevel="3" x14ac:dyDescent="0.25">
      <c r="A1449" s="63" t="str">
        <f t="shared" si="229"/>
        <v>5.17.4.4.3.64</v>
      </c>
      <c r="B1449" s="64">
        <v>5</v>
      </c>
      <c r="C1449" s="64">
        <v>17</v>
      </c>
      <c r="D1449" s="64">
        <v>4</v>
      </c>
      <c r="E1449" s="64">
        <v>4</v>
      </c>
      <c r="F1449" s="64">
        <v>3</v>
      </c>
      <c r="G1449" s="64">
        <v>64</v>
      </c>
      <c r="H1449" s="65"/>
      <c r="I1449" s="65"/>
      <c r="J1449" s="65"/>
      <c r="K1449" s="67" t="s">
        <v>1623</v>
      </c>
      <c r="L1449" s="64" t="s">
        <v>236</v>
      </c>
      <c r="M1449" s="64" t="s">
        <v>73</v>
      </c>
      <c r="N1449" s="64" t="s">
        <v>257</v>
      </c>
      <c r="O1449" s="64" t="s">
        <v>1613</v>
      </c>
      <c r="P1449" s="64"/>
      <c r="Q1449" s="64"/>
      <c r="R1449" s="64"/>
      <c r="S1449" s="65"/>
      <c r="T1449" s="64"/>
      <c r="U1449" s="510">
        <v>0</v>
      </c>
      <c r="V1449" s="696">
        <v>0</v>
      </c>
      <c r="W1449" s="75"/>
      <c r="X1449" s="75"/>
      <c r="Y1449" s="75"/>
      <c r="Z1449" s="75"/>
      <c r="AA1449" s="75"/>
      <c r="AB1449" s="75"/>
      <c r="AC1449" s="97"/>
      <c r="AD1449" s="97"/>
      <c r="AE1449" s="591"/>
      <c r="AF1449" s="259"/>
      <c r="AG1449" s="510">
        <v>0</v>
      </c>
      <c r="AH1449" s="510">
        <v>0</v>
      </c>
      <c r="AI1449" s="75"/>
      <c r="AJ1449" s="75"/>
      <c r="AK1449" s="75"/>
      <c r="AL1449" s="75"/>
      <c r="AM1449" s="75"/>
      <c r="AN1449" s="64" t="s">
        <v>181</v>
      </c>
      <c r="AO1449" s="64"/>
      <c r="AP1449" s="64"/>
      <c r="AQ1449" s="189"/>
      <c r="AR1449" s="64"/>
      <c r="AS1449" s="476"/>
      <c r="AT1449" s="64"/>
      <c r="AU1449" s="646"/>
      <c r="AV1449" s="185"/>
    </row>
    <row r="1450" spans="1:48" ht="18" customHeight="1" outlineLevel="3" x14ac:dyDescent="0.25">
      <c r="A1450" s="63" t="str">
        <f t="shared" si="229"/>
        <v>5.17.4.4.4.64</v>
      </c>
      <c r="B1450" s="64">
        <v>5</v>
      </c>
      <c r="C1450" s="64">
        <v>17</v>
      </c>
      <c r="D1450" s="64">
        <v>4</v>
      </c>
      <c r="E1450" s="64">
        <v>4</v>
      </c>
      <c r="F1450" s="64">
        <v>4</v>
      </c>
      <c r="G1450" s="64">
        <v>64</v>
      </c>
      <c r="H1450" s="65"/>
      <c r="I1450" s="65"/>
      <c r="J1450" s="65"/>
      <c r="K1450" s="65" t="s">
        <v>1626</v>
      </c>
      <c r="L1450" s="64" t="s">
        <v>236</v>
      </c>
      <c r="M1450" s="64" t="s">
        <v>73</v>
      </c>
      <c r="N1450" s="64" t="s">
        <v>257</v>
      </c>
      <c r="O1450" s="64" t="s">
        <v>1613</v>
      </c>
      <c r="P1450" s="64"/>
      <c r="Q1450" s="64"/>
      <c r="R1450" s="64"/>
      <c r="S1450" s="65"/>
      <c r="T1450" s="64"/>
      <c r="U1450" s="510">
        <v>0</v>
      </c>
      <c r="V1450" s="696">
        <v>0</v>
      </c>
      <c r="W1450" s="75"/>
      <c r="X1450" s="75"/>
      <c r="Y1450" s="75"/>
      <c r="Z1450" s="75"/>
      <c r="AA1450" s="75"/>
      <c r="AB1450" s="75"/>
      <c r="AC1450" s="97"/>
      <c r="AD1450" s="97"/>
      <c r="AE1450" s="591"/>
      <c r="AF1450" s="259"/>
      <c r="AG1450" s="510">
        <v>0</v>
      </c>
      <c r="AH1450" s="510">
        <v>0</v>
      </c>
      <c r="AI1450" s="75"/>
      <c r="AJ1450" s="75"/>
      <c r="AK1450" s="75"/>
      <c r="AL1450" s="75"/>
      <c r="AM1450" s="75"/>
      <c r="AN1450" s="64" t="s">
        <v>181</v>
      </c>
      <c r="AO1450" s="64"/>
      <c r="AP1450" s="64"/>
      <c r="AQ1450" s="189"/>
      <c r="AR1450" s="64"/>
      <c r="AS1450" s="476"/>
      <c r="AT1450" s="64"/>
      <c r="AU1450" s="646"/>
      <c r="AV1450" s="185"/>
    </row>
    <row r="1451" spans="1:48" ht="30" outlineLevel="3" x14ac:dyDescent="0.25">
      <c r="A1451" s="63" t="str">
        <f t="shared" si="229"/>
        <v>5.17.4.4.5.64</v>
      </c>
      <c r="B1451" s="64">
        <v>5</v>
      </c>
      <c r="C1451" s="64">
        <v>17</v>
      </c>
      <c r="D1451" s="64">
        <v>4</v>
      </c>
      <c r="E1451" s="64">
        <v>4</v>
      </c>
      <c r="F1451" s="64">
        <v>5</v>
      </c>
      <c r="G1451" s="64">
        <v>64</v>
      </c>
      <c r="H1451" s="65"/>
      <c r="I1451" s="65"/>
      <c r="J1451" s="66"/>
      <c r="K1451" s="67" t="s">
        <v>1627</v>
      </c>
      <c r="L1451" s="64" t="s">
        <v>236</v>
      </c>
      <c r="M1451" s="64" t="s">
        <v>73</v>
      </c>
      <c r="N1451" s="64" t="s">
        <v>257</v>
      </c>
      <c r="O1451" s="64" t="s">
        <v>1613</v>
      </c>
      <c r="P1451" s="64"/>
      <c r="Q1451" s="64"/>
      <c r="R1451" s="64"/>
      <c r="S1451" s="65"/>
      <c r="T1451" s="64"/>
      <c r="U1451" s="510">
        <v>0</v>
      </c>
      <c r="V1451" s="696">
        <v>0</v>
      </c>
      <c r="W1451" s="75"/>
      <c r="X1451" s="75"/>
      <c r="Y1451" s="75"/>
      <c r="Z1451" s="75"/>
      <c r="AA1451" s="75"/>
      <c r="AB1451" s="75"/>
      <c r="AC1451" s="97"/>
      <c r="AD1451" s="97"/>
      <c r="AE1451" s="591"/>
      <c r="AF1451" s="259"/>
      <c r="AG1451" s="510">
        <v>0</v>
      </c>
      <c r="AH1451" s="510">
        <v>0</v>
      </c>
      <c r="AI1451" s="75"/>
      <c r="AJ1451" s="75"/>
      <c r="AK1451" s="75"/>
      <c r="AL1451" s="75"/>
      <c r="AM1451" s="75"/>
      <c r="AN1451" s="64" t="s">
        <v>181</v>
      </c>
      <c r="AO1451" s="64"/>
      <c r="AP1451" s="64"/>
      <c r="AQ1451" s="189"/>
      <c r="AR1451" s="64"/>
      <c r="AS1451" s="476"/>
      <c r="AT1451" s="64"/>
      <c r="AU1451" s="646"/>
      <c r="AV1451" s="185"/>
    </row>
    <row r="1452" spans="1:48" ht="52.5" customHeight="1" outlineLevel="3" x14ac:dyDescent="0.25">
      <c r="A1452" s="63" t="str">
        <f t="shared" si="229"/>
        <v>5.17.4.4.6.64</v>
      </c>
      <c r="B1452" s="64">
        <v>5</v>
      </c>
      <c r="C1452" s="64">
        <v>17</v>
      </c>
      <c r="D1452" s="64">
        <v>4</v>
      </c>
      <c r="E1452" s="64">
        <v>4</v>
      </c>
      <c r="F1452" s="64">
        <v>6</v>
      </c>
      <c r="G1452" s="64">
        <v>64</v>
      </c>
      <c r="H1452" s="65"/>
      <c r="I1452" s="65"/>
      <c r="J1452" s="66"/>
      <c r="K1452" s="65" t="s">
        <v>1628</v>
      </c>
      <c r="L1452" s="64" t="s">
        <v>236</v>
      </c>
      <c r="M1452" s="64" t="s">
        <v>73</v>
      </c>
      <c r="N1452" s="64" t="s">
        <v>257</v>
      </c>
      <c r="O1452" s="64" t="s">
        <v>1613</v>
      </c>
      <c r="P1452" s="64"/>
      <c r="Q1452" s="64"/>
      <c r="R1452" s="64"/>
      <c r="S1452" s="65"/>
      <c r="T1452" s="64"/>
      <c r="U1452" s="510">
        <v>0</v>
      </c>
      <c r="V1452" s="696">
        <v>0</v>
      </c>
      <c r="W1452" s="75"/>
      <c r="X1452" s="75"/>
      <c r="Y1452" s="75"/>
      <c r="Z1452" s="75"/>
      <c r="AA1452" s="75"/>
      <c r="AB1452" s="75"/>
      <c r="AC1452" s="97"/>
      <c r="AD1452" s="97"/>
      <c r="AE1452" s="591"/>
      <c r="AF1452" s="259"/>
      <c r="AG1452" s="510">
        <v>0</v>
      </c>
      <c r="AH1452" s="510">
        <v>0</v>
      </c>
      <c r="AI1452" s="75"/>
      <c r="AJ1452" s="75"/>
      <c r="AK1452" s="75"/>
      <c r="AL1452" s="75"/>
      <c r="AM1452" s="75"/>
      <c r="AN1452" s="64" t="s">
        <v>181</v>
      </c>
      <c r="AO1452" s="64"/>
      <c r="AP1452" s="64"/>
      <c r="AQ1452" s="189"/>
      <c r="AR1452" s="64"/>
      <c r="AS1452" s="476"/>
      <c r="AT1452" s="64"/>
      <c r="AU1452" s="646"/>
      <c r="AV1452" s="335" t="s">
        <v>1629</v>
      </c>
    </row>
    <row r="1453" spans="1:48" ht="42.75" customHeight="1" outlineLevel="3" x14ac:dyDescent="0.25">
      <c r="A1453" s="63" t="str">
        <f t="shared" si="229"/>
        <v>5.17.4.4.7.64</v>
      </c>
      <c r="B1453" s="64">
        <v>5</v>
      </c>
      <c r="C1453" s="64">
        <v>17</v>
      </c>
      <c r="D1453" s="64">
        <v>4</v>
      </c>
      <c r="E1453" s="64">
        <v>4</v>
      </c>
      <c r="F1453" s="64">
        <v>7</v>
      </c>
      <c r="G1453" s="64">
        <v>64</v>
      </c>
      <c r="H1453" s="65"/>
      <c r="I1453" s="65"/>
      <c r="J1453" s="66"/>
      <c r="K1453" s="67" t="s">
        <v>1630</v>
      </c>
      <c r="L1453" s="64" t="s">
        <v>236</v>
      </c>
      <c r="M1453" s="64" t="s">
        <v>73</v>
      </c>
      <c r="N1453" s="64" t="s">
        <v>257</v>
      </c>
      <c r="O1453" s="64" t="s">
        <v>1613</v>
      </c>
      <c r="P1453" s="64"/>
      <c r="Q1453" s="64"/>
      <c r="R1453" s="64"/>
      <c r="S1453" s="65"/>
      <c r="T1453" s="64"/>
      <c r="U1453" s="510">
        <v>0</v>
      </c>
      <c r="V1453" s="696">
        <v>0</v>
      </c>
      <c r="W1453" s="75"/>
      <c r="X1453" s="75"/>
      <c r="Y1453" s="75"/>
      <c r="Z1453" s="75"/>
      <c r="AA1453" s="75"/>
      <c r="AB1453" s="75"/>
      <c r="AC1453" s="97"/>
      <c r="AD1453" s="97"/>
      <c r="AE1453" s="591"/>
      <c r="AF1453" s="259"/>
      <c r="AG1453" s="510">
        <v>0</v>
      </c>
      <c r="AH1453" s="510">
        <v>0</v>
      </c>
      <c r="AI1453" s="75"/>
      <c r="AJ1453" s="75"/>
      <c r="AK1453" s="75"/>
      <c r="AL1453" s="75"/>
      <c r="AM1453" s="75"/>
      <c r="AN1453" s="64" t="s">
        <v>181</v>
      </c>
      <c r="AO1453" s="64"/>
      <c r="AP1453" s="64"/>
      <c r="AQ1453" s="189"/>
      <c r="AR1453" s="64"/>
      <c r="AS1453" s="476"/>
      <c r="AT1453" s="64"/>
      <c r="AU1453" s="646"/>
      <c r="AV1453" s="185"/>
    </row>
    <row r="1454" spans="1:48" ht="43.5" customHeight="1" outlineLevel="3" x14ac:dyDescent="0.25">
      <c r="A1454" s="63" t="str">
        <f t="shared" si="229"/>
        <v>5.17.4.4.8.64</v>
      </c>
      <c r="B1454" s="64">
        <v>5</v>
      </c>
      <c r="C1454" s="64">
        <v>17</v>
      </c>
      <c r="D1454" s="64">
        <v>4</v>
      </c>
      <c r="E1454" s="64">
        <v>4</v>
      </c>
      <c r="F1454" s="64">
        <v>8</v>
      </c>
      <c r="G1454" s="64">
        <v>64</v>
      </c>
      <c r="H1454" s="65"/>
      <c r="I1454" s="65"/>
      <c r="J1454" s="66"/>
      <c r="K1454" s="67" t="s">
        <v>1631</v>
      </c>
      <c r="L1454" s="64" t="s">
        <v>236</v>
      </c>
      <c r="M1454" s="64" t="s">
        <v>73</v>
      </c>
      <c r="N1454" s="64" t="s">
        <v>257</v>
      </c>
      <c r="O1454" s="64" t="s">
        <v>1613</v>
      </c>
      <c r="P1454" s="64"/>
      <c r="Q1454" s="64"/>
      <c r="R1454" s="64"/>
      <c r="S1454" s="65"/>
      <c r="T1454" s="64"/>
      <c r="U1454" s="510">
        <v>0</v>
      </c>
      <c r="V1454" s="696">
        <v>0</v>
      </c>
      <c r="W1454" s="75"/>
      <c r="X1454" s="75"/>
      <c r="Y1454" s="75"/>
      <c r="Z1454" s="75"/>
      <c r="AA1454" s="75"/>
      <c r="AB1454" s="75"/>
      <c r="AC1454" s="97"/>
      <c r="AD1454" s="97"/>
      <c r="AE1454" s="591"/>
      <c r="AF1454" s="259"/>
      <c r="AG1454" s="510">
        <v>0</v>
      </c>
      <c r="AH1454" s="510">
        <v>0</v>
      </c>
      <c r="AI1454" s="75"/>
      <c r="AJ1454" s="75"/>
      <c r="AK1454" s="75"/>
      <c r="AL1454" s="75"/>
      <c r="AM1454" s="75"/>
      <c r="AN1454" s="64" t="s">
        <v>181</v>
      </c>
      <c r="AO1454" s="64"/>
      <c r="AP1454" s="64"/>
      <c r="AQ1454" s="189"/>
      <c r="AR1454" s="64"/>
      <c r="AS1454" s="476"/>
      <c r="AT1454" s="64"/>
      <c r="AU1454" s="646"/>
      <c r="AV1454" s="185"/>
    </row>
    <row r="1455" spans="1:48" ht="57.75" customHeight="1" outlineLevel="3" x14ac:dyDescent="0.25">
      <c r="A1455" s="63" t="str">
        <f t="shared" si="229"/>
        <v>5.17.4.4.9.64</v>
      </c>
      <c r="B1455" s="293">
        <v>5</v>
      </c>
      <c r="C1455" s="64">
        <v>17</v>
      </c>
      <c r="D1455" s="293">
        <v>4</v>
      </c>
      <c r="E1455" s="293">
        <v>4</v>
      </c>
      <c r="F1455" s="293">
        <v>9</v>
      </c>
      <c r="G1455" s="293">
        <v>64</v>
      </c>
      <c r="H1455" s="121"/>
      <c r="I1455" s="65"/>
      <c r="J1455" s="65"/>
      <c r="K1455" s="67" t="s">
        <v>1632</v>
      </c>
      <c r="L1455" s="64" t="s">
        <v>236</v>
      </c>
      <c r="M1455" s="64" t="s">
        <v>73</v>
      </c>
      <c r="N1455" s="293" t="s">
        <v>74</v>
      </c>
      <c r="O1455" s="64" t="s">
        <v>1613</v>
      </c>
      <c r="P1455" s="293"/>
      <c r="Q1455" s="293"/>
      <c r="R1455" s="293"/>
      <c r="S1455" s="170"/>
      <c r="T1455" s="293"/>
      <c r="U1455" s="510">
        <v>0</v>
      </c>
      <c r="V1455" s="696">
        <v>0</v>
      </c>
      <c r="W1455" s="79"/>
      <c r="X1455" s="79"/>
      <c r="Y1455" s="79"/>
      <c r="Z1455" s="79"/>
      <c r="AA1455" s="79"/>
      <c r="AB1455" s="79"/>
      <c r="AC1455" s="296"/>
      <c r="AD1455" s="296"/>
      <c r="AE1455" s="618"/>
      <c r="AF1455" s="353"/>
      <c r="AG1455" s="510">
        <v>0</v>
      </c>
      <c r="AH1455" s="510">
        <v>0</v>
      </c>
      <c r="AI1455" s="75"/>
      <c r="AJ1455" s="75"/>
      <c r="AK1455" s="75"/>
      <c r="AL1455" s="75"/>
      <c r="AM1455" s="75"/>
      <c r="AN1455" s="64" t="s">
        <v>181</v>
      </c>
      <c r="AO1455" s="64"/>
      <c r="AP1455" s="64"/>
      <c r="AQ1455" s="189"/>
      <c r="AR1455" s="64"/>
      <c r="AS1455" s="476"/>
      <c r="AT1455" s="64"/>
      <c r="AU1455" s="646"/>
      <c r="AV1455" s="441"/>
    </row>
    <row r="1456" spans="1:48" s="153" customFormat="1" ht="15" customHeight="1" outlineLevel="1" x14ac:dyDescent="0.25">
      <c r="A1456" s="148" t="str">
        <f t="shared" si="229"/>
        <v>5.17.4.6.0.0</v>
      </c>
      <c r="B1456" s="82">
        <v>5</v>
      </c>
      <c r="C1456" s="82">
        <v>17</v>
      </c>
      <c r="D1456" s="82">
        <v>4</v>
      </c>
      <c r="E1456" s="82">
        <v>6</v>
      </c>
      <c r="F1456" s="82">
        <v>0</v>
      </c>
      <c r="G1456" s="82">
        <v>0</v>
      </c>
      <c r="H1456" s="149"/>
      <c r="I1456" s="149"/>
      <c r="J1456" s="1272" t="s">
        <v>1633</v>
      </c>
      <c r="K1456" s="1273"/>
      <c r="L1456" s="82" t="s">
        <v>236</v>
      </c>
      <c r="M1456" s="82" t="s">
        <v>73</v>
      </c>
      <c r="N1456" s="82" t="s">
        <v>257</v>
      </c>
      <c r="O1456" s="82" t="s">
        <v>1613</v>
      </c>
      <c r="P1456" s="294"/>
      <c r="Q1456" s="294"/>
      <c r="R1456" s="82"/>
      <c r="S1456" s="149"/>
      <c r="T1456" s="82"/>
      <c r="U1456" s="512">
        <f>+SUM(U1457:U1463)</f>
        <v>0</v>
      </c>
      <c r="V1456" s="693">
        <f>+SUM(V1457:V1463)</f>
        <v>0</v>
      </c>
      <c r="W1456" s="152"/>
      <c r="X1456" s="152"/>
      <c r="Y1456" s="152"/>
      <c r="Z1456" s="152"/>
      <c r="AA1456" s="152"/>
      <c r="AB1456" s="152"/>
      <c r="AC1456" s="257"/>
      <c r="AD1456" s="257"/>
      <c r="AE1456" s="611"/>
      <c r="AF1456" s="358"/>
      <c r="AG1456" s="512">
        <f>+SUM(AG1457:AG1463)</f>
        <v>0</v>
      </c>
      <c r="AH1456" s="512">
        <f>+SUM(AH1457:AH1463)</f>
        <v>0</v>
      </c>
      <c r="AI1456" s="512">
        <f>+SUM(AI1457:AI1463)</f>
        <v>0</v>
      </c>
      <c r="AJ1456" s="512">
        <f>+SUM(AJ1457:AJ1463)</f>
        <v>0</v>
      </c>
      <c r="AK1456" s="152"/>
      <c r="AL1456" s="152"/>
      <c r="AM1456" s="152"/>
      <c r="AN1456" s="82" t="s">
        <v>181</v>
      </c>
      <c r="AO1456" s="82"/>
      <c r="AP1456" s="82"/>
      <c r="AQ1456" s="365"/>
      <c r="AR1456" s="82"/>
      <c r="AS1456" s="483"/>
      <c r="AT1456" s="82"/>
      <c r="AU1456" s="666"/>
      <c r="AV1456" s="444"/>
    </row>
    <row r="1457" spans="1:48" ht="30" outlineLevel="2" x14ac:dyDescent="0.25">
      <c r="A1457" s="63" t="str">
        <f t="shared" si="229"/>
        <v>5.17.4.6.1.61</v>
      </c>
      <c r="B1457" s="64">
        <v>5</v>
      </c>
      <c r="C1457" s="64">
        <v>17</v>
      </c>
      <c r="D1457" s="64">
        <v>4</v>
      </c>
      <c r="E1457" s="64">
        <v>6</v>
      </c>
      <c r="F1457" s="64">
        <v>1</v>
      </c>
      <c r="G1457" s="64">
        <v>61</v>
      </c>
      <c r="H1457" s="65"/>
      <c r="I1457" s="65"/>
      <c r="J1457" s="65"/>
      <c r="K1457" s="67" t="s">
        <v>1634</v>
      </c>
      <c r="L1457" s="64" t="s">
        <v>236</v>
      </c>
      <c r="M1457" s="64" t="s">
        <v>73</v>
      </c>
      <c r="N1457" s="64" t="s">
        <v>257</v>
      </c>
      <c r="O1457" s="64" t="s">
        <v>74</v>
      </c>
      <c r="P1457" s="64"/>
      <c r="Q1457" s="64"/>
      <c r="R1457" s="64"/>
      <c r="S1457" s="65"/>
      <c r="T1457" s="64"/>
      <c r="U1457" s="510">
        <v>0</v>
      </c>
      <c r="V1457" s="696">
        <v>0</v>
      </c>
      <c r="W1457" s="75"/>
      <c r="X1457" s="75"/>
      <c r="Y1457" s="75"/>
      <c r="Z1457" s="75"/>
      <c r="AA1457" s="75"/>
      <c r="AB1457" s="75"/>
      <c r="AC1457" s="97"/>
      <c r="AD1457" s="97"/>
      <c r="AE1457" s="591"/>
      <c r="AF1457" s="259"/>
      <c r="AG1457" s="510">
        <v>0</v>
      </c>
      <c r="AH1457" s="510">
        <v>0</v>
      </c>
      <c r="AI1457" s="75"/>
      <c r="AJ1457" s="75"/>
      <c r="AK1457" s="75"/>
      <c r="AL1457" s="75"/>
      <c r="AM1457" s="75"/>
      <c r="AN1457" s="64" t="s">
        <v>181</v>
      </c>
      <c r="AO1457" s="64"/>
      <c r="AP1457" s="64"/>
      <c r="AQ1457" s="189"/>
      <c r="AR1457" s="64"/>
      <c r="AS1457" s="476"/>
      <c r="AT1457" s="64"/>
      <c r="AU1457" s="646"/>
      <c r="AV1457" s="185"/>
    </row>
    <row r="1458" spans="1:48" ht="25.5" customHeight="1" outlineLevel="2" x14ac:dyDescent="0.25">
      <c r="A1458" s="63" t="str">
        <f t="shared" si="229"/>
        <v>5.17.4.6.2.61</v>
      </c>
      <c r="B1458" s="64">
        <v>5</v>
      </c>
      <c r="C1458" s="64">
        <v>17</v>
      </c>
      <c r="D1458" s="64">
        <v>4</v>
      </c>
      <c r="E1458" s="64">
        <v>6</v>
      </c>
      <c r="F1458" s="64">
        <v>2</v>
      </c>
      <c r="G1458" s="64">
        <v>61</v>
      </c>
      <c r="H1458" s="65"/>
      <c r="I1458" s="65"/>
      <c r="J1458" s="65"/>
      <c r="K1458" s="65" t="s">
        <v>1623</v>
      </c>
      <c r="L1458" s="64" t="s">
        <v>236</v>
      </c>
      <c r="M1458" s="64" t="s">
        <v>73</v>
      </c>
      <c r="N1458" s="64" t="s">
        <v>257</v>
      </c>
      <c r="O1458" s="64" t="s">
        <v>74</v>
      </c>
      <c r="P1458" s="64"/>
      <c r="Q1458" s="64"/>
      <c r="R1458" s="64"/>
      <c r="S1458" s="65"/>
      <c r="T1458" s="64"/>
      <c r="U1458" s="510">
        <v>0</v>
      </c>
      <c r="V1458" s="696">
        <v>0</v>
      </c>
      <c r="W1458" s="75"/>
      <c r="X1458" s="75"/>
      <c r="Y1458" s="75"/>
      <c r="Z1458" s="75"/>
      <c r="AA1458" s="75"/>
      <c r="AB1458" s="75"/>
      <c r="AC1458" s="97"/>
      <c r="AD1458" s="97"/>
      <c r="AE1458" s="591"/>
      <c r="AF1458" s="259"/>
      <c r="AG1458" s="510">
        <v>0</v>
      </c>
      <c r="AH1458" s="510">
        <v>0</v>
      </c>
      <c r="AI1458" s="75"/>
      <c r="AJ1458" s="75"/>
      <c r="AK1458" s="75"/>
      <c r="AL1458" s="75"/>
      <c r="AM1458" s="75"/>
      <c r="AN1458" s="64" t="s">
        <v>181</v>
      </c>
      <c r="AO1458" s="64"/>
      <c r="AP1458" s="64"/>
      <c r="AQ1458" s="189"/>
      <c r="AR1458" s="64"/>
      <c r="AS1458" s="476"/>
      <c r="AT1458" s="64"/>
      <c r="AU1458" s="646"/>
      <c r="AV1458" s="185"/>
    </row>
    <row r="1459" spans="1:48" ht="30" outlineLevel="2" x14ac:dyDescent="0.25">
      <c r="A1459" s="63" t="str">
        <f t="shared" si="229"/>
        <v>5.17.4.6.3.61</v>
      </c>
      <c r="B1459" s="64">
        <v>5</v>
      </c>
      <c r="C1459" s="64">
        <v>17</v>
      </c>
      <c r="D1459" s="64">
        <v>4</v>
      </c>
      <c r="E1459" s="64">
        <v>6</v>
      </c>
      <c r="F1459" s="64">
        <v>3</v>
      </c>
      <c r="G1459" s="64">
        <v>61</v>
      </c>
      <c r="H1459" s="65"/>
      <c r="I1459" s="65"/>
      <c r="J1459" s="66"/>
      <c r="K1459" s="67" t="s">
        <v>1880</v>
      </c>
      <c r="L1459" s="64" t="s">
        <v>236</v>
      </c>
      <c r="M1459" s="64" t="s">
        <v>73</v>
      </c>
      <c r="N1459" s="64" t="s">
        <v>257</v>
      </c>
      <c r="O1459" s="64" t="s">
        <v>74</v>
      </c>
      <c r="P1459" s="64"/>
      <c r="Q1459" s="64"/>
      <c r="R1459" s="64"/>
      <c r="S1459" s="65"/>
      <c r="T1459" s="64"/>
      <c r="U1459" s="510">
        <v>0</v>
      </c>
      <c r="V1459" s="696">
        <v>0</v>
      </c>
      <c r="W1459" s="75"/>
      <c r="X1459" s="75"/>
      <c r="Y1459" s="75"/>
      <c r="Z1459" s="75"/>
      <c r="AA1459" s="75"/>
      <c r="AB1459" s="75"/>
      <c r="AC1459" s="97"/>
      <c r="AD1459" s="97"/>
      <c r="AE1459" s="591"/>
      <c r="AF1459" s="259"/>
      <c r="AG1459" s="510">
        <v>0</v>
      </c>
      <c r="AH1459" s="510">
        <v>0</v>
      </c>
      <c r="AI1459" s="75"/>
      <c r="AJ1459" s="75"/>
      <c r="AK1459" s="75"/>
      <c r="AL1459" s="75"/>
      <c r="AM1459" s="75"/>
      <c r="AN1459" s="64" t="s">
        <v>181</v>
      </c>
      <c r="AO1459" s="64"/>
      <c r="AP1459" s="64"/>
      <c r="AQ1459" s="189"/>
      <c r="AR1459" s="64"/>
      <c r="AS1459" s="476"/>
      <c r="AT1459" s="64"/>
      <c r="AU1459" s="646"/>
      <c r="AV1459" s="185"/>
    </row>
    <row r="1460" spans="1:48" ht="30.75" customHeight="1" outlineLevel="2" x14ac:dyDescent="0.25">
      <c r="A1460" s="63" t="str">
        <f t="shared" si="229"/>
        <v>5.17.4.6.4.61</v>
      </c>
      <c r="B1460" s="64">
        <v>5</v>
      </c>
      <c r="C1460" s="64">
        <v>17</v>
      </c>
      <c r="D1460" s="64">
        <v>4</v>
      </c>
      <c r="E1460" s="64">
        <v>6</v>
      </c>
      <c r="F1460" s="64">
        <v>4</v>
      </c>
      <c r="G1460" s="64">
        <v>61</v>
      </c>
      <c r="H1460" s="65"/>
      <c r="I1460" s="65"/>
      <c r="J1460" s="66"/>
      <c r="K1460" s="65" t="s">
        <v>1635</v>
      </c>
      <c r="L1460" s="64" t="s">
        <v>236</v>
      </c>
      <c r="M1460" s="64" t="s">
        <v>73</v>
      </c>
      <c r="N1460" s="64" t="s">
        <v>257</v>
      </c>
      <c r="O1460" s="64" t="s">
        <v>74</v>
      </c>
      <c r="P1460" s="64"/>
      <c r="Q1460" s="64"/>
      <c r="R1460" s="64"/>
      <c r="S1460" s="65"/>
      <c r="T1460" s="64"/>
      <c r="U1460" s="510">
        <v>0</v>
      </c>
      <c r="V1460" s="696">
        <v>0</v>
      </c>
      <c r="W1460" s="75"/>
      <c r="X1460" s="75"/>
      <c r="Y1460" s="75"/>
      <c r="Z1460" s="75"/>
      <c r="AA1460" s="75"/>
      <c r="AB1460" s="75"/>
      <c r="AC1460" s="97"/>
      <c r="AD1460" s="97"/>
      <c r="AE1460" s="591"/>
      <c r="AF1460" s="259"/>
      <c r="AG1460" s="510">
        <v>0</v>
      </c>
      <c r="AH1460" s="510">
        <v>0</v>
      </c>
      <c r="AI1460" s="75"/>
      <c r="AJ1460" s="75"/>
      <c r="AK1460" s="75"/>
      <c r="AL1460" s="75"/>
      <c r="AM1460" s="75"/>
      <c r="AN1460" s="64" t="s">
        <v>181</v>
      </c>
      <c r="AO1460" s="64"/>
      <c r="AP1460" s="64"/>
      <c r="AQ1460" s="189"/>
      <c r="AR1460" s="64"/>
      <c r="AS1460" s="476"/>
      <c r="AT1460" s="64"/>
      <c r="AU1460" s="646"/>
      <c r="AV1460" s="185"/>
    </row>
    <row r="1461" spans="1:48" ht="30" outlineLevel="2" x14ac:dyDescent="0.25">
      <c r="A1461" s="63" t="str">
        <f t="shared" si="229"/>
        <v>5.17.4.6.5.61</v>
      </c>
      <c r="B1461" s="64">
        <v>5</v>
      </c>
      <c r="C1461" s="64">
        <v>17</v>
      </c>
      <c r="D1461" s="64">
        <v>4</v>
      </c>
      <c r="E1461" s="64">
        <v>6</v>
      </c>
      <c r="F1461" s="64">
        <v>5</v>
      </c>
      <c r="G1461" s="64">
        <v>61</v>
      </c>
      <c r="H1461" s="65"/>
      <c r="I1461" s="65"/>
      <c r="J1461" s="66"/>
      <c r="K1461" s="67" t="s">
        <v>1636</v>
      </c>
      <c r="L1461" s="64" t="s">
        <v>236</v>
      </c>
      <c r="M1461" s="64" t="s">
        <v>73</v>
      </c>
      <c r="N1461" s="64" t="s">
        <v>257</v>
      </c>
      <c r="O1461" s="64" t="s">
        <v>74</v>
      </c>
      <c r="P1461" s="64"/>
      <c r="Q1461" s="64"/>
      <c r="R1461" s="64"/>
      <c r="S1461" s="65"/>
      <c r="T1461" s="64"/>
      <c r="U1461" s="510">
        <v>0</v>
      </c>
      <c r="V1461" s="696">
        <v>0</v>
      </c>
      <c r="W1461" s="75"/>
      <c r="X1461" s="75"/>
      <c r="Y1461" s="75"/>
      <c r="Z1461" s="75"/>
      <c r="AA1461" s="75"/>
      <c r="AB1461" s="75"/>
      <c r="AC1461" s="97"/>
      <c r="AD1461" s="97"/>
      <c r="AE1461" s="591"/>
      <c r="AF1461" s="259"/>
      <c r="AG1461" s="510">
        <v>0</v>
      </c>
      <c r="AH1461" s="510">
        <v>0</v>
      </c>
      <c r="AI1461" s="75"/>
      <c r="AJ1461" s="75"/>
      <c r="AK1461" s="75"/>
      <c r="AL1461" s="75"/>
      <c r="AM1461" s="75"/>
      <c r="AN1461" s="64" t="s">
        <v>181</v>
      </c>
      <c r="AO1461" s="64"/>
      <c r="AP1461" s="64"/>
      <c r="AQ1461" s="189"/>
      <c r="AR1461" s="64"/>
      <c r="AS1461" s="476"/>
      <c r="AT1461" s="64"/>
      <c r="AU1461" s="646"/>
      <c r="AV1461" s="185"/>
    </row>
    <row r="1462" spans="1:48" ht="21" customHeight="1" outlineLevel="2" x14ac:dyDescent="0.25">
      <c r="A1462" s="63" t="str">
        <f t="shared" si="229"/>
        <v>5.17.4.6.6.61</v>
      </c>
      <c r="B1462" s="64">
        <v>5</v>
      </c>
      <c r="C1462" s="64">
        <v>17</v>
      </c>
      <c r="D1462" s="64">
        <v>4</v>
      </c>
      <c r="E1462" s="64">
        <v>6</v>
      </c>
      <c r="F1462" s="64">
        <v>6</v>
      </c>
      <c r="G1462" s="64">
        <v>61</v>
      </c>
      <c r="H1462" s="65"/>
      <c r="I1462" s="65"/>
      <c r="J1462" s="66"/>
      <c r="K1462" s="65" t="s">
        <v>1637</v>
      </c>
      <c r="L1462" s="64" t="s">
        <v>236</v>
      </c>
      <c r="M1462" s="64" t="s">
        <v>73</v>
      </c>
      <c r="N1462" s="64" t="s">
        <v>257</v>
      </c>
      <c r="O1462" s="64" t="s">
        <v>74</v>
      </c>
      <c r="P1462" s="64"/>
      <c r="Q1462" s="64"/>
      <c r="R1462" s="64"/>
      <c r="S1462" s="65"/>
      <c r="T1462" s="64"/>
      <c r="U1462" s="510">
        <v>0</v>
      </c>
      <c r="V1462" s="696">
        <v>0</v>
      </c>
      <c r="W1462" s="75"/>
      <c r="X1462" s="75"/>
      <c r="Y1462" s="75"/>
      <c r="Z1462" s="75"/>
      <c r="AA1462" s="75"/>
      <c r="AB1462" s="75"/>
      <c r="AC1462" s="97"/>
      <c r="AD1462" s="97"/>
      <c r="AE1462" s="591"/>
      <c r="AF1462" s="259"/>
      <c r="AG1462" s="510">
        <v>0</v>
      </c>
      <c r="AH1462" s="510">
        <v>0</v>
      </c>
      <c r="AI1462" s="75"/>
      <c r="AJ1462" s="75"/>
      <c r="AK1462" s="75"/>
      <c r="AL1462" s="75"/>
      <c r="AM1462" s="75"/>
      <c r="AN1462" s="64" t="s">
        <v>181</v>
      </c>
      <c r="AO1462" s="64"/>
      <c r="AP1462" s="64"/>
      <c r="AQ1462" s="189"/>
      <c r="AR1462" s="64"/>
      <c r="AS1462" s="476"/>
      <c r="AT1462" s="64"/>
      <c r="AU1462" s="646"/>
      <c r="AV1462" s="185"/>
    </row>
    <row r="1463" spans="1:48" ht="21.75" customHeight="1" outlineLevel="2" x14ac:dyDescent="0.25">
      <c r="A1463" s="63" t="str">
        <f t="shared" si="229"/>
        <v>5.17.4.6.7.61</v>
      </c>
      <c r="B1463" s="64">
        <v>5</v>
      </c>
      <c r="C1463" s="64">
        <v>17</v>
      </c>
      <c r="D1463" s="64">
        <v>4</v>
      </c>
      <c r="E1463" s="64">
        <v>6</v>
      </c>
      <c r="F1463" s="64">
        <v>7</v>
      </c>
      <c r="G1463" s="64">
        <v>61</v>
      </c>
      <c r="H1463" s="65"/>
      <c r="I1463" s="65"/>
      <c r="J1463" s="66"/>
      <c r="K1463" s="65" t="s">
        <v>1638</v>
      </c>
      <c r="L1463" s="64" t="s">
        <v>236</v>
      </c>
      <c r="M1463" s="64" t="s">
        <v>73</v>
      </c>
      <c r="N1463" s="64" t="s">
        <v>257</v>
      </c>
      <c r="O1463" s="64" t="s">
        <v>74</v>
      </c>
      <c r="P1463" s="64"/>
      <c r="Q1463" s="64"/>
      <c r="R1463" s="64"/>
      <c r="S1463" s="65"/>
      <c r="T1463" s="64"/>
      <c r="U1463" s="510">
        <v>0</v>
      </c>
      <c r="V1463" s="696">
        <v>0</v>
      </c>
      <c r="W1463" s="75"/>
      <c r="X1463" s="75"/>
      <c r="Y1463" s="75"/>
      <c r="Z1463" s="75"/>
      <c r="AA1463" s="75"/>
      <c r="AB1463" s="75"/>
      <c r="AC1463" s="97"/>
      <c r="AD1463" s="97"/>
      <c r="AE1463" s="591"/>
      <c r="AF1463" s="259"/>
      <c r="AG1463" s="510">
        <v>0</v>
      </c>
      <c r="AH1463" s="510">
        <v>0</v>
      </c>
      <c r="AI1463" s="75"/>
      <c r="AJ1463" s="75"/>
      <c r="AK1463" s="75"/>
      <c r="AL1463" s="75"/>
      <c r="AM1463" s="75"/>
      <c r="AN1463" s="64" t="s">
        <v>181</v>
      </c>
      <c r="AO1463" s="64"/>
      <c r="AP1463" s="64"/>
      <c r="AQ1463" s="189"/>
      <c r="AR1463" s="64"/>
      <c r="AS1463" s="476"/>
      <c r="AT1463" s="64"/>
      <c r="AU1463" s="646"/>
      <c r="AV1463" s="185"/>
    </row>
    <row r="1464" spans="1:48" s="153" customFormat="1" ht="15" customHeight="1" outlineLevel="1" x14ac:dyDescent="0.25">
      <c r="A1464" s="148" t="str">
        <f t="shared" si="229"/>
        <v>5.17.4.5.0.0</v>
      </c>
      <c r="B1464" s="82">
        <v>5</v>
      </c>
      <c r="C1464" s="82">
        <v>17</v>
      </c>
      <c r="D1464" s="82">
        <v>4</v>
      </c>
      <c r="E1464" s="82">
        <v>5</v>
      </c>
      <c r="F1464" s="82">
        <v>0</v>
      </c>
      <c r="G1464" s="82">
        <v>0</v>
      </c>
      <c r="H1464" s="149"/>
      <c r="I1464" s="149"/>
      <c r="J1464" s="1260" t="s">
        <v>1639</v>
      </c>
      <c r="K1464" s="1259"/>
      <c r="L1464" s="82" t="s">
        <v>236</v>
      </c>
      <c r="M1464" s="82" t="s">
        <v>73</v>
      </c>
      <c r="N1464" s="82" t="s">
        <v>257</v>
      </c>
      <c r="O1464" s="82" t="s">
        <v>1613</v>
      </c>
      <c r="P1464" s="294"/>
      <c r="Q1464" s="294"/>
      <c r="R1464" s="82"/>
      <c r="S1464" s="149"/>
      <c r="T1464" s="82"/>
      <c r="U1464" s="512">
        <f>+SUM(U1465:U1471)</f>
        <v>0</v>
      </c>
      <c r="V1464" s="693">
        <f>+SUM(V1465:V1471)</f>
        <v>0</v>
      </c>
      <c r="W1464" s="152"/>
      <c r="X1464" s="152"/>
      <c r="Y1464" s="152"/>
      <c r="Z1464" s="152"/>
      <c r="AA1464" s="152"/>
      <c r="AB1464" s="152"/>
      <c r="AC1464" s="257"/>
      <c r="AD1464" s="257"/>
      <c r="AE1464" s="611"/>
      <c r="AF1464" s="358"/>
      <c r="AG1464" s="512">
        <f>+SUM(AG1465:AG1471)</f>
        <v>0</v>
      </c>
      <c r="AH1464" s="512">
        <f>+SUM(AH1465:AH1471)</f>
        <v>0</v>
      </c>
      <c r="AI1464" s="512">
        <f>+SUM(AI1465:AI1471)</f>
        <v>0</v>
      </c>
      <c r="AJ1464" s="512">
        <f>+SUM(AJ1465:AJ1471)</f>
        <v>0</v>
      </c>
      <c r="AK1464" s="152"/>
      <c r="AL1464" s="152"/>
      <c r="AM1464" s="152"/>
      <c r="AN1464" s="82" t="s">
        <v>181</v>
      </c>
      <c r="AO1464" s="82"/>
      <c r="AP1464" s="82"/>
      <c r="AQ1464" s="365"/>
      <c r="AR1464" s="82"/>
      <c r="AS1464" s="483"/>
      <c r="AT1464" s="82"/>
      <c r="AU1464" s="666"/>
      <c r="AV1464" s="444"/>
    </row>
    <row r="1465" spans="1:48" ht="30" customHeight="1" outlineLevel="2" x14ac:dyDescent="0.25">
      <c r="A1465" s="63" t="str">
        <f>CONCATENATE(B1465,".",C1465,".",D1465,".",E1465,".",F1465,".",G1465)</f>
        <v>5.17.4.5.1.62</v>
      </c>
      <c r="B1465" s="64">
        <v>5</v>
      </c>
      <c r="C1465" s="64">
        <v>17</v>
      </c>
      <c r="D1465" s="64">
        <v>4</v>
      </c>
      <c r="E1465" s="64">
        <v>5</v>
      </c>
      <c r="F1465" s="64">
        <v>1</v>
      </c>
      <c r="G1465" s="64">
        <v>62</v>
      </c>
      <c r="H1465" s="65"/>
      <c r="I1465" s="65"/>
      <c r="J1465" s="65"/>
      <c r="K1465" s="67" t="s">
        <v>1616</v>
      </c>
      <c r="L1465" s="64" t="s">
        <v>236</v>
      </c>
      <c r="M1465" s="64" t="s">
        <v>73</v>
      </c>
      <c r="N1465" s="64" t="s">
        <v>257</v>
      </c>
      <c r="O1465" s="64" t="s">
        <v>74</v>
      </c>
      <c r="P1465" s="64"/>
      <c r="Q1465" s="64"/>
      <c r="R1465" s="64"/>
      <c r="S1465" s="65"/>
      <c r="T1465" s="64"/>
      <c r="U1465" s="510">
        <v>0</v>
      </c>
      <c r="V1465" s="696">
        <v>0</v>
      </c>
      <c r="W1465" s="75"/>
      <c r="X1465" s="75"/>
      <c r="Y1465" s="75"/>
      <c r="Z1465" s="75"/>
      <c r="AA1465" s="75"/>
      <c r="AB1465" s="75"/>
      <c r="AC1465" s="97"/>
      <c r="AD1465" s="97"/>
      <c r="AE1465" s="591"/>
      <c r="AF1465" s="259"/>
      <c r="AG1465" s="510">
        <v>0</v>
      </c>
      <c r="AH1465" s="510">
        <v>0</v>
      </c>
      <c r="AI1465" s="75"/>
      <c r="AJ1465" s="75"/>
      <c r="AK1465" s="75"/>
      <c r="AL1465" s="75"/>
      <c r="AM1465" s="75"/>
      <c r="AN1465" s="64" t="s">
        <v>181</v>
      </c>
      <c r="AO1465" s="64"/>
      <c r="AP1465" s="64"/>
      <c r="AQ1465" s="189"/>
      <c r="AR1465" s="64"/>
      <c r="AS1465" s="476"/>
      <c r="AT1465" s="64"/>
      <c r="AU1465" s="646"/>
      <c r="AV1465" s="185"/>
    </row>
    <row r="1466" spans="1:48" ht="33" customHeight="1" outlineLevel="2" x14ac:dyDescent="0.25">
      <c r="A1466" s="63" t="str">
        <f t="shared" si="229"/>
        <v>5.17.4.5.2.62</v>
      </c>
      <c r="B1466" s="64">
        <v>5</v>
      </c>
      <c r="C1466" s="64">
        <v>17</v>
      </c>
      <c r="D1466" s="64">
        <v>4</v>
      </c>
      <c r="E1466" s="64">
        <v>5</v>
      </c>
      <c r="F1466" s="64">
        <v>2</v>
      </c>
      <c r="G1466" s="64">
        <v>62</v>
      </c>
      <c r="H1466" s="65"/>
      <c r="I1466" s="65"/>
      <c r="J1466" s="65"/>
      <c r="K1466" s="67" t="s">
        <v>1617</v>
      </c>
      <c r="L1466" s="64" t="s">
        <v>236</v>
      </c>
      <c r="M1466" s="64" t="s">
        <v>73</v>
      </c>
      <c r="N1466" s="64" t="s">
        <v>257</v>
      </c>
      <c r="O1466" s="64" t="s">
        <v>74</v>
      </c>
      <c r="P1466" s="64"/>
      <c r="Q1466" s="64"/>
      <c r="R1466" s="64"/>
      <c r="S1466" s="65"/>
      <c r="T1466" s="64"/>
      <c r="U1466" s="510">
        <v>0</v>
      </c>
      <c r="V1466" s="696">
        <v>0</v>
      </c>
      <c r="W1466" s="75"/>
      <c r="X1466" s="75"/>
      <c r="Y1466" s="75"/>
      <c r="Z1466" s="75"/>
      <c r="AA1466" s="75"/>
      <c r="AB1466" s="75"/>
      <c r="AC1466" s="97"/>
      <c r="AD1466" s="97"/>
      <c r="AE1466" s="591"/>
      <c r="AF1466" s="259"/>
      <c r="AG1466" s="510">
        <v>0</v>
      </c>
      <c r="AH1466" s="510">
        <v>0</v>
      </c>
      <c r="AI1466" s="75"/>
      <c r="AJ1466" s="75"/>
      <c r="AK1466" s="75"/>
      <c r="AL1466" s="75"/>
      <c r="AM1466" s="75"/>
      <c r="AN1466" s="64" t="s">
        <v>181</v>
      </c>
      <c r="AO1466" s="64"/>
      <c r="AP1466" s="64"/>
      <c r="AQ1466" s="189"/>
      <c r="AR1466" s="64"/>
      <c r="AS1466" s="476"/>
      <c r="AT1466" s="64"/>
      <c r="AU1466" s="646"/>
      <c r="AV1466" s="185"/>
    </row>
    <row r="1467" spans="1:48" ht="15" customHeight="1" outlineLevel="2" x14ac:dyDescent="0.25">
      <c r="A1467" s="63" t="str">
        <f t="shared" si="229"/>
        <v>5.17.4.5.3.62</v>
      </c>
      <c r="B1467" s="64">
        <v>5</v>
      </c>
      <c r="C1467" s="64">
        <v>17</v>
      </c>
      <c r="D1467" s="64">
        <v>4</v>
      </c>
      <c r="E1467" s="64">
        <v>5</v>
      </c>
      <c r="F1467" s="64">
        <v>3</v>
      </c>
      <c r="G1467" s="64">
        <v>62</v>
      </c>
      <c r="H1467" s="65"/>
      <c r="I1467" s="65"/>
      <c r="J1467" s="65"/>
      <c r="K1467" s="65" t="s">
        <v>1881</v>
      </c>
      <c r="L1467" s="64" t="s">
        <v>236</v>
      </c>
      <c r="M1467" s="64" t="s">
        <v>73</v>
      </c>
      <c r="N1467" s="64" t="s">
        <v>257</v>
      </c>
      <c r="O1467" s="64" t="s">
        <v>74</v>
      </c>
      <c r="P1467" s="64"/>
      <c r="Q1467" s="64"/>
      <c r="R1467" s="64"/>
      <c r="S1467" s="65"/>
      <c r="T1467" s="64"/>
      <c r="U1467" s="510">
        <v>0</v>
      </c>
      <c r="V1467" s="696">
        <v>0</v>
      </c>
      <c r="W1467" s="75"/>
      <c r="X1467" s="75"/>
      <c r="Y1467" s="75"/>
      <c r="Z1467" s="75"/>
      <c r="AA1467" s="75"/>
      <c r="AB1467" s="75"/>
      <c r="AC1467" s="97"/>
      <c r="AD1467" s="97"/>
      <c r="AE1467" s="591"/>
      <c r="AF1467" s="259"/>
      <c r="AG1467" s="510">
        <v>0</v>
      </c>
      <c r="AH1467" s="510">
        <v>0</v>
      </c>
      <c r="AI1467" s="75"/>
      <c r="AJ1467" s="75"/>
      <c r="AK1467" s="75"/>
      <c r="AL1467" s="75"/>
      <c r="AM1467" s="75"/>
      <c r="AN1467" s="64" t="s">
        <v>181</v>
      </c>
      <c r="AO1467" s="64"/>
      <c r="AP1467" s="64"/>
      <c r="AQ1467" s="189"/>
      <c r="AR1467" s="64"/>
      <c r="AS1467" s="476"/>
      <c r="AT1467" s="64"/>
      <c r="AU1467" s="646"/>
      <c r="AV1467" s="185"/>
    </row>
    <row r="1468" spans="1:48" ht="15" customHeight="1" outlineLevel="2" x14ac:dyDescent="0.25">
      <c r="A1468" s="63" t="str">
        <f t="shared" si="229"/>
        <v>5.17.4.5.4.62</v>
      </c>
      <c r="B1468" s="64">
        <v>5</v>
      </c>
      <c r="C1468" s="64">
        <v>17</v>
      </c>
      <c r="D1468" s="64">
        <v>4</v>
      </c>
      <c r="E1468" s="64">
        <v>5</v>
      </c>
      <c r="F1468" s="64">
        <v>4</v>
      </c>
      <c r="G1468" s="64">
        <v>62</v>
      </c>
      <c r="H1468" s="65"/>
      <c r="I1468" s="65"/>
      <c r="J1468" s="65"/>
      <c r="K1468" s="65" t="s">
        <v>1640</v>
      </c>
      <c r="L1468" s="64" t="s">
        <v>236</v>
      </c>
      <c r="M1468" s="64" t="s">
        <v>73</v>
      </c>
      <c r="N1468" s="64" t="s">
        <v>257</v>
      </c>
      <c r="O1468" s="64" t="s">
        <v>74</v>
      </c>
      <c r="P1468" s="64"/>
      <c r="Q1468" s="64"/>
      <c r="R1468" s="64"/>
      <c r="S1468" s="65"/>
      <c r="T1468" s="64"/>
      <c r="U1468" s="510">
        <v>0</v>
      </c>
      <c r="V1468" s="696">
        <v>0</v>
      </c>
      <c r="W1468" s="75"/>
      <c r="X1468" s="75"/>
      <c r="Y1468" s="75"/>
      <c r="Z1468" s="75"/>
      <c r="AA1468" s="75"/>
      <c r="AB1468" s="75"/>
      <c r="AC1468" s="97"/>
      <c r="AD1468" s="97"/>
      <c r="AE1468" s="591"/>
      <c r="AF1468" s="259"/>
      <c r="AG1468" s="510">
        <v>0</v>
      </c>
      <c r="AH1468" s="510">
        <v>0</v>
      </c>
      <c r="AI1468" s="75"/>
      <c r="AJ1468" s="75"/>
      <c r="AK1468" s="75"/>
      <c r="AL1468" s="75"/>
      <c r="AM1468" s="75"/>
      <c r="AN1468" s="64" t="s">
        <v>181</v>
      </c>
      <c r="AO1468" s="64"/>
      <c r="AP1468" s="64"/>
      <c r="AQ1468" s="189"/>
      <c r="AR1468" s="64"/>
      <c r="AS1468" s="476"/>
      <c r="AT1468" s="64"/>
      <c r="AU1468" s="646"/>
      <c r="AV1468" s="185"/>
    </row>
    <row r="1469" spans="1:48" ht="15" customHeight="1" outlineLevel="2" x14ac:dyDescent="0.25">
      <c r="A1469" s="63" t="str">
        <f t="shared" si="229"/>
        <v>5.17.4.5.5.62</v>
      </c>
      <c r="B1469" s="64">
        <v>5</v>
      </c>
      <c r="C1469" s="64">
        <v>17</v>
      </c>
      <c r="D1469" s="64">
        <v>4</v>
      </c>
      <c r="E1469" s="64">
        <v>5</v>
      </c>
      <c r="F1469" s="64">
        <v>5</v>
      </c>
      <c r="G1469" s="64">
        <v>62</v>
      </c>
      <c r="H1469" s="65"/>
      <c r="I1469" s="65"/>
      <c r="J1469" s="65"/>
      <c r="K1469" s="65" t="s">
        <v>1622</v>
      </c>
      <c r="L1469" s="64" t="s">
        <v>236</v>
      </c>
      <c r="M1469" s="64" t="s">
        <v>73</v>
      </c>
      <c r="N1469" s="64" t="s">
        <v>257</v>
      </c>
      <c r="O1469" s="64" t="s">
        <v>74</v>
      </c>
      <c r="P1469" s="64"/>
      <c r="Q1469" s="64"/>
      <c r="R1469" s="64"/>
      <c r="S1469" s="65"/>
      <c r="T1469" s="64"/>
      <c r="U1469" s="510">
        <v>0</v>
      </c>
      <c r="V1469" s="696">
        <v>0</v>
      </c>
      <c r="W1469" s="75"/>
      <c r="X1469" s="75"/>
      <c r="Y1469" s="75"/>
      <c r="Z1469" s="75"/>
      <c r="AA1469" s="75"/>
      <c r="AB1469" s="75"/>
      <c r="AC1469" s="97"/>
      <c r="AD1469" s="97"/>
      <c r="AE1469" s="591"/>
      <c r="AF1469" s="259"/>
      <c r="AG1469" s="510">
        <v>0</v>
      </c>
      <c r="AH1469" s="510">
        <v>0</v>
      </c>
      <c r="AI1469" s="75"/>
      <c r="AJ1469" s="75"/>
      <c r="AK1469" s="75"/>
      <c r="AL1469" s="75"/>
      <c r="AM1469" s="75"/>
      <c r="AN1469" s="64" t="s">
        <v>181</v>
      </c>
      <c r="AO1469" s="64"/>
      <c r="AP1469" s="64"/>
      <c r="AQ1469" s="189"/>
      <c r="AR1469" s="64"/>
      <c r="AS1469" s="476"/>
      <c r="AT1469" s="64"/>
      <c r="AU1469" s="646"/>
      <c r="AV1469" s="185"/>
    </row>
    <row r="1470" spans="1:48" ht="15" customHeight="1" outlineLevel="2" x14ac:dyDescent="0.25">
      <c r="A1470" s="63" t="str">
        <f t="shared" si="229"/>
        <v>5.17.4.5.6.62</v>
      </c>
      <c r="B1470" s="64">
        <v>5</v>
      </c>
      <c r="C1470" s="64">
        <v>17</v>
      </c>
      <c r="D1470" s="64">
        <v>4</v>
      </c>
      <c r="E1470" s="64">
        <v>5</v>
      </c>
      <c r="F1470" s="64">
        <v>6</v>
      </c>
      <c r="G1470" s="64">
        <v>62</v>
      </c>
      <c r="H1470" s="65"/>
      <c r="I1470" s="65"/>
      <c r="J1470" s="65"/>
      <c r="K1470" s="65" t="s">
        <v>1641</v>
      </c>
      <c r="L1470" s="64" t="s">
        <v>236</v>
      </c>
      <c r="M1470" s="64" t="s">
        <v>73</v>
      </c>
      <c r="N1470" s="64" t="s">
        <v>257</v>
      </c>
      <c r="O1470" s="64" t="s">
        <v>74</v>
      </c>
      <c r="P1470" s="64"/>
      <c r="Q1470" s="64"/>
      <c r="R1470" s="64"/>
      <c r="S1470" s="65"/>
      <c r="T1470" s="64"/>
      <c r="U1470" s="510">
        <v>0</v>
      </c>
      <c r="V1470" s="696">
        <v>0</v>
      </c>
      <c r="W1470" s="75"/>
      <c r="X1470" s="75"/>
      <c r="Y1470" s="75"/>
      <c r="Z1470" s="75"/>
      <c r="AA1470" s="75"/>
      <c r="AB1470" s="75"/>
      <c r="AC1470" s="97"/>
      <c r="AD1470" s="97"/>
      <c r="AE1470" s="591"/>
      <c r="AF1470" s="259"/>
      <c r="AG1470" s="510">
        <v>0</v>
      </c>
      <c r="AH1470" s="510">
        <v>0</v>
      </c>
      <c r="AI1470" s="75"/>
      <c r="AJ1470" s="75"/>
      <c r="AK1470" s="75"/>
      <c r="AL1470" s="75"/>
      <c r="AM1470" s="75"/>
      <c r="AN1470" s="64" t="s">
        <v>181</v>
      </c>
      <c r="AO1470" s="64"/>
      <c r="AP1470" s="64"/>
      <c r="AQ1470" s="189"/>
      <c r="AR1470" s="64"/>
      <c r="AS1470" s="476"/>
      <c r="AT1470" s="64"/>
      <c r="AU1470" s="646"/>
      <c r="AV1470" s="185"/>
    </row>
    <row r="1471" spans="1:48" ht="15" customHeight="1" outlineLevel="2" x14ac:dyDescent="0.25">
      <c r="A1471" s="63" t="str">
        <f t="shared" si="229"/>
        <v>5.17.4.5.7.62</v>
      </c>
      <c r="B1471" s="293">
        <v>5</v>
      </c>
      <c r="C1471" s="64">
        <v>17</v>
      </c>
      <c r="D1471" s="293">
        <v>4</v>
      </c>
      <c r="E1471" s="293">
        <v>5</v>
      </c>
      <c r="F1471" s="293">
        <v>7</v>
      </c>
      <c r="G1471" s="293">
        <v>62</v>
      </c>
      <c r="H1471" s="121"/>
      <c r="I1471" s="65"/>
      <c r="J1471" s="65"/>
      <c r="K1471" s="65" t="s">
        <v>1879</v>
      </c>
      <c r="L1471" s="64" t="s">
        <v>236</v>
      </c>
      <c r="M1471" s="64" t="s">
        <v>73</v>
      </c>
      <c r="N1471" s="64" t="s">
        <v>257</v>
      </c>
      <c r="O1471" s="64" t="s">
        <v>74</v>
      </c>
      <c r="P1471" s="293"/>
      <c r="Q1471" s="293"/>
      <c r="R1471" s="293"/>
      <c r="S1471" s="170"/>
      <c r="T1471" s="293"/>
      <c r="U1471" s="510">
        <v>0</v>
      </c>
      <c r="V1471" s="696">
        <v>0</v>
      </c>
      <c r="W1471" s="79"/>
      <c r="X1471" s="79"/>
      <c r="Y1471" s="79"/>
      <c r="Z1471" s="79"/>
      <c r="AA1471" s="79"/>
      <c r="AB1471" s="79"/>
      <c r="AC1471" s="296"/>
      <c r="AD1471" s="296"/>
      <c r="AE1471" s="618"/>
      <c r="AF1471" s="353"/>
      <c r="AG1471" s="510">
        <v>0</v>
      </c>
      <c r="AH1471" s="510">
        <v>0</v>
      </c>
      <c r="AI1471" s="75"/>
      <c r="AJ1471" s="75"/>
      <c r="AK1471" s="75"/>
      <c r="AL1471" s="75"/>
      <c r="AM1471" s="75"/>
      <c r="AN1471" s="64" t="s">
        <v>181</v>
      </c>
      <c r="AO1471" s="64"/>
      <c r="AP1471" s="64"/>
      <c r="AQ1471" s="189"/>
      <c r="AR1471" s="64"/>
      <c r="AS1471" s="476"/>
      <c r="AT1471" s="64"/>
      <c r="AU1471" s="646"/>
      <c r="AV1471" s="441"/>
    </row>
    <row r="1472" spans="1:48" s="153" customFormat="1" ht="15" customHeight="1" outlineLevel="1" x14ac:dyDescent="0.25">
      <c r="A1472" s="148" t="str">
        <f t="shared" si="229"/>
        <v>5.17.4.7.0.0</v>
      </c>
      <c r="B1472" s="82">
        <v>5</v>
      </c>
      <c r="C1472" s="82">
        <v>17</v>
      </c>
      <c r="D1472" s="82">
        <v>4</v>
      </c>
      <c r="E1472" s="82">
        <v>7</v>
      </c>
      <c r="F1472" s="82">
        <v>0</v>
      </c>
      <c r="G1472" s="82">
        <v>0</v>
      </c>
      <c r="H1472" s="149"/>
      <c r="I1472" s="149"/>
      <c r="J1472" s="1260" t="s">
        <v>1642</v>
      </c>
      <c r="K1472" s="1259"/>
      <c r="L1472" s="82" t="s">
        <v>236</v>
      </c>
      <c r="M1472" s="82" t="s">
        <v>73</v>
      </c>
      <c r="N1472" s="82" t="s">
        <v>257</v>
      </c>
      <c r="O1472" s="82" t="s">
        <v>1613</v>
      </c>
      <c r="P1472" s="294"/>
      <c r="Q1472" s="294"/>
      <c r="R1472" s="82"/>
      <c r="S1472" s="149"/>
      <c r="T1472" s="82"/>
      <c r="U1472" s="512">
        <f>+SUM(U1473:U1475)</f>
        <v>0</v>
      </c>
      <c r="V1472" s="693">
        <f>+SUM(V1473:V1475)</f>
        <v>0</v>
      </c>
      <c r="W1472" s="152"/>
      <c r="X1472" s="152"/>
      <c r="Y1472" s="152"/>
      <c r="Z1472" s="152"/>
      <c r="AA1472" s="152"/>
      <c r="AB1472" s="152"/>
      <c r="AC1472" s="257"/>
      <c r="AD1472" s="257"/>
      <c r="AE1472" s="611"/>
      <c r="AF1472" s="358"/>
      <c r="AG1472" s="512">
        <f>+SUM(AG1473:AG1475)</f>
        <v>0</v>
      </c>
      <c r="AH1472" s="512">
        <f>+SUM(AH1473:AH1475)</f>
        <v>0</v>
      </c>
      <c r="AI1472" s="512">
        <f>+SUM(AI1473:AI1475)</f>
        <v>0</v>
      </c>
      <c r="AJ1472" s="512">
        <f>+SUM(AJ1473:AJ1475)</f>
        <v>0</v>
      </c>
      <c r="AK1472" s="152"/>
      <c r="AL1472" s="152"/>
      <c r="AM1472" s="152"/>
      <c r="AN1472" s="82" t="s">
        <v>181</v>
      </c>
      <c r="AO1472" s="82"/>
      <c r="AP1472" s="82"/>
      <c r="AQ1472" s="365"/>
      <c r="AR1472" s="82"/>
      <c r="AS1472" s="483"/>
      <c r="AT1472" s="82"/>
      <c r="AU1472" s="666"/>
      <c r="AV1472" s="444"/>
    </row>
    <row r="1473" spans="1:48" ht="15" customHeight="1" outlineLevel="2" x14ac:dyDescent="0.25">
      <c r="A1473" s="63" t="str">
        <f t="shared" si="229"/>
        <v>5.17.4.7.1.60</v>
      </c>
      <c r="B1473" s="64">
        <v>5</v>
      </c>
      <c r="C1473" s="64">
        <v>17</v>
      </c>
      <c r="D1473" s="64">
        <v>4</v>
      </c>
      <c r="E1473" s="64">
        <v>7</v>
      </c>
      <c r="F1473" s="64">
        <v>1</v>
      </c>
      <c r="G1473" s="64">
        <v>60</v>
      </c>
      <c r="H1473" s="65"/>
      <c r="I1473" s="65"/>
      <c r="J1473" s="65"/>
      <c r="K1473" s="65" t="s">
        <v>1643</v>
      </c>
      <c r="L1473" s="64" t="s">
        <v>236</v>
      </c>
      <c r="M1473" s="64" t="s">
        <v>73</v>
      </c>
      <c r="N1473" s="64" t="s">
        <v>257</v>
      </c>
      <c r="O1473" s="64" t="s">
        <v>74</v>
      </c>
      <c r="P1473" s="64"/>
      <c r="Q1473" s="64"/>
      <c r="R1473" s="64"/>
      <c r="S1473" s="65"/>
      <c r="T1473" s="64"/>
      <c r="U1473" s="510">
        <v>0</v>
      </c>
      <c r="V1473" s="696">
        <v>0</v>
      </c>
      <c r="W1473" s="75"/>
      <c r="X1473" s="75"/>
      <c r="Y1473" s="75"/>
      <c r="Z1473" s="75"/>
      <c r="AA1473" s="75"/>
      <c r="AB1473" s="75"/>
      <c r="AC1473" s="97"/>
      <c r="AD1473" s="97"/>
      <c r="AE1473" s="591"/>
      <c r="AF1473" s="259"/>
      <c r="AG1473" s="510">
        <v>0</v>
      </c>
      <c r="AH1473" s="510">
        <v>0</v>
      </c>
      <c r="AI1473" s="75"/>
      <c r="AJ1473" s="75"/>
      <c r="AK1473" s="75"/>
      <c r="AL1473" s="75"/>
      <c r="AM1473" s="75"/>
      <c r="AN1473" s="64" t="s">
        <v>181</v>
      </c>
      <c r="AO1473" s="64"/>
      <c r="AP1473" s="64"/>
      <c r="AQ1473" s="189"/>
      <c r="AR1473" s="64"/>
      <c r="AS1473" s="476"/>
      <c r="AT1473" s="64"/>
      <c r="AU1473" s="646"/>
      <c r="AV1473" s="185"/>
    </row>
    <row r="1474" spans="1:48" ht="24" customHeight="1" outlineLevel="2" x14ac:dyDescent="0.25">
      <c r="A1474" s="63" t="str">
        <f t="shared" si="229"/>
        <v>5.17.4.7.2.60</v>
      </c>
      <c r="B1474" s="64">
        <v>5</v>
      </c>
      <c r="C1474" s="64">
        <v>17</v>
      </c>
      <c r="D1474" s="64">
        <v>4</v>
      </c>
      <c r="E1474" s="64">
        <v>7</v>
      </c>
      <c r="F1474" s="64">
        <v>2</v>
      </c>
      <c r="G1474" s="64">
        <v>60</v>
      </c>
      <c r="H1474" s="65"/>
      <c r="I1474" s="65"/>
      <c r="J1474" s="65"/>
      <c r="K1474" s="65" t="s">
        <v>1622</v>
      </c>
      <c r="L1474" s="64" t="s">
        <v>236</v>
      </c>
      <c r="M1474" s="64" t="s">
        <v>73</v>
      </c>
      <c r="N1474" s="64" t="s">
        <v>257</v>
      </c>
      <c r="O1474" s="64" t="s">
        <v>74</v>
      </c>
      <c r="P1474" s="64"/>
      <c r="Q1474" s="64"/>
      <c r="R1474" s="64"/>
      <c r="S1474" s="65"/>
      <c r="T1474" s="64"/>
      <c r="U1474" s="510">
        <v>0</v>
      </c>
      <c r="V1474" s="696">
        <v>0</v>
      </c>
      <c r="W1474" s="75"/>
      <c r="X1474" s="75"/>
      <c r="Y1474" s="75"/>
      <c r="Z1474" s="75"/>
      <c r="AA1474" s="75"/>
      <c r="AB1474" s="75"/>
      <c r="AC1474" s="97"/>
      <c r="AD1474" s="97"/>
      <c r="AE1474" s="591"/>
      <c r="AF1474" s="259"/>
      <c r="AG1474" s="510">
        <v>0</v>
      </c>
      <c r="AH1474" s="510">
        <v>0</v>
      </c>
      <c r="AI1474" s="75"/>
      <c r="AJ1474" s="75"/>
      <c r="AK1474" s="75"/>
      <c r="AL1474" s="75"/>
      <c r="AM1474" s="75"/>
      <c r="AN1474" s="64" t="s">
        <v>181</v>
      </c>
      <c r="AO1474" s="64"/>
      <c r="AP1474" s="64"/>
      <c r="AQ1474" s="189"/>
      <c r="AR1474" s="64"/>
      <c r="AS1474" s="476"/>
      <c r="AT1474" s="64"/>
      <c r="AU1474" s="646"/>
      <c r="AV1474" s="185"/>
    </row>
    <row r="1475" spans="1:48" ht="30" customHeight="1" outlineLevel="2" x14ac:dyDescent="0.25">
      <c r="A1475" s="63" t="str">
        <f t="shared" si="229"/>
        <v>5.17.4.7.3.60</v>
      </c>
      <c r="B1475" s="64">
        <v>5</v>
      </c>
      <c r="C1475" s="64">
        <v>17</v>
      </c>
      <c r="D1475" s="64">
        <v>4</v>
      </c>
      <c r="E1475" s="64">
        <v>7</v>
      </c>
      <c r="F1475" s="64">
        <v>3</v>
      </c>
      <c r="G1475" s="64">
        <v>60</v>
      </c>
      <c r="H1475" s="65"/>
      <c r="I1475" s="65"/>
      <c r="J1475" s="65"/>
      <c r="K1475" s="67" t="s">
        <v>1636</v>
      </c>
      <c r="L1475" s="64" t="s">
        <v>236</v>
      </c>
      <c r="M1475" s="64" t="s">
        <v>73</v>
      </c>
      <c r="N1475" s="64" t="s">
        <v>257</v>
      </c>
      <c r="O1475" s="64" t="s">
        <v>74</v>
      </c>
      <c r="P1475" s="64"/>
      <c r="Q1475" s="64"/>
      <c r="R1475" s="64"/>
      <c r="S1475" s="65"/>
      <c r="T1475" s="64"/>
      <c r="U1475" s="510">
        <v>0</v>
      </c>
      <c r="V1475" s="696">
        <v>0</v>
      </c>
      <c r="W1475" s="75"/>
      <c r="X1475" s="75"/>
      <c r="Y1475" s="75"/>
      <c r="Z1475" s="75"/>
      <c r="AA1475" s="75"/>
      <c r="AB1475" s="75"/>
      <c r="AC1475" s="97"/>
      <c r="AD1475" s="97"/>
      <c r="AE1475" s="591"/>
      <c r="AF1475" s="259"/>
      <c r="AG1475" s="510">
        <v>0</v>
      </c>
      <c r="AH1475" s="510">
        <v>0</v>
      </c>
      <c r="AI1475" s="75"/>
      <c r="AJ1475" s="75"/>
      <c r="AK1475" s="75"/>
      <c r="AL1475" s="75"/>
      <c r="AM1475" s="75"/>
      <c r="AN1475" s="64" t="s">
        <v>181</v>
      </c>
      <c r="AO1475" s="64"/>
      <c r="AP1475" s="64"/>
      <c r="AQ1475" s="189"/>
      <c r="AR1475" s="64"/>
      <c r="AS1475" s="476"/>
      <c r="AT1475" s="64"/>
      <c r="AU1475" s="646"/>
      <c r="AV1475" s="185"/>
    </row>
    <row r="1476" spans="1:48" s="153" customFormat="1" outlineLevel="1" x14ac:dyDescent="0.25">
      <c r="A1476" s="148" t="str">
        <f t="shared" si="229"/>
        <v>5.17.4.8.0.0</v>
      </c>
      <c r="B1476" s="82">
        <v>5</v>
      </c>
      <c r="C1476" s="82">
        <v>17</v>
      </c>
      <c r="D1476" s="82">
        <v>4</v>
      </c>
      <c r="E1476" s="82">
        <v>8</v>
      </c>
      <c r="F1476" s="82">
        <v>0</v>
      </c>
      <c r="G1476" s="82">
        <v>0</v>
      </c>
      <c r="H1476" s="149"/>
      <c r="I1476" s="149"/>
      <c r="J1476" s="1260" t="s">
        <v>1644</v>
      </c>
      <c r="K1476" s="1259"/>
      <c r="L1476" s="82" t="s">
        <v>236</v>
      </c>
      <c r="M1476" s="82" t="s">
        <v>73</v>
      </c>
      <c r="N1476" s="82" t="s">
        <v>257</v>
      </c>
      <c r="O1476" s="82" t="s">
        <v>1613</v>
      </c>
      <c r="P1476" s="294"/>
      <c r="Q1476" s="294"/>
      <c r="R1476" s="82"/>
      <c r="S1476" s="149"/>
      <c r="T1476" s="82"/>
      <c r="U1476" s="512">
        <f t="shared" ref="U1476" si="247">+U1477</f>
        <v>0</v>
      </c>
      <c r="V1476" s="693">
        <f t="shared" ref="V1476" si="248">+V1477</f>
        <v>0</v>
      </c>
      <c r="W1476" s="152"/>
      <c r="X1476" s="152"/>
      <c r="Y1476" s="152"/>
      <c r="Z1476" s="152"/>
      <c r="AA1476" s="152"/>
      <c r="AB1476" s="152"/>
      <c r="AC1476" s="257"/>
      <c r="AD1476" s="257"/>
      <c r="AE1476" s="611"/>
      <c r="AF1476" s="358"/>
      <c r="AG1476" s="512">
        <f t="shared" ref="AG1476:AM1476" si="249">+AG1477</f>
        <v>0</v>
      </c>
      <c r="AH1476" s="512">
        <f t="shared" si="249"/>
        <v>0</v>
      </c>
      <c r="AI1476" s="512">
        <f t="shared" si="249"/>
        <v>0</v>
      </c>
      <c r="AJ1476" s="512">
        <f t="shared" si="249"/>
        <v>0</v>
      </c>
      <c r="AK1476" s="512">
        <f t="shared" si="249"/>
        <v>0</v>
      </c>
      <c r="AL1476" s="512">
        <f t="shared" si="249"/>
        <v>0</v>
      </c>
      <c r="AM1476" s="512">
        <f t="shared" si="249"/>
        <v>0</v>
      </c>
      <c r="AN1476" s="82" t="s">
        <v>181</v>
      </c>
      <c r="AO1476" s="82"/>
      <c r="AP1476" s="82"/>
      <c r="AQ1476" s="365"/>
      <c r="AR1476" s="82"/>
      <c r="AS1476" s="483"/>
      <c r="AT1476" s="82"/>
      <c r="AU1476" s="666"/>
      <c r="AV1476" s="444"/>
    </row>
    <row r="1477" spans="1:48" ht="15" customHeight="1" outlineLevel="2" x14ac:dyDescent="0.25">
      <c r="A1477" s="63" t="str">
        <f t="shared" si="229"/>
        <v>5.17.4.8.1.58-64</v>
      </c>
      <c r="B1477" s="64">
        <v>5</v>
      </c>
      <c r="C1477" s="64">
        <v>17</v>
      </c>
      <c r="D1477" s="64">
        <v>4</v>
      </c>
      <c r="E1477" s="64">
        <v>8</v>
      </c>
      <c r="F1477" s="64">
        <v>1</v>
      </c>
      <c r="G1477" s="64" t="s">
        <v>64</v>
      </c>
      <c r="H1477" s="65"/>
      <c r="I1477" s="65"/>
      <c r="J1477" s="65"/>
      <c r="K1477" s="65" t="s">
        <v>1645</v>
      </c>
      <c r="L1477" s="64" t="s">
        <v>236</v>
      </c>
      <c r="M1477" s="64" t="s">
        <v>73</v>
      </c>
      <c r="N1477" s="64" t="s">
        <v>257</v>
      </c>
      <c r="O1477" s="64" t="s">
        <v>1613</v>
      </c>
      <c r="P1477" s="64"/>
      <c r="Q1477" s="64"/>
      <c r="R1477" s="64"/>
      <c r="S1477" s="65"/>
      <c r="T1477" s="64"/>
      <c r="U1477" s="510">
        <v>0</v>
      </c>
      <c r="V1477" s="696">
        <v>0</v>
      </c>
      <c r="W1477" s="75"/>
      <c r="X1477" s="75"/>
      <c r="Y1477" s="75"/>
      <c r="Z1477" s="75"/>
      <c r="AA1477" s="75"/>
      <c r="AB1477" s="75"/>
      <c r="AC1477" s="97"/>
      <c r="AD1477" s="97"/>
      <c r="AE1477" s="591"/>
      <c r="AF1477" s="259"/>
      <c r="AG1477" s="510">
        <v>0</v>
      </c>
      <c r="AH1477" s="510">
        <v>0</v>
      </c>
      <c r="AI1477" s="75"/>
      <c r="AJ1477" s="75"/>
      <c r="AK1477" s="75"/>
      <c r="AL1477" s="75"/>
      <c r="AM1477" s="75"/>
      <c r="AN1477" s="64" t="s">
        <v>181</v>
      </c>
      <c r="AO1477" s="64"/>
      <c r="AP1477" s="64"/>
      <c r="AQ1477" s="189"/>
      <c r="AR1477" s="64"/>
      <c r="AS1477" s="476"/>
      <c r="AT1477" s="64"/>
      <c r="AU1477" s="646"/>
      <c r="AV1477" s="185"/>
    </row>
    <row r="1478" spans="1:48" s="153" customFormat="1" outlineLevel="1" x14ac:dyDescent="0.25">
      <c r="A1478" s="108" t="str">
        <f t="shared" si="229"/>
        <v>5.18.4.0.0.0</v>
      </c>
      <c r="B1478" s="109">
        <v>5</v>
      </c>
      <c r="C1478" s="109">
        <v>18</v>
      </c>
      <c r="D1478" s="109">
        <v>4</v>
      </c>
      <c r="E1478" s="109">
        <v>0</v>
      </c>
      <c r="F1478" s="109">
        <v>0</v>
      </c>
      <c r="G1478" s="109">
        <v>0</v>
      </c>
      <c r="H1478" s="110"/>
      <c r="I1478" s="1265" t="s">
        <v>1646</v>
      </c>
      <c r="J1478" s="1266"/>
      <c r="K1478" s="1267"/>
      <c r="L1478" s="109" t="s">
        <v>612</v>
      </c>
      <c r="M1478" s="109" t="s">
        <v>73</v>
      </c>
      <c r="N1478" s="109" t="s">
        <v>257</v>
      </c>
      <c r="O1478" s="109" t="s">
        <v>1647</v>
      </c>
      <c r="P1478" s="109"/>
      <c r="Q1478" s="109"/>
      <c r="R1478" s="109"/>
      <c r="S1478" s="110"/>
      <c r="T1478" s="109"/>
      <c r="U1478" s="514">
        <v>0</v>
      </c>
      <c r="V1478" s="695">
        <v>0</v>
      </c>
      <c r="W1478" s="112"/>
      <c r="X1478" s="112"/>
      <c r="Y1478" s="112"/>
      <c r="Z1478" s="112"/>
      <c r="AA1478" s="112"/>
      <c r="AB1478" s="112"/>
      <c r="AC1478" s="117"/>
      <c r="AD1478" s="117"/>
      <c r="AE1478" s="617"/>
      <c r="AF1478" s="333"/>
      <c r="AG1478" s="514">
        <v>0</v>
      </c>
      <c r="AH1478" s="514">
        <v>0</v>
      </c>
      <c r="AI1478" s="514">
        <v>0</v>
      </c>
      <c r="AJ1478" s="514">
        <v>0</v>
      </c>
      <c r="AK1478" s="112"/>
      <c r="AL1478" s="112"/>
      <c r="AM1478" s="112"/>
      <c r="AN1478" s="109" t="s">
        <v>181</v>
      </c>
      <c r="AO1478" s="109"/>
      <c r="AP1478" s="109"/>
      <c r="AQ1478" s="411"/>
      <c r="AR1478" s="109"/>
      <c r="AS1478" s="473"/>
      <c r="AT1478" s="109"/>
      <c r="AU1478" s="659"/>
      <c r="AV1478" s="445"/>
    </row>
    <row r="1479" spans="1:48" outlineLevel="1" x14ac:dyDescent="0.25">
      <c r="A1479" s="90" t="str">
        <f t="shared" si="229"/>
        <v>5.18.4.1.1.0</v>
      </c>
      <c r="B1479" s="64">
        <v>5</v>
      </c>
      <c r="C1479" s="64">
        <v>18</v>
      </c>
      <c r="D1479" s="64">
        <v>4</v>
      </c>
      <c r="E1479" s="64">
        <v>1</v>
      </c>
      <c r="F1479" s="64">
        <v>1</v>
      </c>
      <c r="G1479" s="64">
        <v>0</v>
      </c>
      <c r="H1479" s="65"/>
      <c r="I1479" s="65"/>
      <c r="J1479" s="1268" t="s">
        <v>1648</v>
      </c>
      <c r="K1479" s="1268"/>
      <c r="L1479" s="64" t="s">
        <v>612</v>
      </c>
      <c r="M1479" s="64" t="s">
        <v>1649</v>
      </c>
      <c r="N1479" s="64" t="s">
        <v>257</v>
      </c>
      <c r="O1479" s="64" t="s">
        <v>1613</v>
      </c>
      <c r="P1479" s="64"/>
      <c r="Q1479" s="64"/>
      <c r="R1479" s="64"/>
      <c r="S1479" s="170"/>
      <c r="T1479" s="64"/>
      <c r="U1479" s="510">
        <v>0</v>
      </c>
      <c r="V1479" s="696">
        <v>0</v>
      </c>
      <c r="W1479" s="75"/>
      <c r="X1479" s="75"/>
      <c r="Y1479" s="75"/>
      <c r="Z1479" s="75"/>
      <c r="AA1479" s="75"/>
      <c r="AB1479" s="75"/>
      <c r="AC1479" s="97"/>
      <c r="AD1479" s="97"/>
      <c r="AE1479" s="591"/>
      <c r="AF1479" s="353"/>
      <c r="AG1479" s="510">
        <v>0</v>
      </c>
      <c r="AH1479" s="510">
        <v>0</v>
      </c>
      <c r="AI1479" s="75"/>
      <c r="AJ1479" s="75"/>
      <c r="AK1479" s="75"/>
      <c r="AL1479" s="75"/>
      <c r="AM1479" s="75"/>
      <c r="AN1479" s="64" t="s">
        <v>181</v>
      </c>
      <c r="AO1479" s="64"/>
      <c r="AP1479" s="64"/>
      <c r="AQ1479" s="189"/>
      <c r="AR1479" s="64"/>
      <c r="AS1479" s="476"/>
      <c r="AT1479" s="64"/>
      <c r="AU1479" s="646"/>
      <c r="AV1479" s="441"/>
    </row>
    <row r="1480" spans="1:48" s="153" customFormat="1" x14ac:dyDescent="0.25">
      <c r="A1480" s="246" t="str">
        <f t="shared" si="229"/>
        <v>6.0.0.0.0.0</v>
      </c>
      <c r="B1480" s="44">
        <v>6</v>
      </c>
      <c r="C1480" s="44">
        <v>0</v>
      </c>
      <c r="D1480" s="44">
        <v>0</v>
      </c>
      <c r="E1480" s="44">
        <v>0</v>
      </c>
      <c r="F1480" s="44">
        <v>0</v>
      </c>
      <c r="G1480" s="44">
        <v>0</v>
      </c>
      <c r="H1480" s="1269" t="s">
        <v>1650</v>
      </c>
      <c r="I1480" s="1270"/>
      <c r="J1480" s="1270"/>
      <c r="K1480" s="1271"/>
      <c r="L1480" s="44" t="s">
        <v>236</v>
      </c>
      <c r="M1480" s="44" t="s">
        <v>1651</v>
      </c>
      <c r="N1480" s="44" t="s">
        <v>226</v>
      </c>
      <c r="O1480" s="44" t="s">
        <v>224</v>
      </c>
      <c r="P1480" s="297">
        <v>44197</v>
      </c>
      <c r="Q1480" s="297">
        <v>44561</v>
      </c>
      <c r="R1480" s="44">
        <f>+R1481</f>
        <v>84</v>
      </c>
      <c r="S1480" s="247" t="s">
        <v>299</v>
      </c>
      <c r="T1480" s="44">
        <f t="shared" ref="T1480:AA1480" si="250">+T1481</f>
        <v>21</v>
      </c>
      <c r="U1480" s="393">
        <f>+SUM(U1481)</f>
        <v>0</v>
      </c>
      <c r="V1480" s="694">
        <f>+SUM(V1481)</f>
        <v>0</v>
      </c>
      <c r="W1480" s="248">
        <f t="shared" si="250"/>
        <v>21</v>
      </c>
      <c r="X1480" s="248">
        <f t="shared" si="250"/>
        <v>0</v>
      </c>
      <c r="Y1480" s="248"/>
      <c r="Z1480" s="248">
        <f t="shared" si="250"/>
        <v>21</v>
      </c>
      <c r="AA1480" s="248">
        <f t="shared" si="250"/>
        <v>0</v>
      </c>
      <c r="AB1480" s="248"/>
      <c r="AC1480" s="292">
        <f>+AC1490</f>
        <v>0</v>
      </c>
      <c r="AD1480" s="248">
        <f>+AD1481</f>
        <v>0</v>
      </c>
      <c r="AE1480" s="273"/>
      <c r="AF1480" s="332"/>
      <c r="AG1480" s="530">
        <f>+SUM(AG1481)</f>
        <v>1999999.9600000002</v>
      </c>
      <c r="AH1480" s="393">
        <f>+SUM(AH1481)</f>
        <v>0</v>
      </c>
      <c r="AI1480" s="530">
        <f>+SUM(AI1481)</f>
        <v>0</v>
      </c>
      <c r="AJ1480" s="530">
        <f>+SUM(AJ1481)</f>
        <v>0</v>
      </c>
      <c r="AK1480" s="248"/>
      <c r="AL1480" s="248"/>
      <c r="AM1480" s="248"/>
      <c r="AN1480" s="44" t="s">
        <v>181</v>
      </c>
      <c r="AO1480" s="44"/>
      <c r="AP1480" s="44"/>
      <c r="AQ1480" s="420"/>
      <c r="AR1480" s="44"/>
      <c r="AS1480" s="486"/>
      <c r="AT1480" s="44"/>
      <c r="AU1480" s="658"/>
      <c r="AV1480" s="426" t="s">
        <v>1652</v>
      </c>
    </row>
    <row r="1481" spans="1:48" s="153" customFormat="1" outlineLevel="1" x14ac:dyDescent="0.25">
      <c r="A1481" s="108" t="str">
        <f t="shared" si="229"/>
        <v>6.19.4.0.0.0</v>
      </c>
      <c r="B1481" s="109">
        <v>6</v>
      </c>
      <c r="C1481" s="109">
        <v>19</v>
      </c>
      <c r="D1481" s="109">
        <v>4</v>
      </c>
      <c r="E1481" s="109">
        <v>0</v>
      </c>
      <c r="F1481" s="109">
        <v>0</v>
      </c>
      <c r="G1481" s="109">
        <v>0</v>
      </c>
      <c r="H1481" s="110"/>
      <c r="I1481" s="1258" t="s">
        <v>1653</v>
      </c>
      <c r="J1481" s="1259"/>
      <c r="K1481" s="1259"/>
      <c r="L1481" s="109" t="s">
        <v>224</v>
      </c>
      <c r="M1481" s="109" t="s">
        <v>1654</v>
      </c>
      <c r="N1481" s="109" t="s">
        <v>226</v>
      </c>
      <c r="O1481" s="109" t="s">
        <v>224</v>
      </c>
      <c r="P1481" s="111">
        <v>44197</v>
      </c>
      <c r="Q1481" s="109" t="s">
        <v>1655</v>
      </c>
      <c r="R1481" s="109">
        <f>+R1482+R1490</f>
        <v>84</v>
      </c>
      <c r="S1481" s="110" t="s">
        <v>299</v>
      </c>
      <c r="T1481" s="109">
        <f t="shared" ref="T1481:AD1481" si="251">+T1482+T1490</f>
        <v>21</v>
      </c>
      <c r="U1481" s="514">
        <f t="shared" ref="U1481" si="252">+U1490+U1482</f>
        <v>0</v>
      </c>
      <c r="V1481" s="695">
        <f t="shared" ref="V1481" si="253">+V1490+V1482</f>
        <v>0</v>
      </c>
      <c r="W1481" s="112">
        <f t="shared" si="251"/>
        <v>21</v>
      </c>
      <c r="X1481" s="112">
        <f t="shared" si="251"/>
        <v>0</v>
      </c>
      <c r="Y1481" s="112"/>
      <c r="Z1481" s="112">
        <f t="shared" si="251"/>
        <v>21</v>
      </c>
      <c r="AA1481" s="112">
        <f t="shared" si="251"/>
        <v>0</v>
      </c>
      <c r="AB1481" s="112"/>
      <c r="AC1481" s="117">
        <f t="shared" si="251"/>
        <v>21</v>
      </c>
      <c r="AD1481" s="112">
        <f t="shared" si="251"/>
        <v>0</v>
      </c>
      <c r="AE1481" s="574"/>
      <c r="AF1481" s="333"/>
      <c r="AG1481" s="514">
        <f t="shared" ref="AG1481:AM1481" si="254">+AG1490+AG1482</f>
        <v>1999999.9600000002</v>
      </c>
      <c r="AH1481" s="514">
        <f t="shared" si="254"/>
        <v>0</v>
      </c>
      <c r="AI1481" s="514">
        <f t="shared" si="254"/>
        <v>0</v>
      </c>
      <c r="AJ1481" s="514">
        <f t="shared" si="254"/>
        <v>0</v>
      </c>
      <c r="AK1481" s="514">
        <f t="shared" si="254"/>
        <v>0</v>
      </c>
      <c r="AL1481" s="514">
        <f t="shared" si="254"/>
        <v>0</v>
      </c>
      <c r="AM1481" s="514">
        <f t="shared" si="254"/>
        <v>0</v>
      </c>
      <c r="AN1481" s="109" t="s">
        <v>181</v>
      </c>
      <c r="AO1481" s="109"/>
      <c r="AP1481" s="109"/>
      <c r="AQ1481" s="411"/>
      <c r="AR1481" s="109"/>
      <c r="AS1481" s="473"/>
      <c r="AT1481" s="109"/>
      <c r="AU1481" s="659"/>
      <c r="AV1481" s="445"/>
    </row>
    <row r="1482" spans="1:48" s="153" customFormat="1" outlineLevel="1" x14ac:dyDescent="0.25">
      <c r="A1482" s="148" t="str">
        <f t="shared" si="229"/>
        <v>6.19.4.1.0.0</v>
      </c>
      <c r="B1482" s="82">
        <v>6</v>
      </c>
      <c r="C1482" s="82">
        <v>19</v>
      </c>
      <c r="D1482" s="82">
        <v>4</v>
      </c>
      <c r="E1482" s="82">
        <v>1</v>
      </c>
      <c r="F1482" s="82">
        <v>0</v>
      </c>
      <c r="G1482" s="82">
        <v>0</v>
      </c>
      <c r="H1482" s="149"/>
      <c r="I1482" s="149"/>
      <c r="J1482" s="1260" t="s">
        <v>1656</v>
      </c>
      <c r="K1482" s="1259"/>
      <c r="L1482" s="82" t="s">
        <v>224</v>
      </c>
      <c r="M1482" s="82" t="s">
        <v>1654</v>
      </c>
      <c r="N1482" s="82" t="s">
        <v>1657</v>
      </c>
      <c r="O1482" s="82" t="s">
        <v>224</v>
      </c>
      <c r="P1482" s="84">
        <v>44197</v>
      </c>
      <c r="Q1482" s="84">
        <v>44561</v>
      </c>
      <c r="R1482" s="82">
        <f>+SUM(R1483:R1489)</f>
        <v>84</v>
      </c>
      <c r="S1482" s="149" t="s">
        <v>299</v>
      </c>
      <c r="T1482" s="82">
        <f>+SUM(T1483:T1489)</f>
        <v>21</v>
      </c>
      <c r="U1482" s="512">
        <f>+SUM(U1483:U1489)</f>
        <v>0</v>
      </c>
      <c r="V1482" s="693">
        <f>+SUM(V1483:V1489)</f>
        <v>0</v>
      </c>
      <c r="W1482" s="152">
        <f>+SUM(W1483:W1489)</f>
        <v>21</v>
      </c>
      <c r="X1482" s="152">
        <f>SUM(X1483:X1489)</f>
        <v>0</v>
      </c>
      <c r="Y1482" s="152"/>
      <c r="Z1482" s="152">
        <f>+SUM(Z1483:Z1489)</f>
        <v>21</v>
      </c>
      <c r="AA1482" s="152">
        <f>SUM(AA1483:AA1489)</f>
        <v>0</v>
      </c>
      <c r="AB1482" s="152"/>
      <c r="AC1482" s="257">
        <f>+SUM(AC1483:AC1489)</f>
        <v>21</v>
      </c>
      <c r="AD1482" s="152">
        <f>SUM(AD1483:AD1489)</f>
        <v>0</v>
      </c>
      <c r="AE1482" s="597"/>
      <c r="AF1482" s="358"/>
      <c r="AG1482" s="512">
        <f>+SUM(AG1483:AG1489)</f>
        <v>1999999.9600000002</v>
      </c>
      <c r="AH1482" s="512">
        <f>+SUM(AH1483:AH1489)</f>
        <v>0</v>
      </c>
      <c r="AI1482" s="512">
        <f>+SUM(AI1483:AI1489)</f>
        <v>0</v>
      </c>
      <c r="AJ1482" s="512">
        <f>+SUM(AJ1483:AJ1489)</f>
        <v>0</v>
      </c>
      <c r="AK1482" s="152"/>
      <c r="AL1482" s="152"/>
      <c r="AM1482" s="152"/>
      <c r="AN1482" s="82" t="s">
        <v>181</v>
      </c>
      <c r="AO1482" s="82"/>
      <c r="AP1482" s="82"/>
      <c r="AQ1482" s="365"/>
      <c r="AR1482" s="82"/>
      <c r="AS1482" s="483"/>
      <c r="AT1482" s="82"/>
      <c r="AU1482" s="666"/>
      <c r="AV1482" s="444"/>
    </row>
    <row r="1483" spans="1:48" outlineLevel="2" x14ac:dyDescent="0.25">
      <c r="A1483" s="63" t="str">
        <f t="shared" si="229"/>
        <v>6.19.4.1.1.59</v>
      </c>
      <c r="B1483" s="64">
        <v>6</v>
      </c>
      <c r="C1483" s="64">
        <v>19</v>
      </c>
      <c r="D1483" s="64">
        <v>4</v>
      </c>
      <c r="E1483" s="64">
        <v>1</v>
      </c>
      <c r="F1483" s="64">
        <v>1</v>
      </c>
      <c r="G1483" s="64">
        <v>59</v>
      </c>
      <c r="H1483" s="65"/>
      <c r="I1483" s="65"/>
      <c r="J1483" s="65"/>
      <c r="K1483" s="65" t="s">
        <v>1658</v>
      </c>
      <c r="L1483" s="64" t="s">
        <v>224</v>
      </c>
      <c r="M1483" s="64" t="s">
        <v>1654</v>
      </c>
      <c r="N1483" s="64" t="s">
        <v>1657</v>
      </c>
      <c r="O1483" s="64" t="s">
        <v>224</v>
      </c>
      <c r="P1483" s="69">
        <v>44197</v>
      </c>
      <c r="Q1483" s="69">
        <v>44561</v>
      </c>
      <c r="R1483" s="64">
        <v>12</v>
      </c>
      <c r="S1483" s="65" t="s">
        <v>299</v>
      </c>
      <c r="T1483" s="64">
        <v>3</v>
      </c>
      <c r="U1483" s="370">
        <v>0</v>
      </c>
      <c r="V1483" s="687">
        <v>0</v>
      </c>
      <c r="W1483" s="75">
        <v>3</v>
      </c>
      <c r="X1483" s="75"/>
      <c r="Y1483" s="75"/>
      <c r="Z1483" s="75">
        <v>3</v>
      </c>
      <c r="AA1483" s="75"/>
      <c r="AB1483" s="75"/>
      <c r="AC1483" s="97">
        <v>3</v>
      </c>
      <c r="AD1483" s="97"/>
      <c r="AE1483" s="591"/>
      <c r="AF1483" s="343" t="s">
        <v>1659</v>
      </c>
      <c r="AG1483" s="509">
        <v>285714.28000000003</v>
      </c>
      <c r="AH1483" s="370">
        <v>0</v>
      </c>
      <c r="AI1483" s="75"/>
      <c r="AJ1483" s="75"/>
      <c r="AK1483" s="75"/>
      <c r="AL1483" s="75"/>
      <c r="AM1483" s="75"/>
      <c r="AN1483" s="64" t="s">
        <v>181</v>
      </c>
      <c r="AO1483" s="64"/>
      <c r="AP1483" s="64"/>
      <c r="AQ1483" s="189"/>
      <c r="AR1483" s="64"/>
      <c r="AS1483" s="476"/>
      <c r="AT1483" s="64"/>
      <c r="AU1483" s="646"/>
      <c r="AV1483" s="185"/>
    </row>
    <row r="1484" spans="1:48" outlineLevel="2" x14ac:dyDescent="0.25">
      <c r="A1484" s="63" t="str">
        <f t="shared" si="229"/>
        <v>6.19.4.1.2.63</v>
      </c>
      <c r="B1484" s="64">
        <v>6</v>
      </c>
      <c r="C1484" s="64">
        <v>19</v>
      </c>
      <c r="D1484" s="64">
        <v>4</v>
      </c>
      <c r="E1484" s="64">
        <v>1</v>
      </c>
      <c r="F1484" s="64">
        <v>2</v>
      </c>
      <c r="G1484" s="64">
        <v>63</v>
      </c>
      <c r="H1484" s="65"/>
      <c r="I1484" s="65"/>
      <c r="J1484" s="65"/>
      <c r="K1484" s="65" t="s">
        <v>1660</v>
      </c>
      <c r="L1484" s="64" t="s">
        <v>224</v>
      </c>
      <c r="M1484" s="64" t="s">
        <v>1654</v>
      </c>
      <c r="N1484" s="64" t="s">
        <v>1657</v>
      </c>
      <c r="O1484" s="64" t="s">
        <v>224</v>
      </c>
      <c r="P1484" s="69">
        <v>44197</v>
      </c>
      <c r="Q1484" s="69">
        <v>44561</v>
      </c>
      <c r="R1484" s="64">
        <v>12</v>
      </c>
      <c r="S1484" s="65" t="s">
        <v>299</v>
      </c>
      <c r="T1484" s="64">
        <v>3</v>
      </c>
      <c r="U1484" s="370">
        <v>0</v>
      </c>
      <c r="V1484" s="687">
        <v>0</v>
      </c>
      <c r="W1484" s="75">
        <v>3</v>
      </c>
      <c r="X1484" s="75"/>
      <c r="Y1484" s="75"/>
      <c r="Z1484" s="75">
        <v>3</v>
      </c>
      <c r="AA1484" s="75"/>
      <c r="AB1484" s="75"/>
      <c r="AC1484" s="97">
        <v>3</v>
      </c>
      <c r="AD1484" s="97"/>
      <c r="AE1484" s="591"/>
      <c r="AF1484" s="343" t="s">
        <v>1659</v>
      </c>
      <c r="AG1484" s="509">
        <v>285714.28000000003</v>
      </c>
      <c r="AH1484" s="370">
        <v>0</v>
      </c>
      <c r="AI1484" s="75"/>
      <c r="AJ1484" s="75"/>
      <c r="AK1484" s="75"/>
      <c r="AL1484" s="75"/>
      <c r="AM1484" s="75"/>
      <c r="AN1484" s="64" t="s">
        <v>181</v>
      </c>
      <c r="AO1484" s="64"/>
      <c r="AP1484" s="64"/>
      <c r="AQ1484" s="189"/>
      <c r="AR1484" s="64"/>
      <c r="AS1484" s="476"/>
      <c r="AT1484" s="64"/>
      <c r="AU1484" s="646"/>
      <c r="AV1484" s="185"/>
    </row>
    <row r="1485" spans="1:48" outlineLevel="2" x14ac:dyDescent="0.25">
      <c r="A1485" s="63" t="str">
        <f t="shared" si="229"/>
        <v>6.19.4.1.3.64</v>
      </c>
      <c r="B1485" s="64">
        <v>6</v>
      </c>
      <c r="C1485" s="64">
        <v>19</v>
      </c>
      <c r="D1485" s="64">
        <v>4</v>
      </c>
      <c r="E1485" s="64">
        <v>1</v>
      </c>
      <c r="F1485" s="64">
        <v>3</v>
      </c>
      <c r="G1485" s="64">
        <v>64</v>
      </c>
      <c r="H1485" s="65"/>
      <c r="I1485" s="65"/>
      <c r="J1485" s="65"/>
      <c r="K1485" s="65" t="s">
        <v>1661</v>
      </c>
      <c r="L1485" s="64" t="s">
        <v>224</v>
      </c>
      <c r="M1485" s="64" t="s">
        <v>1654</v>
      </c>
      <c r="N1485" s="64" t="s">
        <v>1657</v>
      </c>
      <c r="O1485" s="64" t="s">
        <v>224</v>
      </c>
      <c r="P1485" s="69">
        <v>44197</v>
      </c>
      <c r="Q1485" s="69">
        <v>44561</v>
      </c>
      <c r="R1485" s="64">
        <v>12</v>
      </c>
      <c r="S1485" s="65" t="s">
        <v>299</v>
      </c>
      <c r="T1485" s="64">
        <v>3</v>
      </c>
      <c r="U1485" s="370">
        <v>0</v>
      </c>
      <c r="V1485" s="687">
        <v>0</v>
      </c>
      <c r="W1485" s="75">
        <v>3</v>
      </c>
      <c r="X1485" s="75"/>
      <c r="Y1485" s="75"/>
      <c r="Z1485" s="75">
        <v>3</v>
      </c>
      <c r="AA1485" s="75"/>
      <c r="AB1485" s="75"/>
      <c r="AC1485" s="97">
        <v>3</v>
      </c>
      <c r="AD1485" s="97"/>
      <c r="AE1485" s="591"/>
      <c r="AF1485" s="343" t="s">
        <v>1659</v>
      </c>
      <c r="AG1485" s="509">
        <v>285714.28000000003</v>
      </c>
      <c r="AH1485" s="370">
        <v>0</v>
      </c>
      <c r="AI1485" s="75"/>
      <c r="AJ1485" s="75"/>
      <c r="AK1485" s="75"/>
      <c r="AL1485" s="75"/>
      <c r="AM1485" s="75"/>
      <c r="AN1485" s="64" t="s">
        <v>181</v>
      </c>
      <c r="AO1485" s="64"/>
      <c r="AP1485" s="64"/>
      <c r="AQ1485" s="189"/>
      <c r="AR1485" s="64"/>
      <c r="AS1485" s="476"/>
      <c r="AT1485" s="64"/>
      <c r="AU1485" s="646"/>
      <c r="AV1485" s="185"/>
    </row>
    <row r="1486" spans="1:48" outlineLevel="2" x14ac:dyDescent="0.25">
      <c r="A1486" s="63" t="str">
        <f t="shared" si="229"/>
        <v>6.19.4.1.4.61</v>
      </c>
      <c r="B1486" s="64">
        <v>6</v>
      </c>
      <c r="C1486" s="64">
        <v>19</v>
      </c>
      <c r="D1486" s="64">
        <v>4</v>
      </c>
      <c r="E1486" s="64">
        <v>1</v>
      </c>
      <c r="F1486" s="64">
        <v>4</v>
      </c>
      <c r="G1486" s="64">
        <v>61</v>
      </c>
      <c r="H1486" s="65"/>
      <c r="I1486" s="65"/>
      <c r="J1486" s="65"/>
      <c r="K1486" s="65" t="s">
        <v>1662</v>
      </c>
      <c r="L1486" s="64" t="s">
        <v>224</v>
      </c>
      <c r="M1486" s="64" t="s">
        <v>1654</v>
      </c>
      <c r="N1486" s="64" t="s">
        <v>1657</v>
      </c>
      <c r="O1486" s="64" t="s">
        <v>224</v>
      </c>
      <c r="P1486" s="69">
        <v>44197</v>
      </c>
      <c r="Q1486" s="69">
        <v>44561</v>
      </c>
      <c r="R1486" s="64">
        <v>12</v>
      </c>
      <c r="S1486" s="65" t="s">
        <v>299</v>
      </c>
      <c r="T1486" s="64">
        <v>3</v>
      </c>
      <c r="U1486" s="370">
        <v>0</v>
      </c>
      <c r="V1486" s="687">
        <v>0</v>
      </c>
      <c r="W1486" s="75">
        <v>3</v>
      </c>
      <c r="X1486" s="75"/>
      <c r="Y1486" s="75"/>
      <c r="Z1486" s="75">
        <v>3</v>
      </c>
      <c r="AA1486" s="75"/>
      <c r="AB1486" s="75"/>
      <c r="AC1486" s="97">
        <v>3</v>
      </c>
      <c r="AD1486" s="97"/>
      <c r="AE1486" s="591"/>
      <c r="AF1486" s="343" t="s">
        <v>1659</v>
      </c>
      <c r="AG1486" s="509">
        <v>285714.28000000003</v>
      </c>
      <c r="AH1486" s="370">
        <v>0</v>
      </c>
      <c r="AI1486" s="75"/>
      <c r="AJ1486" s="75"/>
      <c r="AK1486" s="75"/>
      <c r="AL1486" s="75"/>
      <c r="AM1486" s="75"/>
      <c r="AN1486" s="64" t="s">
        <v>181</v>
      </c>
      <c r="AO1486" s="64"/>
      <c r="AP1486" s="64"/>
      <c r="AQ1486" s="189"/>
      <c r="AR1486" s="64"/>
      <c r="AS1486" s="476"/>
      <c r="AT1486" s="64"/>
      <c r="AU1486" s="646"/>
      <c r="AV1486" s="185"/>
    </row>
    <row r="1487" spans="1:48" outlineLevel="2" x14ac:dyDescent="0.25">
      <c r="A1487" s="63" t="str">
        <f t="shared" si="229"/>
        <v>6.19.4.1.5.62</v>
      </c>
      <c r="B1487" s="64">
        <v>6</v>
      </c>
      <c r="C1487" s="64">
        <v>19</v>
      </c>
      <c r="D1487" s="64">
        <v>4</v>
      </c>
      <c r="E1487" s="64">
        <v>1</v>
      </c>
      <c r="F1487" s="64">
        <v>5</v>
      </c>
      <c r="G1487" s="64">
        <v>62</v>
      </c>
      <c r="H1487" s="65"/>
      <c r="I1487" s="65"/>
      <c r="J1487" s="65"/>
      <c r="K1487" s="65" t="s">
        <v>1663</v>
      </c>
      <c r="L1487" s="64" t="s">
        <v>224</v>
      </c>
      <c r="M1487" s="64" t="s">
        <v>1654</v>
      </c>
      <c r="N1487" s="64" t="s">
        <v>1657</v>
      </c>
      <c r="O1487" s="64" t="s">
        <v>224</v>
      </c>
      <c r="P1487" s="69">
        <v>44197</v>
      </c>
      <c r="Q1487" s="69">
        <v>44561</v>
      </c>
      <c r="R1487" s="64">
        <v>12</v>
      </c>
      <c r="S1487" s="65" t="s">
        <v>299</v>
      </c>
      <c r="T1487" s="64">
        <v>3</v>
      </c>
      <c r="U1487" s="370">
        <v>0</v>
      </c>
      <c r="V1487" s="687">
        <v>0</v>
      </c>
      <c r="W1487" s="75">
        <v>3</v>
      </c>
      <c r="X1487" s="75"/>
      <c r="Y1487" s="75"/>
      <c r="Z1487" s="75">
        <v>3</v>
      </c>
      <c r="AA1487" s="75"/>
      <c r="AB1487" s="75"/>
      <c r="AC1487" s="97">
        <v>3</v>
      </c>
      <c r="AD1487" s="97"/>
      <c r="AE1487" s="591"/>
      <c r="AF1487" s="343" t="s">
        <v>1659</v>
      </c>
      <c r="AG1487" s="509">
        <v>285714.28000000003</v>
      </c>
      <c r="AH1487" s="370">
        <v>0</v>
      </c>
      <c r="AI1487" s="75"/>
      <c r="AJ1487" s="75"/>
      <c r="AK1487" s="75"/>
      <c r="AL1487" s="75"/>
      <c r="AM1487" s="75"/>
      <c r="AN1487" s="64" t="s">
        <v>181</v>
      </c>
      <c r="AO1487" s="64"/>
      <c r="AP1487" s="64"/>
      <c r="AQ1487" s="189"/>
      <c r="AR1487" s="64"/>
      <c r="AS1487" s="476"/>
      <c r="AT1487" s="64"/>
      <c r="AU1487" s="646"/>
      <c r="AV1487" s="185"/>
    </row>
    <row r="1488" spans="1:48" outlineLevel="2" x14ac:dyDescent="0.25">
      <c r="A1488" s="63" t="str">
        <f t="shared" si="229"/>
        <v>6.19.4.1.6.60</v>
      </c>
      <c r="B1488" s="64">
        <v>6</v>
      </c>
      <c r="C1488" s="64">
        <v>19</v>
      </c>
      <c r="D1488" s="64">
        <v>4</v>
      </c>
      <c r="E1488" s="64">
        <v>1</v>
      </c>
      <c r="F1488" s="64">
        <v>6</v>
      </c>
      <c r="G1488" s="64">
        <v>60</v>
      </c>
      <c r="H1488" s="65"/>
      <c r="I1488" s="65"/>
      <c r="J1488" s="65"/>
      <c r="K1488" s="65" t="s">
        <v>1664</v>
      </c>
      <c r="L1488" s="64" t="s">
        <v>224</v>
      </c>
      <c r="M1488" s="64" t="s">
        <v>1654</v>
      </c>
      <c r="N1488" s="64" t="s">
        <v>1657</v>
      </c>
      <c r="O1488" s="64" t="s">
        <v>224</v>
      </c>
      <c r="P1488" s="69">
        <v>44197</v>
      </c>
      <c r="Q1488" s="69">
        <v>44561</v>
      </c>
      <c r="R1488" s="64">
        <v>12</v>
      </c>
      <c r="S1488" s="65" t="s">
        <v>299</v>
      </c>
      <c r="T1488" s="64">
        <v>3</v>
      </c>
      <c r="U1488" s="370">
        <v>0</v>
      </c>
      <c r="V1488" s="687">
        <v>0</v>
      </c>
      <c r="W1488" s="75">
        <v>3</v>
      </c>
      <c r="X1488" s="75"/>
      <c r="Y1488" s="75"/>
      <c r="Z1488" s="75">
        <v>3</v>
      </c>
      <c r="AA1488" s="75"/>
      <c r="AB1488" s="75"/>
      <c r="AC1488" s="97">
        <v>3</v>
      </c>
      <c r="AD1488" s="97"/>
      <c r="AE1488" s="591"/>
      <c r="AF1488" s="343" t="s">
        <v>1659</v>
      </c>
      <c r="AG1488" s="509">
        <v>285714.28000000003</v>
      </c>
      <c r="AH1488" s="370">
        <v>0</v>
      </c>
      <c r="AI1488" s="75"/>
      <c r="AJ1488" s="75"/>
      <c r="AK1488" s="75"/>
      <c r="AL1488" s="75"/>
      <c r="AM1488" s="75"/>
      <c r="AN1488" s="64" t="s">
        <v>181</v>
      </c>
      <c r="AO1488" s="64"/>
      <c r="AP1488" s="64"/>
      <c r="AQ1488" s="189"/>
      <c r="AR1488" s="64"/>
      <c r="AS1488" s="476"/>
      <c r="AT1488" s="64"/>
      <c r="AU1488" s="646"/>
      <c r="AV1488" s="185"/>
    </row>
    <row r="1489" spans="1:114" outlineLevel="2" x14ac:dyDescent="0.25">
      <c r="A1489" s="63" t="str">
        <f t="shared" si="229"/>
        <v>6.19.4.1.7.58</v>
      </c>
      <c r="B1489" s="64">
        <v>6</v>
      </c>
      <c r="C1489" s="64">
        <v>19</v>
      </c>
      <c r="D1489" s="64">
        <v>4</v>
      </c>
      <c r="E1489" s="64">
        <v>1</v>
      </c>
      <c r="F1489" s="64">
        <v>7</v>
      </c>
      <c r="G1489" s="64">
        <v>58</v>
      </c>
      <c r="H1489" s="65"/>
      <c r="I1489" s="65"/>
      <c r="J1489" s="65"/>
      <c r="K1489" s="65" t="s">
        <v>1665</v>
      </c>
      <c r="L1489" s="64" t="s">
        <v>224</v>
      </c>
      <c r="M1489" s="64" t="s">
        <v>1654</v>
      </c>
      <c r="N1489" s="64" t="s">
        <v>1657</v>
      </c>
      <c r="O1489" s="64" t="s">
        <v>224</v>
      </c>
      <c r="P1489" s="69">
        <v>44197</v>
      </c>
      <c r="Q1489" s="69">
        <v>44561</v>
      </c>
      <c r="R1489" s="64">
        <v>12</v>
      </c>
      <c r="S1489" s="65" t="s">
        <v>299</v>
      </c>
      <c r="T1489" s="64">
        <v>3</v>
      </c>
      <c r="U1489" s="370">
        <v>0</v>
      </c>
      <c r="V1489" s="687">
        <v>0</v>
      </c>
      <c r="W1489" s="75">
        <v>3</v>
      </c>
      <c r="X1489" s="75"/>
      <c r="Y1489" s="75"/>
      <c r="Z1489" s="75">
        <v>3</v>
      </c>
      <c r="AA1489" s="75"/>
      <c r="AB1489" s="75"/>
      <c r="AC1489" s="97">
        <v>3</v>
      </c>
      <c r="AD1489" s="97"/>
      <c r="AE1489" s="591"/>
      <c r="AF1489" s="343" t="s">
        <v>1659</v>
      </c>
      <c r="AG1489" s="509">
        <v>285714.28000000003</v>
      </c>
      <c r="AH1489" s="370">
        <v>0</v>
      </c>
      <c r="AI1489" s="75"/>
      <c r="AJ1489" s="75"/>
      <c r="AK1489" s="75"/>
      <c r="AL1489" s="75"/>
      <c r="AM1489" s="75"/>
      <c r="AN1489" s="64" t="s">
        <v>181</v>
      </c>
      <c r="AO1489" s="64"/>
      <c r="AP1489" s="64"/>
      <c r="AQ1489" s="189"/>
      <c r="AR1489" s="64"/>
      <c r="AS1489" s="476"/>
      <c r="AT1489" s="64"/>
      <c r="AU1489" s="646"/>
      <c r="AV1489" s="185"/>
    </row>
    <row r="1490" spans="1:114" s="153" customFormat="1" outlineLevel="1" x14ac:dyDescent="0.25">
      <c r="A1490" s="298" t="str">
        <f t="shared" si="229"/>
        <v>6.19.4.2.0.0</v>
      </c>
      <c r="B1490" s="299">
        <v>6</v>
      </c>
      <c r="C1490" s="299">
        <v>19</v>
      </c>
      <c r="D1490" s="299">
        <v>4</v>
      </c>
      <c r="E1490" s="299">
        <v>2</v>
      </c>
      <c r="F1490" s="299">
        <v>0</v>
      </c>
      <c r="G1490" s="299">
        <v>0</v>
      </c>
      <c r="H1490" s="300"/>
      <c r="I1490" s="300"/>
      <c r="J1490" s="1261" t="s">
        <v>1666</v>
      </c>
      <c r="K1490" s="1262"/>
      <c r="L1490" s="299" t="s">
        <v>224</v>
      </c>
      <c r="M1490" s="299" t="s">
        <v>76</v>
      </c>
      <c r="N1490" s="299" t="s">
        <v>74</v>
      </c>
      <c r="O1490" s="299" t="s">
        <v>224</v>
      </c>
      <c r="P1490" s="299" t="s">
        <v>649</v>
      </c>
      <c r="Q1490" s="299" t="s">
        <v>649</v>
      </c>
      <c r="R1490" s="299">
        <f>+SUM(R1491)</f>
        <v>0</v>
      </c>
      <c r="S1490" s="300" t="s">
        <v>76</v>
      </c>
      <c r="T1490" s="299">
        <v>0</v>
      </c>
      <c r="U1490" s="394">
        <f>+SUM(U1491)</f>
        <v>0</v>
      </c>
      <c r="V1490" s="697">
        <f>+SUM(V1491)</f>
        <v>0</v>
      </c>
      <c r="W1490" s="301">
        <v>0</v>
      </c>
      <c r="X1490" s="301"/>
      <c r="Y1490" s="301"/>
      <c r="Z1490" s="301">
        <v>0</v>
      </c>
      <c r="AA1490" s="301"/>
      <c r="AB1490" s="301"/>
      <c r="AC1490" s="302">
        <v>0</v>
      </c>
      <c r="AD1490" s="302"/>
      <c r="AE1490" s="619"/>
      <c r="AF1490" s="368" t="s">
        <v>649</v>
      </c>
      <c r="AG1490" s="531">
        <f>+SUM(AG1491)</f>
        <v>0</v>
      </c>
      <c r="AH1490" s="394">
        <f>+SUM(AH1491)</f>
        <v>0</v>
      </c>
      <c r="AI1490" s="531">
        <f>+SUM(AI1491)</f>
        <v>0</v>
      </c>
      <c r="AJ1490" s="531">
        <f>+SUM(AJ1491)</f>
        <v>0</v>
      </c>
      <c r="AK1490" s="301"/>
      <c r="AL1490" s="301"/>
      <c r="AM1490" s="301"/>
      <c r="AN1490" s="299" t="s">
        <v>181</v>
      </c>
      <c r="AO1490" s="299"/>
      <c r="AP1490" s="299"/>
      <c r="AQ1490" s="424"/>
      <c r="AR1490" s="82"/>
      <c r="AS1490" s="490"/>
      <c r="AT1490" s="82"/>
      <c r="AU1490" s="666"/>
      <c r="AV1490" s="462"/>
    </row>
    <row r="1491" spans="1:114" s="170" customFormat="1" ht="25.5" customHeight="1" outlineLevel="5" x14ac:dyDescent="0.25">
      <c r="A1491" s="63" t="str">
        <f t="shared" si="229"/>
        <v>6.19.4.2.1.58</v>
      </c>
      <c r="B1491" s="64">
        <v>6</v>
      </c>
      <c r="C1491" s="64">
        <v>19</v>
      </c>
      <c r="D1491" s="64">
        <v>4</v>
      </c>
      <c r="E1491" s="64">
        <v>2</v>
      </c>
      <c r="F1491" s="64">
        <v>1</v>
      </c>
      <c r="G1491" s="64">
        <v>58</v>
      </c>
      <c r="H1491" s="65"/>
      <c r="I1491" s="65"/>
      <c r="J1491" s="65"/>
      <c r="K1491" s="65" t="s">
        <v>1667</v>
      </c>
      <c r="L1491" s="64" t="s">
        <v>72</v>
      </c>
      <c r="M1491" s="64" t="s">
        <v>76</v>
      </c>
      <c r="N1491" s="64" t="s">
        <v>74</v>
      </c>
      <c r="O1491" s="64" t="s">
        <v>224</v>
      </c>
      <c r="P1491" s="64" t="s">
        <v>649</v>
      </c>
      <c r="Q1491" s="64" t="s">
        <v>649</v>
      </c>
      <c r="R1491" s="64" t="s">
        <v>649</v>
      </c>
      <c r="S1491" s="65" t="s">
        <v>76</v>
      </c>
      <c r="T1491" s="64">
        <v>0</v>
      </c>
      <c r="U1491" s="370">
        <v>0</v>
      </c>
      <c r="V1491" s="687">
        <v>0</v>
      </c>
      <c r="W1491" s="75">
        <v>0</v>
      </c>
      <c r="X1491" s="75"/>
      <c r="Y1491" s="75"/>
      <c r="Z1491" s="75">
        <v>0</v>
      </c>
      <c r="AA1491" s="75"/>
      <c r="AB1491" s="75"/>
      <c r="AC1491" s="97">
        <v>0</v>
      </c>
      <c r="AD1491" s="97"/>
      <c r="AE1491" s="591"/>
      <c r="AF1491" s="259" t="s">
        <v>649</v>
      </c>
      <c r="AG1491" s="395">
        <v>0</v>
      </c>
      <c r="AH1491" s="370">
        <v>0</v>
      </c>
      <c r="AI1491" s="75"/>
      <c r="AJ1491" s="75"/>
      <c r="AK1491" s="75"/>
      <c r="AL1491" s="75"/>
      <c r="AM1491" s="75"/>
      <c r="AN1491" s="64" t="s">
        <v>181</v>
      </c>
      <c r="AO1491" s="64"/>
      <c r="AP1491" s="64"/>
      <c r="AQ1491" s="189"/>
      <c r="AR1491" s="64"/>
      <c r="AS1491" s="476"/>
      <c r="AT1491" s="64"/>
      <c r="AU1491" s="646"/>
      <c r="AV1491" s="185"/>
    </row>
    <row r="1492" spans="1:114" s="170" customFormat="1" ht="12" customHeight="1" outlineLevel="2" x14ac:dyDescent="0.25">
      <c r="A1492" s="63" t="str">
        <f t="shared" si="229"/>
        <v>6.19.4.2.2.59</v>
      </c>
      <c r="B1492" s="64">
        <v>6</v>
      </c>
      <c r="C1492" s="64">
        <v>19</v>
      </c>
      <c r="D1492" s="64">
        <v>4</v>
      </c>
      <c r="E1492" s="64">
        <v>2</v>
      </c>
      <c r="F1492" s="64">
        <v>2</v>
      </c>
      <c r="G1492" s="64">
        <v>59</v>
      </c>
      <c r="H1492" s="65"/>
      <c r="I1492" s="65"/>
      <c r="J1492" s="65"/>
      <c r="K1492" s="65" t="s">
        <v>1667</v>
      </c>
      <c r="L1492" s="64" t="s">
        <v>72</v>
      </c>
      <c r="M1492" s="64" t="s">
        <v>76</v>
      </c>
      <c r="N1492" s="64" t="s">
        <v>74</v>
      </c>
      <c r="O1492" s="64" t="s">
        <v>224</v>
      </c>
      <c r="P1492" s="64" t="s">
        <v>649</v>
      </c>
      <c r="R1492" s="303"/>
      <c r="S1492" s="304"/>
      <c r="T1492" s="303"/>
      <c r="U1492" s="370">
        <v>0</v>
      </c>
      <c r="V1492" s="687">
        <v>0</v>
      </c>
      <c r="W1492" s="305"/>
      <c r="X1492" s="305"/>
      <c r="Y1492" s="305"/>
      <c r="Z1492" s="305"/>
      <c r="AA1492" s="305"/>
      <c r="AB1492" s="305"/>
      <c r="AC1492" s="306"/>
      <c r="AD1492" s="306"/>
      <c r="AE1492" s="620"/>
      <c r="AF1492" s="353"/>
      <c r="AG1492" s="395">
        <v>0</v>
      </c>
      <c r="AH1492" s="370">
        <v>0</v>
      </c>
      <c r="AI1492" s="75"/>
      <c r="AJ1492" s="75"/>
      <c r="AK1492" s="75"/>
      <c r="AL1492" s="75"/>
      <c r="AM1492" s="75"/>
      <c r="AN1492" s="64" t="s">
        <v>181</v>
      </c>
      <c r="AO1492" s="64"/>
      <c r="AP1492" s="64"/>
      <c r="AQ1492" s="189"/>
      <c r="AR1492" s="64"/>
      <c r="AS1492" s="476"/>
      <c r="AT1492" s="64"/>
      <c r="AU1492" s="646"/>
      <c r="AV1492" s="185"/>
    </row>
    <row r="1493" spans="1:114" s="170" customFormat="1" ht="12.75" customHeight="1" outlineLevel="1" x14ac:dyDescent="0.25">
      <c r="A1493" s="63" t="str">
        <f t="shared" si="229"/>
        <v>6.19.4.2.3.60</v>
      </c>
      <c r="B1493" s="64">
        <v>6</v>
      </c>
      <c r="C1493" s="64">
        <v>19</v>
      </c>
      <c r="D1493" s="64">
        <v>4</v>
      </c>
      <c r="E1493" s="64">
        <v>2</v>
      </c>
      <c r="F1493" s="64">
        <v>3</v>
      </c>
      <c r="G1493" s="64">
        <v>60</v>
      </c>
      <c r="H1493" s="65"/>
      <c r="I1493" s="65"/>
      <c r="J1493" s="65"/>
      <c r="K1493" s="65" t="s">
        <v>1667</v>
      </c>
      <c r="L1493" s="64" t="s">
        <v>668</v>
      </c>
      <c r="M1493" s="64" t="s">
        <v>76</v>
      </c>
      <c r="N1493" s="64" t="s">
        <v>74</v>
      </c>
      <c r="O1493" s="64" t="s">
        <v>224</v>
      </c>
      <c r="P1493" s="64" t="s">
        <v>649</v>
      </c>
      <c r="U1493" s="370">
        <v>0</v>
      </c>
      <c r="V1493" s="687">
        <v>0</v>
      </c>
      <c r="W1493" s="97"/>
      <c r="X1493" s="97"/>
      <c r="Y1493" s="97"/>
      <c r="Z1493" s="97"/>
      <c r="AA1493" s="97"/>
      <c r="AB1493" s="97"/>
      <c r="AC1493" s="97"/>
      <c r="AD1493" s="97"/>
      <c r="AE1493" s="591"/>
      <c r="AF1493" s="353"/>
      <c r="AG1493" s="395">
        <v>0</v>
      </c>
      <c r="AH1493" s="370">
        <v>0</v>
      </c>
      <c r="AI1493" s="75"/>
      <c r="AJ1493" s="75"/>
      <c r="AK1493" s="75"/>
      <c r="AL1493" s="75"/>
      <c r="AM1493" s="75"/>
      <c r="AN1493" s="64" t="s">
        <v>181</v>
      </c>
      <c r="AO1493" s="64"/>
      <c r="AP1493" s="64"/>
      <c r="AQ1493" s="189"/>
      <c r="AR1493" s="64"/>
      <c r="AS1493" s="476"/>
      <c r="AT1493" s="64"/>
      <c r="AU1493" s="646"/>
      <c r="AV1493" s="185"/>
    </row>
    <row r="1494" spans="1:114" s="170" customFormat="1" ht="12.75" customHeight="1" outlineLevel="1" x14ac:dyDescent="0.25">
      <c r="A1494" s="63" t="str">
        <f t="shared" si="229"/>
        <v>6.19.4.2.4.61</v>
      </c>
      <c r="B1494" s="64">
        <v>6</v>
      </c>
      <c r="C1494" s="64">
        <v>19</v>
      </c>
      <c r="D1494" s="64">
        <v>4</v>
      </c>
      <c r="E1494" s="64">
        <v>2</v>
      </c>
      <c r="F1494" s="64">
        <v>4</v>
      </c>
      <c r="G1494" s="64">
        <v>61</v>
      </c>
      <c r="H1494" s="65"/>
      <c r="I1494" s="65"/>
      <c r="J1494" s="65"/>
      <c r="K1494" s="65" t="s">
        <v>1667</v>
      </c>
      <c r="L1494" s="64" t="s">
        <v>668</v>
      </c>
      <c r="M1494" s="64" t="s">
        <v>76</v>
      </c>
      <c r="N1494" s="64" t="s">
        <v>74</v>
      </c>
      <c r="O1494" s="64" t="s">
        <v>224</v>
      </c>
      <c r="P1494" s="64" t="s">
        <v>649</v>
      </c>
      <c r="R1494" s="171"/>
      <c r="U1494" s="370">
        <v>0</v>
      </c>
      <c r="V1494" s="687">
        <v>0</v>
      </c>
      <c r="W1494" s="97"/>
      <c r="X1494" s="97"/>
      <c r="Y1494" s="97"/>
      <c r="Z1494" s="97"/>
      <c r="AA1494" s="97"/>
      <c r="AB1494" s="97"/>
      <c r="AC1494" s="97"/>
      <c r="AD1494" s="97"/>
      <c r="AE1494" s="591"/>
      <c r="AF1494" s="353"/>
      <c r="AG1494" s="395">
        <v>0</v>
      </c>
      <c r="AH1494" s="370">
        <v>0</v>
      </c>
      <c r="AI1494" s="75"/>
      <c r="AJ1494" s="75"/>
      <c r="AK1494" s="75"/>
      <c r="AL1494" s="75"/>
      <c r="AM1494" s="75"/>
      <c r="AN1494" s="64" t="s">
        <v>181</v>
      </c>
      <c r="AO1494" s="64"/>
      <c r="AP1494" s="64"/>
      <c r="AQ1494" s="189"/>
      <c r="AR1494" s="64"/>
      <c r="AS1494" s="476"/>
      <c r="AT1494" s="64"/>
      <c r="AU1494" s="646"/>
      <c r="AV1494" s="185"/>
    </row>
    <row r="1495" spans="1:114" s="170" customFormat="1" ht="12.75" customHeight="1" outlineLevel="1" x14ac:dyDescent="0.25">
      <c r="A1495" s="63" t="str">
        <f t="shared" si="229"/>
        <v>6.19.4.2.5.62</v>
      </c>
      <c r="B1495" s="64">
        <v>6</v>
      </c>
      <c r="C1495" s="64">
        <v>19</v>
      </c>
      <c r="D1495" s="64">
        <v>4</v>
      </c>
      <c r="E1495" s="64">
        <v>2</v>
      </c>
      <c r="F1495" s="64">
        <v>5</v>
      </c>
      <c r="G1495" s="64">
        <v>62</v>
      </c>
      <c r="H1495" s="65"/>
      <c r="I1495" s="65"/>
      <c r="J1495" s="65"/>
      <c r="K1495" s="65" t="s">
        <v>1667</v>
      </c>
      <c r="L1495" s="64" t="s">
        <v>668</v>
      </c>
      <c r="M1495" s="64" t="s">
        <v>76</v>
      </c>
      <c r="N1495" s="64" t="s">
        <v>74</v>
      </c>
      <c r="O1495" s="64" t="s">
        <v>224</v>
      </c>
      <c r="P1495" s="64" t="s">
        <v>649</v>
      </c>
      <c r="R1495" s="171"/>
      <c r="U1495" s="395">
        <v>0</v>
      </c>
      <c r="V1495" s="698">
        <v>0</v>
      </c>
      <c r="W1495" s="97"/>
      <c r="X1495" s="97"/>
      <c r="Y1495" s="97"/>
      <c r="Z1495" s="97"/>
      <c r="AA1495" s="97"/>
      <c r="AB1495" s="97"/>
      <c r="AC1495" s="97"/>
      <c r="AD1495" s="97"/>
      <c r="AE1495" s="591"/>
      <c r="AF1495" s="353"/>
      <c r="AG1495" s="395">
        <v>0</v>
      </c>
      <c r="AH1495" s="395">
        <v>0</v>
      </c>
      <c r="AI1495" s="97"/>
      <c r="AJ1495" s="97"/>
      <c r="AK1495" s="97"/>
      <c r="AL1495" s="97"/>
      <c r="AM1495" s="97"/>
      <c r="AN1495" s="64" t="s">
        <v>181</v>
      </c>
      <c r="AO1495" s="64"/>
      <c r="AP1495" s="64"/>
      <c r="AQ1495" s="189"/>
      <c r="AR1495" s="64"/>
      <c r="AS1495" s="476"/>
      <c r="AT1495" s="64"/>
      <c r="AU1495" s="646"/>
      <c r="AV1495" s="185"/>
    </row>
    <row r="1496" spans="1:114" s="170" customFormat="1" ht="12.75" customHeight="1" outlineLevel="1" x14ac:dyDescent="0.25">
      <c r="A1496" s="63" t="str">
        <f t="shared" si="229"/>
        <v>6.19.4.2.6.63</v>
      </c>
      <c r="B1496" s="64">
        <v>6</v>
      </c>
      <c r="C1496" s="64">
        <v>19</v>
      </c>
      <c r="D1496" s="64">
        <v>4</v>
      </c>
      <c r="E1496" s="64">
        <v>2</v>
      </c>
      <c r="F1496" s="64">
        <v>6</v>
      </c>
      <c r="G1496" s="64">
        <v>63</v>
      </c>
      <c r="H1496" s="65"/>
      <c r="I1496" s="65"/>
      <c r="J1496" s="65"/>
      <c r="K1496" s="65" t="s">
        <v>1667</v>
      </c>
      <c r="L1496" s="64" t="s">
        <v>668</v>
      </c>
      <c r="M1496" s="64" t="s">
        <v>76</v>
      </c>
      <c r="N1496" s="64" t="s">
        <v>74</v>
      </c>
      <c r="O1496" s="64" t="s">
        <v>224</v>
      </c>
      <c r="P1496" s="64" t="s">
        <v>649</v>
      </c>
      <c r="R1496" s="171"/>
      <c r="U1496" s="395">
        <v>0</v>
      </c>
      <c r="V1496" s="698">
        <v>0</v>
      </c>
      <c r="W1496" s="97"/>
      <c r="X1496" s="97"/>
      <c r="Y1496" s="97"/>
      <c r="Z1496" s="97"/>
      <c r="AA1496" s="97"/>
      <c r="AB1496" s="97"/>
      <c r="AC1496" s="97"/>
      <c r="AD1496" s="97"/>
      <c r="AE1496" s="591"/>
      <c r="AF1496" s="353"/>
      <c r="AG1496" s="395">
        <v>0</v>
      </c>
      <c r="AH1496" s="395">
        <v>0</v>
      </c>
      <c r="AI1496" s="97"/>
      <c r="AJ1496" s="97"/>
      <c r="AK1496" s="97"/>
      <c r="AL1496" s="97"/>
      <c r="AM1496" s="97"/>
      <c r="AN1496" s="64" t="s">
        <v>181</v>
      </c>
      <c r="AO1496" s="64"/>
      <c r="AP1496" s="64"/>
      <c r="AQ1496" s="189"/>
      <c r="AR1496" s="64"/>
      <c r="AS1496" s="476"/>
      <c r="AT1496" s="64"/>
      <c r="AU1496" s="646"/>
      <c r="AV1496" s="185"/>
    </row>
    <row r="1497" spans="1:114" s="170" customFormat="1" ht="12.75" customHeight="1" outlineLevel="1" x14ac:dyDescent="0.25">
      <c r="A1497" s="63" t="str">
        <f t="shared" si="229"/>
        <v>6.19.4.2.7.64</v>
      </c>
      <c r="B1497" s="64">
        <v>6</v>
      </c>
      <c r="C1497" s="64">
        <v>19</v>
      </c>
      <c r="D1497" s="64">
        <v>4</v>
      </c>
      <c r="E1497" s="64">
        <v>2</v>
      </c>
      <c r="F1497" s="64">
        <v>7</v>
      </c>
      <c r="G1497" s="64">
        <v>64</v>
      </c>
      <c r="H1497" s="65"/>
      <c r="I1497" s="65"/>
      <c r="J1497" s="65"/>
      <c r="K1497" s="65" t="s">
        <v>1667</v>
      </c>
      <c r="L1497" s="64" t="s">
        <v>668</v>
      </c>
      <c r="M1497" s="64" t="s">
        <v>76</v>
      </c>
      <c r="N1497" s="64" t="s">
        <v>74</v>
      </c>
      <c r="O1497" s="64" t="s">
        <v>224</v>
      </c>
      <c r="P1497" s="64" t="s">
        <v>649</v>
      </c>
      <c r="R1497" s="171"/>
      <c r="U1497" s="395">
        <v>0</v>
      </c>
      <c r="V1497" s="698">
        <v>0</v>
      </c>
      <c r="W1497" s="97"/>
      <c r="X1497" s="97"/>
      <c r="Y1497" s="97"/>
      <c r="Z1497" s="97"/>
      <c r="AA1497" s="97"/>
      <c r="AB1497" s="97"/>
      <c r="AC1497" s="97"/>
      <c r="AD1497" s="97"/>
      <c r="AE1497" s="591"/>
      <c r="AF1497" s="353"/>
      <c r="AG1497" s="395">
        <v>0</v>
      </c>
      <c r="AH1497" s="395">
        <v>0</v>
      </c>
      <c r="AI1497" s="97"/>
      <c r="AJ1497" s="97"/>
      <c r="AK1497" s="97"/>
      <c r="AL1497" s="97"/>
      <c r="AM1497" s="97"/>
      <c r="AN1497" s="64" t="s">
        <v>181</v>
      </c>
      <c r="AO1497" s="64"/>
      <c r="AP1497" s="64"/>
      <c r="AQ1497" s="189"/>
      <c r="AR1497" s="64"/>
      <c r="AS1497" s="476"/>
      <c r="AT1497" s="64"/>
      <c r="AU1497" s="646"/>
      <c r="AV1497" s="185"/>
    </row>
    <row r="1498" spans="1:114" s="170" customFormat="1" ht="30" outlineLevel="1" x14ac:dyDescent="0.25">
      <c r="A1498" s="63" t="s">
        <v>1668</v>
      </c>
      <c r="B1498" s="64">
        <v>6</v>
      </c>
      <c r="C1498" s="64">
        <v>19</v>
      </c>
      <c r="D1498" s="64">
        <v>4</v>
      </c>
      <c r="E1498" s="64">
        <v>3</v>
      </c>
      <c r="F1498" s="64">
        <v>1</v>
      </c>
      <c r="G1498" s="64">
        <v>58</v>
      </c>
      <c r="H1498" s="65"/>
      <c r="I1498" s="65"/>
      <c r="J1498" s="65"/>
      <c r="K1498" s="67" t="s">
        <v>1669</v>
      </c>
      <c r="L1498" s="64" t="s">
        <v>668</v>
      </c>
      <c r="M1498" s="64"/>
      <c r="N1498" s="64"/>
      <c r="O1498" s="64"/>
      <c r="R1498" s="171"/>
      <c r="U1498" s="395">
        <v>0</v>
      </c>
      <c r="V1498" s="698">
        <v>0</v>
      </c>
      <c r="W1498" s="97"/>
      <c r="X1498" s="97"/>
      <c r="Y1498" s="97"/>
      <c r="Z1498" s="97"/>
      <c r="AA1498" s="97"/>
      <c r="AB1498" s="97"/>
      <c r="AC1498" s="97"/>
      <c r="AD1498" s="97"/>
      <c r="AE1498" s="591"/>
      <c r="AF1498" s="353"/>
      <c r="AG1498" s="395">
        <v>0</v>
      </c>
      <c r="AH1498" s="395">
        <v>0</v>
      </c>
      <c r="AI1498" s="97"/>
      <c r="AJ1498" s="97"/>
      <c r="AK1498" s="97"/>
      <c r="AL1498" s="97"/>
      <c r="AM1498" s="97"/>
      <c r="AN1498" s="64" t="s">
        <v>181</v>
      </c>
      <c r="AO1498" s="64"/>
      <c r="AP1498" s="64"/>
      <c r="AQ1498" s="189"/>
      <c r="AR1498" s="64"/>
      <c r="AS1498" s="476"/>
      <c r="AT1498" s="64"/>
      <c r="AU1498" s="646"/>
      <c r="AV1498" s="185"/>
      <c r="AW1498" s="573"/>
      <c r="AX1498" s="573"/>
      <c r="AY1498" s="573"/>
      <c r="AZ1498" s="573"/>
      <c r="BA1498" s="573"/>
      <c r="BB1498" s="573"/>
      <c r="BC1498" s="573"/>
      <c r="BD1498" s="573"/>
      <c r="BE1498" s="573"/>
      <c r="BF1498" s="573"/>
      <c r="BG1498" s="573"/>
      <c r="BH1498" s="573"/>
      <c r="BI1498" s="573"/>
      <c r="BJ1498" s="573"/>
      <c r="BK1498" s="573"/>
      <c r="BL1498" s="573"/>
      <c r="BM1498" s="573"/>
      <c r="BN1498" s="573"/>
      <c r="BO1498" s="573"/>
      <c r="BP1498" s="573"/>
      <c r="BQ1498" s="573"/>
      <c r="BR1498" s="573"/>
      <c r="BS1498" s="573"/>
      <c r="BT1498" s="573"/>
      <c r="BU1498" s="573"/>
      <c r="BV1498" s="573"/>
      <c r="BW1498" s="573"/>
      <c r="BX1498" s="573"/>
      <c r="BY1498" s="573"/>
      <c r="BZ1498" s="573"/>
      <c r="CA1498" s="573"/>
      <c r="CB1498" s="573"/>
      <c r="CC1498" s="573"/>
      <c r="CD1498" s="573"/>
      <c r="CE1498" s="573"/>
      <c r="CF1498" s="573"/>
      <c r="CG1498" s="573"/>
      <c r="CH1498" s="573"/>
      <c r="CI1498" s="573"/>
      <c r="CJ1498" s="573"/>
      <c r="CK1498" s="573"/>
      <c r="CL1498" s="573"/>
      <c r="CM1498" s="573"/>
      <c r="CN1498" s="573"/>
      <c r="CO1498" s="573"/>
      <c r="CP1498" s="573"/>
      <c r="CQ1498" s="573"/>
      <c r="CR1498" s="573"/>
      <c r="CS1498" s="573"/>
      <c r="CT1498" s="573"/>
      <c r="CU1498" s="573"/>
      <c r="CV1498" s="573"/>
      <c r="CW1498" s="573"/>
      <c r="CX1498" s="573"/>
      <c r="CY1498" s="573"/>
      <c r="CZ1498" s="573"/>
      <c r="DA1498" s="573"/>
      <c r="DB1498" s="573"/>
      <c r="DC1498" s="573"/>
      <c r="DD1498" s="573"/>
      <c r="DE1498" s="573"/>
      <c r="DF1498" s="573"/>
      <c r="DG1498" s="573"/>
      <c r="DH1498" s="573"/>
      <c r="DI1498" s="573"/>
      <c r="DJ1498" s="573"/>
    </row>
    <row r="1499" spans="1:114" s="170" customFormat="1" ht="30" outlineLevel="1" x14ac:dyDescent="0.25">
      <c r="A1499" s="63" t="s">
        <v>1670</v>
      </c>
      <c r="B1499" s="64">
        <v>6</v>
      </c>
      <c r="C1499" s="64">
        <v>19</v>
      </c>
      <c r="D1499" s="64">
        <v>4</v>
      </c>
      <c r="E1499" s="64">
        <v>3</v>
      </c>
      <c r="F1499" s="64">
        <v>2</v>
      </c>
      <c r="G1499" s="64">
        <v>59</v>
      </c>
      <c r="H1499" s="65"/>
      <c r="I1499" s="65"/>
      <c r="J1499" s="65"/>
      <c r="K1499" s="67" t="s">
        <v>1671</v>
      </c>
      <c r="L1499" s="64" t="s">
        <v>668</v>
      </c>
      <c r="M1499" s="64"/>
      <c r="N1499" s="64"/>
      <c r="O1499" s="64"/>
      <c r="R1499" s="171"/>
      <c r="U1499" s="395">
        <v>0</v>
      </c>
      <c r="V1499" s="698">
        <v>0</v>
      </c>
      <c r="W1499" s="97"/>
      <c r="X1499" s="97"/>
      <c r="Y1499" s="97"/>
      <c r="Z1499" s="97"/>
      <c r="AA1499" s="97"/>
      <c r="AB1499" s="97"/>
      <c r="AC1499" s="97"/>
      <c r="AD1499" s="97"/>
      <c r="AE1499" s="591"/>
      <c r="AF1499" s="353"/>
      <c r="AG1499" s="395">
        <v>0</v>
      </c>
      <c r="AH1499" s="395">
        <v>0</v>
      </c>
      <c r="AI1499" s="97"/>
      <c r="AJ1499" s="97"/>
      <c r="AK1499" s="97"/>
      <c r="AL1499" s="97"/>
      <c r="AM1499" s="97"/>
      <c r="AN1499" s="64" t="s">
        <v>181</v>
      </c>
      <c r="AO1499" s="64"/>
      <c r="AP1499" s="64"/>
      <c r="AQ1499" s="189"/>
      <c r="AR1499" s="64"/>
      <c r="AS1499" s="476"/>
      <c r="AT1499" s="64"/>
      <c r="AU1499" s="646"/>
      <c r="AV1499" s="65"/>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row>
    <row r="1500" spans="1:114" s="170" customFormat="1" ht="30" outlineLevel="1" x14ac:dyDescent="0.25">
      <c r="A1500" s="63" t="s">
        <v>1672</v>
      </c>
      <c r="B1500" s="64">
        <v>6</v>
      </c>
      <c r="C1500" s="64">
        <v>19</v>
      </c>
      <c r="D1500" s="64">
        <v>4</v>
      </c>
      <c r="E1500" s="64">
        <v>3</v>
      </c>
      <c r="F1500" s="64">
        <v>3</v>
      </c>
      <c r="G1500" s="64">
        <v>60</v>
      </c>
      <c r="H1500" s="65"/>
      <c r="I1500" s="65"/>
      <c r="J1500" s="65"/>
      <c r="K1500" s="67" t="s">
        <v>1673</v>
      </c>
      <c r="L1500" s="64" t="s">
        <v>668</v>
      </c>
      <c r="M1500" s="64"/>
      <c r="N1500" s="64"/>
      <c r="O1500" s="64"/>
      <c r="R1500" s="171"/>
      <c r="U1500" s="395">
        <v>0</v>
      </c>
      <c r="V1500" s="698">
        <v>0</v>
      </c>
      <c r="W1500" s="97"/>
      <c r="X1500" s="97"/>
      <c r="Y1500" s="97"/>
      <c r="Z1500" s="97"/>
      <c r="AA1500" s="97"/>
      <c r="AB1500" s="97"/>
      <c r="AC1500" s="97"/>
      <c r="AD1500" s="97"/>
      <c r="AE1500" s="591"/>
      <c r="AF1500" s="353"/>
      <c r="AG1500" s="395">
        <v>0</v>
      </c>
      <c r="AH1500" s="395">
        <v>0</v>
      </c>
      <c r="AI1500" s="97"/>
      <c r="AJ1500" s="97"/>
      <c r="AK1500" s="97"/>
      <c r="AL1500" s="97"/>
      <c r="AM1500" s="97"/>
      <c r="AN1500" s="64" t="s">
        <v>181</v>
      </c>
      <c r="AO1500" s="64"/>
      <c r="AP1500" s="64"/>
      <c r="AQ1500" s="189"/>
      <c r="AR1500" s="64"/>
      <c r="AS1500" s="476"/>
      <c r="AT1500" s="64"/>
      <c r="AU1500" s="646"/>
      <c r="AV1500" s="65"/>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row>
    <row r="1501" spans="1:114" s="170" customFormat="1" ht="30" outlineLevel="1" x14ac:dyDescent="0.25">
      <c r="A1501" s="63" t="s">
        <v>1674</v>
      </c>
      <c r="B1501" s="64">
        <v>6</v>
      </c>
      <c r="C1501" s="64">
        <v>19</v>
      </c>
      <c r="D1501" s="64">
        <v>4</v>
      </c>
      <c r="E1501" s="64">
        <v>3</v>
      </c>
      <c r="F1501" s="64">
        <v>4</v>
      </c>
      <c r="G1501" s="64">
        <v>61</v>
      </c>
      <c r="H1501" s="65"/>
      <c r="I1501" s="65"/>
      <c r="J1501" s="65"/>
      <c r="K1501" s="67" t="s">
        <v>1675</v>
      </c>
      <c r="L1501" s="64" t="s">
        <v>668</v>
      </c>
      <c r="M1501" s="64"/>
      <c r="N1501" s="64"/>
      <c r="O1501" s="64"/>
      <c r="R1501" s="171"/>
      <c r="U1501" s="395">
        <v>0</v>
      </c>
      <c r="V1501" s="698">
        <v>0</v>
      </c>
      <c r="W1501" s="97"/>
      <c r="X1501" s="97"/>
      <c r="Y1501" s="97"/>
      <c r="Z1501" s="97"/>
      <c r="AA1501" s="97"/>
      <c r="AB1501" s="97"/>
      <c r="AC1501" s="97"/>
      <c r="AD1501" s="97"/>
      <c r="AE1501" s="591"/>
      <c r="AF1501" s="353"/>
      <c r="AG1501" s="395">
        <v>0</v>
      </c>
      <c r="AH1501" s="395">
        <v>0</v>
      </c>
      <c r="AI1501" s="97"/>
      <c r="AJ1501" s="97"/>
      <c r="AK1501" s="97"/>
      <c r="AL1501" s="97"/>
      <c r="AM1501" s="97"/>
      <c r="AN1501" s="64" t="s">
        <v>181</v>
      </c>
      <c r="AO1501" s="64"/>
      <c r="AP1501" s="64"/>
      <c r="AQ1501" s="189"/>
      <c r="AR1501" s="64"/>
      <c r="AS1501" s="476"/>
      <c r="AT1501" s="64"/>
      <c r="AU1501" s="646"/>
      <c r="AV1501" s="65"/>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row>
    <row r="1502" spans="1:114" s="170" customFormat="1" ht="30" outlineLevel="1" x14ac:dyDescent="0.25">
      <c r="A1502" s="63" t="s">
        <v>1676</v>
      </c>
      <c r="B1502" s="64">
        <v>6</v>
      </c>
      <c r="C1502" s="64">
        <v>19</v>
      </c>
      <c r="D1502" s="64">
        <v>4</v>
      </c>
      <c r="E1502" s="64">
        <v>3</v>
      </c>
      <c r="F1502" s="64">
        <v>5</v>
      </c>
      <c r="G1502" s="64">
        <v>62</v>
      </c>
      <c r="H1502" s="65"/>
      <c r="I1502" s="65"/>
      <c r="J1502" s="65"/>
      <c r="K1502" s="67" t="s">
        <v>1788</v>
      </c>
      <c r="L1502" s="64" t="s">
        <v>668</v>
      </c>
      <c r="M1502" s="64"/>
      <c r="N1502" s="64"/>
      <c r="O1502" s="64"/>
      <c r="R1502" s="171"/>
      <c r="U1502" s="395">
        <v>0</v>
      </c>
      <c r="V1502" s="698">
        <v>0</v>
      </c>
      <c r="W1502" s="97"/>
      <c r="X1502" s="97"/>
      <c r="Y1502" s="97"/>
      <c r="Z1502" s="97"/>
      <c r="AA1502" s="97"/>
      <c r="AB1502" s="97"/>
      <c r="AC1502" s="97"/>
      <c r="AD1502" s="97"/>
      <c r="AE1502" s="591"/>
      <c r="AF1502" s="353"/>
      <c r="AG1502" s="395">
        <v>0</v>
      </c>
      <c r="AH1502" s="395">
        <v>0</v>
      </c>
      <c r="AI1502" s="97"/>
      <c r="AJ1502" s="97"/>
      <c r="AK1502" s="97"/>
      <c r="AL1502" s="97"/>
      <c r="AM1502" s="97"/>
      <c r="AN1502" s="64" t="s">
        <v>181</v>
      </c>
      <c r="AO1502" s="64"/>
      <c r="AP1502" s="64"/>
      <c r="AQ1502" s="189"/>
      <c r="AR1502" s="64"/>
      <c r="AS1502" s="476"/>
      <c r="AT1502" s="64"/>
      <c r="AU1502" s="646"/>
      <c r="AV1502" s="65"/>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row>
    <row r="1503" spans="1:114" s="170" customFormat="1" ht="30" outlineLevel="1" x14ac:dyDescent="0.25">
      <c r="A1503" s="63" t="s">
        <v>1677</v>
      </c>
      <c r="B1503" s="64">
        <v>6</v>
      </c>
      <c r="C1503" s="64">
        <v>19</v>
      </c>
      <c r="D1503" s="64">
        <v>4</v>
      </c>
      <c r="E1503" s="64">
        <v>3</v>
      </c>
      <c r="F1503" s="64">
        <v>6</v>
      </c>
      <c r="G1503" s="64">
        <v>63</v>
      </c>
      <c r="H1503" s="65"/>
      <c r="I1503" s="65"/>
      <c r="J1503" s="65"/>
      <c r="K1503" s="67" t="s">
        <v>1678</v>
      </c>
      <c r="L1503" s="64" t="s">
        <v>668</v>
      </c>
      <c r="M1503" s="64"/>
      <c r="N1503" s="64"/>
      <c r="O1503" s="64"/>
      <c r="R1503" s="171"/>
      <c r="U1503" s="395">
        <v>0</v>
      </c>
      <c r="V1503" s="698">
        <v>0</v>
      </c>
      <c r="W1503" s="97"/>
      <c r="X1503" s="97"/>
      <c r="Y1503" s="97"/>
      <c r="Z1503" s="97"/>
      <c r="AA1503" s="97"/>
      <c r="AB1503" s="97"/>
      <c r="AC1503" s="97"/>
      <c r="AD1503" s="97"/>
      <c r="AE1503" s="591"/>
      <c r="AF1503" s="353"/>
      <c r="AG1503" s="395">
        <v>0</v>
      </c>
      <c r="AH1503" s="395">
        <v>0</v>
      </c>
      <c r="AI1503" s="97"/>
      <c r="AJ1503" s="97"/>
      <c r="AK1503" s="97"/>
      <c r="AL1503" s="97"/>
      <c r="AM1503" s="97"/>
      <c r="AN1503" s="64" t="s">
        <v>181</v>
      </c>
      <c r="AO1503" s="64"/>
      <c r="AP1503" s="64"/>
      <c r="AQ1503" s="189"/>
      <c r="AR1503" s="64"/>
      <c r="AS1503" s="476"/>
      <c r="AT1503" s="64"/>
      <c r="AU1503" s="646"/>
      <c r="AV1503" s="65"/>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row>
    <row r="1504" spans="1:114" s="170" customFormat="1" ht="30" outlineLevel="1" x14ac:dyDescent="0.25">
      <c r="A1504" s="63" t="s">
        <v>1679</v>
      </c>
      <c r="B1504" s="64">
        <v>6</v>
      </c>
      <c r="C1504" s="64">
        <v>19</v>
      </c>
      <c r="D1504" s="64">
        <v>4</v>
      </c>
      <c r="E1504" s="64">
        <v>3</v>
      </c>
      <c r="F1504" s="64">
        <v>7</v>
      </c>
      <c r="G1504" s="64">
        <v>64</v>
      </c>
      <c r="H1504" s="65"/>
      <c r="I1504" s="65"/>
      <c r="J1504" s="65"/>
      <c r="K1504" s="67" t="s">
        <v>1680</v>
      </c>
      <c r="L1504" s="64" t="s">
        <v>668</v>
      </c>
      <c r="M1504" s="64"/>
      <c r="N1504" s="64"/>
      <c r="O1504" s="64"/>
      <c r="R1504" s="171"/>
      <c r="U1504" s="395">
        <v>0</v>
      </c>
      <c r="V1504" s="698">
        <v>0</v>
      </c>
      <c r="W1504" s="97"/>
      <c r="X1504" s="97"/>
      <c r="Y1504" s="97"/>
      <c r="Z1504" s="97"/>
      <c r="AA1504" s="97"/>
      <c r="AB1504" s="97"/>
      <c r="AC1504" s="97"/>
      <c r="AD1504" s="97"/>
      <c r="AE1504" s="591"/>
      <c r="AF1504" s="353"/>
      <c r="AG1504" s="395">
        <v>0</v>
      </c>
      <c r="AH1504" s="395">
        <v>0</v>
      </c>
      <c r="AI1504" s="97"/>
      <c r="AJ1504" s="97"/>
      <c r="AK1504" s="97"/>
      <c r="AL1504" s="97"/>
      <c r="AM1504" s="97"/>
      <c r="AN1504" s="64" t="s">
        <v>181</v>
      </c>
      <c r="AO1504" s="64"/>
      <c r="AP1504" s="64"/>
      <c r="AQ1504" s="189"/>
      <c r="AR1504" s="64"/>
      <c r="AS1504" s="64"/>
      <c r="AT1504" s="64"/>
      <c r="AU1504" s="646"/>
      <c r="AV1504" s="65"/>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row>
    <row r="1505" spans="1:49" s="107" customFormat="1" ht="34.5" customHeight="1" x14ac:dyDescent="0.25">
      <c r="B1505" s="3"/>
      <c r="C1505" s="2"/>
      <c r="D1505" s="3"/>
      <c r="E1505" s="2"/>
      <c r="F1505" s="2"/>
      <c r="G1505" s="2"/>
      <c r="L1505" s="3"/>
      <c r="M1505" s="2"/>
      <c r="N1505" s="3"/>
      <c r="O1505" s="3"/>
      <c r="R1505" s="307"/>
      <c r="S1505" s="2"/>
      <c r="T1505" s="2"/>
      <c r="U1505" s="2"/>
      <c r="V1505" s="2"/>
      <c r="W1505" s="3"/>
      <c r="X1505" s="3"/>
      <c r="Y1505" s="3"/>
      <c r="Z1505" s="3"/>
      <c r="AA1505" s="3"/>
      <c r="AB1505" s="3"/>
      <c r="AC1505" s="3"/>
      <c r="AD1505" s="3"/>
      <c r="AE1505" s="3"/>
      <c r="AF1505" s="2"/>
      <c r="AG1505" s="2"/>
      <c r="AH1505" s="308"/>
      <c r="AI1505" s="308"/>
      <c r="AJ1505" s="308"/>
      <c r="AK1505" s="308"/>
      <c r="AL1505" s="308"/>
      <c r="AM1505" s="308"/>
      <c r="AN1505" s="307"/>
      <c r="AO1505" s="307"/>
      <c r="AP1505" s="307"/>
      <c r="AQ1505" s="307"/>
      <c r="AR1505" s="307"/>
      <c r="AS1505" s="307"/>
      <c r="AT1505" s="307"/>
      <c r="AU1505" s="670"/>
      <c r="AV1505" s="572"/>
    </row>
    <row r="1506" spans="1:49" s="107" customFormat="1" ht="12.75" customHeight="1" x14ac:dyDescent="0.25">
      <c r="B1506" s="3"/>
      <c r="C1506" s="2"/>
      <c r="D1506" s="3"/>
      <c r="E1506" s="2"/>
      <c r="F1506" s="2"/>
      <c r="G1506" s="2"/>
      <c r="L1506" s="3"/>
      <c r="M1506" s="2"/>
      <c r="N1506" s="3"/>
      <c r="O1506" s="3"/>
      <c r="R1506" s="307"/>
      <c r="S1506" s="2"/>
      <c r="T1506" s="2"/>
      <c r="U1506" s="2"/>
      <c r="V1506" s="2"/>
      <c r="W1506" s="3"/>
      <c r="X1506" s="3"/>
      <c r="Y1506" s="3"/>
      <c r="Z1506" s="3"/>
      <c r="AA1506" s="3"/>
      <c r="AB1506" s="3"/>
      <c r="AC1506" s="3"/>
      <c r="AD1506" s="3"/>
      <c r="AE1506" s="3"/>
      <c r="AF1506" s="2"/>
      <c r="AG1506" s="2"/>
      <c r="AH1506" s="309"/>
      <c r="AI1506" s="309"/>
      <c r="AJ1506" s="309"/>
      <c r="AK1506" s="309"/>
      <c r="AL1506" s="309"/>
      <c r="AM1506" s="309"/>
      <c r="AN1506" s="307"/>
      <c r="AO1506" s="307"/>
      <c r="AP1506" s="307"/>
      <c r="AQ1506" s="307"/>
      <c r="AR1506" s="307"/>
      <c r="AS1506" s="307"/>
      <c r="AT1506" s="307"/>
      <c r="AU1506" s="670"/>
      <c r="AV1506" s="572"/>
    </row>
    <row r="1507" spans="1:49" s="107" customFormat="1" ht="12.75" customHeight="1" x14ac:dyDescent="0.25">
      <c r="B1507" s="3"/>
      <c r="C1507" s="2"/>
      <c r="D1507" s="3"/>
      <c r="E1507" s="2"/>
      <c r="F1507" s="2"/>
      <c r="G1507" s="2"/>
      <c r="L1507" s="3"/>
      <c r="M1507" s="2"/>
      <c r="N1507" s="3"/>
      <c r="O1507" s="3"/>
      <c r="R1507" s="307"/>
      <c r="S1507" s="2"/>
      <c r="T1507" s="2"/>
      <c r="U1507" s="2"/>
      <c r="V1507" s="2"/>
      <c r="W1507" s="3"/>
      <c r="X1507" s="3"/>
      <c r="Y1507" s="3"/>
      <c r="Z1507" s="3"/>
      <c r="AA1507" s="3"/>
      <c r="AB1507" s="3"/>
      <c r="AC1507" s="3"/>
      <c r="AD1507" s="3"/>
      <c r="AE1507" s="3"/>
      <c r="AF1507" s="2"/>
      <c r="AG1507" s="2"/>
      <c r="AH1507" s="309"/>
      <c r="AI1507" s="309"/>
      <c r="AJ1507" s="309"/>
      <c r="AK1507" s="309"/>
      <c r="AL1507" s="309"/>
      <c r="AM1507" s="309"/>
      <c r="AN1507" s="307"/>
      <c r="AO1507" s="307"/>
      <c r="AP1507" s="307"/>
      <c r="AQ1507" s="307"/>
      <c r="AR1507" s="307"/>
      <c r="AS1507" s="307"/>
      <c r="AT1507" s="307"/>
      <c r="AU1507" s="670"/>
      <c r="AV1507" s="572"/>
    </row>
    <row r="1508" spans="1:49" s="107" customFormat="1" ht="12.75" customHeight="1" x14ac:dyDescent="0.25">
      <c r="A1508" s="2"/>
      <c r="B1508" s="3"/>
      <c r="C1508" s="2"/>
      <c r="D1508" s="3"/>
      <c r="E1508" s="2"/>
      <c r="F1508" s="2"/>
      <c r="G1508" s="2"/>
      <c r="H1508" s="2"/>
      <c r="I1508" s="2"/>
      <c r="J1508" s="2"/>
      <c r="K1508" s="2"/>
      <c r="L1508" s="3"/>
      <c r="M1508" s="2"/>
      <c r="N1508" s="3"/>
      <c r="O1508" s="3"/>
      <c r="R1508" s="307"/>
      <c r="S1508" s="2"/>
      <c r="T1508" s="2"/>
      <c r="U1508" s="162"/>
      <c r="V1508" s="162"/>
      <c r="W1508" s="3"/>
      <c r="X1508" s="162"/>
      <c r="Y1508" s="162"/>
      <c r="Z1508" s="3"/>
      <c r="AA1508" s="162"/>
      <c r="AB1508" s="162"/>
      <c r="AC1508" s="3"/>
      <c r="AD1508" s="310"/>
      <c r="AE1508" s="310"/>
      <c r="AF1508" s="2"/>
      <c r="AG1508" s="2"/>
      <c r="AN1508" s="307"/>
      <c r="AO1508" s="307"/>
      <c r="AP1508" s="307"/>
      <c r="AQ1508" s="307"/>
      <c r="AR1508" s="307"/>
      <c r="AS1508" s="307"/>
      <c r="AT1508" s="307"/>
      <c r="AU1508" s="670"/>
      <c r="AV1508" s="572"/>
      <c r="AW1508" s="107">
        <f>SUBTOTAL(9,AW340:AW346)</f>
        <v>20948934</v>
      </c>
    </row>
    <row r="1509" spans="1:49" s="107" customFormat="1" ht="12.75" customHeight="1" x14ac:dyDescent="0.25">
      <c r="A1509" s="2"/>
      <c r="B1509" s="3"/>
      <c r="C1509" s="2"/>
      <c r="D1509" s="3"/>
      <c r="E1509" s="2"/>
      <c r="F1509" s="2"/>
      <c r="G1509" s="2"/>
      <c r="H1509" s="2"/>
      <c r="I1509" s="2"/>
      <c r="J1509" s="2"/>
      <c r="K1509" s="2"/>
      <c r="L1509" s="3"/>
      <c r="M1509" s="2"/>
      <c r="N1509" s="3"/>
      <c r="O1509" s="3"/>
      <c r="R1509" s="307"/>
      <c r="S1509" s="2"/>
      <c r="T1509" s="2"/>
      <c r="U1509" s="2"/>
      <c r="V1509" s="2"/>
      <c r="W1509" s="3"/>
      <c r="X1509" s="3"/>
      <c r="Y1509" s="3"/>
      <c r="Z1509" s="3"/>
      <c r="AA1509" s="3"/>
      <c r="AB1509" s="3"/>
      <c r="AC1509" s="3"/>
      <c r="AD1509" s="3"/>
      <c r="AE1509" s="3"/>
      <c r="AF1509" s="2"/>
      <c r="AG1509" s="2"/>
      <c r="AN1509" s="307"/>
      <c r="AO1509" s="307"/>
      <c r="AP1509" s="307"/>
      <c r="AQ1509" s="307"/>
      <c r="AR1509" s="307"/>
      <c r="AS1509" s="307"/>
      <c r="AT1509" s="307"/>
      <c r="AU1509" s="670"/>
      <c r="AV1509" s="572"/>
    </row>
    <row r="1510" spans="1:49" s="107" customFormat="1" ht="12.75" customHeight="1" x14ac:dyDescent="0.25">
      <c r="A1510" s="2"/>
      <c r="B1510" s="3"/>
      <c r="C1510" s="2"/>
      <c r="D1510" s="3"/>
      <c r="E1510" s="2"/>
      <c r="F1510" s="2"/>
      <c r="G1510" s="2"/>
      <c r="H1510" s="2"/>
      <c r="I1510" s="2"/>
      <c r="J1510" s="2"/>
      <c r="K1510" s="2"/>
      <c r="L1510" s="3"/>
      <c r="M1510" s="2"/>
      <c r="N1510" s="3"/>
      <c r="O1510" s="3"/>
      <c r="R1510" s="307"/>
      <c r="S1510" s="2"/>
      <c r="T1510" s="2"/>
      <c r="U1510" s="2"/>
      <c r="V1510" s="2"/>
      <c r="W1510" s="3"/>
      <c r="X1510" s="3"/>
      <c r="Y1510" s="3"/>
      <c r="Z1510" s="3"/>
      <c r="AA1510" s="3"/>
      <c r="AB1510" s="3"/>
      <c r="AC1510" s="3"/>
      <c r="AD1510" s="3"/>
      <c r="AE1510" s="3"/>
      <c r="AF1510" s="2"/>
      <c r="AG1510" s="2"/>
      <c r="AN1510" s="307"/>
      <c r="AO1510" s="307"/>
      <c r="AP1510" s="307"/>
      <c r="AQ1510" s="307"/>
      <c r="AR1510" s="307"/>
      <c r="AS1510" s="307"/>
      <c r="AT1510" s="307"/>
      <c r="AU1510" s="670"/>
      <c r="AV1510" s="572"/>
    </row>
    <row r="1511" spans="1:49" s="107" customFormat="1" ht="27.6" customHeight="1" x14ac:dyDescent="0.25">
      <c r="A1511" s="2"/>
      <c r="B1511" s="3"/>
      <c r="C1511" s="2"/>
      <c r="D1511" s="3"/>
      <c r="E1511" s="2"/>
      <c r="F1511" s="2"/>
      <c r="G1511" s="2"/>
      <c r="H1511" s="2"/>
      <c r="I1511" s="2"/>
      <c r="J1511" s="2"/>
      <c r="K1511" s="2"/>
      <c r="L1511" s="3"/>
      <c r="M1511" s="2"/>
      <c r="N1511" s="3"/>
      <c r="O1511" s="3"/>
      <c r="R1511" s="307"/>
      <c r="S1511" s="2"/>
      <c r="T1511" s="2"/>
      <c r="U1511" s="2"/>
      <c r="V1511" s="2"/>
      <c r="W1511" s="3"/>
      <c r="X1511" s="310"/>
      <c r="Y1511" s="3"/>
      <c r="Z1511" s="3"/>
      <c r="AA1511" s="310"/>
      <c r="AB1511" s="3"/>
      <c r="AC1511" s="3"/>
      <c r="AD1511" s="627"/>
      <c r="AE1511" s="3"/>
      <c r="AF1511" s="2"/>
      <c r="AG1511" s="2"/>
      <c r="AH1511" s="624"/>
      <c r="AN1511" s="307"/>
      <c r="AO1511" s="307"/>
      <c r="AP1511" s="307"/>
      <c r="AQ1511" s="307"/>
      <c r="AR1511" s="307"/>
      <c r="AS1511" s="307"/>
      <c r="AT1511" s="307"/>
      <c r="AU1511" s="670"/>
      <c r="AV1511" s="572"/>
    </row>
    <row r="1512" spans="1:49" s="107" customFormat="1" ht="12.75" customHeight="1" x14ac:dyDescent="0.25">
      <c r="A1512" s="2"/>
      <c r="B1512" s="3"/>
      <c r="C1512" s="2"/>
      <c r="D1512" s="3"/>
      <c r="E1512" s="2"/>
      <c r="F1512" s="2"/>
      <c r="G1512" s="2"/>
      <c r="H1512" s="2"/>
      <c r="I1512" s="2"/>
      <c r="J1512" s="2"/>
      <c r="K1512" s="2"/>
      <c r="L1512" s="3"/>
      <c r="M1512" s="2"/>
      <c r="N1512" s="3"/>
      <c r="O1512" s="3"/>
      <c r="R1512" s="307"/>
      <c r="S1512" s="2"/>
      <c r="T1512" s="2"/>
      <c r="U1512" s="2"/>
      <c r="V1512" s="2"/>
      <c r="W1512" s="3"/>
      <c r="X1512" s="310"/>
      <c r="Y1512" s="3"/>
      <c r="Z1512" s="3"/>
      <c r="AA1512" s="3"/>
      <c r="AB1512" s="3"/>
      <c r="AC1512" s="3"/>
      <c r="AD1512" s="627"/>
      <c r="AE1512" s="3"/>
      <c r="AF1512" s="2"/>
      <c r="AG1512" s="2"/>
      <c r="AH1512" s="625"/>
      <c r="AI1512" s="629"/>
      <c r="AN1512" s="307"/>
      <c r="AO1512" s="307"/>
      <c r="AP1512" s="307"/>
      <c r="AQ1512" s="307"/>
      <c r="AR1512" s="307"/>
      <c r="AS1512" s="307"/>
      <c r="AT1512" s="307"/>
      <c r="AU1512" s="670"/>
      <c r="AV1512" s="572"/>
    </row>
    <row r="1513" spans="1:49" s="107" customFormat="1" ht="12.75" customHeight="1" x14ac:dyDescent="0.25">
      <c r="A1513" s="2"/>
      <c r="B1513" s="3"/>
      <c r="C1513" s="2"/>
      <c r="D1513" s="3"/>
      <c r="E1513" s="2"/>
      <c r="F1513" s="2"/>
      <c r="G1513" s="2"/>
      <c r="H1513" s="2"/>
      <c r="I1513" s="2"/>
      <c r="J1513" s="2"/>
      <c r="K1513" s="2"/>
      <c r="L1513" s="3"/>
      <c r="M1513" s="2"/>
      <c r="N1513" s="3"/>
      <c r="O1513" s="3"/>
      <c r="R1513" s="307"/>
      <c r="S1513" s="2"/>
      <c r="T1513" s="2"/>
      <c r="U1513" s="2"/>
      <c r="V1513" s="2"/>
      <c r="W1513" s="3"/>
      <c r="X1513" s="3"/>
      <c r="Y1513" s="3"/>
      <c r="Z1513" s="3"/>
      <c r="AA1513" s="3"/>
      <c r="AB1513" s="3"/>
      <c r="AC1513" s="3"/>
      <c r="AD1513" s="628"/>
      <c r="AE1513" s="3"/>
      <c r="AF1513" s="2"/>
      <c r="AG1513" s="2"/>
      <c r="AH1513" s="625"/>
      <c r="AN1513" s="307"/>
      <c r="AO1513" s="307"/>
      <c r="AP1513" s="307"/>
      <c r="AQ1513" s="307"/>
      <c r="AR1513" s="307"/>
      <c r="AS1513" s="307"/>
      <c r="AT1513" s="307"/>
      <c r="AU1513" s="670"/>
      <c r="AV1513" s="572"/>
    </row>
    <row r="1514" spans="1:49" s="107" customFormat="1" ht="12.75" customHeight="1" x14ac:dyDescent="0.25">
      <c r="A1514" s="2"/>
      <c r="B1514" s="3"/>
      <c r="C1514" s="2"/>
      <c r="D1514" s="3"/>
      <c r="E1514" s="2"/>
      <c r="F1514" s="2"/>
      <c r="G1514" s="2"/>
      <c r="H1514" s="2"/>
      <c r="I1514" s="2"/>
      <c r="J1514" s="2"/>
      <c r="K1514" s="2"/>
      <c r="L1514" s="3"/>
      <c r="M1514" s="2"/>
      <c r="N1514" s="3"/>
      <c r="O1514" s="3"/>
      <c r="R1514" s="307"/>
      <c r="S1514" s="2"/>
      <c r="T1514" s="2"/>
      <c r="U1514" s="2"/>
      <c r="V1514" s="2"/>
      <c r="W1514" s="3"/>
      <c r="X1514" s="3"/>
      <c r="Y1514" s="3"/>
      <c r="Z1514" s="3"/>
      <c r="AA1514" s="310"/>
      <c r="AB1514" s="3"/>
      <c r="AC1514" s="3"/>
      <c r="AD1514" s="3"/>
      <c r="AE1514" s="3"/>
      <c r="AF1514" s="2"/>
      <c r="AG1514" s="2"/>
      <c r="AH1514" s="625"/>
      <c r="AN1514" s="307"/>
      <c r="AO1514" s="307"/>
      <c r="AP1514" s="307"/>
      <c r="AQ1514" s="307"/>
      <c r="AR1514" s="307"/>
      <c r="AS1514" s="307"/>
      <c r="AT1514" s="307"/>
      <c r="AU1514" s="670"/>
      <c r="AV1514" s="572"/>
    </row>
    <row r="1515" spans="1:49" s="107" customFormat="1" ht="12.75" customHeight="1" x14ac:dyDescent="0.25">
      <c r="A1515" s="2"/>
      <c r="B1515" s="3"/>
      <c r="C1515" s="2"/>
      <c r="D1515" s="3"/>
      <c r="E1515" s="2"/>
      <c r="F1515" s="2"/>
      <c r="G1515" s="2"/>
      <c r="H1515" s="2"/>
      <c r="I1515" s="2"/>
      <c r="J1515" s="2"/>
      <c r="K1515" s="2"/>
      <c r="L1515" s="3"/>
      <c r="M1515" s="2"/>
      <c r="N1515" s="3"/>
      <c r="O1515" s="3"/>
      <c r="R1515" s="307"/>
      <c r="S1515" s="2"/>
      <c r="T1515" s="2"/>
      <c r="U1515" s="2"/>
      <c r="V1515" s="2"/>
      <c r="W1515" s="3"/>
      <c r="X1515" s="3"/>
      <c r="Y1515" s="3"/>
      <c r="Z1515" s="3"/>
      <c r="AA1515" s="3"/>
      <c r="AB1515" s="3"/>
      <c r="AC1515" s="3"/>
      <c r="AD1515" s="3"/>
      <c r="AE1515" s="3"/>
      <c r="AF1515" s="2"/>
      <c r="AG1515" s="2"/>
      <c r="AH1515" s="625"/>
      <c r="AN1515" s="307"/>
      <c r="AO1515" s="307"/>
      <c r="AP1515" s="307"/>
      <c r="AQ1515" s="307"/>
      <c r="AR1515" s="307"/>
      <c r="AS1515" s="307"/>
      <c r="AT1515" s="307"/>
      <c r="AU1515" s="670"/>
      <c r="AV1515" s="572"/>
    </row>
    <row r="1516" spans="1:49" s="107" customFormat="1" ht="12.75" customHeight="1" x14ac:dyDescent="0.25">
      <c r="A1516" s="2"/>
      <c r="B1516" s="3"/>
      <c r="C1516" s="2"/>
      <c r="D1516" s="3"/>
      <c r="E1516" s="2"/>
      <c r="F1516" s="2"/>
      <c r="G1516" s="2"/>
      <c r="H1516" s="2"/>
      <c r="I1516" s="2"/>
      <c r="J1516" s="2"/>
      <c r="K1516" s="2"/>
      <c r="L1516" s="3"/>
      <c r="M1516" s="2"/>
      <c r="N1516" s="3"/>
      <c r="O1516" s="3"/>
      <c r="R1516" s="307"/>
      <c r="S1516" s="2"/>
      <c r="T1516" s="2"/>
      <c r="U1516" s="2"/>
      <c r="V1516" s="2"/>
      <c r="W1516" s="3"/>
      <c r="X1516" s="3"/>
      <c r="Y1516" s="3"/>
      <c r="Z1516" s="3"/>
      <c r="AA1516" s="3"/>
      <c r="AB1516" s="3"/>
      <c r="AC1516" s="3"/>
      <c r="AD1516" s="3"/>
      <c r="AE1516" s="3"/>
      <c r="AF1516" s="2"/>
      <c r="AG1516" s="2"/>
      <c r="AH1516" s="625"/>
      <c r="AN1516" s="307"/>
      <c r="AO1516" s="307"/>
      <c r="AP1516" s="307"/>
      <c r="AQ1516" s="307"/>
      <c r="AR1516" s="307"/>
      <c r="AS1516" s="307"/>
      <c r="AT1516" s="307"/>
      <c r="AU1516" s="670"/>
      <c r="AV1516" s="572"/>
    </row>
    <row r="1517" spans="1:49" s="107" customFormat="1" ht="12.75" customHeight="1" x14ac:dyDescent="0.25">
      <c r="A1517" s="2"/>
      <c r="B1517" s="3"/>
      <c r="C1517" s="2"/>
      <c r="D1517" s="3"/>
      <c r="E1517" s="2"/>
      <c r="F1517" s="2"/>
      <c r="G1517" s="2"/>
      <c r="H1517" s="2"/>
      <c r="I1517" s="2"/>
      <c r="J1517" s="2"/>
      <c r="K1517" s="2"/>
      <c r="L1517" s="3"/>
      <c r="M1517" s="2"/>
      <c r="N1517" s="3"/>
      <c r="O1517" s="3"/>
      <c r="R1517" s="307"/>
      <c r="S1517" s="2"/>
      <c r="T1517" s="2"/>
      <c r="U1517" s="2"/>
      <c r="V1517" s="2"/>
      <c r="W1517" s="3"/>
      <c r="X1517" s="3"/>
      <c r="Y1517" s="3"/>
      <c r="Z1517" s="3"/>
      <c r="AA1517" s="3"/>
      <c r="AB1517" s="3"/>
      <c r="AC1517" s="3"/>
      <c r="AD1517" s="3"/>
      <c r="AE1517" s="3"/>
      <c r="AF1517" s="2"/>
      <c r="AG1517" s="2"/>
      <c r="AH1517" s="625"/>
      <c r="AN1517" s="307"/>
      <c r="AO1517" s="307"/>
      <c r="AP1517" s="307"/>
      <c r="AQ1517" s="307"/>
      <c r="AR1517" s="307"/>
      <c r="AS1517" s="307"/>
      <c r="AT1517" s="307"/>
      <c r="AU1517" s="670"/>
      <c r="AV1517" s="572"/>
    </row>
    <row r="1518" spans="1:49" ht="12.75" customHeight="1" x14ac:dyDescent="0.25">
      <c r="D1518" s="3"/>
      <c r="L1518" s="3"/>
      <c r="N1518" s="3"/>
      <c r="O1518" s="3"/>
      <c r="R1518" s="3"/>
      <c r="U1518" s="626"/>
      <c r="W1518" s="3"/>
      <c r="X1518" s="310"/>
      <c r="Y1518" s="3"/>
      <c r="Z1518" s="3"/>
      <c r="AA1518" s="3"/>
      <c r="AB1518" s="3"/>
      <c r="AC1518" s="3"/>
      <c r="AD1518" s="3"/>
      <c r="AE1518" s="3"/>
      <c r="AG1518" s="2"/>
      <c r="AR1518" s="307"/>
      <c r="AS1518" s="307"/>
      <c r="AT1518" s="307"/>
      <c r="AU1518" s="670"/>
      <c r="AV1518" s="572"/>
    </row>
    <row r="1519" spans="1:49" ht="12.75" customHeight="1" x14ac:dyDescent="0.25">
      <c r="D1519" s="3"/>
      <c r="L1519" s="3"/>
      <c r="N1519" s="3"/>
      <c r="O1519" s="3"/>
      <c r="R1519" s="3"/>
      <c r="U1519" s="162"/>
      <c r="W1519" s="3"/>
      <c r="X1519" s="310"/>
      <c r="Y1519" s="3"/>
      <c r="Z1519" s="3"/>
      <c r="AA1519" s="3"/>
      <c r="AB1519" s="3"/>
      <c r="AC1519" s="3"/>
      <c r="AD1519" s="3"/>
      <c r="AE1519" s="3"/>
      <c r="AG1519" s="2"/>
      <c r="AR1519" s="307"/>
      <c r="AS1519" s="307"/>
      <c r="AT1519" s="307"/>
      <c r="AU1519" s="670"/>
      <c r="AV1519" s="572"/>
    </row>
    <row r="1520" spans="1:49" ht="12.75" customHeight="1" x14ac:dyDescent="0.25">
      <c r="D1520" s="3"/>
      <c r="L1520" s="3"/>
      <c r="N1520" s="3"/>
      <c r="O1520" s="3"/>
      <c r="R1520" s="3"/>
      <c r="W1520" s="3"/>
      <c r="X1520" s="3"/>
      <c r="Y1520" s="3"/>
      <c r="Z1520" s="3"/>
      <c r="AA1520" s="3"/>
      <c r="AB1520" s="3"/>
      <c r="AC1520" s="3"/>
      <c r="AD1520" s="3"/>
      <c r="AE1520" s="3"/>
      <c r="AG1520" s="2"/>
      <c r="AR1520" s="307"/>
      <c r="AS1520" s="307"/>
      <c r="AT1520" s="307"/>
      <c r="AU1520" s="670"/>
      <c r="AV1520" s="572"/>
    </row>
    <row r="1521" spans="4:48" ht="12.75" customHeight="1" x14ac:dyDescent="0.25">
      <c r="D1521" s="3"/>
      <c r="L1521" s="3"/>
      <c r="N1521" s="3"/>
      <c r="O1521" s="3"/>
      <c r="R1521" s="3"/>
      <c r="W1521" s="3"/>
      <c r="X1521" s="3"/>
      <c r="Y1521" s="3"/>
      <c r="Z1521" s="3"/>
      <c r="AA1521" s="3"/>
      <c r="AB1521" s="3"/>
      <c r="AC1521" s="3"/>
      <c r="AD1521" s="3"/>
      <c r="AE1521" s="3"/>
      <c r="AG1521" s="2"/>
      <c r="AR1521" s="307"/>
      <c r="AS1521" s="307"/>
      <c r="AT1521" s="307"/>
      <c r="AU1521" s="670"/>
      <c r="AV1521" s="572"/>
    </row>
    <row r="1522" spans="4:48" ht="12.75" customHeight="1" x14ac:dyDescent="0.25">
      <c r="D1522" s="3"/>
      <c r="L1522" s="3"/>
      <c r="N1522" s="3"/>
      <c r="O1522" s="3"/>
      <c r="R1522" s="3"/>
      <c r="W1522" s="3"/>
      <c r="X1522" s="3"/>
      <c r="Y1522" s="3"/>
      <c r="Z1522" s="3"/>
      <c r="AA1522" s="3"/>
      <c r="AB1522" s="3"/>
      <c r="AC1522" s="3"/>
      <c r="AD1522" s="3"/>
      <c r="AE1522" s="3"/>
      <c r="AG1522" s="2"/>
      <c r="AR1522" s="307"/>
      <c r="AS1522" s="307"/>
      <c r="AT1522" s="307"/>
      <c r="AU1522" s="670"/>
      <c r="AV1522" s="572"/>
    </row>
    <row r="1523" spans="4:48" ht="12.75" customHeight="1" x14ac:dyDescent="0.25">
      <c r="D1523" s="3"/>
      <c r="L1523" s="3"/>
      <c r="N1523" s="3"/>
      <c r="O1523" s="3"/>
      <c r="R1523" s="3"/>
      <c r="W1523" s="3"/>
      <c r="X1523" s="3"/>
      <c r="Y1523" s="3"/>
      <c r="Z1523" s="3"/>
      <c r="AA1523" s="3"/>
      <c r="AB1523" s="3"/>
      <c r="AC1523" s="3"/>
      <c r="AD1523" s="3"/>
      <c r="AE1523" s="3"/>
      <c r="AG1523" s="2"/>
      <c r="AR1523" s="307"/>
      <c r="AS1523" s="307"/>
      <c r="AT1523" s="307"/>
      <c r="AU1523" s="670"/>
      <c r="AV1523" s="572"/>
    </row>
    <row r="1524" spans="4:48" ht="12.75" customHeight="1" x14ac:dyDescent="0.25">
      <c r="D1524" s="3"/>
      <c r="L1524" s="3"/>
      <c r="N1524" s="3"/>
      <c r="O1524" s="3"/>
      <c r="R1524" s="3"/>
      <c r="W1524" s="3"/>
      <c r="X1524" s="3"/>
      <c r="Y1524" s="3"/>
      <c r="Z1524" s="3"/>
      <c r="AA1524" s="3"/>
      <c r="AB1524" s="3"/>
      <c r="AC1524" s="3"/>
      <c r="AD1524" s="3"/>
      <c r="AE1524" s="3"/>
      <c r="AG1524" s="2"/>
      <c r="AR1524" s="307"/>
      <c r="AS1524" s="307"/>
      <c r="AT1524" s="307"/>
      <c r="AU1524" s="670"/>
      <c r="AV1524" s="572"/>
    </row>
    <row r="1525" spans="4:48" ht="12.75" customHeight="1" x14ac:dyDescent="0.25">
      <c r="D1525" s="3"/>
      <c r="L1525" s="3"/>
      <c r="N1525" s="3"/>
      <c r="O1525" s="3"/>
      <c r="R1525" s="3"/>
      <c r="W1525" s="3"/>
      <c r="X1525" s="3"/>
      <c r="Y1525" s="3"/>
      <c r="Z1525" s="3"/>
      <c r="AA1525" s="3"/>
      <c r="AB1525" s="3"/>
      <c r="AC1525" s="3"/>
      <c r="AD1525" s="3"/>
      <c r="AE1525" s="3"/>
      <c r="AG1525" s="2"/>
      <c r="AR1525" s="307"/>
      <c r="AS1525" s="307"/>
      <c r="AT1525" s="307"/>
      <c r="AU1525" s="670"/>
      <c r="AV1525" s="572"/>
    </row>
    <row r="1526" spans="4:48" ht="12.75" customHeight="1" x14ac:dyDescent="0.25">
      <c r="D1526" s="3"/>
      <c r="L1526" s="3"/>
      <c r="N1526" s="3"/>
      <c r="O1526" s="3"/>
      <c r="R1526" s="3"/>
      <c r="W1526" s="3"/>
      <c r="X1526" s="3"/>
      <c r="Y1526" s="3"/>
      <c r="Z1526" s="3"/>
      <c r="AA1526" s="3"/>
      <c r="AB1526" s="3"/>
      <c r="AC1526" s="3"/>
      <c r="AD1526" s="3"/>
      <c r="AE1526" s="3"/>
      <c r="AG1526" s="2"/>
      <c r="AR1526" s="307"/>
      <c r="AS1526" s="307"/>
      <c r="AT1526" s="307"/>
      <c r="AU1526" s="670"/>
      <c r="AV1526" s="572"/>
    </row>
    <row r="1527" spans="4:48" ht="12.75" customHeight="1" x14ac:dyDescent="0.25">
      <c r="D1527" s="3"/>
      <c r="L1527" s="3"/>
      <c r="N1527" s="3"/>
      <c r="O1527" s="3"/>
      <c r="R1527" s="3"/>
      <c r="W1527" s="3"/>
      <c r="X1527" s="3"/>
      <c r="Y1527" s="3"/>
      <c r="Z1527" s="3"/>
      <c r="AA1527" s="3"/>
      <c r="AB1527" s="3"/>
      <c r="AC1527" s="3"/>
      <c r="AD1527" s="3"/>
      <c r="AE1527" s="3"/>
      <c r="AG1527" s="2"/>
      <c r="AR1527" s="307"/>
      <c r="AS1527" s="307"/>
      <c r="AT1527" s="307"/>
      <c r="AU1527" s="670"/>
      <c r="AV1527" s="572"/>
    </row>
    <row r="1528" spans="4:48" ht="12.75" customHeight="1" x14ac:dyDescent="0.25">
      <c r="D1528" s="3"/>
      <c r="L1528" s="3"/>
      <c r="N1528" s="3"/>
      <c r="O1528" s="3"/>
      <c r="R1528" s="3"/>
      <c r="W1528" s="3"/>
      <c r="X1528" s="3"/>
      <c r="Y1528" s="3"/>
      <c r="Z1528" s="3"/>
      <c r="AA1528" s="3"/>
      <c r="AB1528" s="3"/>
      <c r="AC1528" s="3"/>
      <c r="AD1528" s="3"/>
      <c r="AE1528" s="3"/>
      <c r="AG1528" s="2"/>
      <c r="AR1528" s="307"/>
      <c r="AS1528" s="307"/>
      <c r="AT1528" s="307"/>
      <c r="AU1528" s="670"/>
      <c r="AV1528" s="572"/>
    </row>
    <row r="1529" spans="4:48" ht="12.75" customHeight="1" x14ac:dyDescent="0.25">
      <c r="D1529" s="3"/>
      <c r="L1529" s="3"/>
      <c r="N1529" s="3"/>
      <c r="O1529" s="3"/>
      <c r="R1529" s="3"/>
      <c r="W1529" s="3"/>
      <c r="X1529" s="3"/>
      <c r="Y1529" s="3"/>
      <c r="Z1529" s="3"/>
      <c r="AA1529" s="3"/>
      <c r="AB1529" s="3"/>
      <c r="AC1529" s="3"/>
      <c r="AD1529" s="3"/>
      <c r="AE1529" s="3"/>
      <c r="AG1529" s="2"/>
      <c r="AR1529" s="307"/>
      <c r="AS1529" s="307"/>
      <c r="AT1529" s="307"/>
      <c r="AU1529" s="670"/>
      <c r="AV1529" s="572"/>
    </row>
    <row r="1530" spans="4:48" ht="12.75" customHeight="1" x14ac:dyDescent="0.25">
      <c r="D1530" s="3"/>
      <c r="L1530" s="3"/>
      <c r="N1530" s="3"/>
      <c r="O1530" s="3"/>
      <c r="R1530" s="3"/>
      <c r="W1530" s="3"/>
      <c r="X1530" s="3"/>
      <c r="Y1530" s="3"/>
      <c r="Z1530" s="3"/>
      <c r="AA1530" s="3"/>
      <c r="AB1530" s="3"/>
      <c r="AC1530" s="3"/>
      <c r="AD1530" s="3"/>
      <c r="AE1530" s="3"/>
      <c r="AG1530" s="2"/>
      <c r="AR1530" s="307"/>
      <c r="AS1530" s="307"/>
      <c r="AT1530" s="307"/>
      <c r="AU1530" s="670"/>
      <c r="AV1530" s="572"/>
    </row>
    <row r="1531" spans="4:48" ht="12.75" customHeight="1" x14ac:dyDescent="0.25">
      <c r="D1531" s="3"/>
      <c r="L1531" s="3"/>
      <c r="N1531" s="3"/>
      <c r="O1531" s="3"/>
      <c r="R1531" s="3"/>
      <c r="W1531" s="3"/>
      <c r="X1531" s="3"/>
      <c r="Y1531" s="3"/>
      <c r="Z1531" s="3"/>
      <c r="AA1531" s="3"/>
      <c r="AB1531" s="3"/>
      <c r="AC1531" s="3"/>
      <c r="AD1531" s="3"/>
      <c r="AE1531" s="3"/>
      <c r="AG1531" s="2"/>
      <c r="AR1531" s="307"/>
      <c r="AS1531" s="307"/>
      <c r="AT1531" s="307"/>
      <c r="AU1531" s="670"/>
      <c r="AV1531" s="572"/>
    </row>
    <row r="1532" spans="4:48" ht="12.75" customHeight="1" x14ac:dyDescent="0.25">
      <c r="D1532" s="3"/>
      <c r="L1532" s="3"/>
      <c r="N1532" s="3"/>
      <c r="O1532" s="3"/>
      <c r="R1532" s="3"/>
      <c r="W1532" s="3"/>
      <c r="X1532" s="3"/>
      <c r="Y1532" s="3"/>
      <c r="Z1532" s="3"/>
      <c r="AA1532" s="3"/>
      <c r="AB1532" s="3"/>
      <c r="AC1532" s="3"/>
      <c r="AD1532" s="3"/>
      <c r="AE1532" s="3"/>
      <c r="AG1532" s="2"/>
      <c r="AR1532" s="307"/>
      <c r="AS1532" s="307"/>
      <c r="AT1532" s="307"/>
      <c r="AU1532" s="670"/>
      <c r="AV1532" s="572"/>
    </row>
    <row r="1533" spans="4:48" ht="12.75" customHeight="1" x14ac:dyDescent="0.25">
      <c r="D1533" s="3"/>
      <c r="L1533" s="3"/>
      <c r="N1533" s="3"/>
      <c r="O1533" s="3"/>
      <c r="R1533" s="3"/>
      <c r="W1533" s="3"/>
      <c r="X1533" s="3"/>
      <c r="Y1533" s="3"/>
      <c r="Z1533" s="3"/>
      <c r="AA1533" s="3"/>
      <c r="AB1533" s="3"/>
      <c r="AC1533" s="3"/>
      <c r="AD1533" s="3"/>
      <c r="AE1533" s="3"/>
      <c r="AG1533" s="2"/>
      <c r="AR1533" s="307"/>
      <c r="AS1533" s="307"/>
      <c r="AT1533" s="307"/>
      <c r="AU1533" s="670"/>
      <c r="AV1533" s="572"/>
    </row>
    <row r="1534" spans="4:48" ht="12.75" customHeight="1" x14ac:dyDescent="0.25">
      <c r="D1534" s="3"/>
      <c r="L1534" s="3"/>
      <c r="N1534" s="3"/>
      <c r="O1534" s="3"/>
      <c r="R1534" s="3"/>
      <c r="W1534" s="3"/>
      <c r="X1534" s="3"/>
      <c r="Y1534" s="3"/>
      <c r="Z1534" s="3"/>
      <c r="AA1534" s="3"/>
      <c r="AB1534" s="3"/>
      <c r="AC1534" s="3"/>
      <c r="AD1534" s="3"/>
      <c r="AE1534" s="3"/>
      <c r="AG1534" s="2"/>
      <c r="AR1534" s="307"/>
      <c r="AS1534" s="307"/>
      <c r="AT1534" s="307"/>
      <c r="AU1534" s="670"/>
      <c r="AV1534" s="572"/>
    </row>
    <row r="1535" spans="4:48" ht="12.75" customHeight="1" x14ac:dyDescent="0.25">
      <c r="D1535" s="3"/>
      <c r="L1535" s="3"/>
      <c r="N1535" s="3"/>
      <c r="O1535" s="3"/>
      <c r="R1535" s="3"/>
      <c r="W1535" s="3"/>
      <c r="X1535" s="3"/>
      <c r="Y1535" s="3"/>
      <c r="Z1535" s="3"/>
      <c r="AA1535" s="3"/>
      <c r="AB1535" s="3"/>
      <c r="AC1535" s="3"/>
      <c r="AD1535" s="3"/>
      <c r="AE1535" s="3"/>
      <c r="AG1535" s="2"/>
      <c r="AR1535" s="307"/>
      <c r="AS1535" s="307"/>
      <c r="AT1535" s="307"/>
      <c r="AU1535" s="670"/>
      <c r="AV1535" s="572"/>
    </row>
    <row r="1536" spans="4:48" ht="12.75" customHeight="1" x14ac:dyDescent="0.25">
      <c r="D1536" s="3"/>
      <c r="L1536" s="3"/>
      <c r="N1536" s="3"/>
      <c r="O1536" s="3"/>
      <c r="R1536" s="3"/>
      <c r="W1536" s="3"/>
      <c r="X1536" s="3"/>
      <c r="Y1536" s="3"/>
      <c r="Z1536" s="3"/>
      <c r="AA1536" s="3"/>
      <c r="AB1536" s="3"/>
      <c r="AC1536" s="3"/>
      <c r="AD1536" s="3"/>
      <c r="AE1536" s="3"/>
      <c r="AG1536" s="2"/>
      <c r="AR1536" s="307"/>
      <c r="AS1536" s="307"/>
      <c r="AT1536" s="307"/>
      <c r="AU1536" s="670"/>
      <c r="AV1536" s="572"/>
    </row>
    <row r="1537" spans="4:48" ht="12.75" customHeight="1" x14ac:dyDescent="0.25">
      <c r="D1537" s="3"/>
      <c r="L1537" s="3"/>
      <c r="N1537" s="3"/>
      <c r="O1537" s="3"/>
      <c r="R1537" s="3"/>
      <c r="W1537" s="3"/>
      <c r="X1537" s="3"/>
      <c r="Y1537" s="3"/>
      <c r="Z1537" s="3"/>
      <c r="AA1537" s="3"/>
      <c r="AB1537" s="3"/>
      <c r="AC1537" s="3"/>
      <c r="AD1537" s="3"/>
      <c r="AE1537" s="3"/>
      <c r="AG1537" s="2"/>
      <c r="AR1537" s="307"/>
      <c r="AS1537" s="307"/>
      <c r="AT1537" s="307"/>
      <c r="AU1537" s="670"/>
      <c r="AV1537" s="572"/>
    </row>
    <row r="1538" spans="4:48" ht="12.75" customHeight="1" x14ac:dyDescent="0.25">
      <c r="D1538" s="3"/>
      <c r="L1538" s="3"/>
      <c r="N1538" s="3"/>
      <c r="O1538" s="3"/>
      <c r="R1538" s="3"/>
      <c r="W1538" s="3"/>
      <c r="X1538" s="3"/>
      <c r="Y1538" s="3"/>
      <c r="Z1538" s="3"/>
      <c r="AA1538" s="3"/>
      <c r="AB1538" s="3"/>
      <c r="AC1538" s="3"/>
      <c r="AD1538" s="3"/>
      <c r="AE1538" s="3"/>
      <c r="AG1538" s="2"/>
      <c r="AR1538" s="307"/>
      <c r="AS1538" s="307"/>
      <c r="AT1538" s="307"/>
      <c r="AU1538" s="670"/>
      <c r="AV1538" s="572"/>
    </row>
    <row r="1539" spans="4:48" ht="12.75" customHeight="1" x14ac:dyDescent="0.25">
      <c r="D1539" s="3"/>
      <c r="L1539" s="3"/>
      <c r="N1539" s="3"/>
      <c r="O1539" s="3"/>
      <c r="R1539" s="3"/>
      <c r="W1539" s="3"/>
      <c r="X1539" s="3"/>
      <c r="Y1539" s="3"/>
      <c r="Z1539" s="3"/>
      <c r="AA1539" s="3"/>
      <c r="AB1539" s="3"/>
      <c r="AC1539" s="3"/>
      <c r="AD1539" s="3"/>
      <c r="AE1539" s="3"/>
      <c r="AG1539" s="2"/>
      <c r="AR1539" s="307"/>
      <c r="AS1539" s="307"/>
      <c r="AT1539" s="307"/>
      <c r="AU1539" s="670"/>
      <c r="AV1539" s="572"/>
    </row>
    <row r="1540" spans="4:48" ht="12.75" customHeight="1" x14ac:dyDescent="0.25">
      <c r="D1540" s="3"/>
      <c r="L1540" s="3"/>
      <c r="N1540" s="3"/>
      <c r="O1540" s="3"/>
      <c r="R1540" s="3"/>
      <c r="W1540" s="3"/>
      <c r="X1540" s="3"/>
      <c r="Y1540" s="3"/>
      <c r="Z1540" s="3"/>
      <c r="AA1540" s="3"/>
      <c r="AB1540" s="3"/>
      <c r="AC1540" s="3"/>
      <c r="AD1540" s="3"/>
      <c r="AE1540" s="3"/>
      <c r="AG1540" s="2"/>
      <c r="AR1540" s="307"/>
      <c r="AS1540" s="307"/>
      <c r="AT1540" s="307"/>
      <c r="AU1540" s="670"/>
      <c r="AV1540" s="572"/>
    </row>
    <row r="1541" spans="4:48" ht="12.75" customHeight="1" x14ac:dyDescent="0.25">
      <c r="D1541" s="3"/>
      <c r="L1541" s="3"/>
      <c r="N1541" s="3"/>
      <c r="O1541" s="3"/>
      <c r="R1541" s="3"/>
      <c r="W1541" s="3"/>
      <c r="X1541" s="3"/>
      <c r="Y1541" s="3"/>
      <c r="Z1541" s="3"/>
      <c r="AA1541" s="3"/>
      <c r="AB1541" s="3"/>
      <c r="AC1541" s="3"/>
      <c r="AD1541" s="3"/>
      <c r="AE1541" s="3"/>
      <c r="AG1541" s="2"/>
      <c r="AR1541" s="307"/>
      <c r="AS1541" s="307"/>
      <c r="AT1541" s="307"/>
      <c r="AU1541" s="670"/>
      <c r="AV1541" s="572"/>
    </row>
    <row r="1542" spans="4:48" ht="12.75" customHeight="1" x14ac:dyDescent="0.25">
      <c r="D1542" s="3"/>
      <c r="L1542" s="3"/>
      <c r="N1542" s="3"/>
      <c r="O1542" s="3"/>
      <c r="R1542" s="3"/>
      <c r="W1542" s="3"/>
      <c r="X1542" s="3"/>
      <c r="Y1542" s="3"/>
      <c r="Z1542" s="3"/>
      <c r="AA1542" s="3"/>
      <c r="AB1542" s="3"/>
      <c r="AC1542" s="3"/>
      <c r="AD1542" s="3"/>
      <c r="AE1542" s="3"/>
      <c r="AG1542" s="2"/>
      <c r="AR1542" s="307"/>
      <c r="AS1542" s="307"/>
      <c r="AT1542" s="307"/>
      <c r="AU1542" s="670"/>
      <c r="AV1542" s="572"/>
    </row>
    <row r="1543" spans="4:48" ht="12.75" customHeight="1" x14ac:dyDescent="0.25">
      <c r="D1543" s="3"/>
      <c r="L1543" s="3"/>
      <c r="N1543" s="3"/>
      <c r="O1543" s="3"/>
      <c r="R1543" s="3"/>
      <c r="W1543" s="3"/>
      <c r="X1543" s="3"/>
      <c r="Y1543" s="3"/>
      <c r="Z1543" s="3"/>
      <c r="AA1543" s="3"/>
      <c r="AB1543" s="3"/>
      <c r="AC1543" s="3"/>
      <c r="AD1543" s="3"/>
      <c r="AE1543" s="3"/>
      <c r="AG1543" s="2"/>
      <c r="AR1543" s="307"/>
      <c r="AS1543" s="307"/>
      <c r="AT1543" s="307"/>
      <c r="AU1543" s="670"/>
      <c r="AV1543" s="572"/>
    </row>
    <row r="1544" spans="4:48" ht="12.75" customHeight="1" x14ac:dyDescent="0.25">
      <c r="D1544" s="3"/>
      <c r="L1544" s="3"/>
      <c r="N1544" s="3"/>
      <c r="O1544" s="3"/>
      <c r="R1544" s="3"/>
      <c r="W1544" s="3"/>
      <c r="X1544" s="3"/>
      <c r="Y1544" s="3"/>
      <c r="Z1544" s="3"/>
      <c r="AA1544" s="3"/>
      <c r="AB1544" s="3"/>
      <c r="AC1544" s="3"/>
      <c r="AD1544" s="3"/>
      <c r="AE1544" s="3"/>
      <c r="AG1544" s="2"/>
      <c r="AR1544" s="307"/>
      <c r="AS1544" s="307"/>
      <c r="AT1544" s="307"/>
      <c r="AU1544" s="670"/>
      <c r="AV1544" s="572"/>
    </row>
    <row r="1545" spans="4:48" ht="12.75" customHeight="1" x14ac:dyDescent="0.25">
      <c r="D1545" s="3"/>
      <c r="L1545" s="3"/>
      <c r="N1545" s="3"/>
      <c r="O1545" s="3"/>
      <c r="R1545" s="3"/>
      <c r="W1545" s="3"/>
      <c r="X1545" s="3"/>
      <c r="Y1545" s="3"/>
      <c r="Z1545" s="3"/>
      <c r="AA1545" s="3"/>
      <c r="AB1545" s="3"/>
      <c r="AC1545" s="3"/>
      <c r="AD1545" s="3"/>
      <c r="AE1545" s="3"/>
      <c r="AG1545" s="2"/>
      <c r="AR1545" s="307"/>
      <c r="AS1545" s="307"/>
      <c r="AT1545" s="307"/>
      <c r="AU1545" s="670"/>
      <c r="AV1545" s="572"/>
    </row>
    <row r="1546" spans="4:48" ht="12.75" customHeight="1" x14ac:dyDescent="0.25">
      <c r="D1546" s="3"/>
      <c r="L1546" s="3"/>
      <c r="N1546" s="3"/>
      <c r="O1546" s="3"/>
      <c r="R1546" s="3"/>
      <c r="W1546" s="3"/>
      <c r="X1546" s="3"/>
      <c r="Y1546" s="3"/>
      <c r="Z1546" s="3"/>
      <c r="AA1546" s="3"/>
      <c r="AB1546" s="3"/>
      <c r="AC1546" s="3"/>
      <c r="AD1546" s="3"/>
      <c r="AE1546" s="3"/>
      <c r="AG1546" s="2"/>
      <c r="AR1546" s="307"/>
      <c r="AS1546" s="307"/>
      <c r="AT1546" s="307"/>
      <c r="AU1546" s="670"/>
      <c r="AV1546" s="572"/>
    </row>
    <row r="1547" spans="4:48" ht="12.75" customHeight="1" x14ac:dyDescent="0.25">
      <c r="D1547" s="3"/>
      <c r="L1547" s="3"/>
      <c r="N1547" s="3"/>
      <c r="O1547" s="3"/>
      <c r="R1547" s="3"/>
      <c r="W1547" s="3"/>
      <c r="X1547" s="3"/>
      <c r="Y1547" s="3"/>
      <c r="Z1547" s="3"/>
      <c r="AA1547" s="3"/>
      <c r="AB1547" s="3"/>
      <c r="AC1547" s="3"/>
      <c r="AD1547" s="3"/>
      <c r="AE1547" s="3"/>
      <c r="AG1547" s="2"/>
      <c r="AR1547" s="307"/>
      <c r="AS1547" s="307"/>
      <c r="AT1547" s="307"/>
      <c r="AU1547" s="670"/>
      <c r="AV1547" s="572"/>
    </row>
    <row r="1548" spans="4:48" ht="12.75" customHeight="1" x14ac:dyDescent="0.25">
      <c r="D1548" s="3"/>
      <c r="L1548" s="3"/>
      <c r="N1548" s="3"/>
      <c r="O1548" s="3"/>
      <c r="R1548" s="3"/>
      <c r="W1548" s="3"/>
      <c r="X1548" s="3"/>
      <c r="Y1548" s="3"/>
      <c r="Z1548" s="3"/>
      <c r="AA1548" s="3"/>
      <c r="AB1548" s="3"/>
      <c r="AC1548" s="3"/>
      <c r="AD1548" s="3"/>
      <c r="AE1548" s="3"/>
      <c r="AG1548" s="2"/>
      <c r="AR1548" s="307"/>
      <c r="AS1548" s="307"/>
      <c r="AT1548" s="307"/>
      <c r="AU1548" s="670"/>
      <c r="AV1548" s="572"/>
    </row>
    <row r="1549" spans="4:48" ht="12.75" customHeight="1" x14ac:dyDescent="0.25">
      <c r="D1549" s="3"/>
      <c r="L1549" s="3"/>
      <c r="N1549" s="3"/>
      <c r="O1549" s="3"/>
      <c r="R1549" s="3"/>
      <c r="W1549" s="3"/>
      <c r="X1549" s="3"/>
      <c r="Y1549" s="3"/>
      <c r="Z1549" s="3"/>
      <c r="AA1549" s="3"/>
      <c r="AB1549" s="3"/>
      <c r="AC1549" s="3"/>
      <c r="AD1549" s="3"/>
      <c r="AE1549" s="3"/>
      <c r="AG1549" s="2"/>
      <c r="AR1549" s="307"/>
      <c r="AS1549" s="307"/>
      <c r="AT1549" s="307"/>
      <c r="AU1549" s="670"/>
      <c r="AV1549" s="572"/>
    </row>
    <row r="1550" spans="4:48" ht="12.75" customHeight="1" x14ac:dyDescent="0.25">
      <c r="D1550" s="3"/>
      <c r="L1550" s="3"/>
      <c r="N1550" s="3"/>
      <c r="O1550" s="3"/>
      <c r="R1550" s="3"/>
      <c r="W1550" s="3"/>
      <c r="X1550" s="3"/>
      <c r="Y1550" s="3"/>
      <c r="Z1550" s="3"/>
      <c r="AA1550" s="3"/>
      <c r="AB1550" s="3"/>
      <c r="AC1550" s="3"/>
      <c r="AD1550" s="3"/>
      <c r="AE1550" s="3"/>
      <c r="AG1550" s="2"/>
      <c r="AR1550" s="307"/>
      <c r="AS1550" s="307"/>
      <c r="AT1550" s="307"/>
      <c r="AU1550" s="670"/>
      <c r="AV1550" s="572"/>
    </row>
    <row r="1551" spans="4:48" ht="12.75" customHeight="1" x14ac:dyDescent="0.25">
      <c r="D1551" s="3"/>
      <c r="L1551" s="3"/>
      <c r="N1551" s="3"/>
      <c r="O1551" s="3"/>
      <c r="R1551" s="3"/>
      <c r="W1551" s="3"/>
      <c r="X1551" s="3"/>
      <c r="Y1551" s="3"/>
      <c r="Z1551" s="3"/>
      <c r="AA1551" s="3"/>
      <c r="AB1551" s="3"/>
      <c r="AC1551" s="3"/>
      <c r="AD1551" s="3"/>
      <c r="AE1551" s="3"/>
      <c r="AG1551" s="2"/>
      <c r="AR1551" s="307"/>
      <c r="AS1551" s="307"/>
      <c r="AT1551" s="307"/>
      <c r="AU1551" s="670"/>
      <c r="AV1551" s="572"/>
    </row>
    <row r="1552" spans="4:48" ht="12.75" customHeight="1" x14ac:dyDescent="0.25">
      <c r="D1552" s="3"/>
      <c r="L1552" s="3"/>
      <c r="N1552" s="3"/>
      <c r="O1552" s="3"/>
      <c r="R1552" s="3"/>
      <c r="W1552" s="3"/>
      <c r="X1552" s="3"/>
      <c r="Y1552" s="3"/>
      <c r="Z1552" s="3"/>
      <c r="AA1552" s="3"/>
      <c r="AB1552" s="3"/>
      <c r="AC1552" s="3"/>
      <c r="AD1552" s="3"/>
      <c r="AE1552" s="3"/>
      <c r="AG1552" s="2"/>
      <c r="AR1552" s="307"/>
      <c r="AS1552" s="307"/>
      <c r="AT1552" s="307"/>
      <c r="AU1552" s="670"/>
      <c r="AV1552" s="572"/>
    </row>
    <row r="1553" spans="4:48" ht="12.75" customHeight="1" x14ac:dyDescent="0.25">
      <c r="D1553" s="3"/>
      <c r="L1553" s="3"/>
      <c r="N1553" s="3"/>
      <c r="O1553" s="3"/>
      <c r="R1553" s="3"/>
      <c r="W1553" s="3"/>
      <c r="X1553" s="3"/>
      <c r="Y1553" s="3"/>
      <c r="Z1553" s="3"/>
      <c r="AA1553" s="3"/>
      <c r="AB1553" s="3"/>
      <c r="AC1553" s="3"/>
      <c r="AD1553" s="3"/>
      <c r="AE1553" s="3"/>
      <c r="AG1553" s="2"/>
      <c r="AR1553" s="307"/>
      <c r="AS1553" s="307"/>
      <c r="AT1553" s="307"/>
      <c r="AU1553" s="670"/>
      <c r="AV1553" s="572"/>
    </row>
    <row r="1554" spans="4:48" ht="12.75" customHeight="1" x14ac:dyDescent="0.25">
      <c r="D1554" s="3"/>
      <c r="L1554" s="3"/>
      <c r="N1554" s="3"/>
      <c r="O1554" s="3"/>
      <c r="R1554" s="3"/>
      <c r="W1554" s="3"/>
      <c r="X1554" s="3"/>
      <c r="Y1554" s="3"/>
      <c r="Z1554" s="3"/>
      <c r="AA1554" s="3"/>
      <c r="AB1554" s="3"/>
      <c r="AC1554" s="3"/>
      <c r="AD1554" s="3"/>
      <c r="AE1554" s="3"/>
      <c r="AG1554" s="2"/>
      <c r="AR1554" s="307"/>
      <c r="AS1554" s="307"/>
      <c r="AT1554" s="307"/>
      <c r="AU1554" s="670"/>
      <c r="AV1554" s="572"/>
    </row>
    <row r="1555" spans="4:48" ht="12.75" customHeight="1" x14ac:dyDescent="0.25">
      <c r="D1555" s="3"/>
      <c r="L1555" s="3"/>
      <c r="N1555" s="3"/>
      <c r="O1555" s="3"/>
      <c r="R1555" s="3"/>
      <c r="W1555" s="3"/>
      <c r="X1555" s="3"/>
      <c r="Y1555" s="3"/>
      <c r="Z1555" s="3"/>
      <c r="AA1555" s="3"/>
      <c r="AB1555" s="3"/>
      <c r="AC1555" s="3"/>
      <c r="AD1555" s="3"/>
      <c r="AE1555" s="3"/>
      <c r="AG1555" s="2"/>
      <c r="AR1555" s="307"/>
      <c r="AS1555" s="307"/>
      <c r="AT1555" s="307"/>
      <c r="AU1555" s="670"/>
      <c r="AV1555" s="572"/>
    </row>
    <row r="1556" spans="4:48" ht="12.75" customHeight="1" x14ac:dyDescent="0.25">
      <c r="D1556" s="3"/>
      <c r="L1556" s="3"/>
      <c r="N1556" s="3"/>
      <c r="O1556" s="3"/>
      <c r="R1556" s="3"/>
      <c r="W1556" s="3"/>
      <c r="X1556" s="3"/>
      <c r="Y1556" s="3"/>
      <c r="Z1556" s="3"/>
      <c r="AA1556" s="3"/>
      <c r="AB1556" s="3"/>
      <c r="AC1556" s="3"/>
      <c r="AD1556" s="3"/>
      <c r="AE1556" s="3"/>
      <c r="AG1556" s="2"/>
      <c r="AR1556" s="307"/>
      <c r="AS1556" s="307"/>
      <c r="AT1556" s="307"/>
      <c r="AU1556" s="670"/>
      <c r="AV1556" s="572"/>
    </row>
    <row r="1557" spans="4:48" ht="12.75" customHeight="1" x14ac:dyDescent="0.25">
      <c r="D1557" s="3"/>
      <c r="L1557" s="3"/>
      <c r="N1557" s="3"/>
      <c r="O1557" s="3"/>
      <c r="R1557" s="3"/>
      <c r="W1557" s="3"/>
      <c r="X1557" s="3"/>
      <c r="Y1557" s="3"/>
      <c r="Z1557" s="3"/>
      <c r="AA1557" s="3"/>
      <c r="AB1557" s="3"/>
      <c r="AC1557" s="3"/>
      <c r="AD1557" s="3"/>
      <c r="AE1557" s="3"/>
      <c r="AG1557" s="2"/>
      <c r="AR1557" s="307"/>
      <c r="AS1557" s="307"/>
      <c r="AT1557" s="307"/>
      <c r="AU1557" s="670"/>
      <c r="AV1557" s="572"/>
    </row>
    <row r="1558" spans="4:48" ht="12.75" customHeight="1" x14ac:dyDescent="0.25">
      <c r="D1558" s="3"/>
      <c r="L1558" s="3"/>
      <c r="N1558" s="3"/>
      <c r="O1558" s="3"/>
      <c r="R1558" s="3"/>
      <c r="W1558" s="3"/>
      <c r="X1558" s="3"/>
      <c r="Y1558" s="3"/>
      <c r="Z1558" s="3"/>
      <c r="AA1558" s="3"/>
      <c r="AB1558" s="3"/>
      <c r="AC1558" s="3"/>
      <c r="AD1558" s="3"/>
      <c r="AE1558" s="3"/>
      <c r="AG1558" s="2"/>
      <c r="AR1558" s="307"/>
      <c r="AS1558" s="307"/>
      <c r="AT1558" s="307"/>
      <c r="AU1558" s="670"/>
      <c r="AV1558" s="572"/>
    </row>
    <row r="1559" spans="4:48" ht="12.75" customHeight="1" x14ac:dyDescent="0.25">
      <c r="D1559" s="3"/>
      <c r="L1559" s="3"/>
      <c r="N1559" s="3"/>
      <c r="O1559" s="3"/>
      <c r="R1559" s="3"/>
      <c r="W1559" s="3"/>
      <c r="X1559" s="3"/>
      <c r="Y1559" s="3"/>
      <c r="Z1559" s="3"/>
      <c r="AA1559" s="3"/>
      <c r="AB1559" s="3"/>
      <c r="AC1559" s="3"/>
      <c r="AD1559" s="3"/>
      <c r="AE1559" s="3"/>
      <c r="AG1559" s="2"/>
      <c r="AR1559" s="307"/>
      <c r="AS1559" s="307"/>
      <c r="AT1559" s="307"/>
      <c r="AU1559" s="670"/>
      <c r="AV1559" s="572"/>
    </row>
    <row r="1560" spans="4:48" ht="12.75" customHeight="1" x14ac:dyDescent="0.25">
      <c r="D1560" s="3"/>
      <c r="L1560" s="3"/>
      <c r="N1560" s="3"/>
      <c r="O1560" s="3"/>
      <c r="R1560" s="3"/>
      <c r="W1560" s="3"/>
      <c r="X1560" s="3"/>
      <c r="Y1560" s="3"/>
      <c r="Z1560" s="3"/>
      <c r="AA1560" s="3"/>
      <c r="AB1560" s="3"/>
      <c r="AC1560" s="3"/>
      <c r="AD1560" s="3"/>
      <c r="AE1560" s="3"/>
      <c r="AG1560" s="2"/>
      <c r="AR1560" s="307"/>
      <c r="AS1560" s="307"/>
      <c r="AT1560" s="307"/>
      <c r="AU1560" s="670"/>
      <c r="AV1560" s="572"/>
    </row>
    <row r="1561" spans="4:48" ht="12.75" customHeight="1" x14ac:dyDescent="0.25">
      <c r="D1561" s="3"/>
      <c r="L1561" s="3"/>
      <c r="N1561" s="3"/>
      <c r="O1561" s="3"/>
      <c r="R1561" s="3"/>
      <c r="W1561" s="3"/>
      <c r="X1561" s="3"/>
      <c r="Y1561" s="3"/>
      <c r="Z1561" s="3"/>
      <c r="AA1561" s="3"/>
      <c r="AB1561" s="3"/>
      <c r="AC1561" s="3"/>
      <c r="AD1561" s="3"/>
      <c r="AE1561" s="3"/>
      <c r="AG1561" s="2"/>
      <c r="AR1561" s="307"/>
      <c r="AS1561" s="307"/>
      <c r="AT1561" s="307"/>
      <c r="AU1561" s="670"/>
      <c r="AV1561" s="572"/>
    </row>
    <row r="1562" spans="4:48" ht="12.75" customHeight="1" x14ac:dyDescent="0.25">
      <c r="D1562" s="3"/>
      <c r="L1562" s="3"/>
      <c r="N1562" s="3"/>
      <c r="O1562" s="3"/>
      <c r="R1562" s="3"/>
      <c r="W1562" s="3"/>
      <c r="X1562" s="3"/>
      <c r="Y1562" s="3"/>
      <c r="Z1562" s="3"/>
      <c r="AA1562" s="3"/>
      <c r="AB1562" s="3"/>
      <c r="AC1562" s="3"/>
      <c r="AD1562" s="3"/>
      <c r="AE1562" s="3"/>
      <c r="AG1562" s="2"/>
      <c r="AR1562" s="307"/>
      <c r="AS1562" s="307"/>
      <c r="AT1562" s="307"/>
      <c r="AU1562" s="670"/>
      <c r="AV1562" s="572"/>
    </row>
    <row r="1563" spans="4:48" ht="12.75" customHeight="1" x14ac:dyDescent="0.25">
      <c r="D1563" s="3"/>
      <c r="L1563" s="3"/>
      <c r="N1563" s="3"/>
      <c r="O1563" s="3"/>
      <c r="R1563" s="3"/>
      <c r="W1563" s="3"/>
      <c r="X1563" s="3"/>
      <c r="Y1563" s="3"/>
      <c r="Z1563" s="3"/>
      <c r="AA1563" s="3"/>
      <c r="AB1563" s="3"/>
      <c r="AC1563" s="3"/>
      <c r="AD1563" s="3"/>
      <c r="AE1563" s="3"/>
      <c r="AG1563" s="2"/>
      <c r="AR1563" s="307"/>
      <c r="AS1563" s="307"/>
      <c r="AT1563" s="307"/>
      <c r="AU1563" s="670"/>
      <c r="AV1563" s="572"/>
    </row>
    <row r="1564" spans="4:48" ht="12.75" customHeight="1" x14ac:dyDescent="0.25">
      <c r="D1564" s="3"/>
      <c r="L1564" s="3"/>
      <c r="N1564" s="3"/>
      <c r="O1564" s="3"/>
      <c r="R1564" s="3"/>
      <c r="W1564" s="3"/>
      <c r="X1564" s="3"/>
      <c r="Y1564" s="3"/>
      <c r="Z1564" s="3"/>
      <c r="AA1564" s="3"/>
      <c r="AB1564" s="3"/>
      <c r="AC1564" s="3"/>
      <c r="AD1564" s="3"/>
      <c r="AE1564" s="3"/>
      <c r="AG1564" s="2"/>
      <c r="AR1564" s="307"/>
      <c r="AS1564" s="307"/>
      <c r="AT1564" s="307"/>
      <c r="AU1564" s="670"/>
      <c r="AV1564" s="572"/>
    </row>
    <row r="1565" spans="4:48" ht="12.75" customHeight="1" x14ac:dyDescent="0.25">
      <c r="D1565" s="3"/>
      <c r="L1565" s="3"/>
      <c r="N1565" s="3"/>
      <c r="O1565" s="3"/>
      <c r="R1565" s="3"/>
      <c r="W1565" s="3"/>
      <c r="X1565" s="3"/>
      <c r="Y1565" s="3"/>
      <c r="Z1565" s="3"/>
      <c r="AA1565" s="3"/>
      <c r="AB1565" s="3"/>
      <c r="AC1565" s="3"/>
      <c r="AD1565" s="3"/>
      <c r="AE1565" s="3"/>
      <c r="AG1565" s="2"/>
      <c r="AR1565" s="307"/>
      <c r="AS1565" s="307"/>
      <c r="AT1565" s="307"/>
      <c r="AU1565" s="670"/>
      <c r="AV1565" s="572"/>
    </row>
    <row r="1566" spans="4:48" ht="12.75" customHeight="1" x14ac:dyDescent="0.25">
      <c r="D1566" s="3"/>
      <c r="L1566" s="3"/>
      <c r="N1566" s="3"/>
      <c r="O1566" s="3"/>
      <c r="R1566" s="3"/>
      <c r="W1566" s="3"/>
      <c r="X1566" s="3"/>
      <c r="Y1566" s="3"/>
      <c r="Z1566" s="3"/>
      <c r="AA1566" s="3"/>
      <c r="AB1566" s="3"/>
      <c r="AC1566" s="3"/>
      <c r="AD1566" s="3"/>
      <c r="AE1566" s="3"/>
      <c r="AG1566" s="2"/>
      <c r="AR1566" s="307"/>
      <c r="AS1566" s="307"/>
      <c r="AT1566" s="307"/>
      <c r="AU1566" s="670"/>
      <c r="AV1566" s="572"/>
    </row>
    <row r="1567" spans="4:48" ht="12.75" customHeight="1" x14ac:dyDescent="0.25">
      <c r="D1567" s="3"/>
      <c r="L1567" s="3"/>
      <c r="N1567" s="3"/>
      <c r="O1567" s="3"/>
      <c r="R1567" s="3"/>
      <c r="W1567" s="3"/>
      <c r="X1567" s="3"/>
      <c r="Y1567" s="3"/>
      <c r="Z1567" s="3"/>
      <c r="AA1567" s="3"/>
      <c r="AB1567" s="3"/>
      <c r="AC1567" s="3"/>
      <c r="AD1567" s="3"/>
      <c r="AE1567" s="3"/>
      <c r="AG1567" s="2"/>
      <c r="AR1567" s="307"/>
      <c r="AS1567" s="307"/>
      <c r="AT1567" s="307"/>
      <c r="AU1567" s="670"/>
      <c r="AV1567" s="572"/>
    </row>
    <row r="1568" spans="4:48" ht="12.75" customHeight="1" x14ac:dyDescent="0.25">
      <c r="D1568" s="3"/>
      <c r="L1568" s="3"/>
      <c r="N1568" s="3"/>
      <c r="O1568" s="3"/>
      <c r="R1568" s="3"/>
      <c r="W1568" s="3"/>
      <c r="X1568" s="3"/>
      <c r="Y1568" s="3"/>
      <c r="Z1568" s="3"/>
      <c r="AA1568" s="3"/>
      <c r="AB1568" s="3"/>
      <c r="AC1568" s="3"/>
      <c r="AD1568" s="3"/>
      <c r="AE1568" s="3"/>
      <c r="AG1568" s="2"/>
      <c r="AR1568" s="307"/>
      <c r="AS1568" s="307"/>
      <c r="AT1568" s="307"/>
      <c r="AU1568" s="670"/>
      <c r="AV1568" s="572"/>
    </row>
    <row r="1569" spans="4:48" ht="12.75" customHeight="1" x14ac:dyDescent="0.25">
      <c r="D1569" s="3"/>
      <c r="L1569" s="3"/>
      <c r="N1569" s="3"/>
      <c r="O1569" s="3"/>
      <c r="R1569" s="3"/>
      <c r="W1569" s="3"/>
      <c r="X1569" s="3"/>
      <c r="Y1569" s="3"/>
      <c r="Z1569" s="3"/>
      <c r="AA1569" s="3"/>
      <c r="AB1569" s="3"/>
      <c r="AC1569" s="3"/>
      <c r="AD1569" s="3"/>
      <c r="AE1569" s="3"/>
      <c r="AG1569" s="2"/>
      <c r="AR1569" s="307"/>
      <c r="AS1569" s="307"/>
      <c r="AT1569" s="307"/>
      <c r="AU1569" s="670"/>
      <c r="AV1569" s="572"/>
    </row>
    <row r="1570" spans="4:48" ht="12.75" customHeight="1" x14ac:dyDescent="0.25">
      <c r="D1570" s="3"/>
      <c r="L1570" s="3"/>
      <c r="N1570" s="3"/>
      <c r="O1570" s="3"/>
      <c r="R1570" s="3"/>
      <c r="W1570" s="3"/>
      <c r="X1570" s="3"/>
      <c r="Y1570" s="3"/>
      <c r="Z1570" s="3"/>
      <c r="AA1570" s="3"/>
      <c r="AB1570" s="3"/>
      <c r="AC1570" s="3"/>
      <c r="AD1570" s="3"/>
      <c r="AE1570" s="3"/>
      <c r="AG1570" s="2"/>
      <c r="AR1570" s="307"/>
      <c r="AS1570" s="307"/>
      <c r="AT1570" s="307"/>
      <c r="AU1570" s="670"/>
      <c r="AV1570" s="572"/>
    </row>
    <row r="1571" spans="4:48" ht="12.75" customHeight="1" x14ac:dyDescent="0.25">
      <c r="D1571" s="3"/>
      <c r="L1571" s="3"/>
      <c r="N1571" s="3"/>
      <c r="O1571" s="3"/>
      <c r="R1571" s="3"/>
      <c r="W1571" s="3"/>
      <c r="X1571" s="3"/>
      <c r="Y1571" s="3"/>
      <c r="Z1571" s="3"/>
      <c r="AA1571" s="3"/>
      <c r="AB1571" s="3"/>
      <c r="AC1571" s="3"/>
      <c r="AD1571" s="3"/>
      <c r="AE1571" s="3"/>
      <c r="AG1571" s="2"/>
      <c r="AR1571" s="307"/>
      <c r="AS1571" s="307"/>
      <c r="AT1571" s="307"/>
      <c r="AU1571" s="670"/>
      <c r="AV1571" s="572"/>
    </row>
    <row r="1572" spans="4:48" ht="12.75" customHeight="1" x14ac:dyDescent="0.25">
      <c r="D1572" s="3"/>
      <c r="L1572" s="3"/>
      <c r="N1572" s="3"/>
      <c r="O1572" s="3"/>
      <c r="R1572" s="3"/>
      <c r="W1572" s="3"/>
      <c r="X1572" s="3"/>
      <c r="Y1572" s="3"/>
      <c r="Z1572" s="3"/>
      <c r="AA1572" s="3"/>
      <c r="AB1572" s="3"/>
      <c r="AC1572" s="3"/>
      <c r="AD1572" s="3"/>
      <c r="AE1572" s="3"/>
      <c r="AG1572" s="2"/>
      <c r="AR1572" s="307"/>
      <c r="AS1572" s="307"/>
      <c r="AT1572" s="307"/>
      <c r="AU1572" s="670"/>
      <c r="AV1572" s="572"/>
    </row>
    <row r="1573" spans="4:48" ht="12.75" customHeight="1" x14ac:dyDescent="0.25">
      <c r="D1573" s="3"/>
      <c r="L1573" s="3"/>
      <c r="N1573" s="3"/>
      <c r="O1573" s="3"/>
      <c r="R1573" s="3"/>
      <c r="W1573" s="3"/>
      <c r="X1573" s="3"/>
      <c r="Y1573" s="3"/>
      <c r="Z1573" s="3"/>
      <c r="AA1573" s="3"/>
      <c r="AB1573" s="3"/>
      <c r="AC1573" s="3"/>
      <c r="AD1573" s="3"/>
      <c r="AE1573" s="3"/>
      <c r="AG1573" s="2"/>
      <c r="AR1573" s="307"/>
      <c r="AS1573" s="307"/>
      <c r="AT1573" s="307"/>
      <c r="AU1573" s="670"/>
      <c r="AV1573" s="572"/>
    </row>
    <row r="1574" spans="4:48" ht="12.75" customHeight="1" x14ac:dyDescent="0.25">
      <c r="D1574" s="3"/>
      <c r="L1574" s="3"/>
      <c r="N1574" s="3"/>
      <c r="O1574" s="3"/>
      <c r="R1574" s="3"/>
      <c r="W1574" s="3"/>
      <c r="X1574" s="3"/>
      <c r="Y1574" s="3"/>
      <c r="Z1574" s="3"/>
      <c r="AA1574" s="3"/>
      <c r="AB1574" s="3"/>
      <c r="AC1574" s="3"/>
      <c r="AD1574" s="3"/>
      <c r="AE1574" s="3"/>
      <c r="AG1574" s="2"/>
      <c r="AR1574" s="307"/>
      <c r="AS1574" s="307"/>
      <c r="AT1574" s="307"/>
      <c r="AU1574" s="670"/>
      <c r="AV1574" s="572"/>
    </row>
    <row r="1575" spans="4:48" ht="12.75" customHeight="1" x14ac:dyDescent="0.25">
      <c r="D1575" s="3"/>
      <c r="L1575" s="3"/>
      <c r="N1575" s="3"/>
      <c r="O1575" s="3"/>
      <c r="R1575" s="3"/>
      <c r="W1575" s="3"/>
      <c r="X1575" s="3"/>
      <c r="Y1575" s="3"/>
      <c r="Z1575" s="3"/>
      <c r="AA1575" s="3"/>
      <c r="AB1575" s="3"/>
      <c r="AC1575" s="3"/>
      <c r="AD1575" s="3"/>
      <c r="AE1575" s="3"/>
      <c r="AG1575" s="2"/>
      <c r="AR1575" s="307"/>
      <c r="AS1575" s="307"/>
      <c r="AT1575" s="307"/>
      <c r="AU1575" s="670"/>
      <c r="AV1575" s="572"/>
    </row>
    <row r="1576" spans="4:48" ht="12.75" customHeight="1" x14ac:dyDescent="0.25">
      <c r="D1576" s="3"/>
      <c r="L1576" s="3"/>
      <c r="N1576" s="3"/>
      <c r="O1576" s="3"/>
      <c r="R1576" s="3"/>
      <c r="W1576" s="3"/>
      <c r="X1576" s="3"/>
      <c r="Y1576" s="3"/>
      <c r="Z1576" s="3"/>
      <c r="AA1576" s="3"/>
      <c r="AB1576" s="3"/>
      <c r="AC1576" s="3"/>
      <c r="AD1576" s="3"/>
      <c r="AE1576" s="3"/>
      <c r="AG1576" s="2"/>
      <c r="AR1576" s="307"/>
      <c r="AS1576" s="307"/>
      <c r="AT1576" s="307"/>
      <c r="AU1576" s="670"/>
      <c r="AV1576" s="572"/>
    </row>
    <row r="1577" spans="4:48" ht="12.75" customHeight="1" x14ac:dyDescent="0.25">
      <c r="D1577" s="3"/>
      <c r="L1577" s="3"/>
      <c r="N1577" s="3"/>
      <c r="O1577" s="3"/>
      <c r="R1577" s="3"/>
      <c r="W1577" s="3"/>
      <c r="X1577" s="3"/>
      <c r="Y1577" s="3"/>
      <c r="Z1577" s="3"/>
      <c r="AA1577" s="3"/>
      <c r="AB1577" s="3"/>
      <c r="AC1577" s="3"/>
      <c r="AD1577" s="3"/>
      <c r="AE1577" s="3"/>
      <c r="AG1577" s="2"/>
      <c r="AR1577" s="307"/>
      <c r="AS1577" s="307"/>
      <c r="AT1577" s="307"/>
      <c r="AU1577" s="670"/>
      <c r="AV1577" s="572"/>
    </row>
    <row r="1578" spans="4:48" ht="12.75" customHeight="1" x14ac:dyDescent="0.25">
      <c r="D1578" s="3"/>
      <c r="L1578" s="3"/>
      <c r="N1578" s="3"/>
      <c r="O1578" s="3"/>
      <c r="R1578" s="3"/>
      <c r="W1578" s="3"/>
      <c r="X1578" s="3"/>
      <c r="Y1578" s="3"/>
      <c r="Z1578" s="3"/>
      <c r="AA1578" s="3"/>
      <c r="AB1578" s="3"/>
      <c r="AC1578" s="3"/>
      <c r="AD1578" s="3"/>
      <c r="AE1578" s="3"/>
      <c r="AG1578" s="2"/>
      <c r="AR1578" s="307"/>
      <c r="AS1578" s="307"/>
      <c r="AT1578" s="307"/>
      <c r="AU1578" s="670"/>
      <c r="AV1578" s="572"/>
    </row>
    <row r="1579" spans="4:48" ht="12.75" customHeight="1" x14ac:dyDescent="0.25">
      <c r="D1579" s="3"/>
      <c r="L1579" s="3"/>
      <c r="N1579" s="3"/>
      <c r="O1579" s="3"/>
      <c r="R1579" s="3"/>
      <c r="W1579" s="3"/>
      <c r="X1579" s="3"/>
      <c r="Y1579" s="3"/>
      <c r="Z1579" s="3"/>
      <c r="AA1579" s="3"/>
      <c r="AB1579" s="3"/>
      <c r="AC1579" s="3"/>
      <c r="AD1579" s="3"/>
      <c r="AE1579" s="3"/>
      <c r="AG1579" s="2"/>
      <c r="AR1579" s="307"/>
      <c r="AS1579" s="307"/>
      <c r="AT1579" s="307"/>
      <c r="AU1579" s="670"/>
      <c r="AV1579" s="572"/>
    </row>
    <row r="1580" spans="4:48" ht="12.75" customHeight="1" x14ac:dyDescent="0.25">
      <c r="D1580" s="3"/>
      <c r="L1580" s="3"/>
      <c r="N1580" s="3"/>
      <c r="O1580" s="3"/>
      <c r="R1580" s="3"/>
      <c r="W1580" s="3"/>
      <c r="X1580" s="3"/>
      <c r="Y1580" s="3"/>
      <c r="Z1580" s="3"/>
      <c r="AA1580" s="3"/>
      <c r="AB1580" s="3"/>
      <c r="AC1580" s="3"/>
      <c r="AD1580" s="3"/>
      <c r="AE1580" s="3"/>
      <c r="AG1580" s="2"/>
      <c r="AR1580" s="307"/>
      <c r="AS1580" s="307"/>
      <c r="AT1580" s="307"/>
      <c r="AU1580" s="670"/>
      <c r="AV1580" s="572"/>
    </row>
    <row r="1581" spans="4:48" ht="12.75" customHeight="1" x14ac:dyDescent="0.25">
      <c r="D1581" s="3"/>
      <c r="L1581" s="3"/>
      <c r="N1581" s="3"/>
      <c r="O1581" s="3"/>
      <c r="R1581" s="3"/>
      <c r="W1581" s="3"/>
      <c r="X1581" s="3"/>
      <c r="Y1581" s="3"/>
      <c r="Z1581" s="3"/>
      <c r="AA1581" s="3"/>
      <c r="AB1581" s="3"/>
      <c r="AC1581" s="3"/>
      <c r="AD1581" s="3"/>
      <c r="AE1581" s="3"/>
      <c r="AG1581" s="2"/>
      <c r="AR1581" s="307"/>
      <c r="AS1581" s="307"/>
      <c r="AT1581" s="307"/>
      <c r="AU1581" s="670"/>
      <c r="AV1581" s="572"/>
    </row>
    <row r="1582" spans="4:48" ht="12.75" customHeight="1" x14ac:dyDescent="0.25">
      <c r="D1582" s="3"/>
      <c r="L1582" s="3"/>
      <c r="N1582" s="3"/>
      <c r="O1582" s="3"/>
      <c r="R1582" s="3"/>
      <c r="W1582" s="3"/>
      <c r="X1582" s="3"/>
      <c r="Y1582" s="3"/>
      <c r="Z1582" s="3"/>
      <c r="AA1582" s="3"/>
      <c r="AB1582" s="3"/>
      <c r="AC1582" s="3"/>
      <c r="AD1582" s="3"/>
      <c r="AE1582" s="3"/>
      <c r="AG1582" s="2"/>
      <c r="AR1582" s="307"/>
      <c r="AS1582" s="307"/>
      <c r="AT1582" s="307"/>
      <c r="AU1582" s="670"/>
      <c r="AV1582" s="572"/>
    </row>
    <row r="1583" spans="4:48" ht="12.75" customHeight="1" x14ac:dyDescent="0.25">
      <c r="D1583" s="3"/>
      <c r="L1583" s="3"/>
      <c r="N1583" s="3"/>
      <c r="O1583" s="3"/>
      <c r="R1583" s="3"/>
      <c r="W1583" s="3"/>
      <c r="X1583" s="3"/>
      <c r="Y1583" s="3"/>
      <c r="Z1583" s="3"/>
      <c r="AA1583" s="3"/>
      <c r="AB1583" s="3"/>
      <c r="AC1583" s="3"/>
      <c r="AD1583" s="3"/>
      <c r="AE1583" s="3"/>
      <c r="AG1583" s="2"/>
      <c r="AR1583" s="307"/>
      <c r="AS1583" s="307"/>
      <c r="AT1583" s="307"/>
      <c r="AU1583" s="670"/>
      <c r="AV1583" s="572"/>
    </row>
    <row r="1584" spans="4:48" ht="12.75" customHeight="1" x14ac:dyDescent="0.25">
      <c r="D1584" s="3"/>
      <c r="L1584" s="3"/>
      <c r="N1584" s="3"/>
      <c r="O1584" s="3"/>
      <c r="R1584" s="3"/>
      <c r="W1584" s="3"/>
      <c r="X1584" s="3"/>
      <c r="Y1584" s="3"/>
      <c r="Z1584" s="3"/>
      <c r="AA1584" s="3"/>
      <c r="AB1584" s="3"/>
      <c r="AC1584" s="3"/>
      <c r="AD1584" s="3"/>
      <c r="AE1584" s="3"/>
      <c r="AG1584" s="2"/>
      <c r="AR1584" s="307"/>
      <c r="AS1584" s="307"/>
      <c r="AT1584" s="307"/>
      <c r="AU1584" s="670"/>
      <c r="AV1584" s="572"/>
    </row>
    <row r="1585" spans="4:48" ht="12.75" customHeight="1" x14ac:dyDescent="0.25">
      <c r="D1585" s="3"/>
      <c r="L1585" s="3"/>
      <c r="N1585" s="3"/>
      <c r="O1585" s="3"/>
      <c r="R1585" s="3"/>
      <c r="W1585" s="3"/>
      <c r="X1585" s="3"/>
      <c r="Y1585" s="3"/>
      <c r="Z1585" s="3"/>
      <c r="AA1585" s="3"/>
      <c r="AB1585" s="3"/>
      <c r="AC1585" s="3"/>
      <c r="AD1585" s="3"/>
      <c r="AE1585" s="3"/>
      <c r="AG1585" s="2"/>
      <c r="AR1585" s="307"/>
      <c r="AS1585" s="307"/>
      <c r="AT1585" s="307"/>
      <c r="AU1585" s="670"/>
      <c r="AV1585" s="572"/>
    </row>
    <row r="1586" spans="4:48" ht="12.75" customHeight="1" x14ac:dyDescent="0.25">
      <c r="D1586" s="3"/>
      <c r="L1586" s="3"/>
      <c r="N1586" s="3"/>
      <c r="O1586" s="3"/>
      <c r="R1586" s="3"/>
      <c r="W1586" s="3"/>
      <c r="X1586" s="3"/>
      <c r="Y1586" s="3"/>
      <c r="Z1586" s="3"/>
      <c r="AA1586" s="3"/>
      <c r="AB1586" s="3"/>
      <c r="AC1586" s="3"/>
      <c r="AD1586" s="3"/>
      <c r="AE1586" s="3"/>
      <c r="AG1586" s="2"/>
      <c r="AR1586" s="307"/>
      <c r="AS1586" s="307"/>
      <c r="AT1586" s="307"/>
      <c r="AU1586" s="670"/>
      <c r="AV1586" s="572"/>
    </row>
    <row r="1587" spans="4:48" ht="12.75" customHeight="1" x14ac:dyDescent="0.25">
      <c r="D1587" s="3"/>
      <c r="L1587" s="3"/>
      <c r="N1587" s="3"/>
      <c r="O1587" s="3"/>
      <c r="R1587" s="3"/>
      <c r="W1587" s="3"/>
      <c r="X1587" s="3"/>
      <c r="Y1587" s="3"/>
      <c r="Z1587" s="3"/>
      <c r="AA1587" s="3"/>
      <c r="AB1587" s="3"/>
      <c r="AC1587" s="3"/>
      <c r="AD1587" s="3"/>
      <c r="AE1587" s="3"/>
      <c r="AG1587" s="2"/>
      <c r="AR1587" s="307"/>
      <c r="AS1587" s="307"/>
      <c r="AT1587" s="307"/>
      <c r="AU1587" s="670"/>
      <c r="AV1587" s="572"/>
    </row>
    <row r="1588" spans="4:48" ht="12.75" customHeight="1" x14ac:dyDescent="0.25">
      <c r="D1588" s="3"/>
      <c r="L1588" s="3"/>
      <c r="N1588" s="3"/>
      <c r="O1588" s="3"/>
      <c r="R1588" s="3"/>
      <c r="W1588" s="3"/>
      <c r="X1588" s="3"/>
      <c r="Y1588" s="3"/>
      <c r="Z1588" s="3"/>
      <c r="AA1588" s="3"/>
      <c r="AB1588" s="3"/>
      <c r="AC1588" s="3"/>
      <c r="AD1588" s="3"/>
      <c r="AE1588" s="3"/>
      <c r="AG1588" s="2"/>
      <c r="AR1588" s="307"/>
      <c r="AS1588" s="307"/>
      <c r="AT1588" s="307"/>
      <c r="AU1588" s="670"/>
      <c r="AV1588" s="572"/>
    </row>
    <row r="1589" spans="4:48" ht="12.75" customHeight="1" x14ac:dyDescent="0.25">
      <c r="D1589" s="3"/>
      <c r="L1589" s="3"/>
      <c r="N1589" s="3"/>
      <c r="O1589" s="3"/>
      <c r="R1589" s="3"/>
      <c r="W1589" s="3"/>
      <c r="X1589" s="3"/>
      <c r="Y1589" s="3"/>
      <c r="Z1589" s="3"/>
      <c r="AA1589" s="3"/>
      <c r="AB1589" s="3"/>
      <c r="AC1589" s="3"/>
      <c r="AD1589" s="3"/>
      <c r="AE1589" s="3"/>
      <c r="AG1589" s="2"/>
      <c r="AR1589" s="307"/>
      <c r="AS1589" s="307"/>
      <c r="AT1589" s="307"/>
      <c r="AU1589" s="670"/>
      <c r="AV1589" s="572"/>
    </row>
    <row r="1590" spans="4:48" ht="12.75" customHeight="1" x14ac:dyDescent="0.25">
      <c r="D1590" s="3"/>
      <c r="L1590" s="3"/>
      <c r="N1590" s="3"/>
      <c r="O1590" s="3"/>
      <c r="R1590" s="3"/>
      <c r="W1590" s="3"/>
      <c r="X1590" s="3"/>
      <c r="Y1590" s="3"/>
      <c r="Z1590" s="3"/>
      <c r="AA1590" s="3"/>
      <c r="AB1590" s="3"/>
      <c r="AC1590" s="3"/>
      <c r="AD1590" s="3"/>
      <c r="AE1590" s="3"/>
      <c r="AG1590" s="2"/>
      <c r="AR1590" s="307"/>
      <c r="AS1590" s="307"/>
      <c r="AT1590" s="307"/>
      <c r="AU1590" s="670"/>
      <c r="AV1590" s="572"/>
    </row>
    <row r="1591" spans="4:48" ht="12.75" customHeight="1" x14ac:dyDescent="0.25">
      <c r="D1591" s="3"/>
      <c r="L1591" s="3"/>
      <c r="N1591" s="3"/>
      <c r="O1591" s="3"/>
      <c r="R1591" s="3"/>
      <c r="W1591" s="3"/>
      <c r="X1591" s="3"/>
      <c r="Y1591" s="3"/>
      <c r="Z1591" s="3"/>
      <c r="AA1591" s="3"/>
      <c r="AB1591" s="3"/>
      <c r="AC1591" s="3"/>
      <c r="AD1591" s="3"/>
      <c r="AE1591" s="3"/>
      <c r="AG1591" s="2"/>
      <c r="AR1591" s="307"/>
      <c r="AS1591" s="307"/>
      <c r="AT1591" s="307"/>
      <c r="AU1591" s="670"/>
      <c r="AV1591" s="572"/>
    </row>
    <row r="1592" spans="4:48" ht="12.75" customHeight="1" x14ac:dyDescent="0.25">
      <c r="D1592" s="3"/>
      <c r="L1592" s="3"/>
      <c r="N1592" s="3"/>
      <c r="O1592" s="3"/>
      <c r="R1592" s="3"/>
      <c r="W1592" s="3"/>
      <c r="X1592" s="3"/>
      <c r="Y1592" s="3"/>
      <c r="Z1592" s="3"/>
      <c r="AA1592" s="3"/>
      <c r="AB1592" s="3"/>
      <c r="AC1592" s="3"/>
      <c r="AD1592" s="3"/>
      <c r="AE1592" s="3"/>
      <c r="AG1592" s="2"/>
      <c r="AR1592" s="307"/>
      <c r="AS1592" s="307"/>
      <c r="AT1592" s="307"/>
      <c r="AU1592" s="670"/>
      <c r="AV1592" s="572"/>
    </row>
    <row r="1593" spans="4:48" ht="12.75" customHeight="1" x14ac:dyDescent="0.25">
      <c r="D1593" s="3"/>
      <c r="L1593" s="3"/>
      <c r="N1593" s="3"/>
      <c r="O1593" s="3"/>
      <c r="R1593" s="3"/>
      <c r="W1593" s="3"/>
      <c r="X1593" s="3"/>
      <c r="Y1593" s="3"/>
      <c r="Z1593" s="3"/>
      <c r="AA1593" s="3"/>
      <c r="AB1593" s="3"/>
      <c r="AC1593" s="3"/>
      <c r="AD1593" s="3"/>
      <c r="AE1593" s="3"/>
      <c r="AG1593" s="2"/>
      <c r="AR1593" s="307"/>
      <c r="AS1593" s="307"/>
      <c r="AT1593" s="307"/>
      <c r="AU1593" s="670"/>
      <c r="AV1593" s="572"/>
    </row>
    <row r="1594" spans="4:48" ht="12.75" customHeight="1" x14ac:dyDescent="0.25">
      <c r="D1594" s="3"/>
      <c r="L1594" s="3"/>
      <c r="N1594" s="3"/>
      <c r="O1594" s="3"/>
      <c r="R1594" s="3"/>
      <c r="W1594" s="3"/>
      <c r="X1594" s="3"/>
      <c r="Y1594" s="3"/>
      <c r="Z1594" s="3"/>
      <c r="AA1594" s="3"/>
      <c r="AB1594" s="3"/>
      <c r="AC1594" s="3"/>
      <c r="AD1594" s="3"/>
      <c r="AE1594" s="3"/>
      <c r="AG1594" s="2"/>
      <c r="AR1594" s="307"/>
      <c r="AS1594" s="307"/>
      <c r="AT1594" s="307"/>
      <c r="AU1594" s="670"/>
      <c r="AV1594" s="572"/>
    </row>
    <row r="1595" spans="4:48" ht="12.75" customHeight="1" x14ac:dyDescent="0.25">
      <c r="D1595" s="3"/>
      <c r="L1595" s="3"/>
      <c r="N1595" s="3"/>
      <c r="O1595" s="3"/>
      <c r="R1595" s="3"/>
      <c r="W1595" s="3"/>
      <c r="X1595" s="3"/>
      <c r="Y1595" s="3"/>
      <c r="Z1595" s="3"/>
      <c r="AA1595" s="3"/>
      <c r="AB1595" s="3"/>
      <c r="AC1595" s="3"/>
      <c r="AD1595" s="3"/>
      <c r="AE1595" s="3"/>
      <c r="AG1595" s="2"/>
      <c r="AR1595" s="307"/>
      <c r="AS1595" s="307"/>
      <c r="AT1595" s="307"/>
      <c r="AU1595" s="670"/>
      <c r="AV1595" s="572"/>
    </row>
    <row r="1596" spans="4:48" ht="12.75" customHeight="1" x14ac:dyDescent="0.25">
      <c r="D1596" s="3"/>
      <c r="L1596" s="3"/>
      <c r="N1596" s="3"/>
      <c r="O1596" s="3"/>
      <c r="R1596" s="3"/>
      <c r="W1596" s="3"/>
      <c r="X1596" s="3"/>
      <c r="Y1596" s="3"/>
      <c r="Z1596" s="3"/>
      <c r="AA1596" s="3"/>
      <c r="AB1596" s="3"/>
      <c r="AC1596" s="3"/>
      <c r="AD1596" s="3"/>
      <c r="AE1596" s="3"/>
      <c r="AG1596" s="2"/>
      <c r="AR1596" s="307"/>
      <c r="AS1596" s="307"/>
      <c r="AT1596" s="307"/>
      <c r="AU1596" s="670"/>
      <c r="AV1596" s="572"/>
    </row>
    <row r="1597" spans="4:48" ht="12.75" customHeight="1" x14ac:dyDescent="0.25">
      <c r="D1597" s="3"/>
      <c r="L1597" s="3"/>
      <c r="N1597" s="3"/>
      <c r="O1597" s="3"/>
      <c r="R1597" s="3"/>
      <c r="W1597" s="3"/>
      <c r="X1597" s="3"/>
      <c r="Y1597" s="3"/>
      <c r="Z1597" s="3"/>
      <c r="AA1597" s="3"/>
      <c r="AB1597" s="3"/>
      <c r="AC1597" s="3"/>
      <c r="AD1597" s="3"/>
      <c r="AE1597" s="3"/>
      <c r="AG1597" s="2"/>
      <c r="AR1597" s="307"/>
      <c r="AS1597" s="307"/>
      <c r="AT1597" s="307"/>
      <c r="AU1597" s="670"/>
      <c r="AV1597" s="572"/>
    </row>
    <row r="1598" spans="4:48" ht="12.75" customHeight="1" x14ac:dyDescent="0.25">
      <c r="D1598" s="3"/>
      <c r="L1598" s="3"/>
      <c r="N1598" s="3"/>
      <c r="O1598" s="3"/>
      <c r="R1598" s="3"/>
      <c r="W1598" s="3"/>
      <c r="X1598" s="3"/>
      <c r="Y1598" s="3"/>
      <c r="Z1598" s="3"/>
      <c r="AA1598" s="3"/>
      <c r="AB1598" s="3"/>
      <c r="AC1598" s="3"/>
      <c r="AD1598" s="3"/>
      <c r="AE1598" s="3"/>
      <c r="AG1598" s="2"/>
      <c r="AR1598" s="307"/>
      <c r="AS1598" s="307"/>
      <c r="AT1598" s="307"/>
      <c r="AU1598" s="670"/>
      <c r="AV1598" s="572"/>
    </row>
    <row r="1599" spans="4:48" ht="12.75" customHeight="1" x14ac:dyDescent="0.25">
      <c r="D1599" s="3"/>
      <c r="L1599" s="3"/>
      <c r="N1599" s="3"/>
      <c r="O1599" s="3"/>
      <c r="R1599" s="3"/>
      <c r="W1599" s="3"/>
      <c r="X1599" s="3"/>
      <c r="Y1599" s="3"/>
      <c r="Z1599" s="3"/>
      <c r="AA1599" s="3"/>
      <c r="AB1599" s="3"/>
      <c r="AC1599" s="3"/>
      <c r="AD1599" s="3"/>
      <c r="AE1599" s="3"/>
      <c r="AG1599" s="2"/>
      <c r="AR1599" s="307"/>
      <c r="AS1599" s="307"/>
      <c r="AT1599" s="307"/>
      <c r="AU1599" s="670"/>
      <c r="AV1599" s="572"/>
    </row>
    <row r="1600" spans="4:48" ht="12.75" customHeight="1" x14ac:dyDescent="0.25">
      <c r="D1600" s="3"/>
      <c r="L1600" s="3"/>
      <c r="N1600" s="3"/>
      <c r="O1600" s="3"/>
      <c r="R1600" s="3"/>
      <c r="W1600" s="3"/>
      <c r="X1600" s="3"/>
      <c r="Y1600" s="3"/>
      <c r="Z1600" s="3"/>
      <c r="AA1600" s="3"/>
      <c r="AB1600" s="3"/>
      <c r="AC1600" s="3"/>
      <c r="AD1600" s="3"/>
      <c r="AE1600" s="3"/>
      <c r="AG1600" s="2"/>
      <c r="AR1600" s="307"/>
      <c r="AS1600" s="307"/>
      <c r="AT1600" s="307"/>
      <c r="AU1600" s="670"/>
      <c r="AV1600" s="572"/>
    </row>
    <row r="1601" spans="4:48" ht="12.75" customHeight="1" x14ac:dyDescent="0.25">
      <c r="D1601" s="3"/>
      <c r="L1601" s="3"/>
      <c r="N1601" s="3"/>
      <c r="O1601" s="3"/>
      <c r="R1601" s="3"/>
      <c r="W1601" s="3"/>
      <c r="X1601" s="3"/>
      <c r="Y1601" s="3"/>
      <c r="Z1601" s="3"/>
      <c r="AA1601" s="3"/>
      <c r="AB1601" s="3"/>
      <c r="AC1601" s="3"/>
      <c r="AD1601" s="3"/>
      <c r="AE1601" s="3"/>
      <c r="AG1601" s="2"/>
      <c r="AR1601" s="307"/>
      <c r="AS1601" s="307"/>
      <c r="AT1601" s="307"/>
      <c r="AU1601" s="670"/>
      <c r="AV1601" s="572"/>
    </row>
    <row r="1602" spans="4:48" ht="12.75" customHeight="1" x14ac:dyDescent="0.25">
      <c r="D1602" s="3"/>
      <c r="L1602" s="3"/>
      <c r="N1602" s="3"/>
      <c r="O1602" s="3"/>
      <c r="R1602" s="3"/>
      <c r="W1602" s="3"/>
      <c r="X1602" s="3"/>
      <c r="Y1602" s="3"/>
      <c r="Z1602" s="3"/>
      <c r="AA1602" s="3"/>
      <c r="AB1602" s="3"/>
      <c r="AC1602" s="3"/>
      <c r="AD1602" s="3"/>
      <c r="AE1602" s="3"/>
      <c r="AG1602" s="2"/>
      <c r="AR1602" s="307"/>
      <c r="AS1602" s="307"/>
      <c r="AT1602" s="307"/>
      <c r="AU1602" s="670"/>
      <c r="AV1602" s="572"/>
    </row>
    <row r="1603" spans="4:48" ht="12.75" customHeight="1" x14ac:dyDescent="0.25">
      <c r="D1603" s="3"/>
      <c r="L1603" s="3"/>
      <c r="N1603" s="3"/>
      <c r="O1603" s="3"/>
      <c r="R1603" s="3"/>
      <c r="W1603" s="3"/>
      <c r="X1603" s="3"/>
      <c r="Y1603" s="3"/>
      <c r="Z1603" s="3"/>
      <c r="AA1603" s="3"/>
      <c r="AB1603" s="3"/>
      <c r="AC1603" s="3"/>
      <c r="AD1603" s="3"/>
      <c r="AE1603" s="3"/>
      <c r="AG1603" s="2"/>
      <c r="AR1603" s="307"/>
      <c r="AS1603" s="307"/>
      <c r="AT1603" s="307"/>
      <c r="AU1603" s="670"/>
      <c r="AV1603" s="572"/>
    </row>
    <row r="1604" spans="4:48" ht="12.75" customHeight="1" x14ac:dyDescent="0.25">
      <c r="D1604" s="3"/>
      <c r="L1604" s="3"/>
      <c r="N1604" s="3"/>
      <c r="O1604" s="3"/>
      <c r="R1604" s="3"/>
      <c r="W1604" s="3"/>
      <c r="X1604" s="3"/>
      <c r="Y1604" s="3"/>
      <c r="Z1604" s="3"/>
      <c r="AA1604" s="3"/>
      <c r="AB1604" s="3"/>
      <c r="AC1604" s="3"/>
      <c r="AD1604" s="3"/>
      <c r="AE1604" s="3"/>
      <c r="AG1604" s="2"/>
      <c r="AR1604" s="307"/>
      <c r="AS1604" s="307"/>
      <c r="AT1604" s="307"/>
      <c r="AU1604" s="670"/>
      <c r="AV1604" s="572"/>
    </row>
    <row r="1605" spans="4:48" ht="12.75" customHeight="1" x14ac:dyDescent="0.25">
      <c r="D1605" s="3"/>
      <c r="L1605" s="3"/>
      <c r="N1605" s="3"/>
      <c r="O1605" s="3"/>
      <c r="R1605" s="3"/>
      <c r="W1605" s="3"/>
      <c r="X1605" s="3"/>
      <c r="Y1605" s="3"/>
      <c r="Z1605" s="3"/>
      <c r="AA1605" s="3"/>
      <c r="AB1605" s="3"/>
      <c r="AC1605" s="3"/>
      <c r="AD1605" s="3"/>
      <c r="AE1605" s="3"/>
      <c r="AG1605" s="2"/>
      <c r="AR1605" s="307"/>
      <c r="AS1605" s="307"/>
      <c r="AT1605" s="307"/>
      <c r="AU1605" s="670"/>
      <c r="AV1605" s="572"/>
    </row>
    <row r="1606" spans="4:48" ht="12.75" customHeight="1" x14ac:dyDescent="0.25">
      <c r="D1606" s="3"/>
      <c r="L1606" s="3"/>
      <c r="N1606" s="3"/>
      <c r="O1606" s="3"/>
      <c r="R1606" s="3"/>
      <c r="W1606" s="3"/>
      <c r="X1606" s="3"/>
      <c r="Y1606" s="3"/>
      <c r="Z1606" s="3"/>
      <c r="AA1606" s="3"/>
      <c r="AB1606" s="3"/>
      <c r="AC1606" s="3"/>
      <c r="AD1606" s="3"/>
      <c r="AE1606" s="3"/>
      <c r="AG1606" s="2"/>
      <c r="AR1606" s="307"/>
      <c r="AS1606" s="307"/>
      <c r="AT1606" s="307"/>
      <c r="AU1606" s="670"/>
      <c r="AV1606" s="572"/>
    </row>
    <row r="1607" spans="4:48" ht="12.75" customHeight="1" x14ac:dyDescent="0.25">
      <c r="D1607" s="3"/>
      <c r="L1607" s="3"/>
      <c r="N1607" s="3"/>
      <c r="O1607" s="3"/>
      <c r="R1607" s="3"/>
      <c r="W1607" s="3"/>
      <c r="X1607" s="3"/>
      <c r="Y1607" s="3"/>
      <c r="Z1607" s="3"/>
      <c r="AA1607" s="3"/>
      <c r="AB1607" s="3"/>
      <c r="AC1607" s="3"/>
      <c r="AD1607" s="3"/>
      <c r="AE1607" s="3"/>
      <c r="AG1607" s="2"/>
      <c r="AR1607" s="307"/>
      <c r="AS1607" s="307"/>
      <c r="AT1607" s="307"/>
      <c r="AU1607" s="670"/>
      <c r="AV1607" s="572"/>
    </row>
    <row r="1608" spans="4:48" ht="12.75" customHeight="1" x14ac:dyDescent="0.25">
      <c r="D1608" s="3"/>
      <c r="L1608" s="3"/>
      <c r="N1608" s="3"/>
      <c r="O1608" s="3"/>
      <c r="R1608" s="3"/>
      <c r="W1608" s="3"/>
      <c r="X1608" s="3"/>
      <c r="Y1608" s="3"/>
      <c r="Z1608" s="3"/>
      <c r="AA1608" s="3"/>
      <c r="AB1608" s="3"/>
      <c r="AC1608" s="3"/>
      <c r="AD1608" s="3"/>
      <c r="AE1608" s="3"/>
      <c r="AG1608" s="2"/>
      <c r="AR1608" s="307"/>
      <c r="AS1608" s="307"/>
      <c r="AT1608" s="307"/>
      <c r="AU1608" s="670"/>
      <c r="AV1608" s="572"/>
    </row>
    <row r="1609" spans="4:48" ht="12.75" customHeight="1" x14ac:dyDescent="0.25">
      <c r="D1609" s="3"/>
      <c r="L1609" s="3"/>
      <c r="N1609" s="3"/>
      <c r="O1609" s="3"/>
      <c r="R1609" s="3"/>
      <c r="W1609" s="3"/>
      <c r="X1609" s="3"/>
      <c r="Y1609" s="3"/>
      <c r="Z1609" s="3"/>
      <c r="AA1609" s="3"/>
      <c r="AB1609" s="3"/>
      <c r="AC1609" s="3"/>
      <c r="AD1609" s="3"/>
      <c r="AE1609" s="3"/>
      <c r="AG1609" s="2"/>
      <c r="AR1609" s="307"/>
      <c r="AS1609" s="307"/>
      <c r="AT1609" s="307"/>
      <c r="AU1609" s="670"/>
      <c r="AV1609" s="572"/>
    </row>
    <row r="1610" spans="4:48" ht="12.75" customHeight="1" x14ac:dyDescent="0.25">
      <c r="D1610" s="3"/>
      <c r="L1610" s="3"/>
      <c r="N1610" s="3"/>
      <c r="O1610" s="3"/>
      <c r="R1610" s="3"/>
      <c r="W1610" s="3"/>
      <c r="X1610" s="3"/>
      <c r="Y1610" s="3"/>
      <c r="Z1610" s="3"/>
      <c r="AA1610" s="3"/>
      <c r="AB1610" s="3"/>
      <c r="AC1610" s="3"/>
      <c r="AD1610" s="3"/>
      <c r="AE1610" s="3"/>
      <c r="AG1610" s="2"/>
      <c r="AR1610" s="307"/>
      <c r="AS1610" s="307"/>
      <c r="AT1610" s="307"/>
      <c r="AU1610" s="670"/>
      <c r="AV1610" s="572"/>
    </row>
    <row r="1611" spans="4:48" ht="12.75" customHeight="1" x14ac:dyDescent="0.25">
      <c r="D1611" s="3"/>
      <c r="L1611" s="3"/>
      <c r="N1611" s="3"/>
      <c r="O1611" s="3"/>
      <c r="R1611" s="3"/>
      <c r="W1611" s="3"/>
      <c r="X1611" s="3"/>
      <c r="Y1611" s="3"/>
      <c r="Z1611" s="3"/>
      <c r="AA1611" s="3"/>
      <c r="AB1611" s="3"/>
      <c r="AC1611" s="3"/>
      <c r="AD1611" s="3"/>
      <c r="AE1611" s="3"/>
      <c r="AG1611" s="2"/>
      <c r="AR1611" s="307"/>
      <c r="AS1611" s="307"/>
      <c r="AT1611" s="307"/>
      <c r="AU1611" s="670"/>
      <c r="AV1611" s="572"/>
    </row>
    <row r="1612" spans="4:48" ht="12.75" customHeight="1" x14ac:dyDescent="0.25">
      <c r="D1612" s="3"/>
      <c r="L1612" s="3"/>
      <c r="N1612" s="3"/>
      <c r="O1612" s="3"/>
      <c r="R1612" s="3"/>
      <c r="W1612" s="3"/>
      <c r="X1612" s="3"/>
      <c r="Y1612" s="3"/>
      <c r="Z1612" s="3"/>
      <c r="AA1612" s="3"/>
      <c r="AB1612" s="3"/>
      <c r="AC1612" s="3"/>
      <c r="AD1612" s="3"/>
      <c r="AE1612" s="3"/>
      <c r="AG1612" s="2"/>
      <c r="AR1612" s="307"/>
      <c r="AS1612" s="307"/>
      <c r="AT1612" s="307"/>
      <c r="AU1612" s="670"/>
      <c r="AV1612" s="572"/>
    </row>
    <row r="1613" spans="4:48" ht="12.75" customHeight="1" x14ac:dyDescent="0.25">
      <c r="D1613" s="3"/>
      <c r="L1613" s="3"/>
      <c r="N1613" s="3"/>
      <c r="O1613" s="3"/>
      <c r="R1613" s="3"/>
      <c r="W1613" s="3"/>
      <c r="X1613" s="3"/>
      <c r="Y1613" s="3"/>
      <c r="Z1613" s="3"/>
      <c r="AA1613" s="3"/>
      <c r="AB1613" s="3"/>
      <c r="AC1613" s="3"/>
      <c r="AD1613" s="3"/>
      <c r="AE1613" s="3"/>
      <c r="AG1613" s="2"/>
      <c r="AR1613" s="307"/>
      <c r="AS1613" s="307"/>
      <c r="AT1613" s="307"/>
      <c r="AU1613" s="670"/>
      <c r="AV1613" s="572"/>
    </row>
    <row r="1614" spans="4:48" ht="12.75" customHeight="1" x14ac:dyDescent="0.25">
      <c r="D1614" s="3"/>
      <c r="L1614" s="3"/>
      <c r="N1614" s="3"/>
      <c r="O1614" s="3"/>
      <c r="R1614" s="3"/>
      <c r="W1614" s="3"/>
      <c r="X1614" s="3"/>
      <c r="Y1614" s="3"/>
      <c r="Z1614" s="3"/>
      <c r="AA1614" s="3"/>
      <c r="AB1614" s="3"/>
      <c r="AC1614" s="3"/>
      <c r="AD1614" s="3"/>
      <c r="AE1614" s="3"/>
      <c r="AG1614" s="2"/>
      <c r="AR1614" s="307"/>
      <c r="AS1614" s="307"/>
      <c r="AT1614" s="307"/>
      <c r="AU1614" s="670"/>
      <c r="AV1614" s="572"/>
    </row>
    <row r="1615" spans="4:48" ht="12.75" customHeight="1" x14ac:dyDescent="0.25">
      <c r="D1615" s="3"/>
      <c r="L1615" s="3"/>
      <c r="N1615" s="3"/>
      <c r="O1615" s="3"/>
      <c r="R1615" s="3"/>
      <c r="W1615" s="3"/>
      <c r="X1615" s="3"/>
      <c r="Y1615" s="3"/>
      <c r="Z1615" s="3"/>
      <c r="AA1615" s="3"/>
      <c r="AB1615" s="3"/>
      <c r="AC1615" s="3"/>
      <c r="AD1615" s="3"/>
      <c r="AE1615" s="3"/>
      <c r="AG1615" s="2"/>
      <c r="AR1615" s="307"/>
      <c r="AS1615" s="307"/>
      <c r="AT1615" s="307"/>
      <c r="AU1615" s="670"/>
      <c r="AV1615" s="572"/>
    </row>
    <row r="1616" spans="4:48" ht="12.75" customHeight="1" x14ac:dyDescent="0.25">
      <c r="D1616" s="3"/>
      <c r="L1616" s="3"/>
      <c r="N1616" s="3"/>
      <c r="O1616" s="3"/>
      <c r="R1616" s="3"/>
      <c r="W1616" s="3"/>
      <c r="X1616" s="3"/>
      <c r="Y1616" s="3"/>
      <c r="Z1616" s="3"/>
      <c r="AA1616" s="3"/>
      <c r="AB1616" s="3"/>
      <c r="AC1616" s="3"/>
      <c r="AD1616" s="3"/>
      <c r="AE1616" s="3"/>
      <c r="AG1616" s="2"/>
      <c r="AR1616" s="307"/>
      <c r="AS1616" s="307"/>
      <c r="AT1616" s="307"/>
      <c r="AU1616" s="670"/>
      <c r="AV1616" s="572"/>
    </row>
    <row r="1617" spans="4:48" ht="12.75" customHeight="1" x14ac:dyDescent="0.25">
      <c r="D1617" s="3"/>
      <c r="L1617" s="3"/>
      <c r="N1617" s="3"/>
      <c r="O1617" s="3"/>
      <c r="R1617" s="3"/>
      <c r="W1617" s="3"/>
      <c r="X1617" s="3"/>
      <c r="Y1617" s="3"/>
      <c r="Z1617" s="3"/>
      <c r="AA1617" s="3"/>
      <c r="AB1617" s="3"/>
      <c r="AC1617" s="3"/>
      <c r="AD1617" s="3"/>
      <c r="AE1617" s="3"/>
      <c r="AG1617" s="2"/>
      <c r="AR1617" s="307"/>
      <c r="AS1617" s="307"/>
      <c r="AT1617" s="307"/>
      <c r="AU1617" s="670"/>
      <c r="AV1617" s="572"/>
    </row>
    <row r="1618" spans="4:48" ht="12.75" customHeight="1" x14ac:dyDescent="0.25">
      <c r="D1618" s="3"/>
      <c r="L1618" s="3"/>
      <c r="N1618" s="3"/>
      <c r="O1618" s="3"/>
      <c r="R1618" s="3"/>
      <c r="W1618" s="3"/>
      <c r="X1618" s="3"/>
      <c r="Y1618" s="3"/>
      <c r="Z1618" s="3"/>
      <c r="AA1618" s="3"/>
      <c r="AB1618" s="3"/>
      <c r="AC1618" s="3"/>
      <c r="AD1618" s="3"/>
      <c r="AE1618" s="3"/>
      <c r="AG1618" s="2"/>
      <c r="AR1618" s="307"/>
      <c r="AS1618" s="307"/>
      <c r="AT1618" s="307"/>
      <c r="AU1618" s="670"/>
      <c r="AV1618" s="572"/>
    </row>
    <row r="1619" spans="4:48" ht="12.75" customHeight="1" x14ac:dyDescent="0.25">
      <c r="D1619" s="3"/>
      <c r="L1619" s="3"/>
      <c r="N1619" s="3"/>
      <c r="O1619" s="3"/>
      <c r="R1619" s="3"/>
      <c r="W1619" s="3"/>
      <c r="X1619" s="3"/>
      <c r="Y1619" s="3"/>
      <c r="Z1619" s="3"/>
      <c r="AA1619" s="3"/>
      <c r="AB1619" s="3"/>
      <c r="AC1619" s="3"/>
      <c r="AD1619" s="3"/>
      <c r="AE1619" s="3"/>
      <c r="AG1619" s="2"/>
      <c r="AR1619" s="307"/>
      <c r="AS1619" s="307"/>
      <c r="AT1619" s="307"/>
      <c r="AU1619" s="670"/>
      <c r="AV1619" s="572"/>
    </row>
    <row r="1620" spans="4:48" ht="12.75" customHeight="1" x14ac:dyDescent="0.25">
      <c r="D1620" s="3"/>
      <c r="L1620" s="3"/>
      <c r="N1620" s="3"/>
      <c r="O1620" s="3"/>
      <c r="R1620" s="3"/>
      <c r="W1620" s="3"/>
      <c r="X1620" s="3"/>
      <c r="Y1620" s="3"/>
      <c r="Z1620" s="3"/>
      <c r="AA1620" s="3"/>
      <c r="AB1620" s="3"/>
      <c r="AC1620" s="3"/>
      <c r="AD1620" s="3"/>
      <c r="AE1620" s="3"/>
      <c r="AG1620" s="2"/>
      <c r="AR1620" s="307"/>
      <c r="AS1620" s="307"/>
      <c r="AT1620" s="307"/>
      <c r="AU1620" s="670"/>
      <c r="AV1620" s="572"/>
    </row>
    <row r="1621" spans="4:48" ht="12.75" customHeight="1" x14ac:dyDescent="0.25">
      <c r="D1621" s="3"/>
      <c r="L1621" s="3"/>
      <c r="N1621" s="3"/>
      <c r="O1621" s="3"/>
      <c r="R1621" s="3"/>
      <c r="W1621" s="3"/>
      <c r="X1621" s="3"/>
      <c r="Y1621" s="3"/>
      <c r="Z1621" s="3"/>
      <c r="AA1621" s="3"/>
      <c r="AB1621" s="3"/>
      <c r="AC1621" s="3"/>
      <c r="AD1621" s="3"/>
      <c r="AE1621" s="3"/>
      <c r="AG1621" s="2"/>
      <c r="AR1621" s="307"/>
      <c r="AS1621" s="307"/>
      <c r="AT1621" s="307"/>
      <c r="AU1621" s="670"/>
      <c r="AV1621" s="572"/>
    </row>
    <row r="1622" spans="4:48" ht="12.75" customHeight="1" x14ac:dyDescent="0.25">
      <c r="D1622" s="3"/>
      <c r="L1622" s="3"/>
      <c r="N1622" s="3"/>
      <c r="O1622" s="3"/>
      <c r="R1622" s="3"/>
      <c r="W1622" s="3"/>
      <c r="X1622" s="3"/>
      <c r="Y1622" s="3"/>
      <c r="Z1622" s="3"/>
      <c r="AA1622" s="3"/>
      <c r="AB1622" s="3"/>
      <c r="AC1622" s="3"/>
      <c r="AD1622" s="3"/>
      <c r="AE1622" s="3"/>
      <c r="AG1622" s="2"/>
      <c r="AR1622" s="307"/>
      <c r="AS1622" s="307"/>
      <c r="AT1622" s="307"/>
      <c r="AU1622" s="670"/>
      <c r="AV1622" s="572"/>
    </row>
    <row r="1623" spans="4:48" ht="12.75" customHeight="1" x14ac:dyDescent="0.25">
      <c r="D1623" s="3"/>
      <c r="L1623" s="3"/>
      <c r="N1623" s="3"/>
      <c r="O1623" s="3"/>
      <c r="R1623" s="3"/>
      <c r="W1623" s="3"/>
      <c r="X1623" s="3"/>
      <c r="Y1623" s="3"/>
      <c r="Z1623" s="3"/>
      <c r="AA1623" s="3"/>
      <c r="AB1623" s="3"/>
      <c r="AC1623" s="3"/>
      <c r="AD1623" s="3"/>
      <c r="AE1623" s="3"/>
      <c r="AG1623" s="2"/>
      <c r="AR1623" s="307"/>
      <c r="AS1623" s="307"/>
      <c r="AT1623" s="307"/>
      <c r="AU1623" s="670"/>
      <c r="AV1623" s="572"/>
    </row>
    <row r="1624" spans="4:48" ht="12.75" customHeight="1" x14ac:dyDescent="0.25">
      <c r="D1624" s="3"/>
      <c r="L1624" s="3"/>
      <c r="N1624" s="3"/>
      <c r="O1624" s="3"/>
      <c r="R1624" s="3"/>
      <c r="W1624" s="3"/>
      <c r="X1624" s="3"/>
      <c r="Y1624" s="3"/>
      <c r="Z1624" s="3"/>
      <c r="AA1624" s="3"/>
      <c r="AB1624" s="3"/>
      <c r="AC1624" s="3"/>
      <c r="AD1624" s="3"/>
      <c r="AE1624" s="3"/>
      <c r="AG1624" s="2"/>
      <c r="AR1624" s="307"/>
      <c r="AS1624" s="307"/>
      <c r="AT1624" s="307"/>
      <c r="AU1624" s="670"/>
      <c r="AV1624" s="572"/>
    </row>
    <row r="1625" spans="4:48" ht="12.75" customHeight="1" x14ac:dyDescent="0.25">
      <c r="D1625" s="3"/>
      <c r="L1625" s="3"/>
      <c r="N1625" s="3"/>
      <c r="O1625" s="3"/>
      <c r="R1625" s="3"/>
      <c r="W1625" s="3"/>
      <c r="X1625" s="3"/>
      <c r="Y1625" s="3"/>
      <c r="Z1625" s="3"/>
      <c r="AA1625" s="3"/>
      <c r="AB1625" s="3"/>
      <c r="AC1625" s="3"/>
      <c r="AD1625" s="3"/>
      <c r="AE1625" s="3"/>
      <c r="AG1625" s="2"/>
      <c r="AR1625" s="307"/>
      <c r="AS1625" s="307"/>
      <c r="AT1625" s="307"/>
      <c r="AU1625" s="670"/>
      <c r="AV1625" s="572"/>
    </row>
    <row r="1626" spans="4:48" ht="12.75" customHeight="1" x14ac:dyDescent="0.25">
      <c r="D1626" s="3"/>
      <c r="L1626" s="3"/>
      <c r="N1626" s="3"/>
      <c r="O1626" s="3"/>
      <c r="R1626" s="3"/>
      <c r="W1626" s="3"/>
      <c r="X1626" s="3"/>
      <c r="Y1626" s="3"/>
      <c r="Z1626" s="3"/>
      <c r="AA1626" s="3"/>
      <c r="AB1626" s="3"/>
      <c r="AC1626" s="3"/>
      <c r="AD1626" s="3"/>
      <c r="AE1626" s="3"/>
      <c r="AG1626" s="2"/>
      <c r="AR1626" s="307"/>
      <c r="AS1626" s="307"/>
      <c r="AT1626" s="307"/>
      <c r="AU1626" s="670"/>
      <c r="AV1626" s="572"/>
    </row>
    <row r="1627" spans="4:48" ht="12.75" customHeight="1" x14ac:dyDescent="0.25">
      <c r="D1627" s="3"/>
      <c r="L1627" s="3"/>
      <c r="N1627" s="3"/>
      <c r="O1627" s="3"/>
      <c r="R1627" s="3"/>
      <c r="W1627" s="3"/>
      <c r="X1627" s="3"/>
      <c r="Y1627" s="3"/>
      <c r="Z1627" s="3"/>
      <c r="AA1627" s="3"/>
      <c r="AB1627" s="3"/>
      <c r="AC1627" s="3"/>
      <c r="AD1627" s="3"/>
      <c r="AE1627" s="3"/>
      <c r="AG1627" s="2"/>
      <c r="AR1627" s="307"/>
      <c r="AS1627" s="307"/>
      <c r="AT1627" s="307"/>
      <c r="AU1627" s="670"/>
      <c r="AV1627" s="572"/>
    </row>
    <row r="1628" spans="4:48" ht="12.75" customHeight="1" x14ac:dyDescent="0.25">
      <c r="D1628" s="3"/>
      <c r="L1628" s="3"/>
      <c r="N1628" s="3"/>
      <c r="O1628" s="3"/>
      <c r="R1628" s="3"/>
      <c r="W1628" s="3"/>
      <c r="X1628" s="3"/>
      <c r="Y1628" s="3"/>
      <c r="Z1628" s="3"/>
      <c r="AA1628" s="3"/>
      <c r="AB1628" s="3"/>
      <c r="AC1628" s="3"/>
      <c r="AD1628" s="3"/>
      <c r="AE1628" s="3"/>
      <c r="AG1628" s="2"/>
      <c r="AR1628" s="307"/>
      <c r="AS1628" s="307"/>
      <c r="AT1628" s="307"/>
      <c r="AU1628" s="670"/>
      <c r="AV1628" s="572"/>
    </row>
    <row r="1629" spans="4:48" ht="12.75" customHeight="1" x14ac:dyDescent="0.25">
      <c r="D1629" s="3"/>
      <c r="L1629" s="3"/>
      <c r="N1629" s="3"/>
      <c r="O1629" s="3"/>
      <c r="R1629" s="3"/>
      <c r="W1629" s="3"/>
      <c r="X1629" s="3"/>
      <c r="Y1629" s="3"/>
      <c r="Z1629" s="3"/>
      <c r="AA1629" s="3"/>
      <c r="AB1629" s="3"/>
      <c r="AC1629" s="3"/>
      <c r="AD1629" s="3"/>
      <c r="AE1629" s="3"/>
      <c r="AG1629" s="2"/>
      <c r="AR1629" s="307"/>
      <c r="AS1629" s="307"/>
      <c r="AT1629" s="307"/>
      <c r="AU1629" s="670"/>
      <c r="AV1629" s="572"/>
    </row>
    <row r="1630" spans="4:48" ht="12.75" customHeight="1" x14ac:dyDescent="0.25">
      <c r="D1630" s="3"/>
      <c r="L1630" s="3"/>
      <c r="N1630" s="3"/>
      <c r="O1630" s="3"/>
      <c r="R1630" s="3"/>
      <c r="W1630" s="3"/>
      <c r="X1630" s="3"/>
      <c r="Y1630" s="3"/>
      <c r="Z1630" s="3"/>
      <c r="AA1630" s="3"/>
      <c r="AB1630" s="3"/>
      <c r="AC1630" s="3"/>
      <c r="AD1630" s="3"/>
      <c r="AE1630" s="3"/>
      <c r="AG1630" s="2"/>
      <c r="AR1630" s="307"/>
      <c r="AS1630" s="307"/>
      <c r="AT1630" s="307"/>
      <c r="AU1630" s="670"/>
      <c r="AV1630" s="572"/>
    </row>
    <row r="1631" spans="4:48" ht="12.75" customHeight="1" x14ac:dyDescent="0.25">
      <c r="D1631" s="3"/>
      <c r="L1631" s="3"/>
      <c r="N1631" s="3"/>
      <c r="O1631" s="3"/>
      <c r="R1631" s="3"/>
      <c r="W1631" s="3"/>
      <c r="X1631" s="3"/>
      <c r="Y1631" s="3"/>
      <c r="Z1631" s="3"/>
      <c r="AA1631" s="3"/>
      <c r="AB1631" s="3"/>
      <c r="AC1631" s="3"/>
      <c r="AD1631" s="3"/>
      <c r="AE1631" s="3"/>
      <c r="AG1631" s="2"/>
      <c r="AR1631" s="307"/>
      <c r="AS1631" s="307"/>
      <c r="AT1631" s="307"/>
      <c r="AU1631" s="670"/>
      <c r="AV1631" s="572"/>
    </row>
    <row r="1632" spans="4:48" ht="12.75" customHeight="1" x14ac:dyDescent="0.25">
      <c r="D1632" s="3"/>
      <c r="L1632" s="3"/>
      <c r="N1632" s="3"/>
      <c r="O1632" s="3"/>
      <c r="R1632" s="3"/>
      <c r="W1632" s="3"/>
      <c r="X1632" s="3"/>
      <c r="Y1632" s="3"/>
      <c r="Z1632" s="3"/>
      <c r="AA1632" s="3"/>
      <c r="AB1632" s="3"/>
      <c r="AC1632" s="3"/>
      <c r="AD1632" s="3"/>
      <c r="AE1632" s="3"/>
      <c r="AG1632" s="2"/>
      <c r="AR1632" s="307"/>
      <c r="AS1632" s="307"/>
      <c r="AT1632" s="307"/>
      <c r="AU1632" s="670"/>
      <c r="AV1632" s="572"/>
    </row>
    <row r="1633" spans="4:48" ht="12.75" customHeight="1" x14ac:dyDescent="0.25">
      <c r="D1633" s="3"/>
      <c r="L1633" s="3"/>
      <c r="N1633" s="3"/>
      <c r="O1633" s="3"/>
      <c r="R1633" s="3"/>
      <c r="W1633" s="3"/>
      <c r="X1633" s="3"/>
      <c r="Y1633" s="3"/>
      <c r="Z1633" s="3"/>
      <c r="AA1633" s="3"/>
      <c r="AB1633" s="3"/>
      <c r="AC1633" s="3"/>
      <c r="AD1633" s="3"/>
      <c r="AE1633" s="3"/>
      <c r="AG1633" s="2"/>
      <c r="AR1633" s="307"/>
      <c r="AS1633" s="307"/>
      <c r="AT1633" s="307"/>
      <c r="AU1633" s="670"/>
      <c r="AV1633" s="572"/>
    </row>
    <row r="1634" spans="4:48" ht="12.75" customHeight="1" x14ac:dyDescent="0.25">
      <c r="D1634" s="3"/>
      <c r="L1634" s="3"/>
      <c r="N1634" s="3"/>
      <c r="O1634" s="3"/>
      <c r="R1634" s="3"/>
      <c r="W1634" s="3"/>
      <c r="X1634" s="3"/>
      <c r="Y1634" s="3"/>
      <c r="Z1634" s="3"/>
      <c r="AA1634" s="3"/>
      <c r="AB1634" s="3"/>
      <c r="AC1634" s="3"/>
      <c r="AD1634" s="3"/>
      <c r="AE1634" s="3"/>
      <c r="AG1634" s="2"/>
      <c r="AR1634" s="307"/>
      <c r="AS1634" s="307"/>
      <c r="AT1634" s="307"/>
      <c r="AU1634" s="670"/>
      <c r="AV1634" s="572"/>
    </row>
    <row r="1635" spans="4:48" ht="12.75" customHeight="1" x14ac:dyDescent="0.25">
      <c r="D1635" s="3"/>
      <c r="L1635" s="3"/>
      <c r="N1635" s="3"/>
      <c r="O1635" s="3"/>
      <c r="R1635" s="3"/>
      <c r="W1635" s="3"/>
      <c r="X1635" s="3"/>
      <c r="Y1635" s="3"/>
      <c r="Z1635" s="3"/>
      <c r="AA1635" s="3"/>
      <c r="AB1635" s="3"/>
      <c r="AC1635" s="3"/>
      <c r="AD1635" s="3"/>
      <c r="AE1635" s="3"/>
      <c r="AG1635" s="2"/>
      <c r="AR1635" s="307"/>
      <c r="AS1635" s="307"/>
      <c r="AT1635" s="307"/>
      <c r="AU1635" s="670"/>
      <c r="AV1635" s="572"/>
    </row>
    <row r="1636" spans="4:48" ht="12.75" customHeight="1" x14ac:dyDescent="0.25">
      <c r="D1636" s="3"/>
      <c r="L1636" s="3"/>
      <c r="N1636" s="3"/>
      <c r="O1636" s="3"/>
      <c r="R1636" s="3"/>
      <c r="W1636" s="3"/>
      <c r="X1636" s="3"/>
      <c r="Y1636" s="3"/>
      <c r="Z1636" s="3"/>
      <c r="AA1636" s="3"/>
      <c r="AB1636" s="3"/>
      <c r="AC1636" s="3"/>
      <c r="AD1636" s="3"/>
      <c r="AE1636" s="3"/>
      <c r="AG1636" s="2"/>
      <c r="AR1636" s="307"/>
      <c r="AS1636" s="307"/>
      <c r="AT1636" s="307"/>
      <c r="AU1636" s="670"/>
      <c r="AV1636" s="572"/>
    </row>
    <row r="1637" spans="4:48" ht="12.75" customHeight="1" x14ac:dyDescent="0.25">
      <c r="D1637" s="3"/>
      <c r="L1637" s="3"/>
      <c r="N1637" s="3"/>
      <c r="O1637" s="3"/>
      <c r="R1637" s="3"/>
      <c r="W1637" s="3"/>
      <c r="X1637" s="3"/>
      <c r="Y1637" s="3"/>
      <c r="Z1637" s="3"/>
      <c r="AA1637" s="3"/>
      <c r="AB1637" s="3"/>
      <c r="AC1637" s="3"/>
      <c r="AD1637" s="3"/>
      <c r="AE1637" s="3"/>
      <c r="AG1637" s="2"/>
      <c r="AR1637" s="307"/>
      <c r="AS1637" s="307"/>
      <c r="AT1637" s="307"/>
      <c r="AU1637" s="670"/>
      <c r="AV1637" s="572"/>
    </row>
    <row r="1638" spans="4:48" ht="12.75" customHeight="1" x14ac:dyDescent="0.25">
      <c r="D1638" s="3"/>
      <c r="L1638" s="3"/>
      <c r="N1638" s="3"/>
      <c r="O1638" s="3"/>
      <c r="R1638" s="3"/>
      <c r="W1638" s="3"/>
      <c r="X1638" s="3"/>
      <c r="Y1638" s="3"/>
      <c r="Z1638" s="3"/>
      <c r="AA1638" s="3"/>
      <c r="AB1638" s="3"/>
      <c r="AC1638" s="3"/>
      <c r="AD1638" s="3"/>
      <c r="AE1638" s="3"/>
      <c r="AG1638" s="2"/>
      <c r="AR1638" s="307"/>
      <c r="AS1638" s="307"/>
      <c r="AT1638" s="307"/>
      <c r="AU1638" s="670"/>
      <c r="AV1638" s="572"/>
    </row>
    <row r="1639" spans="4:48" ht="12.75" customHeight="1" x14ac:dyDescent="0.25">
      <c r="D1639" s="3"/>
      <c r="L1639" s="3"/>
      <c r="N1639" s="3"/>
      <c r="O1639" s="3"/>
      <c r="R1639" s="3"/>
      <c r="W1639" s="3"/>
      <c r="X1639" s="3"/>
      <c r="Y1639" s="3"/>
      <c r="Z1639" s="3"/>
      <c r="AA1639" s="3"/>
      <c r="AB1639" s="3"/>
      <c r="AC1639" s="3"/>
      <c r="AD1639" s="3"/>
      <c r="AE1639" s="3"/>
      <c r="AG1639" s="2"/>
      <c r="AR1639" s="307"/>
      <c r="AS1639" s="307"/>
      <c r="AT1639" s="307"/>
      <c r="AU1639" s="670"/>
      <c r="AV1639" s="572"/>
    </row>
    <row r="1640" spans="4:48" ht="12.75" customHeight="1" x14ac:dyDescent="0.25">
      <c r="D1640" s="3"/>
      <c r="L1640" s="3"/>
      <c r="N1640" s="3"/>
      <c r="O1640" s="3"/>
      <c r="R1640" s="3"/>
      <c r="W1640" s="3"/>
      <c r="X1640" s="3"/>
      <c r="Y1640" s="3"/>
      <c r="Z1640" s="3"/>
      <c r="AA1640" s="3"/>
      <c r="AB1640" s="3"/>
      <c r="AC1640" s="3"/>
      <c r="AD1640" s="3"/>
      <c r="AE1640" s="3"/>
      <c r="AG1640" s="2"/>
      <c r="AR1640" s="307"/>
      <c r="AS1640" s="307"/>
      <c r="AT1640" s="307"/>
      <c r="AU1640" s="670"/>
      <c r="AV1640" s="572"/>
    </row>
    <row r="1641" spans="4:48" ht="12.75" customHeight="1" x14ac:dyDescent="0.25">
      <c r="D1641" s="3"/>
      <c r="L1641" s="3"/>
      <c r="N1641" s="3"/>
      <c r="O1641" s="3"/>
      <c r="R1641" s="3"/>
      <c r="W1641" s="3"/>
      <c r="X1641" s="3"/>
      <c r="Y1641" s="3"/>
      <c r="Z1641" s="3"/>
      <c r="AA1641" s="3"/>
      <c r="AB1641" s="3"/>
      <c r="AC1641" s="3"/>
      <c r="AD1641" s="3"/>
      <c r="AE1641" s="3"/>
      <c r="AG1641" s="2"/>
      <c r="AR1641" s="307"/>
      <c r="AS1641" s="307"/>
      <c r="AT1641" s="307"/>
      <c r="AU1641" s="670"/>
      <c r="AV1641" s="572"/>
    </row>
    <row r="1642" spans="4:48" ht="12.75" customHeight="1" x14ac:dyDescent="0.25">
      <c r="D1642" s="3"/>
      <c r="L1642" s="3"/>
      <c r="N1642" s="3"/>
      <c r="O1642" s="3"/>
      <c r="R1642" s="3"/>
      <c r="W1642" s="3"/>
      <c r="X1642" s="3"/>
      <c r="Y1642" s="3"/>
      <c r="Z1642" s="3"/>
      <c r="AA1642" s="3"/>
      <c r="AB1642" s="3"/>
      <c r="AC1642" s="3"/>
      <c r="AD1642" s="3"/>
      <c r="AE1642" s="3"/>
      <c r="AG1642" s="2"/>
      <c r="AR1642" s="307"/>
      <c r="AS1642" s="307"/>
      <c r="AT1642" s="307"/>
      <c r="AU1642" s="670"/>
      <c r="AV1642" s="572"/>
    </row>
    <row r="1643" spans="4:48" ht="12.75" customHeight="1" x14ac:dyDescent="0.25">
      <c r="D1643" s="3"/>
      <c r="L1643" s="3"/>
      <c r="N1643" s="3"/>
      <c r="O1643" s="3"/>
      <c r="R1643" s="3"/>
      <c r="W1643" s="3"/>
      <c r="X1643" s="3"/>
      <c r="Y1643" s="3"/>
      <c r="Z1643" s="3"/>
      <c r="AA1643" s="3"/>
      <c r="AB1643" s="3"/>
      <c r="AC1643" s="3"/>
      <c r="AD1643" s="3"/>
      <c r="AE1643" s="3"/>
      <c r="AG1643" s="2"/>
      <c r="AR1643" s="307"/>
      <c r="AS1643" s="307"/>
      <c r="AT1643" s="307"/>
      <c r="AU1643" s="670"/>
      <c r="AV1643" s="572"/>
    </row>
    <row r="1644" spans="4:48" ht="12.75" customHeight="1" x14ac:dyDescent="0.25">
      <c r="D1644" s="3"/>
      <c r="L1644" s="3"/>
      <c r="N1644" s="3"/>
      <c r="O1644" s="3"/>
      <c r="R1644" s="3"/>
      <c r="W1644" s="3"/>
      <c r="X1644" s="3"/>
      <c r="Y1644" s="3"/>
      <c r="Z1644" s="3"/>
      <c r="AA1644" s="3"/>
      <c r="AB1644" s="3"/>
      <c r="AC1644" s="3"/>
      <c r="AD1644" s="3"/>
      <c r="AE1644" s="3"/>
      <c r="AG1644" s="2"/>
      <c r="AR1644" s="307"/>
      <c r="AS1644" s="307"/>
      <c r="AT1644" s="307"/>
      <c r="AU1644" s="670"/>
      <c r="AV1644" s="572"/>
    </row>
    <row r="1645" spans="4:48" ht="12.75" customHeight="1" x14ac:dyDescent="0.25">
      <c r="D1645" s="3"/>
      <c r="L1645" s="3"/>
      <c r="N1645" s="3"/>
      <c r="O1645" s="3"/>
      <c r="R1645" s="3"/>
      <c r="W1645" s="3"/>
      <c r="X1645" s="3"/>
      <c r="Y1645" s="3"/>
      <c r="Z1645" s="3"/>
      <c r="AA1645" s="3"/>
      <c r="AB1645" s="3"/>
      <c r="AC1645" s="3"/>
      <c r="AD1645" s="3"/>
      <c r="AE1645" s="3"/>
      <c r="AG1645" s="2"/>
      <c r="AR1645" s="307"/>
      <c r="AS1645" s="307"/>
      <c r="AT1645" s="307"/>
      <c r="AU1645" s="670"/>
      <c r="AV1645" s="572"/>
    </row>
    <row r="1646" spans="4:48" ht="12.75" customHeight="1" x14ac:dyDescent="0.25">
      <c r="D1646" s="3"/>
      <c r="L1646" s="3"/>
      <c r="N1646" s="3"/>
      <c r="O1646" s="3"/>
      <c r="R1646" s="3"/>
      <c r="W1646" s="3"/>
      <c r="X1646" s="3"/>
      <c r="Y1646" s="3"/>
      <c r="Z1646" s="3"/>
      <c r="AA1646" s="3"/>
      <c r="AB1646" s="3"/>
      <c r="AC1646" s="3"/>
      <c r="AD1646" s="3"/>
      <c r="AE1646" s="3"/>
      <c r="AG1646" s="2"/>
      <c r="AR1646" s="307"/>
      <c r="AS1646" s="307"/>
      <c r="AT1646" s="307"/>
      <c r="AU1646" s="670"/>
      <c r="AV1646" s="572"/>
    </row>
    <row r="1647" spans="4:48" ht="12.75" customHeight="1" x14ac:dyDescent="0.25">
      <c r="D1647" s="3"/>
      <c r="L1647" s="3"/>
      <c r="N1647" s="3"/>
      <c r="O1647" s="3"/>
      <c r="R1647" s="3"/>
      <c r="W1647" s="3"/>
      <c r="X1647" s="3"/>
      <c r="Y1647" s="3"/>
      <c r="Z1647" s="3"/>
      <c r="AA1647" s="3"/>
      <c r="AB1647" s="3"/>
      <c r="AC1647" s="3"/>
      <c r="AD1647" s="3"/>
      <c r="AE1647" s="3"/>
      <c r="AG1647" s="2"/>
      <c r="AR1647" s="307"/>
      <c r="AS1647" s="307"/>
      <c r="AT1647" s="307"/>
      <c r="AU1647" s="670"/>
      <c r="AV1647" s="572"/>
    </row>
    <row r="1648" spans="4:48" ht="12.75" customHeight="1" x14ac:dyDescent="0.25">
      <c r="D1648" s="3"/>
      <c r="L1648" s="3"/>
      <c r="N1648" s="3"/>
      <c r="O1648" s="3"/>
      <c r="R1648" s="3"/>
      <c r="W1648" s="3"/>
      <c r="X1648" s="3"/>
      <c r="Y1648" s="3"/>
      <c r="Z1648" s="3"/>
      <c r="AA1648" s="3"/>
      <c r="AB1648" s="3"/>
      <c r="AC1648" s="3"/>
      <c r="AD1648" s="3"/>
      <c r="AE1648" s="3"/>
      <c r="AG1648" s="2"/>
      <c r="AR1648" s="307"/>
      <c r="AS1648" s="307"/>
      <c r="AT1648" s="307"/>
      <c r="AU1648" s="670"/>
      <c r="AV1648" s="572"/>
    </row>
    <row r="1649" spans="4:48" ht="12.75" customHeight="1" x14ac:dyDescent="0.25">
      <c r="D1649" s="3"/>
      <c r="L1649" s="3"/>
      <c r="N1649" s="3"/>
      <c r="O1649" s="3"/>
      <c r="R1649" s="3"/>
      <c r="W1649" s="3"/>
      <c r="X1649" s="3"/>
      <c r="Y1649" s="3"/>
      <c r="Z1649" s="3"/>
      <c r="AA1649" s="3"/>
      <c r="AB1649" s="3"/>
      <c r="AC1649" s="3"/>
      <c r="AD1649" s="3"/>
      <c r="AE1649" s="3"/>
      <c r="AG1649" s="2"/>
      <c r="AR1649" s="307"/>
      <c r="AS1649" s="307"/>
      <c r="AT1649" s="307"/>
      <c r="AU1649" s="670"/>
      <c r="AV1649" s="572"/>
    </row>
    <row r="1650" spans="4:48" ht="12.75" customHeight="1" x14ac:dyDescent="0.25">
      <c r="D1650" s="3"/>
      <c r="L1650" s="3"/>
      <c r="N1650" s="3"/>
      <c r="O1650" s="3"/>
      <c r="R1650" s="3"/>
      <c r="W1650" s="3"/>
      <c r="X1650" s="3"/>
      <c r="Y1650" s="3"/>
      <c r="Z1650" s="3"/>
      <c r="AA1650" s="3"/>
      <c r="AB1650" s="3"/>
      <c r="AC1650" s="3"/>
      <c r="AD1650" s="3"/>
      <c r="AE1650" s="3"/>
      <c r="AG1650" s="2"/>
      <c r="AR1650" s="307"/>
      <c r="AS1650" s="307"/>
      <c r="AT1650" s="307"/>
      <c r="AU1650" s="670"/>
      <c r="AV1650" s="572"/>
    </row>
    <row r="1651" spans="4:48" ht="12.75" customHeight="1" x14ac:dyDescent="0.25">
      <c r="D1651" s="3"/>
      <c r="L1651" s="3"/>
      <c r="N1651" s="3"/>
      <c r="O1651" s="3"/>
      <c r="R1651" s="3"/>
      <c r="W1651" s="3"/>
      <c r="X1651" s="3"/>
      <c r="Y1651" s="3"/>
      <c r="Z1651" s="3"/>
      <c r="AA1651" s="3"/>
      <c r="AB1651" s="3"/>
      <c r="AC1651" s="3"/>
      <c r="AD1651" s="3"/>
      <c r="AE1651" s="3"/>
      <c r="AG1651" s="2"/>
      <c r="AR1651" s="307"/>
      <c r="AS1651" s="307"/>
      <c r="AT1651" s="307"/>
      <c r="AU1651" s="670"/>
      <c r="AV1651" s="572"/>
    </row>
    <row r="1652" spans="4:48" ht="12.75" customHeight="1" x14ac:dyDescent="0.25">
      <c r="D1652" s="3"/>
      <c r="L1652" s="3"/>
      <c r="N1652" s="3"/>
      <c r="O1652" s="3"/>
      <c r="R1652" s="3"/>
      <c r="W1652" s="3"/>
      <c r="X1652" s="3"/>
      <c r="Y1652" s="3"/>
      <c r="Z1652" s="3"/>
      <c r="AA1652" s="3"/>
      <c r="AB1652" s="3"/>
      <c r="AC1652" s="3"/>
      <c r="AD1652" s="3"/>
      <c r="AE1652" s="3"/>
      <c r="AG1652" s="2"/>
      <c r="AR1652" s="307"/>
      <c r="AS1652" s="307"/>
      <c r="AT1652" s="307"/>
      <c r="AU1652" s="670"/>
      <c r="AV1652" s="572"/>
    </row>
    <row r="1653" spans="4:48" ht="12.75" customHeight="1" x14ac:dyDescent="0.25">
      <c r="D1653" s="3"/>
      <c r="L1653" s="3"/>
      <c r="N1653" s="3"/>
      <c r="O1653" s="3"/>
      <c r="R1653" s="3"/>
      <c r="W1653" s="3"/>
      <c r="X1653" s="3"/>
      <c r="Y1653" s="3"/>
      <c r="Z1653" s="3"/>
      <c r="AA1653" s="3"/>
      <c r="AB1653" s="3"/>
      <c r="AC1653" s="3"/>
      <c r="AD1653" s="3"/>
      <c r="AE1653" s="3"/>
      <c r="AG1653" s="2"/>
      <c r="AR1653" s="307"/>
      <c r="AS1653" s="307"/>
      <c r="AT1653" s="307"/>
      <c r="AU1653" s="670"/>
      <c r="AV1653" s="572"/>
    </row>
    <row r="1654" spans="4:48" ht="12.75" customHeight="1" x14ac:dyDescent="0.25">
      <c r="D1654" s="3"/>
      <c r="L1654" s="3"/>
      <c r="N1654" s="3"/>
      <c r="O1654" s="3"/>
      <c r="R1654" s="3"/>
      <c r="W1654" s="3"/>
      <c r="X1654" s="3"/>
      <c r="Y1654" s="3"/>
      <c r="Z1654" s="3"/>
      <c r="AA1654" s="3"/>
      <c r="AB1654" s="3"/>
      <c r="AC1654" s="3"/>
      <c r="AD1654" s="3"/>
      <c r="AE1654" s="3"/>
      <c r="AG1654" s="2"/>
      <c r="AR1654" s="307"/>
      <c r="AS1654" s="307"/>
      <c r="AT1654" s="307"/>
      <c r="AU1654" s="670"/>
      <c r="AV1654" s="572"/>
    </row>
    <row r="1655" spans="4:48" ht="12.75" customHeight="1" x14ac:dyDescent="0.25">
      <c r="D1655" s="3"/>
      <c r="L1655" s="3"/>
      <c r="N1655" s="3"/>
      <c r="O1655" s="3"/>
      <c r="R1655" s="3"/>
      <c r="W1655" s="3"/>
      <c r="X1655" s="3"/>
      <c r="Y1655" s="3"/>
      <c r="Z1655" s="3"/>
      <c r="AA1655" s="3"/>
      <c r="AB1655" s="3"/>
      <c r="AC1655" s="3"/>
      <c r="AD1655" s="3"/>
      <c r="AE1655" s="3"/>
      <c r="AG1655" s="2"/>
      <c r="AR1655" s="307"/>
      <c r="AS1655" s="307"/>
      <c r="AT1655" s="307"/>
      <c r="AU1655" s="670"/>
      <c r="AV1655" s="572"/>
    </row>
    <row r="1656" spans="4:48" ht="12.75" customHeight="1" x14ac:dyDescent="0.25">
      <c r="D1656" s="3"/>
      <c r="L1656" s="3"/>
      <c r="N1656" s="3"/>
      <c r="O1656" s="3"/>
      <c r="R1656" s="3"/>
      <c r="W1656" s="3"/>
      <c r="X1656" s="3"/>
      <c r="Y1656" s="3"/>
      <c r="Z1656" s="3"/>
      <c r="AA1656" s="3"/>
      <c r="AB1656" s="3"/>
      <c r="AC1656" s="3"/>
      <c r="AD1656" s="3"/>
      <c r="AE1656" s="3"/>
      <c r="AG1656" s="2"/>
      <c r="AR1656" s="307"/>
      <c r="AS1656" s="307"/>
      <c r="AT1656" s="307"/>
      <c r="AU1656" s="670"/>
      <c r="AV1656" s="572"/>
    </row>
    <row r="1657" spans="4:48" ht="12.75" customHeight="1" x14ac:dyDescent="0.25">
      <c r="D1657" s="3"/>
      <c r="L1657" s="3"/>
      <c r="N1657" s="3"/>
      <c r="O1657" s="3"/>
      <c r="R1657" s="3"/>
      <c r="W1657" s="3"/>
      <c r="X1657" s="3"/>
      <c r="Y1657" s="3"/>
      <c r="Z1657" s="3"/>
      <c r="AA1657" s="3"/>
      <c r="AB1657" s="3"/>
      <c r="AC1657" s="3"/>
      <c r="AD1657" s="3"/>
      <c r="AE1657" s="3"/>
      <c r="AG1657" s="2"/>
      <c r="AR1657" s="307"/>
      <c r="AS1657" s="307"/>
      <c r="AT1657" s="307"/>
      <c r="AU1657" s="670"/>
      <c r="AV1657" s="572"/>
    </row>
    <row r="1658" spans="4:48" ht="12.75" customHeight="1" x14ac:dyDescent="0.25">
      <c r="D1658" s="3"/>
      <c r="L1658" s="3"/>
      <c r="N1658" s="3"/>
      <c r="O1658" s="3"/>
      <c r="R1658" s="3"/>
      <c r="W1658" s="3"/>
      <c r="X1658" s="3"/>
      <c r="Y1658" s="3"/>
      <c r="Z1658" s="3"/>
      <c r="AA1658" s="3"/>
      <c r="AB1658" s="3"/>
      <c r="AC1658" s="3"/>
      <c r="AD1658" s="3"/>
      <c r="AE1658" s="3"/>
      <c r="AG1658" s="2"/>
      <c r="AR1658" s="307"/>
      <c r="AS1658" s="307"/>
      <c r="AT1658" s="307"/>
      <c r="AU1658" s="670"/>
      <c r="AV1658" s="572"/>
    </row>
    <row r="1659" spans="4:48" ht="12.75" customHeight="1" x14ac:dyDescent="0.25">
      <c r="D1659" s="3"/>
      <c r="L1659" s="3"/>
      <c r="N1659" s="3"/>
      <c r="O1659" s="3"/>
      <c r="R1659" s="3"/>
      <c r="W1659" s="3"/>
      <c r="X1659" s="3"/>
      <c r="Y1659" s="3"/>
      <c r="Z1659" s="3"/>
      <c r="AA1659" s="3"/>
      <c r="AB1659" s="3"/>
      <c r="AC1659" s="3"/>
      <c r="AD1659" s="3"/>
      <c r="AE1659" s="3"/>
      <c r="AG1659" s="2"/>
      <c r="AR1659" s="307"/>
      <c r="AS1659" s="307"/>
      <c r="AT1659" s="307"/>
      <c r="AU1659" s="670"/>
      <c r="AV1659" s="572"/>
    </row>
    <row r="1660" spans="4:48" ht="12.75" customHeight="1" x14ac:dyDescent="0.25">
      <c r="D1660" s="3"/>
      <c r="L1660" s="3"/>
      <c r="N1660" s="3"/>
      <c r="O1660" s="3"/>
      <c r="R1660" s="3"/>
      <c r="W1660" s="3"/>
      <c r="X1660" s="3"/>
      <c r="Y1660" s="3"/>
      <c r="Z1660" s="3"/>
      <c r="AA1660" s="3"/>
      <c r="AB1660" s="3"/>
      <c r="AC1660" s="3"/>
      <c r="AD1660" s="3"/>
      <c r="AE1660" s="3"/>
      <c r="AG1660" s="2"/>
      <c r="AR1660" s="307"/>
      <c r="AS1660" s="307"/>
      <c r="AT1660" s="307"/>
      <c r="AU1660" s="670"/>
      <c r="AV1660" s="572"/>
    </row>
    <row r="1661" spans="4:48" ht="12.75" customHeight="1" x14ac:dyDescent="0.25">
      <c r="D1661" s="3"/>
      <c r="L1661" s="3"/>
      <c r="N1661" s="3"/>
      <c r="O1661" s="3"/>
      <c r="R1661" s="3"/>
      <c r="W1661" s="3"/>
      <c r="X1661" s="3"/>
      <c r="Y1661" s="3"/>
      <c r="Z1661" s="3"/>
      <c r="AA1661" s="3"/>
      <c r="AB1661" s="3"/>
      <c r="AC1661" s="3"/>
      <c r="AD1661" s="3"/>
      <c r="AE1661" s="3"/>
      <c r="AG1661" s="2"/>
      <c r="AR1661" s="307"/>
      <c r="AS1661" s="307"/>
      <c r="AT1661" s="307"/>
      <c r="AU1661" s="670"/>
      <c r="AV1661" s="572"/>
    </row>
    <row r="1662" spans="4:48" ht="12.75" customHeight="1" x14ac:dyDescent="0.25">
      <c r="D1662" s="3"/>
      <c r="L1662" s="3"/>
      <c r="N1662" s="3"/>
      <c r="O1662" s="3"/>
      <c r="R1662" s="3"/>
      <c r="W1662" s="3"/>
      <c r="X1662" s="3"/>
      <c r="Y1662" s="3"/>
      <c r="Z1662" s="3"/>
      <c r="AA1662" s="3"/>
      <c r="AB1662" s="3"/>
      <c r="AC1662" s="3"/>
      <c r="AD1662" s="3"/>
      <c r="AE1662" s="3"/>
      <c r="AG1662" s="2"/>
      <c r="AR1662" s="307"/>
      <c r="AS1662" s="307"/>
      <c r="AT1662" s="307"/>
      <c r="AU1662" s="670"/>
      <c r="AV1662" s="572"/>
    </row>
    <row r="1663" spans="4:48" ht="12.75" customHeight="1" x14ac:dyDescent="0.25">
      <c r="D1663" s="3"/>
      <c r="L1663" s="3"/>
      <c r="N1663" s="3"/>
      <c r="O1663" s="3"/>
      <c r="R1663" s="3"/>
      <c r="W1663" s="3"/>
      <c r="X1663" s="3"/>
      <c r="Y1663" s="3"/>
      <c r="Z1663" s="3"/>
      <c r="AA1663" s="3"/>
      <c r="AB1663" s="3"/>
      <c r="AC1663" s="3"/>
      <c r="AD1663" s="3"/>
      <c r="AE1663" s="3"/>
      <c r="AG1663" s="2"/>
      <c r="AR1663" s="307"/>
      <c r="AS1663" s="307"/>
      <c r="AT1663" s="307"/>
      <c r="AU1663" s="670"/>
      <c r="AV1663" s="572"/>
    </row>
    <row r="1664" spans="4:48" ht="12.75" customHeight="1" x14ac:dyDescent="0.25">
      <c r="D1664" s="3"/>
      <c r="L1664" s="3"/>
      <c r="N1664" s="3"/>
      <c r="O1664" s="3"/>
      <c r="R1664" s="3"/>
      <c r="W1664" s="3"/>
      <c r="X1664" s="3"/>
      <c r="Y1664" s="3"/>
      <c r="Z1664" s="3"/>
      <c r="AA1664" s="3"/>
      <c r="AB1664" s="3"/>
      <c r="AC1664" s="3"/>
      <c r="AD1664" s="3"/>
      <c r="AE1664" s="3"/>
      <c r="AG1664" s="2"/>
      <c r="AR1664" s="307"/>
      <c r="AS1664" s="307"/>
      <c r="AT1664" s="307"/>
      <c r="AU1664" s="670"/>
      <c r="AV1664" s="572"/>
    </row>
    <row r="1665" spans="4:48" ht="12.75" customHeight="1" x14ac:dyDescent="0.25">
      <c r="D1665" s="3"/>
      <c r="L1665" s="3"/>
      <c r="N1665" s="3"/>
      <c r="O1665" s="3"/>
      <c r="R1665" s="3"/>
      <c r="W1665" s="3"/>
      <c r="X1665" s="3"/>
      <c r="Y1665" s="3"/>
      <c r="Z1665" s="3"/>
      <c r="AA1665" s="3"/>
      <c r="AB1665" s="3"/>
      <c r="AC1665" s="3"/>
      <c r="AD1665" s="3"/>
      <c r="AE1665" s="3"/>
      <c r="AG1665" s="2"/>
      <c r="AR1665" s="307"/>
      <c r="AS1665" s="307"/>
      <c r="AT1665" s="307"/>
      <c r="AU1665" s="670"/>
      <c r="AV1665" s="572"/>
    </row>
    <row r="1666" spans="4:48" ht="12.75" customHeight="1" x14ac:dyDescent="0.25">
      <c r="D1666" s="3"/>
      <c r="L1666" s="3"/>
      <c r="N1666" s="3"/>
      <c r="O1666" s="3"/>
      <c r="R1666" s="3"/>
      <c r="W1666" s="3"/>
      <c r="X1666" s="3"/>
      <c r="Y1666" s="3"/>
      <c r="Z1666" s="3"/>
      <c r="AA1666" s="3"/>
      <c r="AB1666" s="3"/>
      <c r="AC1666" s="3"/>
      <c r="AD1666" s="3"/>
      <c r="AE1666" s="3"/>
      <c r="AG1666" s="2"/>
      <c r="AR1666" s="307"/>
      <c r="AS1666" s="307"/>
      <c r="AT1666" s="307"/>
      <c r="AU1666" s="670"/>
      <c r="AV1666" s="572"/>
    </row>
    <row r="1667" spans="4:48" ht="12.75" customHeight="1" x14ac:dyDescent="0.25">
      <c r="D1667" s="3"/>
      <c r="L1667" s="3"/>
      <c r="N1667" s="3"/>
      <c r="O1667" s="3"/>
      <c r="R1667" s="3"/>
      <c r="W1667" s="3"/>
      <c r="X1667" s="3"/>
      <c r="Y1667" s="3"/>
      <c r="Z1667" s="3"/>
      <c r="AA1667" s="3"/>
      <c r="AB1667" s="3"/>
      <c r="AC1667" s="3"/>
      <c r="AD1667" s="3"/>
      <c r="AE1667" s="3"/>
      <c r="AG1667" s="2"/>
      <c r="AR1667" s="307"/>
      <c r="AS1667" s="307"/>
      <c r="AT1667" s="307"/>
      <c r="AU1667" s="670"/>
      <c r="AV1667" s="572"/>
    </row>
    <row r="1668" spans="4:48" ht="12.75" customHeight="1" x14ac:dyDescent="0.25">
      <c r="D1668" s="3"/>
      <c r="L1668" s="3"/>
      <c r="N1668" s="3"/>
      <c r="O1668" s="3"/>
      <c r="R1668" s="3"/>
      <c r="W1668" s="3"/>
      <c r="X1668" s="3"/>
      <c r="Y1668" s="3"/>
      <c r="Z1668" s="3"/>
      <c r="AA1668" s="3"/>
      <c r="AB1668" s="3"/>
      <c r="AC1668" s="3"/>
      <c r="AD1668" s="3"/>
      <c r="AE1668" s="3"/>
      <c r="AG1668" s="2"/>
      <c r="AR1668" s="307"/>
      <c r="AS1668" s="307"/>
      <c r="AT1668" s="307"/>
      <c r="AU1668" s="670"/>
      <c r="AV1668" s="572"/>
    </row>
    <row r="1669" spans="4:48" ht="12.75" customHeight="1" x14ac:dyDescent="0.25">
      <c r="D1669" s="3"/>
      <c r="L1669" s="3"/>
      <c r="N1669" s="3"/>
      <c r="O1669" s="3"/>
      <c r="R1669" s="3"/>
      <c r="W1669" s="3"/>
      <c r="X1669" s="3"/>
      <c r="Y1669" s="3"/>
      <c r="Z1669" s="3"/>
      <c r="AA1669" s="3"/>
      <c r="AB1669" s="3"/>
      <c r="AC1669" s="3"/>
      <c r="AD1669" s="3"/>
      <c r="AE1669" s="3"/>
      <c r="AG1669" s="2"/>
      <c r="AR1669" s="307"/>
      <c r="AS1669" s="307"/>
      <c r="AT1669" s="307"/>
      <c r="AU1669" s="670"/>
      <c r="AV1669" s="572"/>
    </row>
    <row r="1670" spans="4:48" ht="12.75" customHeight="1" x14ac:dyDescent="0.25">
      <c r="D1670" s="3"/>
      <c r="L1670" s="3"/>
      <c r="N1670" s="3"/>
      <c r="O1670" s="3"/>
      <c r="R1670" s="3"/>
      <c r="W1670" s="3"/>
      <c r="X1670" s="3"/>
      <c r="Y1670" s="3"/>
      <c r="Z1670" s="3"/>
      <c r="AA1670" s="3"/>
      <c r="AB1670" s="3"/>
      <c r="AC1670" s="3"/>
      <c r="AD1670" s="3"/>
      <c r="AE1670" s="3"/>
      <c r="AG1670" s="2"/>
      <c r="AR1670" s="307"/>
      <c r="AS1670" s="307"/>
      <c r="AT1670" s="307"/>
      <c r="AU1670" s="670"/>
      <c r="AV1670" s="572"/>
    </row>
    <row r="1671" spans="4:48" ht="12.75" customHeight="1" x14ac:dyDescent="0.25">
      <c r="D1671" s="3"/>
      <c r="L1671" s="3"/>
      <c r="N1671" s="3"/>
      <c r="O1671" s="3"/>
      <c r="R1671" s="3"/>
      <c r="W1671" s="3"/>
      <c r="X1671" s="3"/>
      <c r="Y1671" s="3"/>
      <c r="Z1671" s="3"/>
      <c r="AA1671" s="3"/>
      <c r="AB1671" s="3"/>
      <c r="AC1671" s="3"/>
      <c r="AD1671" s="3"/>
      <c r="AE1671" s="3"/>
      <c r="AG1671" s="2"/>
      <c r="AR1671" s="307"/>
      <c r="AS1671" s="307"/>
      <c r="AT1671" s="307"/>
      <c r="AU1671" s="670"/>
      <c r="AV1671" s="572"/>
    </row>
    <row r="1672" spans="4:48" ht="12.75" customHeight="1" x14ac:dyDescent="0.25">
      <c r="D1672" s="3"/>
      <c r="L1672" s="3"/>
      <c r="N1672" s="3"/>
      <c r="O1672" s="3"/>
      <c r="R1672" s="3"/>
      <c r="W1672" s="3"/>
      <c r="X1672" s="3"/>
      <c r="Y1672" s="3"/>
      <c r="Z1672" s="3"/>
      <c r="AA1672" s="3"/>
      <c r="AB1672" s="3"/>
      <c r="AC1672" s="3"/>
      <c r="AD1672" s="3"/>
      <c r="AE1672" s="3"/>
      <c r="AG1672" s="2"/>
      <c r="AR1672" s="307"/>
      <c r="AS1672" s="307"/>
      <c r="AT1672" s="307"/>
      <c r="AU1672" s="670"/>
      <c r="AV1672" s="572"/>
    </row>
    <row r="1673" spans="4:48" ht="12.75" customHeight="1" x14ac:dyDescent="0.25">
      <c r="D1673" s="3"/>
      <c r="L1673" s="3"/>
      <c r="N1673" s="3"/>
      <c r="O1673" s="3"/>
      <c r="R1673" s="3"/>
      <c r="W1673" s="3"/>
      <c r="X1673" s="3"/>
      <c r="Y1673" s="3"/>
      <c r="Z1673" s="3"/>
      <c r="AA1673" s="3"/>
      <c r="AB1673" s="3"/>
      <c r="AC1673" s="3"/>
      <c r="AD1673" s="3"/>
      <c r="AE1673" s="3"/>
      <c r="AG1673" s="2"/>
      <c r="AR1673" s="307"/>
      <c r="AS1673" s="307"/>
      <c r="AT1673" s="307"/>
      <c r="AU1673" s="670"/>
      <c r="AV1673" s="572"/>
    </row>
    <row r="1674" spans="4:48" ht="12.75" customHeight="1" x14ac:dyDescent="0.25">
      <c r="D1674" s="3"/>
      <c r="L1674" s="3"/>
      <c r="N1674" s="3"/>
      <c r="O1674" s="3"/>
      <c r="R1674" s="3"/>
      <c r="W1674" s="3"/>
      <c r="X1674" s="3"/>
      <c r="Y1674" s="3"/>
      <c r="Z1674" s="3"/>
      <c r="AA1674" s="3"/>
      <c r="AB1674" s="3"/>
      <c r="AC1674" s="3"/>
      <c r="AD1674" s="3"/>
      <c r="AE1674" s="3"/>
      <c r="AG1674" s="2"/>
      <c r="AR1674" s="307"/>
      <c r="AS1674" s="307"/>
      <c r="AT1674" s="307"/>
      <c r="AU1674" s="670"/>
      <c r="AV1674" s="572"/>
    </row>
    <row r="1675" spans="4:48" ht="12.75" customHeight="1" x14ac:dyDescent="0.25">
      <c r="D1675" s="3"/>
      <c r="L1675" s="3"/>
      <c r="N1675" s="3"/>
      <c r="O1675" s="3"/>
      <c r="R1675" s="3"/>
      <c r="W1675" s="3"/>
      <c r="X1675" s="3"/>
      <c r="Y1675" s="3"/>
      <c r="Z1675" s="3"/>
      <c r="AA1675" s="3"/>
      <c r="AB1675" s="3"/>
      <c r="AC1675" s="3"/>
      <c r="AD1675" s="3"/>
      <c r="AE1675" s="3"/>
      <c r="AG1675" s="2"/>
      <c r="AR1675" s="307"/>
      <c r="AS1675" s="307"/>
      <c r="AT1675" s="307"/>
      <c r="AU1675" s="670"/>
      <c r="AV1675" s="572"/>
    </row>
    <row r="1676" spans="4:48" ht="12.75" customHeight="1" x14ac:dyDescent="0.25">
      <c r="D1676" s="3"/>
      <c r="L1676" s="3"/>
      <c r="N1676" s="3"/>
      <c r="O1676" s="3"/>
      <c r="R1676" s="3"/>
      <c r="W1676" s="3"/>
      <c r="X1676" s="3"/>
      <c r="Y1676" s="3"/>
      <c r="Z1676" s="3"/>
      <c r="AA1676" s="3"/>
      <c r="AB1676" s="3"/>
      <c r="AC1676" s="3"/>
      <c r="AD1676" s="3"/>
      <c r="AE1676" s="3"/>
      <c r="AG1676" s="2"/>
      <c r="AR1676" s="307"/>
      <c r="AS1676" s="307"/>
      <c r="AT1676" s="307"/>
      <c r="AU1676" s="670"/>
      <c r="AV1676" s="572"/>
    </row>
    <row r="1677" spans="4:48" ht="12.75" customHeight="1" x14ac:dyDescent="0.25">
      <c r="D1677" s="3"/>
      <c r="L1677" s="3"/>
      <c r="N1677" s="3"/>
      <c r="O1677" s="3"/>
      <c r="R1677" s="3"/>
      <c r="W1677" s="3"/>
      <c r="X1677" s="3"/>
      <c r="Y1677" s="3"/>
      <c r="Z1677" s="3"/>
      <c r="AA1677" s="3"/>
      <c r="AB1677" s="3"/>
      <c r="AC1677" s="3"/>
      <c r="AD1677" s="3"/>
      <c r="AE1677" s="3"/>
      <c r="AG1677" s="2"/>
      <c r="AR1677" s="307"/>
      <c r="AS1677" s="307"/>
      <c r="AT1677" s="307"/>
      <c r="AU1677" s="670"/>
      <c r="AV1677" s="572"/>
    </row>
    <row r="1678" spans="4:48" ht="12.75" customHeight="1" x14ac:dyDescent="0.25">
      <c r="D1678" s="3"/>
      <c r="L1678" s="3"/>
      <c r="N1678" s="3"/>
      <c r="O1678" s="3"/>
      <c r="R1678" s="3"/>
      <c r="W1678" s="3"/>
      <c r="X1678" s="3"/>
      <c r="Y1678" s="3"/>
      <c r="Z1678" s="3"/>
      <c r="AA1678" s="3"/>
      <c r="AB1678" s="3"/>
      <c r="AC1678" s="3"/>
      <c r="AD1678" s="3"/>
      <c r="AE1678" s="3"/>
      <c r="AG1678" s="2"/>
      <c r="AR1678" s="307"/>
      <c r="AS1678" s="307"/>
      <c r="AT1678" s="307"/>
      <c r="AU1678" s="670"/>
      <c r="AV1678" s="572"/>
    </row>
    <row r="1679" spans="4:48" ht="12.75" customHeight="1" x14ac:dyDescent="0.25">
      <c r="D1679" s="3"/>
      <c r="L1679" s="3"/>
      <c r="N1679" s="3"/>
      <c r="O1679" s="3"/>
      <c r="R1679" s="3"/>
      <c r="W1679" s="3"/>
      <c r="X1679" s="3"/>
      <c r="Y1679" s="3"/>
      <c r="Z1679" s="3"/>
      <c r="AA1679" s="3"/>
      <c r="AB1679" s="3"/>
      <c r="AC1679" s="3"/>
      <c r="AD1679" s="3"/>
      <c r="AE1679" s="3"/>
      <c r="AG1679" s="2"/>
      <c r="AR1679" s="307"/>
      <c r="AS1679" s="307"/>
      <c r="AT1679" s="307"/>
      <c r="AU1679" s="670"/>
      <c r="AV1679" s="572"/>
    </row>
    <row r="1680" spans="4:48" ht="12.75" customHeight="1" x14ac:dyDescent="0.25">
      <c r="D1680" s="3"/>
      <c r="L1680" s="3"/>
      <c r="N1680" s="3"/>
      <c r="O1680" s="3"/>
      <c r="R1680" s="3"/>
      <c r="W1680" s="3"/>
      <c r="X1680" s="3"/>
      <c r="Y1680" s="3"/>
      <c r="Z1680" s="3"/>
      <c r="AA1680" s="3"/>
      <c r="AB1680" s="3"/>
      <c r="AC1680" s="3"/>
      <c r="AD1680" s="3"/>
      <c r="AE1680" s="3"/>
      <c r="AG1680" s="2"/>
      <c r="AR1680" s="307"/>
      <c r="AS1680" s="307"/>
      <c r="AT1680" s="307"/>
      <c r="AU1680" s="670"/>
      <c r="AV1680" s="572"/>
    </row>
    <row r="1681" spans="4:48" ht="12.75" customHeight="1" x14ac:dyDescent="0.25">
      <c r="D1681" s="3"/>
      <c r="L1681" s="3"/>
      <c r="N1681" s="3"/>
      <c r="O1681" s="3"/>
      <c r="R1681" s="3"/>
      <c r="W1681" s="3"/>
      <c r="X1681" s="3"/>
      <c r="Y1681" s="3"/>
      <c r="Z1681" s="3"/>
      <c r="AA1681" s="3"/>
      <c r="AB1681" s="3"/>
      <c r="AC1681" s="3"/>
      <c r="AD1681" s="3"/>
      <c r="AE1681" s="3"/>
      <c r="AG1681" s="2"/>
      <c r="AR1681" s="307"/>
      <c r="AS1681" s="307"/>
      <c r="AT1681" s="307"/>
      <c r="AU1681" s="670"/>
      <c r="AV1681" s="572"/>
    </row>
    <row r="1682" spans="4:48" ht="12.75" customHeight="1" x14ac:dyDescent="0.25">
      <c r="D1682" s="3"/>
      <c r="L1682" s="3"/>
      <c r="N1682" s="3"/>
      <c r="O1682" s="3"/>
      <c r="R1682" s="3"/>
      <c r="W1682" s="3"/>
      <c r="X1682" s="3"/>
      <c r="Y1682" s="3"/>
      <c r="Z1682" s="3"/>
      <c r="AA1682" s="3"/>
      <c r="AB1682" s="3"/>
      <c r="AC1682" s="3"/>
      <c r="AD1682" s="3"/>
      <c r="AE1682" s="3"/>
      <c r="AG1682" s="2"/>
      <c r="AR1682" s="307"/>
      <c r="AS1682" s="307"/>
      <c r="AT1682" s="307"/>
      <c r="AU1682" s="670"/>
      <c r="AV1682" s="572"/>
    </row>
    <row r="1683" spans="4:48" ht="12.75" customHeight="1" x14ac:dyDescent="0.25">
      <c r="D1683" s="3"/>
      <c r="L1683" s="3"/>
      <c r="N1683" s="3"/>
      <c r="O1683" s="3"/>
      <c r="R1683" s="3"/>
      <c r="W1683" s="3"/>
      <c r="X1683" s="3"/>
      <c r="Y1683" s="3"/>
      <c r="Z1683" s="3"/>
      <c r="AA1683" s="3"/>
      <c r="AB1683" s="3"/>
      <c r="AC1683" s="3"/>
      <c r="AD1683" s="3"/>
      <c r="AE1683" s="3"/>
      <c r="AG1683" s="2"/>
      <c r="AR1683" s="307"/>
      <c r="AS1683" s="307"/>
      <c r="AT1683" s="307"/>
      <c r="AU1683" s="670"/>
      <c r="AV1683" s="572"/>
    </row>
    <row r="1684" spans="4:48" ht="12.75" customHeight="1" x14ac:dyDescent="0.25">
      <c r="D1684" s="3"/>
      <c r="L1684" s="3"/>
      <c r="N1684" s="3"/>
      <c r="O1684" s="3"/>
      <c r="R1684" s="3"/>
      <c r="W1684" s="3"/>
      <c r="X1684" s="3"/>
      <c r="Y1684" s="3"/>
      <c r="Z1684" s="3"/>
      <c r="AA1684" s="3"/>
      <c r="AB1684" s="3"/>
      <c r="AC1684" s="3"/>
      <c r="AD1684" s="3"/>
      <c r="AE1684" s="3"/>
      <c r="AG1684" s="2"/>
      <c r="AR1684" s="307"/>
      <c r="AS1684" s="307"/>
      <c r="AT1684" s="307"/>
      <c r="AU1684" s="670"/>
      <c r="AV1684" s="572"/>
    </row>
    <row r="1685" spans="4:48" ht="12.75" customHeight="1" x14ac:dyDescent="0.25">
      <c r="D1685" s="3"/>
      <c r="L1685" s="3"/>
      <c r="N1685" s="3"/>
      <c r="O1685" s="3"/>
      <c r="R1685" s="3"/>
      <c r="W1685" s="3"/>
      <c r="X1685" s="3"/>
      <c r="Y1685" s="3"/>
      <c r="Z1685" s="3"/>
      <c r="AA1685" s="3"/>
      <c r="AB1685" s="3"/>
      <c r="AC1685" s="3"/>
      <c r="AD1685" s="3"/>
      <c r="AE1685" s="3"/>
      <c r="AG1685" s="2"/>
      <c r="AR1685" s="307"/>
      <c r="AS1685" s="307"/>
      <c r="AT1685" s="307"/>
      <c r="AU1685" s="670"/>
      <c r="AV1685" s="572"/>
    </row>
    <row r="1686" spans="4:48" ht="12.75" customHeight="1" x14ac:dyDescent="0.25">
      <c r="D1686" s="3"/>
      <c r="L1686" s="3"/>
      <c r="N1686" s="3"/>
      <c r="O1686" s="3"/>
      <c r="R1686" s="3"/>
      <c r="W1686" s="3"/>
      <c r="X1686" s="3"/>
      <c r="Y1686" s="3"/>
      <c r="Z1686" s="3"/>
      <c r="AA1686" s="3"/>
      <c r="AB1686" s="3"/>
      <c r="AC1686" s="3"/>
      <c r="AD1686" s="3"/>
      <c r="AE1686" s="3"/>
      <c r="AG1686" s="2"/>
      <c r="AR1686" s="307"/>
      <c r="AS1686" s="307"/>
      <c r="AT1686" s="307"/>
      <c r="AU1686" s="670"/>
      <c r="AV1686" s="572"/>
    </row>
    <row r="1687" spans="4:48" ht="12.75" customHeight="1" x14ac:dyDescent="0.25">
      <c r="D1687" s="3"/>
      <c r="L1687" s="3"/>
      <c r="N1687" s="3"/>
      <c r="O1687" s="3"/>
      <c r="R1687" s="3"/>
      <c r="W1687" s="3"/>
      <c r="X1687" s="3"/>
      <c r="Y1687" s="3"/>
      <c r="Z1687" s="3"/>
      <c r="AA1687" s="3"/>
      <c r="AB1687" s="3"/>
      <c r="AC1687" s="3"/>
      <c r="AD1687" s="3"/>
      <c r="AE1687" s="3"/>
      <c r="AG1687" s="2"/>
      <c r="AR1687" s="307"/>
      <c r="AS1687" s="307"/>
      <c r="AT1687" s="307"/>
      <c r="AU1687" s="670"/>
      <c r="AV1687" s="572"/>
    </row>
    <row r="1688" spans="4:48" ht="12.75" customHeight="1" x14ac:dyDescent="0.25">
      <c r="D1688" s="3"/>
      <c r="L1688" s="3"/>
      <c r="N1688" s="3"/>
      <c r="O1688" s="3"/>
      <c r="R1688" s="3"/>
      <c r="W1688" s="3"/>
      <c r="X1688" s="3"/>
      <c r="Y1688" s="3"/>
      <c r="Z1688" s="3"/>
      <c r="AA1688" s="3"/>
      <c r="AB1688" s="3"/>
      <c r="AC1688" s="3"/>
      <c r="AD1688" s="3"/>
      <c r="AE1688" s="3"/>
      <c r="AG1688" s="2"/>
      <c r="AR1688" s="307"/>
      <c r="AS1688" s="307"/>
      <c r="AT1688" s="307"/>
      <c r="AU1688" s="670"/>
      <c r="AV1688" s="572"/>
    </row>
    <row r="1689" spans="4:48" ht="15" customHeight="1" x14ac:dyDescent="0.25">
      <c r="AG1689" s="2"/>
      <c r="AR1689" s="307"/>
      <c r="AS1689" s="307"/>
      <c r="AT1689" s="307"/>
      <c r="AU1689" s="670"/>
      <c r="AV1689" s="572"/>
    </row>
    <row r="1690" spans="4:48" ht="15" customHeight="1" x14ac:dyDescent="0.25">
      <c r="AG1690" s="2"/>
      <c r="AR1690" s="307"/>
      <c r="AS1690" s="307"/>
      <c r="AT1690" s="307"/>
      <c r="AU1690" s="670"/>
      <c r="AV1690" s="572"/>
    </row>
    <row r="1691" spans="4:48" ht="15" customHeight="1" x14ac:dyDescent="0.25">
      <c r="AG1691" s="2"/>
      <c r="AR1691" s="307"/>
      <c r="AS1691" s="307"/>
      <c r="AT1691" s="307"/>
      <c r="AU1691" s="670"/>
      <c r="AV1691" s="572"/>
    </row>
    <row r="1692" spans="4:48" ht="15" customHeight="1" x14ac:dyDescent="0.25">
      <c r="AG1692" s="2"/>
      <c r="AR1692" s="307"/>
      <c r="AS1692" s="307"/>
      <c r="AT1692" s="307"/>
      <c r="AU1692" s="670"/>
      <c r="AV1692" s="572"/>
    </row>
    <row r="1693" spans="4:48" ht="15" customHeight="1" x14ac:dyDescent="0.25">
      <c r="AG1693" s="2"/>
      <c r="AR1693" s="307"/>
      <c r="AS1693" s="307"/>
      <c r="AT1693" s="307"/>
      <c r="AU1693" s="670"/>
      <c r="AV1693" s="572"/>
    </row>
    <row r="1694" spans="4:48" ht="15" customHeight="1" x14ac:dyDescent="0.25">
      <c r="AG1694" s="2"/>
      <c r="AR1694" s="307"/>
      <c r="AS1694" s="307"/>
      <c r="AT1694" s="307"/>
      <c r="AU1694" s="670"/>
      <c r="AV1694" s="572"/>
    </row>
    <row r="1695" spans="4:48" ht="15" customHeight="1" x14ac:dyDescent="0.25">
      <c r="AG1695" s="2"/>
      <c r="AR1695" s="307"/>
      <c r="AS1695" s="307"/>
      <c r="AT1695" s="307"/>
      <c r="AU1695" s="670"/>
      <c r="AV1695" s="572"/>
    </row>
    <row r="1696" spans="4:48" ht="15" customHeight="1" x14ac:dyDescent="0.25">
      <c r="AG1696" s="2"/>
      <c r="AR1696" s="307"/>
      <c r="AS1696" s="307"/>
      <c r="AT1696" s="307"/>
      <c r="AU1696" s="670"/>
      <c r="AV1696" s="572"/>
    </row>
    <row r="1697" spans="33:48" ht="15" customHeight="1" x14ac:dyDescent="0.25">
      <c r="AG1697" s="2"/>
      <c r="AR1697" s="307"/>
      <c r="AS1697" s="307"/>
      <c r="AT1697" s="307"/>
      <c r="AU1697" s="670"/>
      <c r="AV1697" s="572"/>
    </row>
    <row r="1698" spans="33:48" ht="15" customHeight="1" x14ac:dyDescent="0.25">
      <c r="AG1698" s="2"/>
      <c r="AR1698" s="307"/>
      <c r="AS1698" s="307"/>
      <c r="AT1698" s="307"/>
      <c r="AU1698" s="670"/>
      <c r="AV1698" s="572"/>
    </row>
    <row r="1699" spans="33:48" ht="15" customHeight="1" x14ac:dyDescent="0.25">
      <c r="AG1699" s="2"/>
      <c r="AR1699" s="307"/>
      <c r="AS1699" s="307"/>
      <c r="AT1699" s="307"/>
      <c r="AU1699" s="670"/>
      <c r="AV1699" s="572"/>
    </row>
    <row r="1700" spans="33:48" ht="15" customHeight="1" x14ac:dyDescent="0.25">
      <c r="AG1700" s="2"/>
      <c r="AR1700" s="307"/>
      <c r="AS1700" s="307"/>
      <c r="AT1700" s="307"/>
      <c r="AU1700" s="670"/>
      <c r="AV1700" s="572"/>
    </row>
    <row r="1701" spans="33:48" ht="15" customHeight="1" x14ac:dyDescent="0.25">
      <c r="AG1701" s="2"/>
      <c r="AR1701" s="307"/>
      <c r="AS1701" s="307"/>
      <c r="AT1701" s="307"/>
      <c r="AU1701" s="670"/>
      <c r="AV1701" s="572"/>
    </row>
    <row r="1702" spans="33:48" ht="15" customHeight="1" x14ac:dyDescent="0.25">
      <c r="AG1702" s="2"/>
      <c r="AR1702" s="307"/>
      <c r="AS1702" s="307"/>
      <c r="AT1702" s="307"/>
      <c r="AU1702" s="670"/>
      <c r="AV1702" s="572"/>
    </row>
    <row r="1703" spans="33:48" ht="15" customHeight="1" x14ac:dyDescent="0.25">
      <c r="AG1703" s="2"/>
      <c r="AR1703" s="307"/>
      <c r="AS1703" s="307"/>
      <c r="AT1703" s="307"/>
      <c r="AU1703" s="670"/>
      <c r="AV1703" s="572"/>
    </row>
    <row r="1704" spans="33:48" ht="15" customHeight="1" x14ac:dyDescent="0.25">
      <c r="AG1704" s="2"/>
      <c r="AR1704" s="307"/>
      <c r="AS1704" s="307"/>
      <c r="AT1704" s="307"/>
      <c r="AU1704" s="670"/>
      <c r="AV1704" s="572"/>
    </row>
    <row r="1705" spans="33:48" ht="15" customHeight="1" x14ac:dyDescent="0.25">
      <c r="AG1705" s="2"/>
      <c r="AR1705" s="307"/>
      <c r="AS1705" s="307"/>
      <c r="AT1705" s="307"/>
      <c r="AU1705" s="670"/>
      <c r="AV1705" s="572"/>
    </row>
    <row r="1706" spans="33:48" ht="15" customHeight="1" x14ac:dyDescent="0.25">
      <c r="AG1706" s="2"/>
      <c r="AR1706" s="307"/>
      <c r="AS1706" s="307"/>
      <c r="AT1706" s="307"/>
      <c r="AU1706" s="670"/>
      <c r="AV1706" s="572"/>
    </row>
    <row r="1707" spans="33:48" ht="15" customHeight="1" x14ac:dyDescent="0.25">
      <c r="AG1707" s="2"/>
      <c r="AR1707" s="307"/>
      <c r="AS1707" s="307"/>
      <c r="AT1707" s="307"/>
      <c r="AU1707" s="670"/>
      <c r="AV1707" s="572"/>
    </row>
    <row r="1708" spans="33:48" ht="15" customHeight="1" x14ac:dyDescent="0.25">
      <c r="AG1708" s="2"/>
      <c r="AR1708" s="307"/>
      <c r="AS1708" s="307"/>
      <c r="AT1708" s="307"/>
      <c r="AU1708" s="670"/>
      <c r="AV1708" s="572"/>
    </row>
    <row r="1709" spans="33:48" ht="15" customHeight="1" x14ac:dyDescent="0.25">
      <c r="AG1709" s="2"/>
      <c r="AR1709" s="307"/>
      <c r="AS1709" s="307"/>
      <c r="AT1709" s="307"/>
      <c r="AU1709" s="670"/>
      <c r="AV1709" s="572"/>
    </row>
    <row r="1710" spans="33:48" ht="15" customHeight="1" x14ac:dyDescent="0.25">
      <c r="AG1710" s="2"/>
      <c r="AR1710" s="307"/>
      <c r="AS1710" s="307"/>
      <c r="AT1710" s="307"/>
      <c r="AU1710" s="670"/>
      <c r="AV1710" s="572"/>
    </row>
    <row r="1711" spans="33:48" ht="15" customHeight="1" x14ac:dyDescent="0.25">
      <c r="AG1711" s="2"/>
      <c r="AR1711" s="307"/>
      <c r="AS1711" s="307"/>
      <c r="AT1711" s="307"/>
      <c r="AU1711" s="670"/>
      <c r="AV1711" s="572"/>
    </row>
    <row r="1712" spans="33:48" ht="15" customHeight="1" x14ac:dyDescent="0.25">
      <c r="AG1712" s="2"/>
      <c r="AR1712" s="307"/>
      <c r="AS1712" s="307"/>
      <c r="AT1712" s="307"/>
      <c r="AU1712" s="670"/>
      <c r="AV1712" s="572"/>
    </row>
    <row r="1713" spans="33:48" ht="15" customHeight="1" x14ac:dyDescent="0.25">
      <c r="AG1713" s="2"/>
      <c r="AR1713" s="307"/>
      <c r="AS1713" s="307"/>
      <c r="AT1713" s="307"/>
      <c r="AU1713" s="670"/>
      <c r="AV1713" s="572"/>
    </row>
    <row r="1714" spans="33:48" ht="15" customHeight="1" x14ac:dyDescent="0.25">
      <c r="AG1714" s="2"/>
      <c r="AR1714" s="307"/>
      <c r="AS1714" s="307"/>
      <c r="AT1714" s="307"/>
      <c r="AU1714" s="670"/>
      <c r="AV1714" s="572"/>
    </row>
    <row r="1715" spans="33:48" ht="15" customHeight="1" x14ac:dyDescent="0.25">
      <c r="AG1715" s="2"/>
      <c r="AR1715" s="307"/>
      <c r="AS1715" s="307"/>
      <c r="AT1715" s="307"/>
      <c r="AU1715" s="670"/>
      <c r="AV1715" s="572"/>
    </row>
    <row r="1716" spans="33:48" ht="15" customHeight="1" x14ac:dyDescent="0.25">
      <c r="AG1716" s="2"/>
      <c r="AR1716" s="307"/>
      <c r="AS1716" s="307"/>
      <c r="AT1716" s="307"/>
      <c r="AU1716" s="670"/>
      <c r="AV1716" s="572"/>
    </row>
    <row r="1717" spans="33:48" ht="15" customHeight="1" x14ac:dyDescent="0.25">
      <c r="AG1717" s="2"/>
      <c r="AR1717" s="307"/>
      <c r="AS1717" s="307"/>
      <c r="AT1717" s="307"/>
      <c r="AU1717" s="670"/>
      <c r="AV1717" s="572"/>
    </row>
    <row r="1718" spans="33:48" ht="15" customHeight="1" x14ac:dyDescent="0.25">
      <c r="AG1718" s="2"/>
      <c r="AR1718" s="307"/>
      <c r="AS1718" s="307"/>
      <c r="AT1718" s="307"/>
      <c r="AU1718" s="670"/>
      <c r="AV1718" s="572"/>
    </row>
    <row r="1719" spans="33:48" ht="15" customHeight="1" x14ac:dyDescent="0.25">
      <c r="AG1719" s="2"/>
      <c r="AR1719" s="307"/>
      <c r="AS1719" s="307"/>
      <c r="AT1719" s="307"/>
      <c r="AU1719" s="670"/>
      <c r="AV1719" s="572"/>
    </row>
    <row r="1720" spans="33:48" ht="15" customHeight="1" x14ac:dyDescent="0.25">
      <c r="AG1720" s="2"/>
      <c r="AR1720" s="307"/>
      <c r="AS1720" s="307"/>
      <c r="AT1720" s="307"/>
      <c r="AU1720" s="670"/>
      <c r="AV1720" s="572"/>
    </row>
    <row r="1721" spans="33:48" ht="15" customHeight="1" x14ac:dyDescent="0.25">
      <c r="AG1721" s="2"/>
      <c r="AR1721" s="307"/>
      <c r="AS1721" s="307"/>
      <c r="AT1721" s="307"/>
      <c r="AU1721" s="670"/>
      <c r="AV1721" s="572"/>
    </row>
    <row r="1722" spans="33:48" ht="15" customHeight="1" x14ac:dyDescent="0.25">
      <c r="AG1722" s="2"/>
      <c r="AR1722" s="307"/>
      <c r="AS1722" s="307"/>
      <c r="AT1722" s="307"/>
      <c r="AU1722" s="670"/>
      <c r="AV1722" s="572"/>
    </row>
    <row r="1723" spans="33:48" ht="15" customHeight="1" x14ac:dyDescent="0.25">
      <c r="AG1723" s="2"/>
      <c r="AR1723" s="307"/>
      <c r="AS1723" s="307"/>
      <c r="AT1723" s="307"/>
      <c r="AU1723" s="670"/>
      <c r="AV1723" s="572"/>
    </row>
    <row r="1724" spans="33:48" ht="15" customHeight="1" x14ac:dyDescent="0.25">
      <c r="AG1724" s="2"/>
      <c r="AR1724" s="307"/>
      <c r="AS1724" s="307"/>
      <c r="AT1724" s="307"/>
      <c r="AU1724" s="670"/>
      <c r="AV1724" s="572"/>
    </row>
    <row r="1725" spans="33:48" ht="15" customHeight="1" x14ac:dyDescent="0.25">
      <c r="AG1725" s="2"/>
      <c r="AR1725" s="307"/>
      <c r="AS1725" s="307"/>
      <c r="AT1725" s="307"/>
      <c r="AU1725" s="670"/>
      <c r="AV1725" s="572"/>
    </row>
    <row r="1726" spans="33:48" ht="15" customHeight="1" x14ac:dyDescent="0.25">
      <c r="AG1726" s="2"/>
      <c r="AR1726" s="307"/>
      <c r="AS1726" s="307"/>
      <c r="AT1726" s="307"/>
      <c r="AU1726" s="670"/>
      <c r="AV1726" s="572"/>
    </row>
    <row r="1727" spans="33:48" ht="15" customHeight="1" x14ac:dyDescent="0.25">
      <c r="AG1727" s="2"/>
      <c r="AR1727" s="307"/>
      <c r="AS1727" s="307"/>
      <c r="AT1727" s="307"/>
      <c r="AU1727" s="670"/>
      <c r="AV1727" s="572"/>
    </row>
    <row r="1728" spans="33:48" ht="15" customHeight="1" x14ac:dyDescent="0.25">
      <c r="AG1728" s="2"/>
      <c r="AR1728" s="307"/>
      <c r="AS1728" s="307"/>
      <c r="AT1728" s="307"/>
      <c r="AU1728" s="670"/>
      <c r="AV1728" s="572"/>
    </row>
    <row r="1729" spans="33:48" ht="15" customHeight="1" x14ac:dyDescent="0.25">
      <c r="AG1729" s="2"/>
      <c r="AR1729" s="307"/>
      <c r="AS1729" s="307"/>
      <c r="AT1729" s="307"/>
      <c r="AU1729" s="670"/>
      <c r="AV1729" s="572"/>
    </row>
    <row r="1730" spans="33:48" ht="15" customHeight="1" x14ac:dyDescent="0.25">
      <c r="AG1730" s="2"/>
      <c r="AR1730" s="307"/>
      <c r="AS1730" s="307"/>
      <c r="AT1730" s="307"/>
      <c r="AU1730" s="670"/>
      <c r="AV1730" s="572"/>
    </row>
    <row r="1731" spans="33:48" ht="15" customHeight="1" x14ac:dyDescent="0.25">
      <c r="AG1731" s="2"/>
      <c r="AR1731" s="307"/>
      <c r="AS1731" s="307"/>
      <c r="AT1731" s="307"/>
      <c r="AU1731" s="670"/>
      <c r="AV1731" s="572"/>
    </row>
    <row r="1732" spans="33:48" ht="15" customHeight="1" x14ac:dyDescent="0.25">
      <c r="AG1732" s="2"/>
      <c r="AR1732" s="307"/>
      <c r="AS1732" s="307"/>
      <c r="AT1732" s="307"/>
      <c r="AU1732" s="670"/>
      <c r="AV1732" s="572"/>
    </row>
    <row r="1733" spans="33:48" ht="15" customHeight="1" x14ac:dyDescent="0.25">
      <c r="AG1733" s="2"/>
      <c r="AR1733" s="307"/>
      <c r="AS1733" s="307"/>
      <c r="AT1733" s="307"/>
      <c r="AU1733" s="670"/>
      <c r="AV1733" s="572"/>
    </row>
    <row r="1734" spans="33:48" ht="15" customHeight="1" x14ac:dyDescent="0.25">
      <c r="AG1734" s="2"/>
      <c r="AR1734" s="307"/>
      <c r="AS1734" s="307"/>
      <c r="AT1734" s="307"/>
      <c r="AU1734" s="670"/>
      <c r="AV1734" s="572"/>
    </row>
    <row r="1735" spans="33:48" ht="15" customHeight="1" x14ac:dyDescent="0.25">
      <c r="AG1735" s="2"/>
      <c r="AR1735" s="307"/>
      <c r="AS1735" s="307"/>
      <c r="AT1735" s="307"/>
      <c r="AU1735" s="670"/>
      <c r="AV1735" s="572"/>
    </row>
    <row r="1736" spans="33:48" ht="15" customHeight="1" x14ac:dyDescent="0.25">
      <c r="AG1736" s="2"/>
      <c r="AR1736" s="307"/>
      <c r="AS1736" s="307"/>
      <c r="AT1736" s="307"/>
      <c r="AU1736" s="670"/>
      <c r="AV1736" s="572"/>
    </row>
    <row r="1737" spans="33:48" ht="15" customHeight="1" x14ac:dyDescent="0.25">
      <c r="AG1737" s="2"/>
      <c r="AR1737" s="307"/>
      <c r="AS1737" s="307"/>
      <c r="AT1737" s="307"/>
      <c r="AU1737" s="670"/>
      <c r="AV1737" s="572"/>
    </row>
    <row r="1738" spans="33:48" ht="15" customHeight="1" x14ac:dyDescent="0.25">
      <c r="AG1738" s="2"/>
      <c r="AR1738" s="307"/>
      <c r="AS1738" s="307"/>
      <c r="AT1738" s="307"/>
      <c r="AU1738" s="670"/>
      <c r="AV1738" s="572"/>
    </row>
    <row r="1739" spans="33:48" ht="15" customHeight="1" x14ac:dyDescent="0.25">
      <c r="AG1739" s="2"/>
      <c r="AR1739" s="307"/>
      <c r="AS1739" s="307"/>
      <c r="AT1739" s="307"/>
      <c r="AU1739" s="670"/>
      <c r="AV1739" s="572"/>
    </row>
    <row r="1740" spans="33:48" ht="15" customHeight="1" x14ac:dyDescent="0.25">
      <c r="AG1740" s="2"/>
      <c r="AR1740" s="307"/>
      <c r="AS1740" s="307"/>
      <c r="AT1740" s="307"/>
      <c r="AU1740" s="670"/>
      <c r="AV1740" s="572"/>
    </row>
    <row r="1741" spans="33:48" ht="15" customHeight="1" x14ac:dyDescent="0.25">
      <c r="AG1741" s="2"/>
      <c r="AR1741" s="307"/>
      <c r="AS1741" s="307"/>
      <c r="AT1741" s="307"/>
      <c r="AU1741" s="670"/>
      <c r="AV1741" s="572"/>
    </row>
    <row r="1742" spans="33:48" ht="15" customHeight="1" x14ac:dyDescent="0.25">
      <c r="AG1742" s="2"/>
      <c r="AR1742" s="307"/>
      <c r="AS1742" s="307"/>
      <c r="AT1742" s="307"/>
      <c r="AU1742" s="670"/>
      <c r="AV1742" s="572"/>
    </row>
    <row r="1743" spans="33:48" ht="15" customHeight="1" x14ac:dyDescent="0.25">
      <c r="AG1743" s="2"/>
      <c r="AR1743" s="307"/>
      <c r="AS1743" s="307"/>
      <c r="AT1743" s="307"/>
      <c r="AU1743" s="670"/>
      <c r="AV1743" s="572"/>
    </row>
    <row r="1744" spans="33:48" ht="15" customHeight="1" x14ac:dyDescent="0.25">
      <c r="AG1744" s="2"/>
      <c r="AR1744" s="307"/>
      <c r="AS1744" s="307"/>
      <c r="AT1744" s="307"/>
      <c r="AU1744" s="670"/>
      <c r="AV1744" s="572"/>
    </row>
    <row r="1745" spans="33:48" ht="15" customHeight="1" x14ac:dyDescent="0.25">
      <c r="AG1745" s="2"/>
      <c r="AR1745" s="307"/>
      <c r="AS1745" s="307"/>
      <c r="AT1745" s="307"/>
      <c r="AU1745" s="670"/>
      <c r="AV1745" s="572"/>
    </row>
    <row r="1746" spans="33:48" ht="15" customHeight="1" x14ac:dyDescent="0.25">
      <c r="AG1746" s="2"/>
      <c r="AR1746" s="307"/>
      <c r="AS1746" s="307"/>
      <c r="AT1746" s="307"/>
      <c r="AU1746" s="670"/>
      <c r="AV1746" s="572"/>
    </row>
    <row r="1747" spans="33:48" ht="15" customHeight="1" x14ac:dyDescent="0.25">
      <c r="AG1747" s="2"/>
      <c r="AR1747" s="307"/>
      <c r="AS1747" s="307"/>
      <c r="AT1747" s="307"/>
      <c r="AU1747" s="670"/>
      <c r="AV1747" s="572"/>
    </row>
    <row r="1748" spans="33:48" ht="15" customHeight="1" x14ac:dyDescent="0.25">
      <c r="AG1748" s="2"/>
      <c r="AR1748" s="307"/>
      <c r="AS1748" s="307"/>
      <c r="AT1748" s="307"/>
      <c r="AU1748" s="670"/>
      <c r="AV1748" s="572"/>
    </row>
    <row r="1749" spans="33:48" ht="15" customHeight="1" x14ac:dyDescent="0.25">
      <c r="AG1749" s="2"/>
      <c r="AR1749" s="307"/>
      <c r="AS1749" s="307"/>
      <c r="AT1749" s="307"/>
      <c r="AU1749" s="670"/>
      <c r="AV1749" s="572"/>
    </row>
    <row r="1750" spans="33:48" ht="15" customHeight="1" x14ac:dyDescent="0.25">
      <c r="AG1750" s="2"/>
      <c r="AR1750" s="307"/>
      <c r="AS1750" s="307"/>
      <c r="AT1750" s="307"/>
      <c r="AU1750" s="670"/>
      <c r="AV1750" s="572"/>
    </row>
    <row r="1751" spans="33:48" ht="15" customHeight="1" x14ac:dyDescent="0.25">
      <c r="AG1751" s="2"/>
      <c r="AR1751" s="307"/>
      <c r="AS1751" s="307"/>
      <c r="AT1751" s="307"/>
      <c r="AU1751" s="670"/>
      <c r="AV1751" s="572"/>
    </row>
    <row r="1752" spans="33:48" ht="15" customHeight="1" x14ac:dyDescent="0.25">
      <c r="AG1752" s="2"/>
      <c r="AR1752" s="307"/>
      <c r="AS1752" s="307"/>
      <c r="AT1752" s="307"/>
      <c r="AU1752" s="670"/>
      <c r="AV1752" s="572"/>
    </row>
    <row r="1753" spans="33:48" ht="15" customHeight="1" x14ac:dyDescent="0.25">
      <c r="AG1753" s="2"/>
      <c r="AR1753" s="307"/>
      <c r="AS1753" s="307"/>
      <c r="AT1753" s="307"/>
      <c r="AU1753" s="670"/>
      <c r="AV1753" s="572"/>
    </row>
    <row r="1754" spans="33:48" ht="15" customHeight="1" x14ac:dyDescent="0.25">
      <c r="AG1754" s="2"/>
      <c r="AR1754" s="307"/>
      <c r="AS1754" s="307"/>
      <c r="AT1754" s="307"/>
      <c r="AU1754" s="670"/>
      <c r="AV1754" s="572"/>
    </row>
    <row r="1755" spans="33:48" ht="15" customHeight="1" x14ac:dyDescent="0.25">
      <c r="AG1755" s="2"/>
      <c r="AR1755" s="307"/>
      <c r="AS1755" s="307"/>
      <c r="AT1755" s="307"/>
      <c r="AU1755" s="670"/>
      <c r="AV1755" s="572"/>
    </row>
    <row r="1756" spans="33:48" ht="15" customHeight="1" x14ac:dyDescent="0.25">
      <c r="AG1756" s="2"/>
      <c r="AR1756" s="307"/>
      <c r="AS1756" s="307"/>
      <c r="AT1756" s="307"/>
      <c r="AU1756" s="670"/>
      <c r="AV1756" s="572"/>
    </row>
    <row r="1757" spans="33:48" ht="15" customHeight="1" x14ac:dyDescent="0.25">
      <c r="AG1757" s="2"/>
      <c r="AR1757" s="307"/>
      <c r="AS1757" s="307"/>
      <c r="AT1757" s="307"/>
      <c r="AU1757" s="670"/>
      <c r="AV1757" s="572"/>
    </row>
    <row r="1758" spans="33:48" ht="15" customHeight="1" x14ac:dyDescent="0.25">
      <c r="AG1758" s="2"/>
      <c r="AR1758" s="307"/>
      <c r="AS1758" s="307"/>
      <c r="AT1758" s="307"/>
      <c r="AU1758" s="670"/>
      <c r="AV1758" s="572"/>
    </row>
    <row r="1759" spans="33:48" ht="15" customHeight="1" x14ac:dyDescent="0.25">
      <c r="AG1759" s="2"/>
      <c r="AR1759" s="307"/>
      <c r="AS1759" s="307"/>
      <c r="AT1759" s="307"/>
      <c r="AU1759" s="670"/>
      <c r="AV1759" s="572"/>
    </row>
    <row r="1760" spans="33:48" ht="15" customHeight="1" x14ac:dyDescent="0.25">
      <c r="AG1760" s="2"/>
      <c r="AR1760" s="307"/>
      <c r="AS1760" s="307"/>
      <c r="AT1760" s="307"/>
      <c r="AU1760" s="670"/>
      <c r="AV1760" s="572"/>
    </row>
    <row r="1761" spans="33:48" ht="15" customHeight="1" x14ac:dyDescent="0.25">
      <c r="AG1761" s="2"/>
      <c r="AR1761" s="307"/>
      <c r="AS1761" s="307"/>
      <c r="AT1761" s="307"/>
      <c r="AU1761" s="670"/>
      <c r="AV1761" s="572"/>
    </row>
    <row r="1762" spans="33:48" ht="15" customHeight="1" x14ac:dyDescent="0.25">
      <c r="AG1762" s="2"/>
      <c r="AR1762" s="307"/>
      <c r="AS1762" s="307"/>
      <c r="AT1762" s="307"/>
      <c r="AU1762" s="670"/>
      <c r="AV1762" s="572"/>
    </row>
    <row r="1763" spans="33:48" ht="15" customHeight="1" x14ac:dyDescent="0.25">
      <c r="AG1763" s="2"/>
      <c r="AR1763" s="307"/>
      <c r="AS1763" s="307"/>
      <c r="AT1763" s="307"/>
      <c r="AU1763" s="670"/>
      <c r="AV1763" s="572"/>
    </row>
    <row r="1764" spans="33:48" ht="15" customHeight="1" x14ac:dyDescent="0.25">
      <c r="AG1764" s="2"/>
      <c r="AR1764" s="307"/>
      <c r="AS1764" s="307"/>
      <c r="AT1764" s="307"/>
      <c r="AU1764" s="670"/>
      <c r="AV1764" s="572"/>
    </row>
    <row r="1765" spans="33:48" ht="15" customHeight="1" x14ac:dyDescent="0.25">
      <c r="AG1765" s="2"/>
      <c r="AR1765" s="307"/>
      <c r="AS1765" s="307"/>
      <c r="AT1765" s="307"/>
      <c r="AU1765" s="670"/>
      <c r="AV1765" s="572"/>
    </row>
    <row r="1766" spans="33:48" ht="15" customHeight="1" x14ac:dyDescent="0.25">
      <c r="AG1766" s="2"/>
      <c r="AR1766" s="307"/>
      <c r="AS1766" s="307"/>
      <c r="AT1766" s="307"/>
      <c r="AU1766" s="670"/>
      <c r="AV1766" s="572"/>
    </row>
    <row r="1767" spans="33:48" ht="15" customHeight="1" x14ac:dyDescent="0.25">
      <c r="AG1767" s="2"/>
      <c r="AR1767" s="307"/>
      <c r="AS1767" s="307"/>
      <c r="AT1767" s="307"/>
      <c r="AU1767" s="670"/>
      <c r="AV1767" s="572"/>
    </row>
    <row r="1768" spans="33:48" ht="15" customHeight="1" x14ac:dyDescent="0.25">
      <c r="AG1768" s="2"/>
      <c r="AR1768" s="307"/>
      <c r="AS1768" s="307"/>
      <c r="AT1768" s="307"/>
      <c r="AU1768" s="670"/>
      <c r="AV1768" s="572"/>
    </row>
    <row r="1769" spans="33:48" ht="15" customHeight="1" x14ac:dyDescent="0.25">
      <c r="AG1769" s="2"/>
      <c r="AR1769" s="307"/>
      <c r="AS1769" s="307"/>
      <c r="AT1769" s="307"/>
      <c r="AU1769" s="670"/>
      <c r="AV1769" s="572"/>
    </row>
    <row r="1770" spans="33:48" ht="15" customHeight="1" x14ac:dyDescent="0.25">
      <c r="AG1770" s="2"/>
      <c r="AR1770" s="307"/>
      <c r="AS1770" s="307"/>
      <c r="AT1770" s="307"/>
      <c r="AU1770" s="670"/>
      <c r="AV1770" s="572"/>
    </row>
    <row r="1771" spans="33:48" ht="15" customHeight="1" x14ac:dyDescent="0.25">
      <c r="AG1771" s="2"/>
      <c r="AR1771" s="307"/>
      <c r="AS1771" s="307"/>
      <c r="AT1771" s="307"/>
      <c r="AU1771" s="670"/>
      <c r="AV1771" s="572"/>
    </row>
    <row r="1772" spans="33:48" ht="15" customHeight="1" x14ac:dyDescent="0.25">
      <c r="AG1772" s="2"/>
      <c r="AR1772" s="307"/>
      <c r="AS1772" s="307"/>
      <c r="AT1772" s="307"/>
      <c r="AU1772" s="670"/>
      <c r="AV1772" s="572"/>
    </row>
    <row r="1773" spans="33:48" ht="15" customHeight="1" x14ac:dyDescent="0.25">
      <c r="AG1773" s="2"/>
      <c r="AR1773" s="307"/>
      <c r="AS1773" s="307"/>
      <c r="AT1773" s="307"/>
      <c r="AU1773" s="670"/>
      <c r="AV1773" s="572"/>
    </row>
    <row r="1774" spans="33:48" ht="15" customHeight="1" x14ac:dyDescent="0.25">
      <c r="AG1774" s="2"/>
      <c r="AR1774" s="307"/>
      <c r="AS1774" s="307"/>
      <c r="AT1774" s="307"/>
      <c r="AU1774" s="670"/>
      <c r="AV1774" s="572"/>
    </row>
    <row r="1775" spans="33:48" ht="15" customHeight="1" x14ac:dyDescent="0.25">
      <c r="AG1775" s="2"/>
      <c r="AR1775" s="307"/>
      <c r="AS1775" s="307"/>
      <c r="AT1775" s="307"/>
      <c r="AU1775" s="670"/>
      <c r="AV1775" s="572"/>
    </row>
    <row r="1776" spans="33:48" ht="15" customHeight="1" x14ac:dyDescent="0.25">
      <c r="AG1776" s="2"/>
      <c r="AR1776" s="307"/>
      <c r="AS1776" s="307"/>
      <c r="AT1776" s="307"/>
      <c r="AU1776" s="670"/>
      <c r="AV1776" s="572"/>
    </row>
    <row r="1777" spans="33:48" ht="15" customHeight="1" x14ac:dyDescent="0.25">
      <c r="AG1777" s="2"/>
      <c r="AR1777" s="307"/>
      <c r="AS1777" s="307"/>
      <c r="AT1777" s="307"/>
      <c r="AU1777" s="670"/>
      <c r="AV1777" s="572"/>
    </row>
    <row r="1778" spans="33:48" ht="15" customHeight="1" x14ac:dyDescent="0.25">
      <c r="AG1778" s="2"/>
      <c r="AR1778" s="307"/>
      <c r="AS1778" s="307"/>
      <c r="AT1778" s="307"/>
      <c r="AU1778" s="670"/>
      <c r="AV1778" s="572"/>
    </row>
    <row r="1779" spans="33:48" ht="15" customHeight="1" x14ac:dyDescent="0.25">
      <c r="AG1779" s="2"/>
      <c r="AR1779" s="307"/>
      <c r="AS1779" s="307"/>
      <c r="AT1779" s="307"/>
      <c r="AU1779" s="670"/>
      <c r="AV1779" s="572"/>
    </row>
    <row r="1780" spans="33:48" ht="15" customHeight="1" x14ac:dyDescent="0.25">
      <c r="AG1780" s="2"/>
      <c r="AR1780" s="307"/>
      <c r="AS1780" s="307"/>
      <c r="AT1780" s="307"/>
      <c r="AU1780" s="670"/>
      <c r="AV1780" s="572"/>
    </row>
    <row r="1781" spans="33:48" ht="15" customHeight="1" x14ac:dyDescent="0.25">
      <c r="AG1781" s="2"/>
      <c r="AR1781" s="307"/>
      <c r="AS1781" s="307"/>
      <c r="AT1781" s="307"/>
      <c r="AU1781" s="670"/>
      <c r="AV1781" s="572"/>
    </row>
    <row r="1782" spans="33:48" ht="15" customHeight="1" x14ac:dyDescent="0.25">
      <c r="AG1782" s="2"/>
      <c r="AR1782" s="307"/>
      <c r="AS1782" s="307"/>
      <c r="AT1782" s="307"/>
      <c r="AU1782" s="670"/>
      <c r="AV1782" s="572"/>
    </row>
    <row r="1783" spans="33:48" ht="15" customHeight="1" x14ac:dyDescent="0.25">
      <c r="AG1783" s="2"/>
      <c r="AR1783" s="307"/>
      <c r="AS1783" s="307"/>
      <c r="AT1783" s="307"/>
      <c r="AU1783" s="670"/>
      <c r="AV1783" s="572"/>
    </row>
    <row r="1784" spans="33:48" ht="15" customHeight="1" x14ac:dyDescent="0.25">
      <c r="AG1784" s="2"/>
      <c r="AR1784" s="307"/>
      <c r="AS1784" s="307"/>
      <c r="AT1784" s="307"/>
      <c r="AU1784" s="670"/>
      <c r="AV1784" s="572"/>
    </row>
    <row r="1785" spans="33:48" ht="15" customHeight="1" x14ac:dyDescent="0.25">
      <c r="AG1785" s="2"/>
      <c r="AR1785" s="307"/>
      <c r="AS1785" s="307"/>
      <c r="AT1785" s="307"/>
      <c r="AU1785" s="670"/>
      <c r="AV1785" s="572"/>
    </row>
    <row r="1786" spans="33:48" ht="15" customHeight="1" x14ac:dyDescent="0.25">
      <c r="AG1786" s="2"/>
      <c r="AR1786" s="307"/>
      <c r="AS1786" s="307"/>
      <c r="AT1786" s="307"/>
      <c r="AU1786" s="670"/>
      <c r="AV1786" s="572"/>
    </row>
    <row r="1787" spans="33:48" ht="15" customHeight="1" x14ac:dyDescent="0.25">
      <c r="AG1787" s="2"/>
      <c r="AR1787" s="307"/>
      <c r="AS1787" s="307"/>
      <c r="AT1787" s="307"/>
      <c r="AU1787" s="670"/>
      <c r="AV1787" s="572"/>
    </row>
    <row r="1788" spans="33:48" ht="15" customHeight="1" x14ac:dyDescent="0.25">
      <c r="AG1788" s="2"/>
      <c r="AR1788" s="307"/>
      <c r="AS1788" s="307"/>
      <c r="AT1788" s="307"/>
      <c r="AU1788" s="670"/>
      <c r="AV1788" s="572"/>
    </row>
    <row r="1789" spans="33:48" ht="15" customHeight="1" x14ac:dyDescent="0.25">
      <c r="AG1789" s="2"/>
      <c r="AR1789" s="307"/>
      <c r="AS1789" s="307"/>
      <c r="AT1789" s="307"/>
      <c r="AU1789" s="670"/>
      <c r="AV1789" s="572"/>
    </row>
    <row r="1790" spans="33:48" ht="15" customHeight="1" x14ac:dyDescent="0.25">
      <c r="AG1790" s="2"/>
      <c r="AR1790" s="307"/>
      <c r="AS1790" s="307"/>
      <c r="AT1790" s="307"/>
      <c r="AU1790" s="670"/>
      <c r="AV1790" s="572"/>
    </row>
    <row r="1791" spans="33:48" ht="15" customHeight="1" x14ac:dyDescent="0.25">
      <c r="AG1791" s="2"/>
      <c r="AR1791" s="307"/>
      <c r="AS1791" s="307"/>
      <c r="AT1791" s="307"/>
      <c r="AU1791" s="670"/>
      <c r="AV1791" s="572"/>
    </row>
    <row r="1792" spans="33:48" ht="15" customHeight="1" x14ac:dyDescent="0.25">
      <c r="AG1792" s="2"/>
      <c r="AR1792" s="307"/>
      <c r="AS1792" s="307"/>
      <c r="AT1792" s="307"/>
      <c r="AU1792" s="670"/>
      <c r="AV1792" s="572"/>
    </row>
    <row r="1793" spans="33:48" ht="15" customHeight="1" x14ac:dyDescent="0.25">
      <c r="AG1793" s="2"/>
      <c r="AR1793" s="307"/>
      <c r="AS1793" s="307"/>
      <c r="AT1793" s="307"/>
      <c r="AU1793" s="670"/>
      <c r="AV1793" s="572"/>
    </row>
    <row r="1794" spans="33:48" ht="15" customHeight="1" x14ac:dyDescent="0.25">
      <c r="AG1794" s="2"/>
      <c r="AR1794" s="307"/>
      <c r="AS1794" s="307"/>
      <c r="AT1794" s="307"/>
      <c r="AU1794" s="670"/>
      <c r="AV1794" s="572"/>
    </row>
    <row r="1795" spans="33:48" ht="15" customHeight="1" x14ac:dyDescent="0.25">
      <c r="AG1795" s="2"/>
      <c r="AR1795" s="307"/>
      <c r="AS1795" s="307"/>
      <c r="AT1795" s="307"/>
      <c r="AU1795" s="670"/>
      <c r="AV1795" s="572"/>
    </row>
    <row r="1796" spans="33:48" ht="15" customHeight="1" x14ac:dyDescent="0.25">
      <c r="AG1796" s="2"/>
      <c r="AR1796" s="307"/>
      <c r="AS1796" s="307"/>
      <c r="AT1796" s="307"/>
      <c r="AU1796" s="670"/>
      <c r="AV1796" s="572"/>
    </row>
    <row r="1797" spans="33:48" ht="15" customHeight="1" x14ac:dyDescent="0.25">
      <c r="AG1797" s="2"/>
      <c r="AR1797" s="307"/>
      <c r="AS1797" s="307"/>
      <c r="AT1797" s="307"/>
      <c r="AU1797" s="670"/>
      <c r="AV1797" s="572"/>
    </row>
    <row r="1798" spans="33:48" ht="15" customHeight="1" x14ac:dyDescent="0.25">
      <c r="AG1798" s="2"/>
      <c r="AR1798" s="307"/>
      <c r="AS1798" s="307"/>
      <c r="AT1798" s="307"/>
      <c r="AU1798" s="670"/>
      <c r="AV1798" s="572"/>
    </row>
    <row r="1799" spans="33:48" ht="15" customHeight="1" x14ac:dyDescent="0.25">
      <c r="AG1799" s="2"/>
      <c r="AR1799" s="307"/>
      <c r="AS1799" s="307"/>
      <c r="AT1799" s="307"/>
      <c r="AU1799" s="670"/>
      <c r="AV1799" s="572"/>
    </row>
    <row r="1800" spans="33:48" ht="15" customHeight="1" x14ac:dyDescent="0.25">
      <c r="AG1800" s="2"/>
      <c r="AR1800" s="307"/>
      <c r="AS1800" s="307"/>
      <c r="AT1800" s="307"/>
      <c r="AU1800" s="670"/>
      <c r="AV1800" s="572"/>
    </row>
    <row r="1801" spans="33:48" ht="15" customHeight="1" x14ac:dyDescent="0.25">
      <c r="AG1801" s="2"/>
      <c r="AR1801" s="307"/>
      <c r="AS1801" s="307"/>
      <c r="AT1801" s="307"/>
      <c r="AU1801" s="670"/>
      <c r="AV1801" s="572"/>
    </row>
    <row r="1802" spans="33:48" ht="15" customHeight="1" x14ac:dyDescent="0.25">
      <c r="AG1802" s="2"/>
      <c r="AR1802" s="307"/>
      <c r="AS1802" s="307"/>
      <c r="AT1802" s="307"/>
      <c r="AU1802" s="670"/>
      <c r="AV1802" s="572"/>
    </row>
    <row r="1803" spans="33:48" ht="15" customHeight="1" x14ac:dyDescent="0.25">
      <c r="AG1803" s="2"/>
      <c r="AR1803" s="307"/>
      <c r="AS1803" s="307"/>
      <c r="AT1803" s="307"/>
      <c r="AU1803" s="670"/>
      <c r="AV1803" s="572"/>
    </row>
    <row r="1804" spans="33:48" ht="15" customHeight="1" x14ac:dyDescent="0.25">
      <c r="AG1804" s="2"/>
      <c r="AR1804" s="307"/>
      <c r="AS1804" s="307"/>
      <c r="AT1804" s="307"/>
      <c r="AU1804" s="670"/>
      <c r="AV1804" s="572"/>
    </row>
    <row r="1805" spans="33:48" ht="15" customHeight="1" x14ac:dyDescent="0.25">
      <c r="AG1805" s="2"/>
      <c r="AR1805" s="307"/>
      <c r="AS1805" s="307"/>
      <c r="AT1805" s="307"/>
      <c r="AU1805" s="670"/>
      <c r="AV1805" s="572"/>
    </row>
    <row r="1806" spans="33:48" ht="15" customHeight="1" x14ac:dyDescent="0.25">
      <c r="AG1806" s="2"/>
      <c r="AR1806" s="307"/>
      <c r="AS1806" s="307"/>
      <c r="AT1806" s="307"/>
      <c r="AU1806" s="670"/>
      <c r="AV1806" s="572"/>
    </row>
    <row r="1807" spans="33:48" ht="15" customHeight="1" x14ac:dyDescent="0.25">
      <c r="AG1807" s="2"/>
      <c r="AR1807" s="307"/>
      <c r="AS1807" s="307"/>
      <c r="AT1807" s="307"/>
      <c r="AU1807" s="670"/>
      <c r="AV1807" s="572"/>
    </row>
    <row r="1808" spans="33:48" ht="15" customHeight="1" x14ac:dyDescent="0.25">
      <c r="AG1808" s="2"/>
      <c r="AR1808" s="307"/>
      <c r="AS1808" s="307"/>
      <c r="AT1808" s="307"/>
      <c r="AU1808" s="670"/>
      <c r="AV1808" s="572"/>
    </row>
    <row r="1809" spans="33:48" ht="15" customHeight="1" x14ac:dyDescent="0.25">
      <c r="AG1809" s="2"/>
      <c r="AR1809" s="307"/>
      <c r="AS1809" s="307"/>
      <c r="AT1809" s="307"/>
      <c r="AU1809" s="670"/>
      <c r="AV1809" s="572"/>
    </row>
    <row r="1810" spans="33:48" ht="15" customHeight="1" x14ac:dyDescent="0.25">
      <c r="AG1810" s="2"/>
      <c r="AR1810" s="307"/>
      <c r="AS1810" s="307"/>
      <c r="AT1810" s="307"/>
      <c r="AU1810" s="670"/>
      <c r="AV1810" s="572"/>
    </row>
    <row r="1811" spans="33:48" ht="15" customHeight="1" x14ac:dyDescent="0.25">
      <c r="AG1811" s="2"/>
      <c r="AR1811" s="307"/>
      <c r="AS1811" s="307"/>
      <c r="AT1811" s="307"/>
      <c r="AU1811" s="670"/>
      <c r="AV1811" s="572"/>
    </row>
    <row r="1812" spans="33:48" ht="15" customHeight="1" x14ac:dyDescent="0.25">
      <c r="AG1812" s="2"/>
      <c r="AR1812" s="307"/>
      <c r="AS1812" s="307"/>
      <c r="AT1812" s="307"/>
      <c r="AU1812" s="670"/>
      <c r="AV1812" s="572"/>
    </row>
    <row r="1813" spans="33:48" ht="15" customHeight="1" x14ac:dyDescent="0.25">
      <c r="AG1813" s="2"/>
      <c r="AR1813" s="307"/>
      <c r="AS1813" s="307"/>
      <c r="AT1813" s="307"/>
      <c r="AU1813" s="670"/>
      <c r="AV1813" s="572"/>
    </row>
    <row r="1814" spans="33:48" ht="15" customHeight="1" x14ac:dyDescent="0.25">
      <c r="AG1814" s="2"/>
      <c r="AR1814" s="307"/>
      <c r="AS1814" s="307"/>
      <c r="AT1814" s="307"/>
      <c r="AU1814" s="670"/>
      <c r="AV1814" s="572"/>
    </row>
    <row r="1815" spans="33:48" ht="15" customHeight="1" x14ac:dyDescent="0.25">
      <c r="AG1815" s="2"/>
      <c r="AR1815" s="307"/>
      <c r="AS1815" s="307"/>
      <c r="AT1815" s="307"/>
      <c r="AU1815" s="670"/>
      <c r="AV1815" s="572"/>
    </row>
    <row r="1816" spans="33:48" ht="15" customHeight="1" x14ac:dyDescent="0.25">
      <c r="AG1816" s="2"/>
      <c r="AR1816" s="307"/>
      <c r="AS1816" s="307"/>
      <c r="AT1816" s="307"/>
      <c r="AU1816" s="670"/>
      <c r="AV1816" s="572"/>
    </row>
    <row r="1817" spans="33:48" ht="15" customHeight="1" x14ac:dyDescent="0.25">
      <c r="AG1817" s="2"/>
      <c r="AR1817" s="307"/>
      <c r="AS1817" s="307"/>
      <c r="AT1817" s="307"/>
      <c r="AU1817" s="670"/>
      <c r="AV1817" s="572"/>
    </row>
    <row r="1818" spans="33:48" ht="15" customHeight="1" x14ac:dyDescent="0.25">
      <c r="AG1818" s="2"/>
      <c r="AR1818" s="307"/>
      <c r="AS1818" s="307"/>
      <c r="AT1818" s="307"/>
      <c r="AU1818" s="670"/>
      <c r="AV1818" s="572"/>
    </row>
    <row r="1819" spans="33:48" ht="15" customHeight="1" x14ac:dyDescent="0.25">
      <c r="AG1819" s="2"/>
      <c r="AR1819" s="307"/>
      <c r="AS1819" s="307"/>
      <c r="AT1819" s="307"/>
      <c r="AU1819" s="670"/>
      <c r="AV1819" s="572"/>
    </row>
    <row r="1820" spans="33:48" ht="15" customHeight="1" x14ac:dyDescent="0.25">
      <c r="AG1820" s="2"/>
      <c r="AR1820" s="307"/>
      <c r="AS1820" s="307"/>
      <c r="AT1820" s="307"/>
      <c r="AU1820" s="670"/>
      <c r="AV1820" s="572"/>
    </row>
    <row r="1821" spans="33:48" ht="15" customHeight="1" x14ac:dyDescent="0.25">
      <c r="AG1821" s="2"/>
      <c r="AR1821" s="307"/>
      <c r="AS1821" s="307"/>
      <c r="AT1821" s="307"/>
      <c r="AU1821" s="670"/>
      <c r="AV1821" s="572"/>
    </row>
    <row r="1822" spans="33:48" ht="15" customHeight="1" x14ac:dyDescent="0.25">
      <c r="AG1822" s="2"/>
      <c r="AR1822" s="307"/>
      <c r="AS1822" s="307"/>
      <c r="AT1822" s="307"/>
      <c r="AU1822" s="670"/>
      <c r="AV1822" s="572"/>
    </row>
    <row r="1823" spans="33:48" ht="15" customHeight="1" x14ac:dyDescent="0.25">
      <c r="AG1823" s="2"/>
      <c r="AR1823" s="307"/>
      <c r="AS1823" s="307"/>
      <c r="AT1823" s="307"/>
      <c r="AU1823" s="670"/>
      <c r="AV1823" s="572"/>
    </row>
    <row r="1824" spans="33:48" ht="15" customHeight="1" x14ac:dyDescent="0.25">
      <c r="AG1824" s="2"/>
      <c r="AR1824" s="307"/>
      <c r="AS1824" s="307"/>
      <c r="AT1824" s="307"/>
      <c r="AU1824" s="670"/>
      <c r="AV1824" s="572"/>
    </row>
    <row r="1825" spans="33:48" ht="15" customHeight="1" x14ac:dyDescent="0.25">
      <c r="AG1825" s="2"/>
      <c r="AR1825" s="307"/>
      <c r="AS1825" s="307"/>
      <c r="AT1825" s="307"/>
      <c r="AU1825" s="670"/>
      <c r="AV1825" s="572"/>
    </row>
    <row r="1826" spans="33:48" ht="15" customHeight="1" x14ac:dyDescent="0.25">
      <c r="AG1826" s="2"/>
      <c r="AR1826" s="307"/>
      <c r="AS1826" s="307"/>
      <c r="AT1826" s="307"/>
      <c r="AU1826" s="670"/>
      <c r="AV1826" s="572"/>
    </row>
    <row r="1827" spans="33:48" ht="15" customHeight="1" x14ac:dyDescent="0.25">
      <c r="AG1827" s="2"/>
      <c r="AR1827" s="307"/>
      <c r="AS1827" s="307"/>
      <c r="AT1827" s="307"/>
      <c r="AU1827" s="670"/>
      <c r="AV1827" s="572"/>
    </row>
    <row r="1828" spans="33:48" ht="15" customHeight="1" x14ac:dyDescent="0.25">
      <c r="AG1828" s="2"/>
      <c r="AR1828" s="307"/>
      <c r="AS1828" s="307"/>
      <c r="AT1828" s="307"/>
      <c r="AU1828" s="670"/>
      <c r="AV1828" s="572"/>
    </row>
    <row r="1829" spans="33:48" ht="15" customHeight="1" x14ac:dyDescent="0.25">
      <c r="AG1829" s="2"/>
      <c r="AR1829" s="307"/>
      <c r="AS1829" s="307"/>
      <c r="AT1829" s="307"/>
      <c r="AU1829" s="670"/>
      <c r="AV1829" s="572"/>
    </row>
    <row r="1830" spans="33:48" ht="15" customHeight="1" x14ac:dyDescent="0.25">
      <c r="AG1830" s="2"/>
      <c r="AR1830" s="307"/>
      <c r="AS1830" s="307"/>
      <c r="AT1830" s="307"/>
      <c r="AU1830" s="670"/>
      <c r="AV1830" s="572"/>
    </row>
    <row r="1831" spans="33:48" ht="15" customHeight="1" x14ac:dyDescent="0.25">
      <c r="AG1831" s="2"/>
      <c r="AR1831" s="307"/>
      <c r="AS1831" s="307"/>
      <c r="AT1831" s="307"/>
      <c r="AU1831" s="670"/>
      <c r="AV1831" s="572"/>
    </row>
    <row r="1832" spans="33:48" ht="15" customHeight="1" x14ac:dyDescent="0.25">
      <c r="AG1832" s="2"/>
      <c r="AR1832" s="307"/>
      <c r="AS1832" s="307"/>
      <c r="AT1832" s="307"/>
      <c r="AU1832" s="670"/>
      <c r="AV1832" s="572"/>
    </row>
    <row r="1833" spans="33:48" ht="15" customHeight="1" x14ac:dyDescent="0.25">
      <c r="AG1833" s="2"/>
      <c r="AR1833" s="307"/>
      <c r="AS1833" s="307"/>
      <c r="AT1833" s="307"/>
      <c r="AU1833" s="670"/>
      <c r="AV1833" s="572"/>
    </row>
    <row r="1834" spans="33:48" ht="15" customHeight="1" x14ac:dyDescent="0.25">
      <c r="AG1834" s="2"/>
      <c r="AR1834" s="307"/>
      <c r="AS1834" s="307"/>
      <c r="AT1834" s="307"/>
      <c r="AU1834" s="670"/>
      <c r="AV1834" s="572"/>
    </row>
    <row r="1835" spans="33:48" ht="15" customHeight="1" x14ac:dyDescent="0.25">
      <c r="AG1835" s="2"/>
      <c r="AR1835" s="307"/>
      <c r="AS1835" s="307"/>
      <c r="AT1835" s="307"/>
      <c r="AU1835" s="670"/>
      <c r="AV1835" s="572"/>
    </row>
    <row r="1836" spans="33:48" ht="15" customHeight="1" x14ac:dyDescent="0.25">
      <c r="AG1836" s="2"/>
      <c r="AR1836" s="307"/>
      <c r="AS1836" s="307"/>
      <c r="AT1836" s="307"/>
      <c r="AU1836" s="670"/>
      <c r="AV1836" s="572"/>
    </row>
    <row r="1837" spans="33:48" ht="15" customHeight="1" x14ac:dyDescent="0.25">
      <c r="AG1837" s="2"/>
      <c r="AR1837" s="307"/>
      <c r="AS1837" s="307"/>
      <c r="AT1837" s="307"/>
      <c r="AU1837" s="670"/>
      <c r="AV1837" s="572"/>
    </row>
    <row r="1838" spans="33:48" ht="15" customHeight="1" x14ac:dyDescent="0.25">
      <c r="AG1838" s="2"/>
      <c r="AR1838" s="307"/>
      <c r="AS1838" s="307"/>
      <c r="AT1838" s="307"/>
      <c r="AU1838" s="670"/>
      <c r="AV1838" s="572"/>
    </row>
    <row r="1839" spans="33:48" ht="15" customHeight="1" x14ac:dyDescent="0.25">
      <c r="AG1839" s="2"/>
      <c r="AR1839" s="307"/>
      <c r="AS1839" s="307"/>
      <c r="AT1839" s="307"/>
      <c r="AU1839" s="670"/>
      <c r="AV1839" s="572"/>
    </row>
    <row r="1840" spans="33:48" ht="15" customHeight="1" x14ac:dyDescent="0.25">
      <c r="AG1840" s="2"/>
      <c r="AR1840" s="307"/>
      <c r="AS1840" s="307"/>
      <c r="AT1840" s="307"/>
      <c r="AU1840" s="670"/>
      <c r="AV1840" s="572"/>
    </row>
    <row r="1841" spans="33:48" ht="15" customHeight="1" x14ac:dyDescent="0.25">
      <c r="AG1841" s="2"/>
      <c r="AR1841" s="307"/>
      <c r="AS1841" s="307"/>
      <c r="AT1841" s="307"/>
      <c r="AU1841" s="670"/>
      <c r="AV1841" s="572"/>
    </row>
    <row r="1842" spans="33:48" ht="15" customHeight="1" x14ac:dyDescent="0.25">
      <c r="AG1842" s="2"/>
      <c r="AR1842" s="307"/>
      <c r="AS1842" s="307"/>
      <c r="AT1842" s="307"/>
      <c r="AU1842" s="670"/>
      <c r="AV1842" s="572"/>
    </row>
    <row r="1843" spans="33:48" ht="15" customHeight="1" x14ac:dyDescent="0.25">
      <c r="AG1843" s="2"/>
      <c r="AR1843" s="307"/>
      <c r="AS1843" s="307"/>
      <c r="AT1843" s="307"/>
      <c r="AU1843" s="670"/>
      <c r="AV1843" s="572"/>
    </row>
    <row r="1844" spans="33:48" ht="15" customHeight="1" x14ac:dyDescent="0.25">
      <c r="AG1844" s="2"/>
      <c r="AR1844" s="307"/>
      <c r="AS1844" s="307"/>
      <c r="AT1844" s="307"/>
      <c r="AU1844" s="670"/>
      <c r="AV1844" s="572"/>
    </row>
    <row r="1845" spans="33:48" ht="15" customHeight="1" x14ac:dyDescent="0.25">
      <c r="AG1845" s="2"/>
      <c r="AR1845" s="307"/>
      <c r="AS1845" s="307"/>
      <c r="AT1845" s="307"/>
      <c r="AU1845" s="670"/>
      <c r="AV1845" s="572"/>
    </row>
    <row r="1846" spans="33:48" ht="15" customHeight="1" x14ac:dyDescent="0.25">
      <c r="AG1846" s="2"/>
      <c r="AR1846" s="307"/>
      <c r="AS1846" s="307"/>
      <c r="AT1846" s="307"/>
      <c r="AU1846" s="670"/>
      <c r="AV1846" s="572"/>
    </row>
    <row r="1847" spans="33:48" ht="15" customHeight="1" x14ac:dyDescent="0.25">
      <c r="AG1847" s="2"/>
      <c r="AR1847" s="307"/>
      <c r="AS1847" s="307"/>
      <c r="AT1847" s="307"/>
      <c r="AU1847" s="670"/>
      <c r="AV1847" s="572"/>
    </row>
    <row r="1848" spans="33:48" ht="15" customHeight="1" x14ac:dyDescent="0.25">
      <c r="AG1848" s="2"/>
      <c r="AR1848" s="307"/>
      <c r="AS1848" s="307"/>
      <c r="AT1848" s="307"/>
      <c r="AU1848" s="670"/>
      <c r="AV1848" s="572"/>
    </row>
    <row r="1849" spans="33:48" ht="15" customHeight="1" x14ac:dyDescent="0.25">
      <c r="AG1849" s="2"/>
      <c r="AR1849" s="307"/>
      <c r="AS1849" s="307"/>
      <c r="AT1849" s="307"/>
      <c r="AU1849" s="670"/>
      <c r="AV1849" s="572"/>
    </row>
    <row r="1850" spans="33:48" ht="15" customHeight="1" x14ac:dyDescent="0.25">
      <c r="AG1850" s="2"/>
      <c r="AR1850" s="307"/>
      <c r="AS1850" s="307"/>
      <c r="AT1850" s="307"/>
      <c r="AU1850" s="670"/>
      <c r="AV1850" s="572"/>
    </row>
    <row r="1851" spans="33:48" ht="15" customHeight="1" x14ac:dyDescent="0.25">
      <c r="AG1851" s="2"/>
      <c r="AR1851" s="307"/>
      <c r="AS1851" s="307"/>
      <c r="AT1851" s="307"/>
      <c r="AU1851" s="670"/>
      <c r="AV1851" s="572"/>
    </row>
    <row r="1852" spans="33:48" ht="15" customHeight="1" x14ac:dyDescent="0.25">
      <c r="AG1852" s="2"/>
      <c r="AR1852" s="307"/>
      <c r="AS1852" s="307"/>
      <c r="AT1852" s="307"/>
      <c r="AU1852" s="670"/>
      <c r="AV1852" s="572"/>
    </row>
    <row r="1853" spans="33:48" ht="15" customHeight="1" x14ac:dyDescent="0.25">
      <c r="AG1853" s="2"/>
      <c r="AR1853" s="307"/>
      <c r="AS1853" s="307"/>
      <c r="AT1853" s="307"/>
      <c r="AU1853" s="670"/>
      <c r="AV1853" s="572"/>
    </row>
    <row r="1854" spans="33:48" ht="15" customHeight="1" x14ac:dyDescent="0.25">
      <c r="AG1854" s="2"/>
      <c r="AR1854" s="307"/>
      <c r="AS1854" s="307"/>
      <c r="AT1854" s="307"/>
      <c r="AU1854" s="670"/>
      <c r="AV1854" s="572"/>
    </row>
    <row r="1855" spans="33:48" ht="15" customHeight="1" x14ac:dyDescent="0.25">
      <c r="AG1855" s="2"/>
      <c r="AR1855" s="307"/>
      <c r="AS1855" s="307"/>
      <c r="AT1855" s="307"/>
      <c r="AU1855" s="670"/>
      <c r="AV1855" s="572"/>
    </row>
    <row r="1856" spans="33:48" ht="15" customHeight="1" x14ac:dyDescent="0.25">
      <c r="AG1856" s="2"/>
      <c r="AR1856" s="307"/>
      <c r="AS1856" s="307"/>
      <c r="AT1856" s="307"/>
      <c r="AU1856" s="670"/>
      <c r="AV1856" s="572"/>
    </row>
    <row r="1857" spans="33:48" ht="15" customHeight="1" x14ac:dyDescent="0.25">
      <c r="AG1857" s="2"/>
      <c r="AR1857" s="307"/>
      <c r="AS1857" s="307"/>
      <c r="AT1857" s="307"/>
      <c r="AU1857" s="670"/>
      <c r="AV1857" s="572"/>
    </row>
    <row r="1858" spans="33:48" ht="15" customHeight="1" x14ac:dyDescent="0.25">
      <c r="AG1858" s="2"/>
      <c r="AR1858" s="307"/>
      <c r="AS1858" s="307"/>
      <c r="AT1858" s="307"/>
      <c r="AU1858" s="670"/>
      <c r="AV1858" s="572"/>
    </row>
    <row r="1859" spans="33:48" ht="15" customHeight="1" x14ac:dyDescent="0.25">
      <c r="AG1859" s="2"/>
      <c r="AR1859" s="307"/>
      <c r="AS1859" s="307"/>
      <c r="AT1859" s="307"/>
      <c r="AU1859" s="670"/>
      <c r="AV1859" s="572"/>
    </row>
    <row r="1860" spans="33:48" ht="15" customHeight="1" x14ac:dyDescent="0.25">
      <c r="AG1860" s="2"/>
      <c r="AR1860" s="307"/>
      <c r="AS1860" s="307"/>
      <c r="AT1860" s="307"/>
      <c r="AU1860" s="670"/>
      <c r="AV1860" s="572"/>
    </row>
    <row r="1861" spans="33:48" ht="15" customHeight="1" x14ac:dyDescent="0.25">
      <c r="AG1861" s="2"/>
      <c r="AR1861" s="307"/>
      <c r="AS1861" s="307"/>
      <c r="AT1861" s="307"/>
      <c r="AU1861" s="670"/>
      <c r="AV1861" s="572"/>
    </row>
    <row r="1862" spans="33:48" ht="15" customHeight="1" x14ac:dyDescent="0.25">
      <c r="AG1862" s="2"/>
      <c r="AR1862" s="307"/>
      <c r="AS1862" s="307"/>
      <c r="AT1862" s="307"/>
      <c r="AU1862" s="670"/>
      <c r="AV1862" s="572"/>
    </row>
    <row r="1863" spans="33:48" ht="15" customHeight="1" x14ac:dyDescent="0.25">
      <c r="AG1863" s="2"/>
      <c r="AR1863" s="307"/>
      <c r="AS1863" s="307"/>
      <c r="AT1863" s="307"/>
      <c r="AU1863" s="670"/>
      <c r="AV1863" s="572"/>
    </row>
    <row r="1864" spans="33:48" ht="15" customHeight="1" x14ac:dyDescent="0.25">
      <c r="AG1864" s="2"/>
      <c r="AR1864" s="307"/>
      <c r="AS1864" s="307"/>
      <c r="AT1864" s="307"/>
      <c r="AU1864" s="670"/>
      <c r="AV1864" s="572"/>
    </row>
    <row r="1865" spans="33:48" ht="15" customHeight="1" x14ac:dyDescent="0.25">
      <c r="AG1865" s="2"/>
      <c r="AR1865" s="307"/>
      <c r="AS1865" s="307"/>
      <c r="AT1865" s="307"/>
      <c r="AU1865" s="670"/>
      <c r="AV1865" s="572"/>
    </row>
    <row r="1866" spans="33:48" ht="15" customHeight="1" x14ac:dyDescent="0.25">
      <c r="AG1866" s="2"/>
      <c r="AR1866" s="307"/>
      <c r="AS1866" s="307"/>
      <c r="AT1866" s="307"/>
      <c r="AU1866" s="670"/>
      <c r="AV1866" s="572"/>
    </row>
    <row r="1867" spans="33:48" ht="15" customHeight="1" x14ac:dyDescent="0.25">
      <c r="AG1867" s="2"/>
      <c r="AR1867" s="307"/>
      <c r="AS1867" s="307"/>
      <c r="AT1867" s="307"/>
      <c r="AU1867" s="670"/>
      <c r="AV1867" s="572"/>
    </row>
    <row r="1868" spans="33:48" ht="15" customHeight="1" x14ac:dyDescent="0.25">
      <c r="AG1868" s="2"/>
      <c r="AR1868" s="307"/>
      <c r="AS1868" s="307"/>
      <c r="AT1868" s="307"/>
      <c r="AU1868" s="670"/>
      <c r="AV1868" s="572"/>
    </row>
    <row r="1869" spans="33:48" ht="15" customHeight="1" x14ac:dyDescent="0.25">
      <c r="AG1869" s="2"/>
      <c r="AR1869" s="307"/>
      <c r="AS1869" s="307"/>
      <c r="AT1869" s="307"/>
      <c r="AU1869" s="670"/>
      <c r="AV1869" s="572"/>
    </row>
    <row r="1870" spans="33:48" ht="15" customHeight="1" x14ac:dyDescent="0.25">
      <c r="AG1870" s="2"/>
      <c r="AR1870" s="307"/>
      <c r="AS1870" s="307"/>
      <c r="AT1870" s="307"/>
      <c r="AU1870" s="670"/>
      <c r="AV1870" s="572"/>
    </row>
    <row r="1871" spans="33:48" ht="15" customHeight="1" x14ac:dyDescent="0.25">
      <c r="AR1871" s="307"/>
      <c r="AS1871" s="307"/>
      <c r="AT1871" s="307"/>
      <c r="AU1871" s="670"/>
      <c r="AV1871" s="572"/>
    </row>
    <row r="1872" spans="33:48" ht="15" customHeight="1" x14ac:dyDescent="0.25">
      <c r="AR1872" s="307"/>
      <c r="AS1872" s="307"/>
      <c r="AT1872" s="307"/>
      <c r="AU1872" s="670"/>
      <c r="AV1872" s="572"/>
    </row>
    <row r="1873" spans="44:48" ht="15" customHeight="1" x14ac:dyDescent="0.25">
      <c r="AR1873" s="307"/>
      <c r="AS1873" s="307"/>
      <c r="AT1873" s="307"/>
      <c r="AU1873" s="670"/>
      <c r="AV1873" s="572"/>
    </row>
    <row r="1874" spans="44:48" ht="15" customHeight="1" x14ac:dyDescent="0.25">
      <c r="AR1874" s="307"/>
      <c r="AS1874" s="307"/>
      <c r="AT1874" s="307"/>
      <c r="AU1874" s="670"/>
      <c r="AV1874" s="572"/>
    </row>
    <row r="1875" spans="44:48" ht="15" customHeight="1" x14ac:dyDescent="0.25">
      <c r="AR1875" s="307"/>
      <c r="AS1875" s="307"/>
      <c r="AT1875" s="307"/>
      <c r="AU1875" s="670"/>
      <c r="AV1875" s="572"/>
    </row>
    <row r="1876" spans="44:48" ht="15" customHeight="1" x14ac:dyDescent="0.25">
      <c r="AR1876" s="307"/>
      <c r="AS1876" s="307"/>
      <c r="AT1876" s="307"/>
      <c r="AU1876" s="670"/>
      <c r="AV1876" s="572"/>
    </row>
    <row r="1877" spans="44:48" ht="15" customHeight="1" x14ac:dyDescent="0.25">
      <c r="AR1877" s="307"/>
      <c r="AS1877" s="307"/>
      <c r="AT1877" s="307"/>
      <c r="AU1877" s="670"/>
      <c r="AV1877" s="572"/>
    </row>
    <row r="1878" spans="44:48" ht="15" customHeight="1" x14ac:dyDescent="0.25">
      <c r="AR1878" s="307"/>
      <c r="AS1878" s="307"/>
      <c r="AT1878" s="307"/>
      <c r="AU1878" s="670"/>
      <c r="AV1878" s="572"/>
    </row>
    <row r="1879" spans="44:48" ht="15" customHeight="1" x14ac:dyDescent="0.25">
      <c r="AR1879" s="307"/>
      <c r="AS1879" s="307"/>
      <c r="AT1879" s="307"/>
      <c r="AU1879" s="670"/>
      <c r="AV1879" s="572"/>
    </row>
    <row r="1880" spans="44:48" ht="15" customHeight="1" x14ac:dyDescent="0.25">
      <c r="AR1880" s="307"/>
      <c r="AS1880" s="307"/>
      <c r="AT1880" s="307"/>
      <c r="AU1880" s="670"/>
      <c r="AV1880" s="572"/>
    </row>
    <row r="1881" spans="44:48" ht="15" customHeight="1" x14ac:dyDescent="0.25">
      <c r="AR1881" s="307"/>
      <c r="AS1881" s="307"/>
      <c r="AT1881" s="307"/>
      <c r="AU1881" s="670"/>
      <c r="AV1881" s="572"/>
    </row>
  </sheetData>
  <autoFilter ref="A11:BI1507" xr:uid="{0EE4D34F-E9D2-4D8C-818A-DD3D8FC72460}"/>
  <mergeCells count="212">
    <mergeCell ref="I136:K136"/>
    <mergeCell ref="J137:K137"/>
    <mergeCell ref="J158:K158"/>
    <mergeCell ref="J179:K179"/>
    <mergeCell ref="J199:K199"/>
    <mergeCell ref="J224:K224"/>
    <mergeCell ref="J109:K109"/>
    <mergeCell ref="J110:K110"/>
    <mergeCell ref="AV111:AV129"/>
    <mergeCell ref="I130:K130"/>
    <mergeCell ref="J131:K131"/>
    <mergeCell ref="AF132:AF135"/>
    <mergeCell ref="AV132:AV135"/>
    <mergeCell ref="AV25:AV31"/>
    <mergeCell ref="J52:K52"/>
    <mergeCell ref="AV67:AV73"/>
    <mergeCell ref="AV81:AV87"/>
    <mergeCell ref="AV88:AV94"/>
    <mergeCell ref="AV95:AV101"/>
    <mergeCell ref="A1:L9"/>
    <mergeCell ref="A10:G10"/>
    <mergeCell ref="H10:L10"/>
    <mergeCell ref="H15:K15"/>
    <mergeCell ref="I16:K16"/>
    <mergeCell ref="J17:K17"/>
    <mergeCell ref="AV347:AV353"/>
    <mergeCell ref="AV354:AV360"/>
    <mergeCell ref="AV375:AV381"/>
    <mergeCell ref="AV396:AV402"/>
    <mergeCell ref="R431:R437"/>
    <mergeCell ref="R438:R444"/>
    <mergeCell ref="AV438:AV444"/>
    <mergeCell ref="J251:K251"/>
    <mergeCell ref="J279:K279"/>
    <mergeCell ref="J302:K302"/>
    <mergeCell ref="J304:K304"/>
    <mergeCell ref="AV333:AV339"/>
    <mergeCell ref="AV340:AV346"/>
    <mergeCell ref="AV633:AV640"/>
    <mergeCell ref="J643:K643"/>
    <mergeCell ref="AV580:AV586"/>
    <mergeCell ref="J593:K593"/>
    <mergeCell ref="J599:K599"/>
    <mergeCell ref="J605:K605"/>
    <mergeCell ref="J611:K611"/>
    <mergeCell ref="J616:K616"/>
    <mergeCell ref="AF461:AF467"/>
    <mergeCell ref="AV461:AV467"/>
    <mergeCell ref="AV482:AV488"/>
    <mergeCell ref="AV539:AV545"/>
    <mergeCell ref="AV546:AV552"/>
    <mergeCell ref="AA561:AA566"/>
    <mergeCell ref="R644:R650"/>
    <mergeCell ref="J672:K672"/>
    <mergeCell ref="J675:K675"/>
    <mergeCell ref="J678:K678"/>
    <mergeCell ref="J681:K681"/>
    <mergeCell ref="J684:K684"/>
    <mergeCell ref="J621:K621"/>
    <mergeCell ref="J626:K626"/>
    <mergeCell ref="I631:K631"/>
    <mergeCell ref="J632:K632"/>
    <mergeCell ref="J705:K705"/>
    <mergeCell ref="J708:K708"/>
    <mergeCell ref="J711:K711"/>
    <mergeCell ref="J714:K714"/>
    <mergeCell ref="J717:K717"/>
    <mergeCell ref="I720:K720"/>
    <mergeCell ref="J687:K687"/>
    <mergeCell ref="J690:K690"/>
    <mergeCell ref="J693:K693"/>
    <mergeCell ref="J696:K696"/>
    <mergeCell ref="J699:K699"/>
    <mergeCell ref="J702:K702"/>
    <mergeCell ref="J766:K766"/>
    <mergeCell ref="I768:K768"/>
    <mergeCell ref="J769:K769"/>
    <mergeCell ref="J772:K772"/>
    <mergeCell ref="AV773:AV779"/>
    <mergeCell ref="AH780:AH786"/>
    <mergeCell ref="AV780:AV786"/>
    <mergeCell ref="J721:K721"/>
    <mergeCell ref="J732:K732"/>
    <mergeCell ref="J734:K734"/>
    <mergeCell ref="J736:K736"/>
    <mergeCell ref="AV744:AV750"/>
    <mergeCell ref="J758:K758"/>
    <mergeCell ref="AV818:AV824"/>
    <mergeCell ref="J832:K832"/>
    <mergeCell ref="J836:K836"/>
    <mergeCell ref="J841:K841"/>
    <mergeCell ref="U849:U855"/>
    <mergeCell ref="X849:X855"/>
    <mergeCell ref="AA849:AA855"/>
    <mergeCell ref="AD849:AD855"/>
    <mergeCell ref="AH849:AH855"/>
    <mergeCell ref="AN849:AN855"/>
    <mergeCell ref="V849:V855"/>
    <mergeCell ref="AF849:AF855"/>
    <mergeCell ref="AJ849:AJ855"/>
    <mergeCell ref="AU849:AU855"/>
    <mergeCell ref="J893:K893"/>
    <mergeCell ref="I897:K897"/>
    <mergeCell ref="J898:K898"/>
    <mergeCell ref="J907:K907"/>
    <mergeCell ref="J924:K924"/>
    <mergeCell ref="I930:K930"/>
    <mergeCell ref="AV849:AV855"/>
    <mergeCell ref="I856:K856"/>
    <mergeCell ref="J857:K857"/>
    <mergeCell ref="J876:K876"/>
    <mergeCell ref="J881:K881"/>
    <mergeCell ref="J883:K883"/>
    <mergeCell ref="J986:K986"/>
    <mergeCell ref="J993:K993"/>
    <mergeCell ref="J1001:K1001"/>
    <mergeCell ref="J1005:K1005"/>
    <mergeCell ref="H1012:K1012"/>
    <mergeCell ref="I1013:K1013"/>
    <mergeCell ref="J931:K931"/>
    <mergeCell ref="I934:K934"/>
    <mergeCell ref="J935:K935"/>
    <mergeCell ref="J962:K962"/>
    <mergeCell ref="H984:K984"/>
    <mergeCell ref="I985:K985"/>
    <mergeCell ref="J1046:K1046"/>
    <mergeCell ref="J1048:K1048"/>
    <mergeCell ref="AF1044"/>
    <mergeCell ref="S1044"/>
    <mergeCell ref="T1044"/>
    <mergeCell ref="W1044"/>
    <mergeCell ref="X1044"/>
    <mergeCell ref="Z1044"/>
    <mergeCell ref="J1014:K1014"/>
    <mergeCell ref="J1031:K1031"/>
    <mergeCell ref="J1043:K1043"/>
    <mergeCell ref="P1044"/>
    <mergeCell ref="Q1044"/>
    <mergeCell ref="J1172:K1172"/>
    <mergeCell ref="J1139:K1139"/>
    <mergeCell ref="J1142:K1142"/>
    <mergeCell ref="J1149:K1149"/>
    <mergeCell ref="J1153:K1153"/>
    <mergeCell ref="I1156:K1156"/>
    <mergeCell ref="J1157:K1157"/>
    <mergeCell ref="J1050:K1050"/>
    <mergeCell ref="I1095:K1095"/>
    <mergeCell ref="J1096:K1096"/>
    <mergeCell ref="J1102:K1102"/>
    <mergeCell ref="J1115:K1115"/>
    <mergeCell ref="J1122:K1122"/>
    <mergeCell ref="J1160:K1160"/>
    <mergeCell ref="J1162:K1162"/>
    <mergeCell ref="J1167:K1167"/>
    <mergeCell ref="H1170:K1170"/>
    <mergeCell ref="I1171:K1171"/>
    <mergeCell ref="AV1344:AV1350"/>
    <mergeCell ref="I1358:K1358"/>
    <mergeCell ref="AZ1358:BB1358"/>
    <mergeCell ref="J1359:K1359"/>
    <mergeCell ref="J1368:K1368"/>
    <mergeCell ref="J1311:K1311"/>
    <mergeCell ref="I1316:K1316"/>
    <mergeCell ref="J1317:K1317"/>
    <mergeCell ref="J1340:K1340"/>
    <mergeCell ref="U1344:U1350"/>
    <mergeCell ref="X1344:X1350"/>
    <mergeCell ref="AG1344:AG1350"/>
    <mergeCell ref="AJ1344:AJ1350"/>
    <mergeCell ref="AO1344:AO1350"/>
    <mergeCell ref="AP1344:AP1350"/>
    <mergeCell ref="AQ1344:AQ1350"/>
    <mergeCell ref="AR1344:AR1350"/>
    <mergeCell ref="AS1344:AS1350"/>
    <mergeCell ref="AT1344:AT1350"/>
    <mergeCell ref="AU1344:AU1350"/>
    <mergeCell ref="J1482:K1482"/>
    <mergeCell ref="J1490:K1490"/>
    <mergeCell ref="AR11:AS11"/>
    <mergeCell ref="J1456:K1456"/>
    <mergeCell ref="J1464:K1464"/>
    <mergeCell ref="J1472:K1472"/>
    <mergeCell ref="J1476:K1476"/>
    <mergeCell ref="I1478:K1478"/>
    <mergeCell ref="J1479:K1479"/>
    <mergeCell ref="H1428:K1428"/>
    <mergeCell ref="I1429:K1429"/>
    <mergeCell ref="J1430:K1430"/>
    <mergeCell ref="J1434:K1434"/>
    <mergeCell ref="J1438:K1438"/>
    <mergeCell ref="J1446:K1446"/>
    <mergeCell ref="J1377:K1377"/>
    <mergeCell ref="J1386:K1386"/>
    <mergeCell ref="J1395:K1395"/>
    <mergeCell ref="J1404:K1404"/>
    <mergeCell ref="J1413:K1413"/>
    <mergeCell ref="J1422:K1422"/>
    <mergeCell ref="AH1344:AH1350"/>
    <mergeCell ref="J1235:K1235"/>
    <mergeCell ref="J1285:K1285"/>
    <mergeCell ref="H1480:K1480"/>
    <mergeCell ref="I1481:K1481"/>
    <mergeCell ref="J1290:K1290"/>
    <mergeCell ref="J1296:K1296"/>
    <mergeCell ref="J1301:K1301"/>
    <mergeCell ref="J1306:K1306"/>
    <mergeCell ref="J1181:K1181"/>
    <mergeCell ref="J1190:K1190"/>
    <mergeCell ref="J1199:K1199"/>
    <mergeCell ref="J1208:K1208"/>
    <mergeCell ref="J1217:K1217"/>
    <mergeCell ref="J1226:K1226"/>
  </mergeCells>
  <pageMargins left="0.70866141732283472" right="0.70866141732283472" top="0.74803149606299213" bottom="0.74803149606299213" header="0" footer="0"/>
  <pageSetup paperSize="9" scale="17"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644A-6837-4E0B-92C8-D07EB861FA16}">
  <sheetPr codeName="Hoja4">
    <outlinePr summaryBelow="0" summaryRight="0"/>
    <pageSetUpPr fitToPage="1"/>
  </sheetPr>
  <dimension ref="A1:DJ1886"/>
  <sheetViews>
    <sheetView topLeftCell="A11" workbookViewId="0">
      <selection sqref="A1:L9"/>
    </sheetView>
  </sheetViews>
  <sheetFormatPr baseColWidth="10" defaultColWidth="14.42578125" defaultRowHeight="15" customHeight="1" outlineLevelRow="5" outlineLevelCol="2" x14ac:dyDescent="0.25"/>
  <cols>
    <col min="1" max="1" width="20.85546875" style="2" bestFit="1" customWidth="1"/>
    <col min="2" max="2" width="6.42578125" style="3" customWidth="1"/>
    <col min="3" max="6" width="6.42578125" style="2" customWidth="1"/>
    <col min="7" max="7" width="15.140625" style="2" bestFit="1" customWidth="1"/>
    <col min="8" max="8" width="6.42578125" style="2" customWidth="1"/>
    <col min="9" max="9" width="5.42578125" style="2" customWidth="1"/>
    <col min="10" max="10" width="6.42578125" style="2" customWidth="1"/>
    <col min="11" max="11" width="60.42578125" style="2" customWidth="1"/>
    <col min="12" max="12" width="33.140625" style="2" customWidth="1"/>
    <col min="13" max="13" width="75.42578125" style="2" customWidth="1" outlineLevel="1"/>
    <col min="14" max="14" width="50.42578125" style="2" customWidth="1" outlineLevel="1"/>
    <col min="15" max="15" width="30.5703125" style="2" customWidth="1" outlineLevel="1"/>
    <col min="16" max="16" width="31.140625" style="2" customWidth="1" outlineLevel="1"/>
    <col min="17" max="17" width="39.42578125" style="2" customWidth="1" outlineLevel="1"/>
    <col min="18" max="18" width="28.42578125" style="2" customWidth="1" outlineLevel="1"/>
    <col min="19" max="19" width="34" style="2" customWidth="1" outlineLevel="2"/>
    <col min="20" max="20" width="23.42578125" style="2" hidden="1" customWidth="1" outlineLevel="2"/>
    <col min="21" max="21" width="25.140625" style="2" bestFit="1" customWidth="1" outlineLevel="2"/>
    <col min="22" max="22" width="26.5703125" style="822" bestFit="1" customWidth="1" outlineLevel="2"/>
    <col min="23" max="23" width="22.5703125" style="2" hidden="1" customWidth="1" outlineLevel="2"/>
    <col min="24" max="24" width="25.140625" style="2" bestFit="1" customWidth="1" outlineLevel="2"/>
    <col min="25" max="25" width="27" style="826" bestFit="1" customWidth="1" outlineLevel="2"/>
    <col min="26" max="26" width="19.42578125" style="2" hidden="1" customWidth="1" outlineLevel="2"/>
    <col min="27" max="27" width="25.140625" style="2" bestFit="1" customWidth="1" outlineLevel="2"/>
    <col min="28" max="28" width="26.5703125" style="2" customWidth="1" outlineLevel="2"/>
    <col min="29" max="29" width="19.5703125" style="2" hidden="1" customWidth="1" outlineLevel="2"/>
    <col min="30" max="30" width="25.140625" style="2" customWidth="1" outlineLevel="2"/>
    <col min="31" max="31" width="26.5703125" style="2" customWidth="1" outlineLevel="2"/>
    <col min="32" max="32" width="255.5703125" style="2" hidden="1" customWidth="1" outlineLevel="2"/>
    <col min="33" max="33" width="35.140625" style="170" customWidth="1" outlineLevel="2"/>
    <col min="34" max="34" width="23.5703125" style="2" bestFit="1" customWidth="1"/>
    <col min="35" max="35" width="28.42578125" style="2" hidden="1" customWidth="1"/>
    <col min="36" max="36" width="25.5703125" style="2" customWidth="1"/>
    <col min="37" max="39" width="25.5703125" style="2" hidden="1" customWidth="1"/>
    <col min="40" max="40" width="25" style="3" customWidth="1" outlineLevel="1"/>
    <col min="41" max="41" width="19.42578125" style="3" bestFit="1" customWidth="1" outlineLevel="1"/>
    <col min="42" max="42" width="33.85546875" style="3" customWidth="1" outlineLevel="1"/>
    <col min="43" max="43" width="32" style="3" customWidth="1" outlineLevel="1"/>
    <col min="44" max="44" width="11.85546875" style="171" bestFit="1" customWidth="1" outlineLevel="1"/>
    <col min="45" max="45" width="12.5703125" style="3" bestFit="1" customWidth="1" outlineLevel="1"/>
    <col min="46" max="46" width="19.85546875" style="171" customWidth="1" outlineLevel="1"/>
    <col min="47" max="47" width="31.5703125" style="654" bestFit="1" customWidth="1" outlineLevel="1"/>
    <col min="48" max="48" width="82" style="4" customWidth="1"/>
    <col min="49" max="61" width="14.42578125" style="2" customWidth="1"/>
    <col min="62" max="16384" width="14.42578125" style="2"/>
  </cols>
  <sheetData>
    <row r="1" spans="1:48" ht="15" hidden="1" customHeight="1" x14ac:dyDescent="0.25">
      <c r="A1" s="1357" t="s">
        <v>0</v>
      </c>
      <c r="B1" s="1357"/>
      <c r="C1" s="1357"/>
      <c r="D1" s="1357"/>
      <c r="E1" s="1357"/>
      <c r="F1" s="1357"/>
      <c r="G1" s="1357"/>
      <c r="H1" s="1357"/>
      <c r="I1" s="1357"/>
      <c r="J1" s="1357"/>
      <c r="K1" s="1357"/>
      <c r="L1" s="1357"/>
      <c r="M1" s="1"/>
      <c r="N1" s="1"/>
      <c r="O1" s="1"/>
      <c r="P1" s="1"/>
      <c r="Q1" s="1"/>
      <c r="R1" s="1"/>
      <c r="S1" s="1"/>
      <c r="T1" s="1"/>
      <c r="U1" s="1"/>
      <c r="V1" s="816"/>
    </row>
    <row r="2" spans="1:48" ht="15" hidden="1" customHeight="1" x14ac:dyDescent="0.25">
      <c r="A2" s="1357"/>
      <c r="B2" s="1357"/>
      <c r="C2" s="1357"/>
      <c r="D2" s="1357"/>
      <c r="E2" s="1357"/>
      <c r="F2" s="1357"/>
      <c r="G2" s="1357"/>
      <c r="H2" s="1357"/>
      <c r="I2" s="1357"/>
      <c r="J2" s="1357"/>
      <c r="K2" s="1357"/>
      <c r="L2" s="1357"/>
      <c r="M2" s="1"/>
      <c r="N2" s="1"/>
      <c r="O2" s="1"/>
      <c r="P2" s="1"/>
      <c r="Q2" s="1"/>
      <c r="R2" s="1"/>
      <c r="S2" s="1"/>
      <c r="T2" s="1"/>
      <c r="U2" s="1"/>
      <c r="V2" s="816"/>
    </row>
    <row r="3" spans="1:48" ht="15" hidden="1" customHeight="1" x14ac:dyDescent="0.25">
      <c r="A3" s="1357"/>
      <c r="B3" s="1357"/>
      <c r="C3" s="1357"/>
      <c r="D3" s="1357"/>
      <c r="E3" s="1357"/>
      <c r="F3" s="1357"/>
      <c r="G3" s="1357"/>
      <c r="H3" s="1357"/>
      <c r="I3" s="1357"/>
      <c r="J3" s="1357"/>
      <c r="K3" s="1357"/>
      <c r="L3" s="1357"/>
      <c r="M3" s="1"/>
      <c r="N3" s="1"/>
      <c r="O3" s="1"/>
      <c r="P3" s="1"/>
      <c r="Q3" s="1"/>
      <c r="R3" s="1"/>
      <c r="S3" s="1"/>
      <c r="T3" s="1"/>
      <c r="U3" s="1"/>
      <c r="V3" s="816"/>
    </row>
    <row r="4" spans="1:48" ht="15" hidden="1" customHeight="1" x14ac:dyDescent="0.25">
      <c r="A4" s="1357"/>
      <c r="B4" s="1357"/>
      <c r="C4" s="1357"/>
      <c r="D4" s="1357"/>
      <c r="E4" s="1357"/>
      <c r="F4" s="1357"/>
      <c r="G4" s="1357"/>
      <c r="H4" s="1357"/>
      <c r="I4" s="1357"/>
      <c r="J4" s="1357"/>
      <c r="K4" s="1357"/>
      <c r="L4" s="1357"/>
      <c r="M4" s="1"/>
      <c r="N4" s="1"/>
      <c r="O4" s="1"/>
      <c r="P4" s="1"/>
      <c r="Q4" s="1"/>
      <c r="R4" s="1"/>
      <c r="S4" s="1"/>
      <c r="T4" s="1"/>
      <c r="U4" s="1"/>
      <c r="V4" s="816"/>
    </row>
    <row r="5" spans="1:48" ht="15" hidden="1" customHeight="1" x14ac:dyDescent="0.25">
      <c r="A5" s="1357"/>
      <c r="B5" s="1357"/>
      <c r="C5" s="1357"/>
      <c r="D5" s="1357"/>
      <c r="E5" s="1357"/>
      <c r="F5" s="1357"/>
      <c r="G5" s="1357"/>
      <c r="H5" s="1357"/>
      <c r="I5" s="1357"/>
      <c r="J5" s="1357"/>
      <c r="K5" s="1357"/>
      <c r="L5" s="1357"/>
      <c r="M5" s="1"/>
      <c r="N5" s="1"/>
      <c r="O5" s="1"/>
      <c r="P5" s="1"/>
      <c r="Q5" s="1"/>
      <c r="R5" s="1"/>
      <c r="S5" s="1"/>
      <c r="T5" s="1"/>
      <c r="U5" s="1"/>
      <c r="V5" s="816"/>
    </row>
    <row r="6" spans="1:48" ht="15" hidden="1" customHeight="1" x14ac:dyDescent="0.25">
      <c r="A6" s="1357"/>
      <c r="B6" s="1357"/>
      <c r="C6" s="1357"/>
      <c r="D6" s="1357"/>
      <c r="E6" s="1357"/>
      <c r="F6" s="1357"/>
      <c r="G6" s="1357"/>
      <c r="H6" s="1357"/>
      <c r="I6" s="1357"/>
      <c r="J6" s="1357"/>
      <c r="K6" s="1357"/>
      <c r="L6" s="1357"/>
      <c r="M6" s="1"/>
      <c r="N6" s="1"/>
      <c r="O6" s="1"/>
      <c r="P6" s="1"/>
      <c r="Q6" s="1"/>
      <c r="R6" s="1"/>
      <c r="S6" s="1"/>
      <c r="T6" s="1"/>
      <c r="U6" s="1"/>
      <c r="V6" s="816"/>
      <c r="W6" s="1"/>
      <c r="X6" s="1"/>
      <c r="Y6" s="827"/>
      <c r="Z6" s="1"/>
      <c r="AA6" s="1"/>
      <c r="AB6" s="1"/>
      <c r="AC6" s="1"/>
      <c r="AD6" s="1"/>
      <c r="AE6" s="1"/>
      <c r="AF6" s="1"/>
      <c r="AG6" s="396"/>
      <c r="AH6" s="5"/>
      <c r="AI6" s="5"/>
      <c r="AJ6" s="5"/>
      <c r="AK6" s="5"/>
      <c r="AL6" s="5"/>
      <c r="AM6" s="5"/>
      <c r="AN6" s="1"/>
      <c r="AO6" s="1"/>
      <c r="AP6" s="1"/>
      <c r="AQ6" s="1"/>
      <c r="AR6" s="396"/>
      <c r="AS6" s="1"/>
      <c r="AT6" s="396"/>
      <c r="AU6" s="655"/>
      <c r="AV6" s="6"/>
    </row>
    <row r="7" spans="1:48" ht="15" hidden="1" customHeight="1" x14ac:dyDescent="0.25">
      <c r="A7" s="1357"/>
      <c r="B7" s="1357"/>
      <c r="C7" s="1357"/>
      <c r="D7" s="1357"/>
      <c r="E7" s="1357"/>
      <c r="F7" s="1357"/>
      <c r="G7" s="1357"/>
      <c r="H7" s="1357"/>
      <c r="I7" s="1357"/>
      <c r="J7" s="1357"/>
      <c r="K7" s="1357"/>
      <c r="L7" s="1357"/>
      <c r="M7" s="1"/>
      <c r="N7" s="1"/>
      <c r="O7" s="1"/>
      <c r="P7" s="1"/>
      <c r="Q7" s="1"/>
      <c r="R7" s="1"/>
      <c r="S7" s="1"/>
      <c r="T7" s="1"/>
      <c r="U7" s="1"/>
      <c r="V7" s="816"/>
      <c r="W7" s="1"/>
      <c r="X7" s="1"/>
      <c r="Y7" s="827"/>
      <c r="Z7" s="1"/>
      <c r="AA7" s="1"/>
      <c r="AB7" s="1"/>
      <c r="AC7" s="1"/>
      <c r="AD7" s="1"/>
      <c r="AE7" s="1"/>
      <c r="AF7" s="1"/>
      <c r="AG7" s="396"/>
      <c r="AH7" s="5"/>
      <c r="AI7" s="5"/>
      <c r="AJ7" s="5"/>
      <c r="AK7" s="5"/>
      <c r="AL7" s="5"/>
      <c r="AM7" s="5"/>
      <c r="AN7" s="1"/>
      <c r="AO7" s="1"/>
      <c r="AP7" s="1"/>
      <c r="AQ7" s="1"/>
      <c r="AR7" s="396"/>
      <c r="AS7" s="1"/>
      <c r="AT7" s="396"/>
      <c r="AU7" s="655"/>
      <c r="AV7" s="6"/>
    </row>
    <row r="8" spans="1:48" ht="15" hidden="1" customHeight="1" x14ac:dyDescent="0.25">
      <c r="A8" s="1357"/>
      <c r="B8" s="1357"/>
      <c r="C8" s="1357"/>
      <c r="D8" s="1357"/>
      <c r="E8" s="1357"/>
      <c r="F8" s="1357"/>
      <c r="G8" s="1357"/>
      <c r="H8" s="1357"/>
      <c r="I8" s="1357"/>
      <c r="J8" s="1357"/>
      <c r="K8" s="1357"/>
      <c r="L8" s="1357"/>
      <c r="M8" s="1"/>
      <c r="N8" s="1"/>
      <c r="O8" s="1"/>
      <c r="P8" s="1"/>
      <c r="Q8" s="1"/>
      <c r="R8" s="1"/>
      <c r="S8" s="1"/>
      <c r="T8" s="1"/>
      <c r="U8" s="1"/>
      <c r="V8" s="816"/>
      <c r="W8" s="1"/>
      <c r="X8" s="1"/>
      <c r="Y8" s="827"/>
      <c r="Z8" s="1"/>
      <c r="AA8" s="1"/>
      <c r="AB8" s="1"/>
      <c r="AC8" s="1"/>
      <c r="AD8" s="1"/>
      <c r="AE8" s="1"/>
      <c r="AF8" s="1"/>
      <c r="AG8" s="396"/>
      <c r="AH8" s="5"/>
      <c r="AI8" s="5"/>
      <c r="AJ8" s="5"/>
      <c r="AK8" s="5"/>
      <c r="AL8" s="5"/>
      <c r="AM8" s="5"/>
      <c r="AN8" s="1"/>
      <c r="AO8" s="1"/>
      <c r="AP8" s="1"/>
      <c r="AQ8" s="1"/>
      <c r="AR8" s="396"/>
      <c r="AS8" s="1"/>
      <c r="AT8" s="396"/>
      <c r="AU8" s="655"/>
      <c r="AV8" s="6"/>
    </row>
    <row r="9" spans="1:48" ht="15" hidden="1" customHeight="1" x14ac:dyDescent="0.25">
      <c r="A9" s="1357"/>
      <c r="B9" s="1357"/>
      <c r="C9" s="1357"/>
      <c r="D9" s="1357"/>
      <c r="E9" s="1357"/>
      <c r="F9" s="1357"/>
      <c r="G9" s="1357"/>
      <c r="H9" s="1357"/>
      <c r="I9" s="1357"/>
      <c r="J9" s="1357"/>
      <c r="K9" s="1357"/>
      <c r="L9" s="1357"/>
      <c r="M9" s="1"/>
      <c r="N9" s="1"/>
      <c r="O9" s="1"/>
      <c r="P9" s="1"/>
      <c r="Q9" s="1"/>
      <c r="R9" s="1"/>
      <c r="S9" s="1"/>
      <c r="T9" s="1"/>
      <c r="U9" s="1"/>
      <c r="V9" s="816"/>
      <c r="W9" s="1"/>
      <c r="X9" s="1"/>
      <c r="Y9" s="827"/>
      <c r="Z9" s="1"/>
      <c r="AA9" s="1"/>
      <c r="AB9" s="1"/>
      <c r="AC9" s="1"/>
      <c r="AD9" s="1"/>
      <c r="AE9" s="1"/>
      <c r="AF9" s="1"/>
      <c r="AG9" s="396"/>
      <c r="AH9" s="5"/>
      <c r="AI9" s="5"/>
      <c r="AJ9" s="5"/>
      <c r="AK9" s="5"/>
      <c r="AL9" s="5"/>
      <c r="AM9" s="5"/>
      <c r="AN9" s="1"/>
      <c r="AO9" s="1"/>
      <c r="AP9" s="1"/>
      <c r="AQ9" s="1"/>
      <c r="AR9" s="396"/>
      <c r="AS9" s="1"/>
      <c r="AT9" s="396"/>
      <c r="AU9" s="655"/>
      <c r="AV9" s="6"/>
    </row>
    <row r="10" spans="1:48" ht="30" hidden="1" customHeight="1" x14ac:dyDescent="0.25">
      <c r="A10" s="1358" t="s">
        <v>1</v>
      </c>
      <c r="B10" s="1358"/>
      <c r="C10" s="1358"/>
      <c r="D10" s="1358"/>
      <c r="E10" s="1358"/>
      <c r="F10" s="1358"/>
      <c r="G10" s="1358"/>
      <c r="H10" s="1359" t="s">
        <v>2</v>
      </c>
      <c r="I10" s="1359"/>
      <c r="J10" s="1359"/>
      <c r="K10" s="1359"/>
      <c r="L10" s="1359"/>
      <c r="M10" s="7"/>
      <c r="N10" s="7"/>
      <c r="O10" s="8"/>
      <c r="P10" s="9"/>
      <c r="Q10" s="9"/>
      <c r="R10" s="10"/>
      <c r="S10" s="11"/>
      <c r="T10" s="12" t="s">
        <v>3</v>
      </c>
      <c r="U10" s="12"/>
      <c r="V10" s="817"/>
      <c r="W10" s="12" t="s">
        <v>4</v>
      </c>
      <c r="X10" s="12"/>
      <c r="Y10" s="828"/>
      <c r="Z10" s="12" t="s">
        <v>5</v>
      </c>
      <c r="AA10" s="12"/>
      <c r="AB10" s="12"/>
      <c r="AC10" s="12" t="s">
        <v>6</v>
      </c>
      <c r="AD10" s="12"/>
      <c r="AE10" s="12"/>
      <c r="AF10" s="340"/>
      <c r="AG10" s="397"/>
      <c r="AH10" s="13"/>
      <c r="AI10" s="13"/>
      <c r="AJ10" s="13"/>
      <c r="AK10" s="13"/>
      <c r="AL10" s="13"/>
      <c r="AM10" s="13"/>
      <c r="AN10" s="10"/>
      <c r="AO10" s="10"/>
      <c r="AP10" s="10"/>
      <c r="AQ10" s="401"/>
      <c r="AR10" s="293"/>
      <c r="AS10" s="464"/>
      <c r="AT10" s="293"/>
      <c r="AU10" s="646"/>
      <c r="AV10" s="549"/>
    </row>
    <row r="11" spans="1:48" ht="90.75" customHeight="1" x14ac:dyDescent="0.25">
      <c r="A11" s="14" t="s">
        <v>7</v>
      </c>
      <c r="B11" s="14" t="s">
        <v>8</v>
      </c>
      <c r="C11" s="14" t="s">
        <v>9</v>
      </c>
      <c r="D11" s="14" t="s">
        <v>10</v>
      </c>
      <c r="E11" s="14" t="s">
        <v>11</v>
      </c>
      <c r="F11" s="14" t="s">
        <v>12</v>
      </c>
      <c r="G11" s="14" t="s">
        <v>13</v>
      </c>
      <c r="H11" s="15" t="s">
        <v>14</v>
      </c>
      <c r="I11" s="16" t="s">
        <v>15</v>
      </c>
      <c r="J11" s="17" t="s">
        <v>16</v>
      </c>
      <c r="K11" s="18" t="s">
        <v>1994</v>
      </c>
      <c r="L11" s="8" t="s">
        <v>17</v>
      </c>
      <c r="M11" s="7" t="s">
        <v>18</v>
      </c>
      <c r="N11" s="7" t="s">
        <v>19</v>
      </c>
      <c r="O11" s="7" t="s">
        <v>20</v>
      </c>
      <c r="P11" s="19" t="s">
        <v>21</v>
      </c>
      <c r="Q11" s="19" t="s">
        <v>22</v>
      </c>
      <c r="R11" s="19" t="s">
        <v>23</v>
      </c>
      <c r="S11" s="19" t="s">
        <v>24</v>
      </c>
      <c r="T11" s="19" t="s">
        <v>25</v>
      </c>
      <c r="U11" s="19" t="s">
        <v>26</v>
      </c>
      <c r="V11" s="621" t="s">
        <v>1904</v>
      </c>
      <c r="W11" s="948"/>
      <c r="X11" s="19" t="s">
        <v>27</v>
      </c>
      <c r="Y11" s="829" t="s">
        <v>1905</v>
      </c>
      <c r="Z11" s="19" t="s">
        <v>25</v>
      </c>
      <c r="AA11" s="19" t="s">
        <v>28</v>
      </c>
      <c r="AB11" s="19" t="s">
        <v>1906</v>
      </c>
      <c r="AC11" s="19" t="s">
        <v>25</v>
      </c>
      <c r="AD11" s="19" t="s">
        <v>29</v>
      </c>
      <c r="AE11" s="19" t="s">
        <v>1907</v>
      </c>
      <c r="AF11" s="12" t="s">
        <v>30</v>
      </c>
      <c r="AG11" s="398" t="s">
        <v>1689</v>
      </c>
      <c r="AH11" s="20" t="s">
        <v>1809</v>
      </c>
      <c r="AI11" s="20" t="s">
        <v>1810</v>
      </c>
      <c r="AJ11" s="20" t="s">
        <v>1682</v>
      </c>
      <c r="AK11" s="20" t="s">
        <v>1683</v>
      </c>
      <c r="AL11" s="20" t="s">
        <v>1684</v>
      </c>
      <c r="AM11" s="20" t="s">
        <v>1685</v>
      </c>
      <c r="AN11" s="19" t="s">
        <v>31</v>
      </c>
      <c r="AO11" s="19" t="s">
        <v>1686</v>
      </c>
      <c r="AP11" s="19" t="s">
        <v>1687</v>
      </c>
      <c r="AQ11" s="12" t="s">
        <v>1688</v>
      </c>
      <c r="AR11" s="1360" t="s">
        <v>1690</v>
      </c>
      <c r="AS11" s="1361"/>
      <c r="AT11" s="398" t="s">
        <v>1691</v>
      </c>
      <c r="AU11" s="398" t="s">
        <v>1681</v>
      </c>
      <c r="AV11" s="551" t="s">
        <v>32</v>
      </c>
    </row>
    <row r="12" spans="1:48" ht="15" customHeight="1" x14ac:dyDescent="0.25">
      <c r="A12" s="14"/>
      <c r="B12" s="14"/>
      <c r="C12" s="14"/>
      <c r="D12" s="14"/>
      <c r="E12" s="14"/>
      <c r="F12" s="14"/>
      <c r="G12" s="14"/>
      <c r="H12" s="15"/>
      <c r="I12" s="16"/>
      <c r="J12" s="17"/>
      <c r="K12" s="18"/>
      <c r="L12" s="21" t="s">
        <v>33</v>
      </c>
      <c r="M12" s="22"/>
      <c r="N12" s="22"/>
      <c r="O12" s="22"/>
      <c r="P12" s="23"/>
      <c r="Q12" s="23"/>
      <c r="R12" s="23"/>
      <c r="S12" s="23"/>
      <c r="T12" s="23"/>
      <c r="U12" s="23"/>
      <c r="V12" s="818"/>
      <c r="W12" s="23"/>
      <c r="X12" s="23"/>
      <c r="Y12" s="830"/>
      <c r="Z12" s="23"/>
      <c r="AA12" s="23"/>
      <c r="AB12" s="23"/>
      <c r="AC12" s="23"/>
      <c r="AD12" s="23"/>
      <c r="AE12" s="341"/>
      <c r="AF12" s="341"/>
      <c r="AG12" s="399"/>
      <c r="AH12" s="24" t="s">
        <v>34</v>
      </c>
      <c r="AI12" s="24"/>
      <c r="AJ12" s="24"/>
      <c r="AK12" s="24"/>
      <c r="AL12" s="24"/>
      <c r="AM12" s="24"/>
      <c r="AN12" s="19"/>
      <c r="AO12" s="19"/>
      <c r="AP12" s="19"/>
      <c r="AQ12" s="12"/>
      <c r="AR12" s="398"/>
      <c r="AS12" s="329"/>
      <c r="AT12" s="398"/>
      <c r="AU12" s="656"/>
      <c r="AV12" s="550"/>
    </row>
    <row r="13" spans="1:48" ht="21" x14ac:dyDescent="0.35">
      <c r="A13" s="25"/>
      <c r="B13" s="26"/>
      <c r="C13" s="27"/>
      <c r="D13" s="26"/>
      <c r="E13" s="27"/>
      <c r="F13" s="27"/>
      <c r="G13" s="26"/>
      <c r="H13" s="27"/>
      <c r="I13" s="28"/>
      <c r="J13" s="29">
        <v>57</v>
      </c>
      <c r="K13" s="30" t="s">
        <v>35</v>
      </c>
      <c r="L13" s="31">
        <f>2000000000/59</f>
        <v>33898305.084745765</v>
      </c>
      <c r="M13" s="32"/>
      <c r="N13" s="32"/>
      <c r="O13" s="32"/>
      <c r="P13" s="32"/>
      <c r="Q13" s="33"/>
      <c r="R13" s="32"/>
      <c r="S13" s="34"/>
      <c r="T13" s="34"/>
      <c r="U13" s="34"/>
      <c r="V13" s="819">
        <v>198609805.69</v>
      </c>
      <c r="W13" s="866">
        <f>+V15/J13</f>
        <v>3332128.6717543867</v>
      </c>
      <c r="X13" s="946">
        <f>1000000000-W11</f>
        <v>1000000000</v>
      </c>
      <c r="Y13" s="867">
        <f>+Y15/J13</f>
        <v>6064176.9394912273</v>
      </c>
      <c r="Z13" s="868">
        <f>+W13+Y13</f>
        <v>9396305.6112456135</v>
      </c>
      <c r="AA13" s="32"/>
      <c r="AB13" s="32"/>
      <c r="AC13" s="32"/>
      <c r="AD13" s="32"/>
      <c r="AE13" s="957"/>
      <c r="AF13" s="342"/>
      <c r="AG13" s="869">
        <f>+AG15/J13</f>
        <v>13556622.343936704</v>
      </c>
      <c r="AH13" s="35">
        <v>1000000000</v>
      </c>
      <c r="AI13" s="35"/>
      <c r="AJ13" s="35">
        <v>630279830.27999997</v>
      </c>
      <c r="AK13" s="35"/>
      <c r="AL13" s="35"/>
      <c r="AM13" s="35"/>
      <c r="AN13" s="946"/>
      <c r="AO13" s="32"/>
      <c r="AP13" s="32"/>
      <c r="AQ13" s="402"/>
      <c r="AR13" s="463"/>
      <c r="AS13" s="465"/>
      <c r="AT13" s="463"/>
      <c r="AU13" s="657"/>
      <c r="AV13" s="425"/>
    </row>
    <row r="14" spans="1:48" ht="21.6" customHeight="1" x14ac:dyDescent="0.25">
      <c r="A14" s="25"/>
      <c r="B14" s="26"/>
      <c r="C14" s="27"/>
      <c r="D14" s="26"/>
      <c r="E14" s="27"/>
      <c r="F14" s="27"/>
      <c r="G14" s="26"/>
      <c r="H14" s="28"/>
      <c r="I14" s="36"/>
      <c r="J14" s="29"/>
      <c r="K14" s="532">
        <f>+V14-U14</f>
        <v>12856125.420000017</v>
      </c>
      <c r="L14" s="37"/>
      <c r="M14" s="32"/>
      <c r="N14" s="32"/>
      <c r="O14" s="32"/>
      <c r="P14" s="32"/>
      <c r="Q14" s="33"/>
      <c r="R14" s="32"/>
      <c r="S14" s="34"/>
      <c r="T14" s="34"/>
      <c r="U14" s="35">
        <v>228786122.36000001</v>
      </c>
      <c r="V14" s="820">
        <f>+V15+V989+V1017+V1175+V1433+V1485</f>
        <v>241642247.78000003</v>
      </c>
      <c r="W14" s="35"/>
      <c r="X14" s="35">
        <f t="shared" ref="X14:AJ14" si="0">+X15+X989+X1017+X1175+X1433+X1485</f>
        <v>328278330.91923797</v>
      </c>
      <c r="Y14" s="831">
        <f t="shared" si="0"/>
        <v>386589173.30099994</v>
      </c>
      <c r="Z14" s="35">
        <f t="shared" si="0"/>
        <v>66099717.75</v>
      </c>
      <c r="AA14" s="35">
        <f t="shared" si="0"/>
        <v>303296549.44923794</v>
      </c>
      <c r="AB14" s="35">
        <f t="shared" si="0"/>
        <v>10902829.955</v>
      </c>
      <c r="AC14" s="35" t="e">
        <f t="shared" si="0"/>
        <v>#REF!</v>
      </c>
      <c r="AD14" s="35">
        <f t="shared" si="0"/>
        <v>127177136.78585716</v>
      </c>
      <c r="AE14" s="35">
        <f t="shared" si="0"/>
        <v>3801450</v>
      </c>
      <c r="AF14" s="35" t="e">
        <f t="shared" si="0"/>
        <v>#VALUE!</v>
      </c>
      <c r="AG14" s="35">
        <f t="shared" si="0"/>
        <v>1000129249.9993923</v>
      </c>
      <c r="AH14" s="35">
        <f t="shared" si="0"/>
        <v>999999999.99857116</v>
      </c>
      <c r="AI14" s="35">
        <f t="shared" si="0"/>
        <v>0</v>
      </c>
      <c r="AJ14" s="35">
        <f t="shared" si="0"/>
        <v>630403353.81099987</v>
      </c>
      <c r="AK14" s="35"/>
      <c r="AL14" s="35"/>
      <c r="AM14" s="35"/>
      <c r="AN14" s="32">
        <f>+AJ14/AH14</f>
        <v>0.6304033538119006</v>
      </c>
      <c r="AO14" s="32"/>
      <c r="AP14" s="32"/>
      <c r="AQ14" s="402"/>
      <c r="AR14" s="463"/>
      <c r="AS14" s="465"/>
      <c r="AT14" s="463"/>
      <c r="AU14" s="657"/>
      <c r="AV14" s="425"/>
    </row>
    <row r="15" spans="1:48" ht="20.25" customHeight="1" x14ac:dyDescent="0.25">
      <c r="A15" s="38" t="str">
        <f t="shared" ref="A15:A250" si="1">CONCATENATE(B15,".",C15,".",D15,".",E15,".",F15,".",G15)</f>
        <v>1.0.0.0.0.0</v>
      </c>
      <c r="B15" s="39">
        <v>1</v>
      </c>
      <c r="C15" s="39">
        <v>0</v>
      </c>
      <c r="D15" s="39">
        <v>0</v>
      </c>
      <c r="E15" s="39">
        <v>0</v>
      </c>
      <c r="F15" s="39">
        <v>0</v>
      </c>
      <c r="G15" s="39">
        <v>0</v>
      </c>
      <c r="H15" s="1362" t="s">
        <v>36</v>
      </c>
      <c r="I15" s="1362"/>
      <c r="J15" s="1362"/>
      <c r="K15" s="1362"/>
      <c r="L15" s="40" t="s">
        <v>37</v>
      </c>
      <c r="M15" s="40"/>
      <c r="N15" s="40" t="s">
        <v>37</v>
      </c>
      <c r="O15" s="40" t="s">
        <v>38</v>
      </c>
      <c r="P15" s="41">
        <v>44562</v>
      </c>
      <c r="Q15" s="41">
        <v>44926</v>
      </c>
      <c r="R15" s="40"/>
      <c r="S15" s="40"/>
      <c r="T15" s="40"/>
      <c r="U15" s="42">
        <f>+U16+U130+U136+U637+U725+U773+U861+U902+U935+U939</f>
        <v>233119557.5355714</v>
      </c>
      <c r="V15" s="824">
        <f t="shared" ref="V15:AJ15" si="2">+V16+V136+V637+V725+V773+V861+V902+V935+V939+V130</f>
        <v>189931334.29000005</v>
      </c>
      <c r="W15" s="575">
        <f t="shared" si="2"/>
        <v>3283743.75</v>
      </c>
      <c r="X15" s="575">
        <f t="shared" si="2"/>
        <v>291158860.33257133</v>
      </c>
      <c r="Y15" s="575">
        <f t="shared" si="2"/>
        <v>345658085.55099994</v>
      </c>
      <c r="Z15" s="575">
        <f t="shared" si="2"/>
        <v>40732639.75</v>
      </c>
      <c r="AA15" s="575">
        <f t="shared" si="2"/>
        <v>290433070.13257128</v>
      </c>
      <c r="AB15" s="575">
        <f t="shared" si="2"/>
        <v>10902829.955</v>
      </c>
      <c r="AC15" s="575" t="e">
        <f t="shared" si="2"/>
        <v>#REF!</v>
      </c>
      <c r="AD15" s="575">
        <f t="shared" si="2"/>
        <v>103599896.05585715</v>
      </c>
      <c r="AE15" s="575">
        <f t="shared" si="2"/>
        <v>3801450</v>
      </c>
      <c r="AF15" s="575" t="e">
        <f t="shared" si="2"/>
        <v>#VALUE!</v>
      </c>
      <c r="AG15" s="575">
        <f t="shared" si="2"/>
        <v>772727473.60439217</v>
      </c>
      <c r="AH15" s="575">
        <f t="shared" si="2"/>
        <v>896333600.28857124</v>
      </c>
      <c r="AI15" s="575">
        <f t="shared" si="2"/>
        <v>0</v>
      </c>
      <c r="AJ15" s="575">
        <f t="shared" si="2"/>
        <v>535997509.53099996</v>
      </c>
      <c r="AK15" s="43"/>
      <c r="AL15" s="43"/>
      <c r="AM15" s="43"/>
      <c r="AN15" s="39" t="s">
        <v>39</v>
      </c>
      <c r="AO15" s="311"/>
      <c r="AP15" s="311"/>
      <c r="AQ15" s="311"/>
      <c r="AR15" s="44"/>
      <c r="AS15" s="311"/>
      <c r="AT15" s="44"/>
      <c r="AU15" s="658"/>
      <c r="AV15" s="426"/>
    </row>
    <row r="16" spans="1:48" ht="39" customHeight="1" outlineLevel="1" x14ac:dyDescent="0.25">
      <c r="A16" s="45" t="str">
        <f t="shared" si="1"/>
        <v>1.1.1.0.0.0</v>
      </c>
      <c r="B16" s="46">
        <v>1</v>
      </c>
      <c r="C16" s="46">
        <v>1</v>
      </c>
      <c r="D16" s="46">
        <v>1</v>
      </c>
      <c r="E16" s="46">
        <v>0</v>
      </c>
      <c r="F16" s="46">
        <v>0</v>
      </c>
      <c r="G16" s="46">
        <v>0</v>
      </c>
      <c r="H16" s="47"/>
      <c r="I16" s="1363" t="s">
        <v>40</v>
      </c>
      <c r="J16" s="1363"/>
      <c r="K16" s="1363"/>
      <c r="L16" s="46" t="s">
        <v>41</v>
      </c>
      <c r="M16" s="48" t="s">
        <v>42</v>
      </c>
      <c r="N16" s="48" t="s">
        <v>43</v>
      </c>
      <c r="O16" s="46" t="s">
        <v>44</v>
      </c>
      <c r="P16" s="49">
        <v>44571</v>
      </c>
      <c r="Q16" s="49">
        <v>44925</v>
      </c>
      <c r="R16" s="46"/>
      <c r="S16" s="48"/>
      <c r="T16" s="46"/>
      <c r="U16" s="50">
        <f t="shared" ref="U16:AF16" si="3">+U17+U52+U109+U110</f>
        <v>587571.42000000004</v>
      </c>
      <c r="V16" s="680">
        <f t="shared" si="3"/>
        <v>119301</v>
      </c>
      <c r="W16" s="112">
        <f>+W17+W52+W109+W110</f>
        <v>30</v>
      </c>
      <c r="X16" s="112">
        <f t="shared" si="3"/>
        <v>242571.42</v>
      </c>
      <c r="Y16" s="832">
        <f t="shared" si="3"/>
        <v>84000</v>
      </c>
      <c r="Z16" s="112">
        <f t="shared" si="3"/>
        <v>32</v>
      </c>
      <c r="AA16" s="112">
        <f t="shared" si="3"/>
        <v>80857.149999999994</v>
      </c>
      <c r="AB16" s="112">
        <f t="shared" si="3"/>
        <v>0</v>
      </c>
      <c r="AC16" s="112" t="e">
        <f t="shared" si="3"/>
        <v>#REF!</v>
      </c>
      <c r="AD16" s="112">
        <f t="shared" si="3"/>
        <v>0</v>
      </c>
      <c r="AE16" s="112">
        <f t="shared" si="3"/>
        <v>0</v>
      </c>
      <c r="AF16" s="112">
        <f t="shared" si="3"/>
        <v>0</v>
      </c>
      <c r="AG16" s="112">
        <f>+AG17+AG52+AG109+AG110</f>
        <v>910583.49000000011</v>
      </c>
      <c r="AH16" s="112">
        <f>+AH17+AH52+AH109+AH110</f>
        <v>910999.99000000011</v>
      </c>
      <c r="AI16" s="112">
        <f t="shared" ref="AI16" si="4">+AI17+AI52+AI109+AI110</f>
        <v>0</v>
      </c>
      <c r="AJ16" s="112">
        <f>+AJ17+AJ52+AJ109+AJ110</f>
        <v>203301</v>
      </c>
      <c r="AK16" s="51"/>
      <c r="AL16" s="51"/>
      <c r="AM16" s="51"/>
      <c r="AN16" s="52" t="s">
        <v>39</v>
      </c>
      <c r="AO16" s="52"/>
      <c r="AP16" s="52"/>
      <c r="AQ16" s="403"/>
      <c r="AR16" s="109"/>
      <c r="AS16" s="330"/>
      <c r="AT16" s="109"/>
      <c r="AU16" s="659"/>
      <c r="AV16" s="109"/>
    </row>
    <row r="17" spans="1:48" ht="60" outlineLevel="1" x14ac:dyDescent="0.25">
      <c r="A17" s="53" t="str">
        <f t="shared" si="1"/>
        <v>1.1.1.1.0.0</v>
      </c>
      <c r="B17" s="54">
        <v>1</v>
      </c>
      <c r="C17" s="54">
        <v>1</v>
      </c>
      <c r="D17" s="54">
        <v>1</v>
      </c>
      <c r="E17" s="54">
        <v>1</v>
      </c>
      <c r="F17" s="54">
        <v>0</v>
      </c>
      <c r="G17" s="54">
        <v>0</v>
      </c>
      <c r="H17" s="55"/>
      <c r="I17" s="56"/>
      <c r="J17" s="1351" t="s">
        <v>45</v>
      </c>
      <c r="K17" s="1351"/>
      <c r="L17" s="54" t="s">
        <v>41</v>
      </c>
      <c r="M17" s="57" t="s">
        <v>46</v>
      </c>
      <c r="N17" s="54" t="s">
        <v>47</v>
      </c>
      <c r="O17" s="54" t="s">
        <v>44</v>
      </c>
      <c r="P17" s="58">
        <v>44571</v>
      </c>
      <c r="Q17" s="58">
        <v>44925</v>
      </c>
      <c r="R17" s="59">
        <f>+SUM(R18:R51)</f>
        <v>0</v>
      </c>
      <c r="S17" s="57" t="s">
        <v>48</v>
      </c>
      <c r="T17" s="54">
        <f>+SUM(T18:T51)</f>
        <v>46</v>
      </c>
      <c r="U17" s="60">
        <f t="shared" ref="U17:AD17" si="5">SUM(U25:U38)</f>
        <v>170000</v>
      </c>
      <c r="V17" s="672">
        <f t="shared" si="5"/>
        <v>119301</v>
      </c>
      <c r="W17" s="60">
        <f t="shared" si="5"/>
        <v>0</v>
      </c>
      <c r="X17" s="60">
        <f t="shared" si="5"/>
        <v>0</v>
      </c>
      <c r="Y17" s="833">
        <f t="shared" si="5"/>
        <v>0</v>
      </c>
      <c r="Z17" s="586">
        <f t="shared" si="5"/>
        <v>0</v>
      </c>
      <c r="AA17" s="116">
        <f t="shared" si="5"/>
        <v>0</v>
      </c>
      <c r="AB17" s="799"/>
      <c r="AC17" s="60">
        <f t="shared" si="5"/>
        <v>0</v>
      </c>
      <c r="AD17" s="586">
        <f t="shared" si="5"/>
        <v>0</v>
      </c>
      <c r="AE17" s="116"/>
      <c r="AF17" s="81"/>
      <c r="AG17" s="61">
        <f>+SUM(AG18:AG51)</f>
        <v>170000</v>
      </c>
      <c r="AH17" s="576">
        <f>+SUM(AH18:AH51)</f>
        <v>170000</v>
      </c>
      <c r="AI17" s="576">
        <f t="shared" ref="AI17" si="6">+SUM(AI18:AI51)</f>
        <v>0</v>
      </c>
      <c r="AJ17" s="576">
        <f>+SUM(AJ18:AJ51)</f>
        <v>119301</v>
      </c>
      <c r="AK17" s="61"/>
      <c r="AL17" s="61"/>
      <c r="AM17" s="61"/>
      <c r="AN17" s="62" t="s">
        <v>39</v>
      </c>
      <c r="AO17" s="62"/>
      <c r="AP17" s="62"/>
      <c r="AQ17" s="404"/>
      <c r="AR17" s="62"/>
      <c r="AS17" s="466"/>
      <c r="AT17" s="62"/>
      <c r="AU17" s="660"/>
      <c r="AV17" s="567" t="s">
        <v>49</v>
      </c>
    </row>
    <row r="18" spans="1:48" ht="45" outlineLevel="2" x14ac:dyDescent="0.25">
      <c r="A18" s="63" t="str">
        <f t="shared" si="1"/>
        <v>1.1.1.1.1.58-63-64</v>
      </c>
      <c r="B18" s="64">
        <v>1</v>
      </c>
      <c r="C18" s="64">
        <v>1</v>
      </c>
      <c r="D18" s="64">
        <v>1</v>
      </c>
      <c r="E18" s="64">
        <v>1</v>
      </c>
      <c r="F18" s="64">
        <v>1</v>
      </c>
      <c r="G18" s="64" t="s">
        <v>50</v>
      </c>
      <c r="H18" s="65"/>
      <c r="I18" s="65"/>
      <c r="J18" s="66"/>
      <c r="K18" s="67" t="s">
        <v>51</v>
      </c>
      <c r="L18" s="64" t="s">
        <v>41</v>
      </c>
      <c r="M18" s="68" t="s">
        <v>52</v>
      </c>
      <c r="N18" s="64" t="s">
        <v>53</v>
      </c>
      <c r="O18" s="64" t="s">
        <v>54</v>
      </c>
      <c r="P18" s="69">
        <v>44571</v>
      </c>
      <c r="Q18" s="69">
        <v>44925</v>
      </c>
      <c r="R18" s="64"/>
      <c r="S18" s="70" t="s">
        <v>48</v>
      </c>
      <c r="T18" s="71"/>
      <c r="U18" s="72">
        <f>+U17-V17</f>
        <v>50699</v>
      </c>
      <c r="V18" s="671">
        <v>0</v>
      </c>
      <c r="W18" s="587"/>
      <c r="X18" s="154"/>
      <c r="Y18" s="834">
        <f t="shared" ref="Y18:Y51" si="7">+AJ18-V18</f>
        <v>0</v>
      </c>
      <c r="Z18" s="588">
        <v>11</v>
      </c>
      <c r="AA18" s="170"/>
      <c r="AB18" s="798"/>
      <c r="AC18" s="72"/>
      <c r="AD18" s="587"/>
      <c r="AE18" s="154"/>
      <c r="AF18" s="64" t="s">
        <v>55</v>
      </c>
      <c r="AG18" s="552">
        <v>0</v>
      </c>
      <c r="AH18" s="370">
        <v>0</v>
      </c>
      <c r="AI18" s="75"/>
      <c r="AJ18" s="75"/>
      <c r="AK18" s="75"/>
      <c r="AL18" s="75"/>
      <c r="AM18" s="75"/>
      <c r="AN18" s="76" t="s">
        <v>39</v>
      </c>
      <c r="AO18" s="76"/>
      <c r="AP18" s="76"/>
      <c r="AQ18" s="405"/>
      <c r="AR18" s="76"/>
      <c r="AS18" s="467"/>
      <c r="AT18" s="76"/>
      <c r="AU18" s="661"/>
      <c r="AV18" s="335" t="s">
        <v>56</v>
      </c>
    </row>
    <row r="19" spans="1:48" ht="45" outlineLevel="2" x14ac:dyDescent="0.25">
      <c r="A19" s="63" t="str">
        <f t="shared" si="1"/>
        <v>1.1.1.1.2.59-61-62-60</v>
      </c>
      <c r="B19" s="64">
        <v>1</v>
      </c>
      <c r="C19" s="64">
        <v>1</v>
      </c>
      <c r="D19" s="64">
        <v>1</v>
      </c>
      <c r="E19" s="64">
        <v>1</v>
      </c>
      <c r="F19" s="64">
        <v>2</v>
      </c>
      <c r="G19" s="64" t="s">
        <v>57</v>
      </c>
      <c r="H19" s="65"/>
      <c r="I19" s="65"/>
      <c r="J19" s="66"/>
      <c r="K19" s="67" t="s">
        <v>58</v>
      </c>
      <c r="L19" s="64" t="s">
        <v>41</v>
      </c>
      <c r="M19" s="68" t="s">
        <v>52</v>
      </c>
      <c r="N19" s="64" t="s">
        <v>53</v>
      </c>
      <c r="O19" s="64" t="s">
        <v>44</v>
      </c>
      <c r="P19" s="69">
        <v>44571</v>
      </c>
      <c r="Q19" s="69">
        <v>44925</v>
      </c>
      <c r="R19" s="64"/>
      <c r="S19" s="70" t="s">
        <v>48</v>
      </c>
      <c r="T19" s="71"/>
      <c r="U19" s="72"/>
      <c r="V19" s="671">
        <v>0</v>
      </c>
      <c r="W19" s="587"/>
      <c r="X19" s="154"/>
      <c r="Y19" s="834">
        <f t="shared" si="7"/>
        <v>0</v>
      </c>
      <c r="Z19" s="588">
        <v>8</v>
      </c>
      <c r="AA19" s="170"/>
      <c r="AB19" s="798"/>
      <c r="AC19" s="72"/>
      <c r="AD19" s="587"/>
      <c r="AE19" s="154"/>
      <c r="AF19" s="64" t="s">
        <v>55</v>
      </c>
      <c r="AG19" s="552">
        <v>0</v>
      </c>
      <c r="AH19" s="370">
        <v>0</v>
      </c>
      <c r="AI19" s="75"/>
      <c r="AJ19" s="75"/>
      <c r="AK19" s="75"/>
      <c r="AL19" s="75"/>
      <c r="AM19" s="75"/>
      <c r="AN19" s="76" t="s">
        <v>39</v>
      </c>
      <c r="AO19" s="76"/>
      <c r="AP19" s="76"/>
      <c r="AQ19" s="405"/>
      <c r="AR19" s="76"/>
      <c r="AS19" s="467"/>
      <c r="AT19" s="76"/>
      <c r="AU19" s="661"/>
      <c r="AV19" s="335" t="s">
        <v>59</v>
      </c>
    </row>
    <row r="20" spans="1:48" ht="51.75" customHeight="1" outlineLevel="2" x14ac:dyDescent="0.25">
      <c r="A20" s="63" t="str">
        <f t="shared" si="1"/>
        <v>1.1.1.1.3.58-63-64</v>
      </c>
      <c r="B20" s="64">
        <v>1</v>
      </c>
      <c r="C20" s="64">
        <v>1</v>
      </c>
      <c r="D20" s="64">
        <v>1</v>
      </c>
      <c r="E20" s="64">
        <v>1</v>
      </c>
      <c r="F20" s="64">
        <v>3</v>
      </c>
      <c r="G20" s="64" t="s">
        <v>50</v>
      </c>
      <c r="H20" s="65"/>
      <c r="I20" s="65"/>
      <c r="J20" s="66"/>
      <c r="K20" s="67" t="s">
        <v>60</v>
      </c>
      <c r="L20" s="64" t="s">
        <v>41</v>
      </c>
      <c r="M20" s="68" t="s">
        <v>52</v>
      </c>
      <c r="N20" s="64" t="s">
        <v>53</v>
      </c>
      <c r="O20" s="64" t="s">
        <v>44</v>
      </c>
      <c r="P20" s="69">
        <v>44571</v>
      </c>
      <c r="Q20" s="69">
        <v>44925</v>
      </c>
      <c r="R20" s="64"/>
      <c r="S20" s="70" t="s">
        <v>48</v>
      </c>
      <c r="T20" s="71"/>
      <c r="U20" s="72"/>
      <c r="V20" s="671">
        <v>0</v>
      </c>
      <c r="W20" s="588">
        <v>24</v>
      </c>
      <c r="X20" s="170"/>
      <c r="Y20" s="834">
        <f t="shared" si="7"/>
        <v>0</v>
      </c>
      <c r="Z20" s="587"/>
      <c r="AA20" s="170"/>
      <c r="AB20" s="797"/>
      <c r="AC20" s="72"/>
      <c r="AD20" s="587"/>
      <c r="AE20" s="154"/>
      <c r="AF20" s="64" t="s">
        <v>55</v>
      </c>
      <c r="AG20" s="552">
        <v>0</v>
      </c>
      <c r="AH20" s="370">
        <v>0</v>
      </c>
      <c r="AI20" s="75"/>
      <c r="AJ20" s="75"/>
      <c r="AK20" s="75"/>
      <c r="AL20" s="75"/>
      <c r="AM20" s="75"/>
      <c r="AN20" s="76" t="s">
        <v>39</v>
      </c>
      <c r="AO20" s="76"/>
      <c r="AP20" s="76"/>
      <c r="AQ20" s="405"/>
      <c r="AR20" s="76"/>
      <c r="AS20" s="467"/>
      <c r="AT20" s="76"/>
      <c r="AU20" s="661"/>
      <c r="AV20" s="335" t="s">
        <v>61</v>
      </c>
    </row>
    <row r="21" spans="1:48" ht="48.75" customHeight="1" outlineLevel="2" x14ac:dyDescent="0.25">
      <c r="A21" s="63" t="str">
        <f t="shared" si="1"/>
        <v>1.1.1.1.4.59-61-62-60</v>
      </c>
      <c r="B21" s="64">
        <v>1</v>
      </c>
      <c r="C21" s="64">
        <v>1</v>
      </c>
      <c r="D21" s="64">
        <v>1</v>
      </c>
      <c r="E21" s="64">
        <v>1</v>
      </c>
      <c r="F21" s="64">
        <v>4</v>
      </c>
      <c r="G21" s="64" t="s">
        <v>57</v>
      </c>
      <c r="H21" s="65"/>
      <c r="I21" s="65"/>
      <c r="J21" s="66"/>
      <c r="K21" s="67" t="s">
        <v>62</v>
      </c>
      <c r="L21" s="64" t="s">
        <v>41</v>
      </c>
      <c r="M21" s="68" t="s">
        <v>52</v>
      </c>
      <c r="N21" s="64" t="s">
        <v>53</v>
      </c>
      <c r="O21" s="64" t="s">
        <v>44</v>
      </c>
      <c r="P21" s="69">
        <v>44571</v>
      </c>
      <c r="Q21" s="69">
        <v>44925</v>
      </c>
      <c r="R21" s="64"/>
      <c r="S21" s="70" t="s">
        <v>48</v>
      </c>
      <c r="T21" s="71"/>
      <c r="U21" s="72"/>
      <c r="V21" s="671">
        <v>0</v>
      </c>
      <c r="W21" s="588">
        <v>32</v>
      </c>
      <c r="X21" s="170"/>
      <c r="Y21" s="834">
        <f t="shared" si="7"/>
        <v>0</v>
      </c>
      <c r="Z21" s="587"/>
      <c r="AA21" s="170"/>
      <c r="AB21" s="797"/>
      <c r="AC21" s="72"/>
      <c r="AD21" s="587"/>
      <c r="AE21" s="154"/>
      <c r="AF21" s="64" t="s">
        <v>55</v>
      </c>
      <c r="AG21" s="552">
        <v>0</v>
      </c>
      <c r="AH21" s="370">
        <v>0</v>
      </c>
      <c r="AI21" s="75"/>
      <c r="AJ21" s="75"/>
      <c r="AK21" s="75"/>
      <c r="AL21" s="75"/>
      <c r="AM21" s="75"/>
      <c r="AN21" s="76" t="s">
        <v>39</v>
      </c>
      <c r="AO21" s="76"/>
      <c r="AP21" s="76"/>
      <c r="AQ21" s="405"/>
      <c r="AR21" s="76"/>
      <c r="AS21" s="467"/>
      <c r="AT21" s="76"/>
      <c r="AU21" s="661"/>
      <c r="AV21" s="336" t="s">
        <v>63</v>
      </c>
    </row>
    <row r="22" spans="1:48" ht="54" customHeight="1" outlineLevel="2" x14ac:dyDescent="0.25">
      <c r="A22" s="63" t="str">
        <f t="shared" si="1"/>
        <v>1.1.1.1.5.58-64</v>
      </c>
      <c r="B22" s="64">
        <v>1</v>
      </c>
      <c r="C22" s="64">
        <v>1</v>
      </c>
      <c r="D22" s="64">
        <v>1</v>
      </c>
      <c r="E22" s="64">
        <v>1</v>
      </c>
      <c r="F22" s="64">
        <v>5</v>
      </c>
      <c r="G22" s="64" t="s">
        <v>64</v>
      </c>
      <c r="H22" s="65"/>
      <c r="I22" s="65"/>
      <c r="J22" s="66"/>
      <c r="K22" s="67" t="s">
        <v>65</v>
      </c>
      <c r="L22" s="64" t="s">
        <v>41</v>
      </c>
      <c r="M22" s="68" t="s">
        <v>52</v>
      </c>
      <c r="N22" s="64" t="s">
        <v>53</v>
      </c>
      <c r="O22" s="64" t="s">
        <v>44</v>
      </c>
      <c r="P22" s="69">
        <v>44571</v>
      </c>
      <c r="Q22" s="69">
        <v>44925</v>
      </c>
      <c r="R22" s="64"/>
      <c r="S22" s="70" t="s">
        <v>48</v>
      </c>
      <c r="T22" s="71"/>
      <c r="U22" s="72"/>
      <c r="V22" s="671">
        <v>0</v>
      </c>
      <c r="W22" s="588">
        <v>40</v>
      </c>
      <c r="X22" s="170"/>
      <c r="Y22" s="834">
        <f t="shared" si="7"/>
        <v>0</v>
      </c>
      <c r="Z22" s="587"/>
      <c r="AA22" s="170"/>
      <c r="AB22" s="797"/>
      <c r="AC22" s="587"/>
      <c r="AD22" s="802"/>
      <c r="AE22" s="154"/>
      <c r="AF22" s="64" t="s">
        <v>55</v>
      </c>
      <c r="AG22" s="552">
        <v>0</v>
      </c>
      <c r="AH22" s="370">
        <v>0</v>
      </c>
      <c r="AI22" s="75"/>
      <c r="AJ22" s="75"/>
      <c r="AK22" s="75"/>
      <c r="AL22" s="75"/>
      <c r="AM22" s="75"/>
      <c r="AN22" s="76" t="s">
        <v>39</v>
      </c>
      <c r="AO22" s="76"/>
      <c r="AP22" s="76"/>
      <c r="AQ22" s="405"/>
      <c r="AR22" s="76"/>
      <c r="AS22" s="467"/>
      <c r="AT22" s="76"/>
      <c r="AU22" s="661"/>
      <c r="AV22" s="335" t="s">
        <v>66</v>
      </c>
    </row>
    <row r="23" spans="1:48" ht="75.75" customHeight="1" outlineLevel="2" x14ac:dyDescent="0.25">
      <c r="A23" s="63" t="str">
        <f t="shared" si="1"/>
        <v>1.1.1.1.6.58-63-64</v>
      </c>
      <c r="B23" s="64">
        <v>1</v>
      </c>
      <c r="C23" s="64">
        <v>1</v>
      </c>
      <c r="D23" s="64">
        <v>1</v>
      </c>
      <c r="E23" s="64">
        <v>1</v>
      </c>
      <c r="F23" s="64">
        <v>6</v>
      </c>
      <c r="G23" s="64" t="s">
        <v>50</v>
      </c>
      <c r="H23" s="65"/>
      <c r="I23" s="65"/>
      <c r="J23" s="66"/>
      <c r="K23" s="67" t="s">
        <v>67</v>
      </c>
      <c r="L23" s="64" t="s">
        <v>41</v>
      </c>
      <c r="M23" s="68" t="s">
        <v>52</v>
      </c>
      <c r="N23" s="64" t="s">
        <v>53</v>
      </c>
      <c r="O23" s="64" t="s">
        <v>44</v>
      </c>
      <c r="P23" s="69">
        <v>44571</v>
      </c>
      <c r="Q23" s="69">
        <v>44925</v>
      </c>
      <c r="R23" s="64"/>
      <c r="S23" s="70" t="s">
        <v>48</v>
      </c>
      <c r="T23" s="588">
        <v>13</v>
      </c>
      <c r="U23" s="170"/>
      <c r="V23" s="794">
        <v>0</v>
      </c>
      <c r="W23" s="588">
        <v>59</v>
      </c>
      <c r="X23" s="170"/>
      <c r="Y23" s="834">
        <f t="shared" si="7"/>
        <v>0</v>
      </c>
      <c r="Z23" s="587"/>
      <c r="AA23" s="170"/>
      <c r="AB23" s="797"/>
      <c r="AC23" s="588">
        <v>3</v>
      </c>
      <c r="AD23" s="803"/>
      <c r="AE23" s="807"/>
      <c r="AF23" s="64" t="s">
        <v>55</v>
      </c>
      <c r="AG23" s="552">
        <v>0</v>
      </c>
      <c r="AH23" s="370">
        <v>0</v>
      </c>
      <c r="AI23" s="75"/>
      <c r="AJ23" s="75"/>
      <c r="AK23" s="75"/>
      <c r="AL23" s="75"/>
      <c r="AM23" s="75"/>
      <c r="AN23" s="76" t="s">
        <v>39</v>
      </c>
      <c r="AO23" s="76"/>
      <c r="AP23" s="76"/>
      <c r="AQ23" s="405"/>
      <c r="AR23" s="76"/>
      <c r="AS23" s="467"/>
      <c r="AT23" s="76"/>
      <c r="AU23" s="661"/>
      <c r="AV23" s="337" t="s">
        <v>68</v>
      </c>
    </row>
    <row r="24" spans="1:48" ht="74.25" customHeight="1" outlineLevel="2" x14ac:dyDescent="0.25">
      <c r="A24" s="63" t="str">
        <f t="shared" si="1"/>
        <v>1.1.1.1.7.59-61-62-60</v>
      </c>
      <c r="B24" s="64">
        <v>1</v>
      </c>
      <c r="C24" s="64">
        <v>1</v>
      </c>
      <c r="D24" s="64">
        <v>1</v>
      </c>
      <c r="E24" s="64">
        <v>1</v>
      </c>
      <c r="F24" s="64">
        <v>7</v>
      </c>
      <c r="G24" s="64" t="s">
        <v>57</v>
      </c>
      <c r="H24" s="65"/>
      <c r="I24" s="65"/>
      <c r="J24" s="65"/>
      <c r="K24" s="67" t="s">
        <v>69</v>
      </c>
      <c r="L24" s="64" t="s">
        <v>41</v>
      </c>
      <c r="M24" s="68" t="s">
        <v>52</v>
      </c>
      <c r="N24" s="64" t="s">
        <v>53</v>
      </c>
      <c r="O24" s="64" t="s">
        <v>44</v>
      </c>
      <c r="P24" s="69">
        <v>44571</v>
      </c>
      <c r="Q24" s="69">
        <v>44925</v>
      </c>
      <c r="R24" s="64"/>
      <c r="S24" s="70" t="s">
        <v>48</v>
      </c>
      <c r="T24" s="588">
        <v>16</v>
      </c>
      <c r="U24" s="170"/>
      <c r="V24" s="794">
        <v>0</v>
      </c>
      <c r="W24" s="588">
        <v>20</v>
      </c>
      <c r="X24" s="170"/>
      <c r="Y24" s="834">
        <f t="shared" si="7"/>
        <v>0</v>
      </c>
      <c r="Z24" s="588">
        <v>1</v>
      </c>
      <c r="AA24" s="170"/>
      <c r="AB24" s="798"/>
      <c r="AC24" s="588">
        <v>3</v>
      </c>
      <c r="AD24" s="803"/>
      <c r="AE24" s="807"/>
      <c r="AF24" s="64" t="s">
        <v>55</v>
      </c>
      <c r="AG24" s="552">
        <v>0</v>
      </c>
      <c r="AH24" s="370">
        <v>0</v>
      </c>
      <c r="AI24" s="75"/>
      <c r="AJ24" s="75"/>
      <c r="AK24" s="75"/>
      <c r="AL24" s="75"/>
      <c r="AM24" s="75"/>
      <c r="AN24" s="76" t="s">
        <v>39</v>
      </c>
      <c r="AO24" s="76"/>
      <c r="AP24" s="76"/>
      <c r="AQ24" s="405"/>
      <c r="AR24" s="76"/>
      <c r="AS24" s="467"/>
      <c r="AT24" s="76"/>
      <c r="AU24" s="661"/>
      <c r="AV24" s="337" t="s">
        <v>70</v>
      </c>
    </row>
    <row r="25" spans="1:48" ht="30" outlineLevel="2" x14ac:dyDescent="0.25">
      <c r="A25" s="63" t="str">
        <f t="shared" si="1"/>
        <v>1.1.1.1.8.58</v>
      </c>
      <c r="B25" s="64">
        <v>1</v>
      </c>
      <c r="C25" s="64">
        <v>1</v>
      </c>
      <c r="D25" s="64">
        <v>1</v>
      </c>
      <c r="E25" s="64">
        <v>1</v>
      </c>
      <c r="F25" s="64">
        <v>8</v>
      </c>
      <c r="G25" s="64">
        <v>58</v>
      </c>
      <c r="H25" s="65"/>
      <c r="I25" s="65"/>
      <c r="J25" s="66"/>
      <c r="K25" s="67" t="s">
        <v>71</v>
      </c>
      <c r="L25" s="64" t="s">
        <v>72</v>
      </c>
      <c r="M25" s="64" t="s">
        <v>73</v>
      </c>
      <c r="N25" s="64" t="s">
        <v>74</v>
      </c>
      <c r="O25" s="64" t="s">
        <v>75</v>
      </c>
      <c r="P25" s="69">
        <v>44571</v>
      </c>
      <c r="Q25" s="69">
        <v>44925</v>
      </c>
      <c r="R25" s="64"/>
      <c r="S25" s="70" t="s">
        <v>76</v>
      </c>
      <c r="T25" s="71"/>
      <c r="U25" s="796">
        <f>+AH25</f>
        <v>24000</v>
      </c>
      <c r="V25" s="671">
        <v>0</v>
      </c>
      <c r="W25" s="72"/>
      <c r="X25" s="795"/>
      <c r="Y25" s="834">
        <f t="shared" si="7"/>
        <v>0</v>
      </c>
      <c r="Z25" s="72"/>
      <c r="AA25" s="795"/>
      <c r="AB25" s="72"/>
      <c r="AC25" s="72"/>
      <c r="AD25" s="804"/>
      <c r="AE25" s="154"/>
      <c r="AF25" s="64" t="s">
        <v>77</v>
      </c>
      <c r="AG25" s="502">
        <v>24000</v>
      </c>
      <c r="AH25" s="371">
        <v>24000</v>
      </c>
      <c r="AI25" s="78"/>
      <c r="AJ25" s="78"/>
      <c r="AK25" s="78"/>
      <c r="AL25" s="78"/>
      <c r="AM25" s="78"/>
      <c r="AN25" s="76" t="s">
        <v>39</v>
      </c>
      <c r="AO25" s="312"/>
      <c r="AP25" s="312"/>
      <c r="AQ25" s="406"/>
      <c r="AR25" s="76"/>
      <c r="AS25" s="468"/>
      <c r="AT25" s="76"/>
      <c r="AU25" s="661"/>
      <c r="AV25" s="1352" t="s">
        <v>78</v>
      </c>
    </row>
    <row r="26" spans="1:48" ht="30" outlineLevel="2" x14ac:dyDescent="0.25">
      <c r="A26" s="63" t="str">
        <f t="shared" si="1"/>
        <v>1.1.1.1.8.59</v>
      </c>
      <c r="B26" s="64">
        <v>1</v>
      </c>
      <c r="C26" s="64">
        <v>1</v>
      </c>
      <c r="D26" s="64">
        <v>1</v>
      </c>
      <c r="E26" s="64">
        <v>1</v>
      </c>
      <c r="F26" s="64">
        <v>8</v>
      </c>
      <c r="G26" s="64">
        <v>59</v>
      </c>
      <c r="H26" s="65"/>
      <c r="I26" s="65"/>
      <c r="J26" s="66"/>
      <c r="K26" s="67" t="s">
        <v>79</v>
      </c>
      <c r="L26" s="64" t="s">
        <v>72</v>
      </c>
      <c r="M26" s="64" t="s">
        <v>73</v>
      </c>
      <c r="N26" s="64" t="s">
        <v>74</v>
      </c>
      <c r="O26" s="64" t="s">
        <v>75</v>
      </c>
      <c r="P26" s="69">
        <v>44571</v>
      </c>
      <c r="Q26" s="69">
        <v>44925</v>
      </c>
      <c r="R26" s="64"/>
      <c r="S26" s="70" t="s">
        <v>76</v>
      </c>
      <c r="T26" s="71"/>
      <c r="U26" s="77">
        <f t="shared" ref="U26:U27" si="8">+AH26</f>
        <v>24000</v>
      </c>
      <c r="V26" s="671">
        <v>0</v>
      </c>
      <c r="W26" s="72"/>
      <c r="X26" s="72"/>
      <c r="Y26" s="834">
        <f t="shared" si="7"/>
        <v>0</v>
      </c>
      <c r="Z26" s="72"/>
      <c r="AA26" s="72"/>
      <c r="AB26" s="72"/>
      <c r="AC26" s="72"/>
      <c r="AD26" s="587"/>
      <c r="AE26" s="154"/>
      <c r="AF26" s="64" t="s">
        <v>77</v>
      </c>
      <c r="AG26" s="502">
        <v>24000</v>
      </c>
      <c r="AH26" s="371">
        <v>24000</v>
      </c>
      <c r="AI26" s="78"/>
      <c r="AJ26" s="78"/>
      <c r="AK26" s="78"/>
      <c r="AL26" s="78"/>
      <c r="AM26" s="78"/>
      <c r="AN26" s="76" t="s">
        <v>39</v>
      </c>
      <c r="AO26" s="312"/>
      <c r="AP26" s="312"/>
      <c r="AQ26" s="406"/>
      <c r="AR26" s="76"/>
      <c r="AS26" s="468"/>
      <c r="AT26" s="76"/>
      <c r="AU26" s="661"/>
      <c r="AV26" s="1352"/>
    </row>
    <row r="27" spans="1:48" ht="30" outlineLevel="2" x14ac:dyDescent="0.25">
      <c r="A27" s="63" t="str">
        <f t="shared" si="1"/>
        <v>1.1.1.1.8.60</v>
      </c>
      <c r="B27" s="64">
        <v>1</v>
      </c>
      <c r="C27" s="64">
        <v>1</v>
      </c>
      <c r="D27" s="64">
        <v>1</v>
      </c>
      <c r="E27" s="64">
        <v>1</v>
      </c>
      <c r="F27" s="64">
        <v>8</v>
      </c>
      <c r="G27" s="64">
        <v>60</v>
      </c>
      <c r="H27" s="65"/>
      <c r="I27" s="65"/>
      <c r="J27" s="66"/>
      <c r="K27" s="67" t="s">
        <v>80</v>
      </c>
      <c r="L27" s="64" t="s">
        <v>72</v>
      </c>
      <c r="M27" s="64" t="s">
        <v>73</v>
      </c>
      <c r="N27" s="64" t="s">
        <v>74</v>
      </c>
      <c r="O27" s="64" t="s">
        <v>75</v>
      </c>
      <c r="P27" s="69">
        <v>44571</v>
      </c>
      <c r="Q27" s="69">
        <v>44925</v>
      </c>
      <c r="R27" s="64"/>
      <c r="S27" s="70" t="s">
        <v>76</v>
      </c>
      <c r="T27" s="71"/>
      <c r="U27" s="77">
        <f t="shared" si="8"/>
        <v>25000</v>
      </c>
      <c r="V27" s="671">
        <v>0</v>
      </c>
      <c r="W27" s="72"/>
      <c r="X27" s="72"/>
      <c r="Y27" s="834">
        <f t="shared" si="7"/>
        <v>0</v>
      </c>
      <c r="Z27" s="72"/>
      <c r="AA27" s="72"/>
      <c r="AB27" s="72"/>
      <c r="AC27" s="72"/>
      <c r="AD27" s="587"/>
      <c r="AE27" s="154"/>
      <c r="AF27" s="64" t="s">
        <v>77</v>
      </c>
      <c r="AG27" s="502">
        <v>25000</v>
      </c>
      <c r="AH27" s="371">
        <v>25000</v>
      </c>
      <c r="AI27" s="78"/>
      <c r="AJ27" s="78"/>
      <c r="AK27" s="78"/>
      <c r="AL27" s="78"/>
      <c r="AM27" s="78"/>
      <c r="AN27" s="76" t="s">
        <v>39</v>
      </c>
      <c r="AO27" s="312"/>
      <c r="AP27" s="312"/>
      <c r="AQ27" s="406"/>
      <c r="AR27" s="76"/>
      <c r="AS27" s="468"/>
      <c r="AT27" s="76"/>
      <c r="AU27" s="661"/>
      <c r="AV27" s="1352"/>
    </row>
    <row r="28" spans="1:48" ht="30" outlineLevel="2" x14ac:dyDescent="0.25">
      <c r="A28" s="63" t="str">
        <f t="shared" si="1"/>
        <v>1.1.1.1.8.61</v>
      </c>
      <c r="B28" s="64">
        <v>1</v>
      </c>
      <c r="C28" s="64">
        <v>1</v>
      </c>
      <c r="D28" s="64">
        <v>1</v>
      </c>
      <c r="E28" s="64">
        <v>1</v>
      </c>
      <c r="F28" s="64">
        <v>8</v>
      </c>
      <c r="G28" s="64">
        <v>61</v>
      </c>
      <c r="H28" s="65"/>
      <c r="I28" s="65"/>
      <c r="J28" s="66"/>
      <c r="K28" s="67" t="s">
        <v>81</v>
      </c>
      <c r="L28" s="64" t="s">
        <v>72</v>
      </c>
      <c r="M28" s="64" t="s">
        <v>73</v>
      </c>
      <c r="N28" s="64" t="s">
        <v>74</v>
      </c>
      <c r="O28" s="64" t="s">
        <v>75</v>
      </c>
      <c r="P28" s="69">
        <v>44571</v>
      </c>
      <c r="Q28" s="69">
        <v>44925</v>
      </c>
      <c r="R28" s="64"/>
      <c r="S28" s="70" t="s">
        <v>76</v>
      </c>
      <c r="T28" s="71"/>
      <c r="U28" s="77">
        <v>25000</v>
      </c>
      <c r="V28" s="671">
        <v>0</v>
      </c>
      <c r="W28" s="72"/>
      <c r="X28" s="72"/>
      <c r="Y28" s="834">
        <f t="shared" si="7"/>
        <v>0</v>
      </c>
      <c r="Z28" s="72"/>
      <c r="AA28" s="72"/>
      <c r="AB28" s="72"/>
      <c r="AC28" s="72"/>
      <c r="AD28" s="587"/>
      <c r="AE28" s="154"/>
      <c r="AF28" s="64" t="s">
        <v>77</v>
      </c>
      <c r="AG28" s="502">
        <v>25000</v>
      </c>
      <c r="AH28" s="371">
        <v>25000</v>
      </c>
      <c r="AI28" s="78"/>
      <c r="AJ28" s="78"/>
      <c r="AK28" s="78"/>
      <c r="AL28" s="78"/>
      <c r="AM28" s="78"/>
      <c r="AN28" s="76" t="s">
        <v>39</v>
      </c>
      <c r="AO28" s="312"/>
      <c r="AP28" s="312"/>
      <c r="AQ28" s="406"/>
      <c r="AR28" s="76"/>
      <c r="AS28" s="468"/>
      <c r="AT28" s="76"/>
      <c r="AU28" s="661"/>
      <c r="AV28" s="1352"/>
    </row>
    <row r="29" spans="1:48" ht="30" outlineLevel="2" x14ac:dyDescent="0.25">
      <c r="A29" s="63" t="str">
        <f t="shared" si="1"/>
        <v>1.1.1.1.8.62</v>
      </c>
      <c r="B29" s="64">
        <v>1</v>
      </c>
      <c r="C29" s="64">
        <v>1</v>
      </c>
      <c r="D29" s="64">
        <v>1</v>
      </c>
      <c r="E29" s="64">
        <v>1</v>
      </c>
      <c r="F29" s="64">
        <v>8</v>
      </c>
      <c r="G29" s="64">
        <v>62</v>
      </c>
      <c r="H29" s="65"/>
      <c r="I29" s="65"/>
      <c r="J29" s="66"/>
      <c r="K29" s="67" t="s">
        <v>1720</v>
      </c>
      <c r="L29" s="64" t="s">
        <v>72</v>
      </c>
      <c r="M29" s="64" t="s">
        <v>73</v>
      </c>
      <c r="N29" s="64" t="s">
        <v>74</v>
      </c>
      <c r="O29" s="64" t="s">
        <v>75</v>
      </c>
      <c r="P29" s="69">
        <v>44571</v>
      </c>
      <c r="Q29" s="69">
        <v>44925</v>
      </c>
      <c r="R29" s="64"/>
      <c r="S29" s="70" t="s">
        <v>76</v>
      </c>
      <c r="T29" s="71"/>
      <c r="U29" s="77">
        <v>24000</v>
      </c>
      <c r="V29" s="671">
        <v>0</v>
      </c>
      <c r="W29" s="72"/>
      <c r="X29" s="72"/>
      <c r="Y29" s="834">
        <f t="shared" si="7"/>
        <v>0</v>
      </c>
      <c r="Z29" s="72"/>
      <c r="AA29" s="72"/>
      <c r="AB29" s="72"/>
      <c r="AC29" s="72"/>
      <c r="AD29" s="587"/>
      <c r="AE29" s="154"/>
      <c r="AF29" s="64" t="s">
        <v>77</v>
      </c>
      <c r="AG29" s="502">
        <v>24000</v>
      </c>
      <c r="AH29" s="371">
        <v>24000</v>
      </c>
      <c r="AI29" s="78"/>
      <c r="AJ29" s="78"/>
      <c r="AK29" s="78"/>
      <c r="AL29" s="78"/>
      <c r="AM29" s="78"/>
      <c r="AN29" s="76" t="s">
        <v>39</v>
      </c>
      <c r="AO29" s="312"/>
      <c r="AP29" s="312"/>
      <c r="AQ29" s="406"/>
      <c r="AR29" s="76"/>
      <c r="AS29" s="468"/>
      <c r="AT29" s="76"/>
      <c r="AU29" s="661"/>
      <c r="AV29" s="1352"/>
    </row>
    <row r="30" spans="1:48" ht="30" outlineLevel="2" x14ac:dyDescent="0.25">
      <c r="A30" s="63" t="str">
        <f t="shared" si="1"/>
        <v>1.1.1.1.8.63</v>
      </c>
      <c r="B30" s="64">
        <v>1</v>
      </c>
      <c r="C30" s="64">
        <v>1</v>
      </c>
      <c r="D30" s="64">
        <v>1</v>
      </c>
      <c r="E30" s="64">
        <v>1</v>
      </c>
      <c r="F30" s="64">
        <v>8</v>
      </c>
      <c r="G30" s="64">
        <v>63</v>
      </c>
      <c r="H30" s="65"/>
      <c r="I30" s="65"/>
      <c r="J30" s="66"/>
      <c r="K30" s="67" t="s">
        <v>82</v>
      </c>
      <c r="L30" s="64" t="s">
        <v>72</v>
      </c>
      <c r="M30" s="64" t="s">
        <v>73</v>
      </c>
      <c r="N30" s="64" t="s">
        <v>74</v>
      </c>
      <c r="O30" s="64" t="s">
        <v>75</v>
      </c>
      <c r="P30" s="69">
        <v>44571</v>
      </c>
      <c r="Q30" s="69">
        <v>44925</v>
      </c>
      <c r="R30" s="64"/>
      <c r="S30" s="70" t="s">
        <v>76</v>
      </c>
      <c r="T30" s="71"/>
      <c r="U30" s="77">
        <v>24000</v>
      </c>
      <c r="V30" s="671">
        <v>0</v>
      </c>
      <c r="W30" s="72"/>
      <c r="X30" s="72"/>
      <c r="Y30" s="834">
        <f t="shared" si="7"/>
        <v>0</v>
      </c>
      <c r="Z30" s="72"/>
      <c r="AA30" s="72"/>
      <c r="AB30" s="72"/>
      <c r="AC30" s="72"/>
      <c r="AD30" s="587"/>
      <c r="AE30" s="154"/>
      <c r="AF30" s="64" t="s">
        <v>77</v>
      </c>
      <c r="AG30" s="502">
        <v>24000</v>
      </c>
      <c r="AH30" s="371">
        <v>24000</v>
      </c>
      <c r="AI30" s="78"/>
      <c r="AJ30" s="78"/>
      <c r="AK30" s="78"/>
      <c r="AL30" s="78"/>
      <c r="AM30" s="78"/>
      <c r="AN30" s="76" t="s">
        <v>39</v>
      </c>
      <c r="AO30" s="312"/>
      <c r="AP30" s="312"/>
      <c r="AQ30" s="406"/>
      <c r="AR30" s="76"/>
      <c r="AS30" s="468"/>
      <c r="AT30" s="76"/>
      <c r="AU30" s="661"/>
      <c r="AV30" s="1352"/>
    </row>
    <row r="31" spans="1:48" ht="30" outlineLevel="2" x14ac:dyDescent="0.25">
      <c r="A31" s="63" t="str">
        <f t="shared" si="1"/>
        <v>1.1.1.1.8.64</v>
      </c>
      <c r="B31" s="64">
        <v>1</v>
      </c>
      <c r="C31" s="64">
        <v>1</v>
      </c>
      <c r="D31" s="64">
        <v>1</v>
      </c>
      <c r="E31" s="64">
        <v>1</v>
      </c>
      <c r="F31" s="64">
        <v>8</v>
      </c>
      <c r="G31" s="64">
        <v>64</v>
      </c>
      <c r="H31" s="65"/>
      <c r="I31" s="65"/>
      <c r="J31" s="66"/>
      <c r="K31" s="67" t="s">
        <v>83</v>
      </c>
      <c r="L31" s="64" t="s">
        <v>72</v>
      </c>
      <c r="M31" s="64" t="s">
        <v>73</v>
      </c>
      <c r="N31" s="64" t="s">
        <v>74</v>
      </c>
      <c r="O31" s="64" t="s">
        <v>75</v>
      </c>
      <c r="P31" s="69">
        <v>44571</v>
      </c>
      <c r="Q31" s="69">
        <v>44925</v>
      </c>
      <c r="R31" s="64"/>
      <c r="S31" s="70" t="s">
        <v>76</v>
      </c>
      <c r="T31" s="71"/>
      <c r="U31" s="77">
        <v>24000</v>
      </c>
      <c r="V31" s="671">
        <v>0</v>
      </c>
      <c r="W31" s="72"/>
      <c r="X31" s="72"/>
      <c r="Y31" s="834">
        <f t="shared" si="7"/>
        <v>0</v>
      </c>
      <c r="Z31" s="72"/>
      <c r="AA31" s="72"/>
      <c r="AB31" s="72"/>
      <c r="AC31" s="72"/>
      <c r="AD31" s="587"/>
      <c r="AE31" s="154"/>
      <c r="AF31" s="64" t="s">
        <v>77</v>
      </c>
      <c r="AG31" s="502">
        <v>24000</v>
      </c>
      <c r="AH31" s="371">
        <v>24000</v>
      </c>
      <c r="AI31" s="78"/>
      <c r="AJ31" s="78"/>
      <c r="AK31" s="78"/>
      <c r="AL31" s="78"/>
      <c r="AM31" s="78"/>
      <c r="AN31" s="76" t="s">
        <v>39</v>
      </c>
      <c r="AO31" s="312"/>
      <c r="AP31" s="312"/>
      <c r="AQ31" s="406"/>
      <c r="AR31" s="76"/>
      <c r="AS31" s="468"/>
      <c r="AT31" s="76"/>
      <c r="AU31" s="661"/>
      <c r="AV31" s="1352"/>
    </row>
    <row r="32" spans="1:48" ht="60" outlineLevel="2" x14ac:dyDescent="0.25">
      <c r="A32" s="63" t="str">
        <f t="shared" si="1"/>
        <v>1.1.1.1.9.58</v>
      </c>
      <c r="B32" s="64">
        <v>1</v>
      </c>
      <c r="C32" s="64">
        <v>1</v>
      </c>
      <c r="D32" s="64">
        <v>1</v>
      </c>
      <c r="E32" s="64">
        <v>1</v>
      </c>
      <c r="F32" s="64">
        <v>9</v>
      </c>
      <c r="G32" s="64">
        <v>58</v>
      </c>
      <c r="H32" s="65"/>
      <c r="I32" s="65"/>
      <c r="J32" s="66"/>
      <c r="K32" s="67" t="s">
        <v>84</v>
      </c>
      <c r="L32" s="64" t="s">
        <v>72</v>
      </c>
      <c r="M32" s="64" t="s">
        <v>73</v>
      </c>
      <c r="N32" s="64" t="s">
        <v>74</v>
      </c>
      <c r="O32" s="64" t="s">
        <v>75</v>
      </c>
      <c r="P32" s="69">
        <v>44571</v>
      </c>
      <c r="Q32" s="69">
        <v>44925</v>
      </c>
      <c r="R32" s="64"/>
      <c r="S32" s="70" t="s">
        <v>76</v>
      </c>
      <c r="T32" s="71"/>
      <c r="U32" s="72"/>
      <c r="V32" s="671">
        <v>17043</v>
      </c>
      <c r="W32" s="72"/>
      <c r="X32" s="72"/>
      <c r="Y32" s="834">
        <f t="shared" si="7"/>
        <v>0</v>
      </c>
      <c r="Z32" s="72"/>
      <c r="AA32" s="72"/>
      <c r="AB32" s="72"/>
      <c r="AC32" s="72"/>
      <c r="AD32" s="587"/>
      <c r="AE32" s="154"/>
      <c r="AF32" s="64" t="s">
        <v>85</v>
      </c>
      <c r="AG32" s="552">
        <v>0</v>
      </c>
      <c r="AH32" s="370">
        <v>0</v>
      </c>
      <c r="AI32" s="75"/>
      <c r="AJ32" s="584">
        <v>17043</v>
      </c>
      <c r="AK32" s="75"/>
      <c r="AL32" s="75"/>
      <c r="AM32" s="75"/>
      <c r="AN32" s="76" t="s">
        <v>39</v>
      </c>
      <c r="AO32" s="76"/>
      <c r="AP32" s="76"/>
      <c r="AQ32" s="405"/>
      <c r="AR32" s="76"/>
      <c r="AS32" s="467"/>
      <c r="AT32" s="76"/>
      <c r="AU32" s="877">
        <v>276</v>
      </c>
      <c r="AV32" s="335" t="s">
        <v>86</v>
      </c>
    </row>
    <row r="33" spans="1:48" ht="60" outlineLevel="2" x14ac:dyDescent="0.25">
      <c r="A33" s="63" t="str">
        <f t="shared" si="1"/>
        <v>1.1.1.1.9.59</v>
      </c>
      <c r="B33" s="64">
        <v>1</v>
      </c>
      <c r="C33" s="64">
        <v>1</v>
      </c>
      <c r="D33" s="64">
        <v>1</v>
      </c>
      <c r="E33" s="64">
        <v>1</v>
      </c>
      <c r="F33" s="64">
        <v>9</v>
      </c>
      <c r="G33" s="64">
        <v>59</v>
      </c>
      <c r="H33" s="65"/>
      <c r="I33" s="65"/>
      <c r="J33" s="66"/>
      <c r="K33" s="67" t="s">
        <v>84</v>
      </c>
      <c r="L33" s="64" t="s">
        <v>72</v>
      </c>
      <c r="M33" s="64" t="s">
        <v>73</v>
      </c>
      <c r="N33" s="64" t="s">
        <v>74</v>
      </c>
      <c r="O33" s="64" t="s">
        <v>75</v>
      </c>
      <c r="P33" s="69">
        <v>44571</v>
      </c>
      <c r="Q33" s="69">
        <v>44925</v>
      </c>
      <c r="R33" s="64"/>
      <c r="S33" s="70" t="s">
        <v>76</v>
      </c>
      <c r="T33" s="71"/>
      <c r="U33" s="72"/>
      <c r="V33" s="671">
        <v>17043</v>
      </c>
      <c r="W33" s="72"/>
      <c r="X33" s="72"/>
      <c r="Y33" s="834">
        <f t="shared" si="7"/>
        <v>0</v>
      </c>
      <c r="Z33" s="72"/>
      <c r="AA33" s="72"/>
      <c r="AB33" s="72"/>
      <c r="AC33" s="72"/>
      <c r="AD33" s="587"/>
      <c r="AE33" s="154"/>
      <c r="AF33" s="64" t="s">
        <v>85</v>
      </c>
      <c r="AG33" s="552">
        <v>0</v>
      </c>
      <c r="AH33" s="370">
        <v>0</v>
      </c>
      <c r="AI33" s="75"/>
      <c r="AJ33" s="584">
        <v>17043</v>
      </c>
      <c r="AK33" s="75"/>
      <c r="AL33" s="75"/>
      <c r="AM33" s="75"/>
      <c r="AN33" s="76" t="s">
        <v>39</v>
      </c>
      <c r="AO33" s="76"/>
      <c r="AP33" s="76"/>
      <c r="AQ33" s="405"/>
      <c r="AR33" s="76"/>
      <c r="AS33" s="467"/>
      <c r="AT33" s="76"/>
      <c r="AU33" s="877">
        <v>276</v>
      </c>
      <c r="AV33" s="335" t="s">
        <v>86</v>
      </c>
    </row>
    <row r="34" spans="1:48" ht="60" outlineLevel="2" x14ac:dyDescent="0.25">
      <c r="A34" s="63" t="str">
        <f t="shared" si="1"/>
        <v>1.1.1.1.9.60</v>
      </c>
      <c r="B34" s="64">
        <v>1</v>
      </c>
      <c r="C34" s="64">
        <v>1</v>
      </c>
      <c r="D34" s="64">
        <v>1</v>
      </c>
      <c r="E34" s="64">
        <v>1</v>
      </c>
      <c r="F34" s="64">
        <v>9</v>
      </c>
      <c r="G34" s="64">
        <v>60</v>
      </c>
      <c r="H34" s="65"/>
      <c r="I34" s="65"/>
      <c r="J34" s="66"/>
      <c r="K34" s="67" t="s">
        <v>84</v>
      </c>
      <c r="L34" s="64" t="s">
        <v>72</v>
      </c>
      <c r="M34" s="64" t="s">
        <v>73</v>
      </c>
      <c r="N34" s="64" t="s">
        <v>74</v>
      </c>
      <c r="O34" s="64" t="s">
        <v>75</v>
      </c>
      <c r="P34" s="69">
        <v>44571</v>
      </c>
      <c r="Q34" s="69">
        <v>44925</v>
      </c>
      <c r="R34" s="64"/>
      <c r="S34" s="70" t="s">
        <v>76</v>
      </c>
      <c r="T34" s="71"/>
      <c r="U34" s="72"/>
      <c r="V34" s="671">
        <v>17043</v>
      </c>
      <c r="W34" s="72"/>
      <c r="X34" s="72"/>
      <c r="Y34" s="834">
        <f t="shared" si="7"/>
        <v>0</v>
      </c>
      <c r="Z34" s="72"/>
      <c r="AA34" s="72"/>
      <c r="AB34" s="72"/>
      <c r="AC34" s="72"/>
      <c r="AD34" s="587"/>
      <c r="AE34" s="154"/>
      <c r="AF34" s="64" t="s">
        <v>85</v>
      </c>
      <c r="AG34" s="552">
        <v>0</v>
      </c>
      <c r="AH34" s="370">
        <v>0</v>
      </c>
      <c r="AI34" s="75"/>
      <c r="AJ34" s="701">
        <v>17043</v>
      </c>
      <c r="AK34" s="75"/>
      <c r="AL34" s="75"/>
      <c r="AM34" s="75"/>
      <c r="AN34" s="76" t="s">
        <v>39</v>
      </c>
      <c r="AO34" s="76"/>
      <c r="AP34" s="76"/>
      <c r="AQ34" s="405"/>
      <c r="AR34" s="76"/>
      <c r="AS34" s="467"/>
      <c r="AT34" s="76"/>
      <c r="AU34" s="877">
        <v>276</v>
      </c>
      <c r="AV34" s="335" t="s">
        <v>86</v>
      </c>
    </row>
    <row r="35" spans="1:48" ht="60" outlineLevel="2" x14ac:dyDescent="0.25">
      <c r="A35" s="63" t="str">
        <f t="shared" si="1"/>
        <v>1.1.1.1.9.61</v>
      </c>
      <c r="B35" s="64">
        <v>1</v>
      </c>
      <c r="C35" s="64">
        <v>1</v>
      </c>
      <c r="D35" s="64">
        <v>1</v>
      </c>
      <c r="E35" s="64">
        <v>1</v>
      </c>
      <c r="F35" s="64">
        <v>9</v>
      </c>
      <c r="G35" s="64">
        <v>61</v>
      </c>
      <c r="H35" s="65"/>
      <c r="I35" s="65"/>
      <c r="J35" s="66"/>
      <c r="K35" s="67" t="s">
        <v>84</v>
      </c>
      <c r="L35" s="64" t="s">
        <v>72</v>
      </c>
      <c r="M35" s="64" t="s">
        <v>73</v>
      </c>
      <c r="N35" s="64" t="s">
        <v>74</v>
      </c>
      <c r="O35" s="64" t="s">
        <v>75</v>
      </c>
      <c r="P35" s="69">
        <v>44571</v>
      </c>
      <c r="Q35" s="69">
        <v>44925</v>
      </c>
      <c r="R35" s="64"/>
      <c r="S35" s="70" t="s">
        <v>76</v>
      </c>
      <c r="T35" s="71"/>
      <c r="U35" s="72"/>
      <c r="V35" s="671">
        <v>17043</v>
      </c>
      <c r="W35" s="72"/>
      <c r="X35" s="72"/>
      <c r="Y35" s="834">
        <f t="shared" si="7"/>
        <v>0</v>
      </c>
      <c r="Z35" s="72"/>
      <c r="AA35" s="72"/>
      <c r="AB35" s="72"/>
      <c r="AC35" s="72"/>
      <c r="AD35" s="587"/>
      <c r="AE35" s="154"/>
      <c r="AF35" s="64" t="s">
        <v>85</v>
      </c>
      <c r="AG35" s="552">
        <v>0</v>
      </c>
      <c r="AH35" s="370">
        <v>0</v>
      </c>
      <c r="AI35" s="75"/>
      <c r="AJ35" s="701">
        <v>17043</v>
      </c>
      <c r="AK35" s="75"/>
      <c r="AL35" s="75"/>
      <c r="AM35" s="75"/>
      <c r="AN35" s="76" t="s">
        <v>39</v>
      </c>
      <c r="AO35" s="76"/>
      <c r="AP35" s="76"/>
      <c r="AQ35" s="405"/>
      <c r="AR35" s="76"/>
      <c r="AS35" s="467"/>
      <c r="AT35" s="76"/>
      <c r="AU35" s="877">
        <v>276</v>
      </c>
      <c r="AV35" s="335" t="s">
        <v>86</v>
      </c>
    </row>
    <row r="36" spans="1:48" ht="60" outlineLevel="2" x14ac:dyDescent="0.25">
      <c r="A36" s="63" t="str">
        <f t="shared" si="1"/>
        <v>1.1.1.1.9.62</v>
      </c>
      <c r="B36" s="64">
        <v>1</v>
      </c>
      <c r="C36" s="64">
        <v>1</v>
      </c>
      <c r="D36" s="64">
        <v>1</v>
      </c>
      <c r="E36" s="64">
        <v>1</v>
      </c>
      <c r="F36" s="64">
        <v>9</v>
      </c>
      <c r="G36" s="64">
        <v>62</v>
      </c>
      <c r="H36" s="65"/>
      <c r="I36" s="65"/>
      <c r="J36" s="66"/>
      <c r="K36" s="67" t="s">
        <v>84</v>
      </c>
      <c r="L36" s="64" t="s">
        <v>72</v>
      </c>
      <c r="M36" s="64" t="s">
        <v>73</v>
      </c>
      <c r="N36" s="64" t="s">
        <v>74</v>
      </c>
      <c r="O36" s="64" t="s">
        <v>75</v>
      </c>
      <c r="P36" s="69">
        <v>44571</v>
      </c>
      <c r="Q36" s="69">
        <v>44925</v>
      </c>
      <c r="R36" s="64"/>
      <c r="S36" s="70" t="s">
        <v>76</v>
      </c>
      <c r="T36" s="71"/>
      <c r="U36" s="72"/>
      <c r="V36" s="671">
        <v>17043</v>
      </c>
      <c r="W36" s="72"/>
      <c r="X36" s="72"/>
      <c r="Y36" s="834">
        <f t="shared" si="7"/>
        <v>0</v>
      </c>
      <c r="Z36" s="72"/>
      <c r="AA36" s="72"/>
      <c r="AB36" s="72"/>
      <c r="AC36" s="72"/>
      <c r="AD36" s="587"/>
      <c r="AE36" s="154"/>
      <c r="AF36" s="64" t="s">
        <v>85</v>
      </c>
      <c r="AG36" s="552">
        <v>0</v>
      </c>
      <c r="AH36" s="370">
        <v>0</v>
      </c>
      <c r="AI36" s="75"/>
      <c r="AJ36" s="701">
        <v>17043</v>
      </c>
      <c r="AK36" s="75"/>
      <c r="AL36" s="75"/>
      <c r="AM36" s="75"/>
      <c r="AN36" s="76" t="s">
        <v>39</v>
      </c>
      <c r="AO36" s="76"/>
      <c r="AP36" s="76"/>
      <c r="AQ36" s="405"/>
      <c r="AR36" s="76"/>
      <c r="AS36" s="467"/>
      <c r="AT36" s="76"/>
      <c r="AU36" s="877">
        <v>276</v>
      </c>
      <c r="AV36" s="335" t="s">
        <v>86</v>
      </c>
    </row>
    <row r="37" spans="1:48" ht="60" outlineLevel="2" x14ac:dyDescent="0.25">
      <c r="A37" s="63" t="str">
        <f t="shared" si="1"/>
        <v>1.1.1.1.9.63</v>
      </c>
      <c r="B37" s="64">
        <v>1</v>
      </c>
      <c r="C37" s="64">
        <v>1</v>
      </c>
      <c r="D37" s="64">
        <v>1</v>
      </c>
      <c r="E37" s="64">
        <v>1</v>
      </c>
      <c r="F37" s="64">
        <v>9</v>
      </c>
      <c r="G37" s="64">
        <v>63</v>
      </c>
      <c r="H37" s="65"/>
      <c r="I37" s="65"/>
      <c r="J37" s="66"/>
      <c r="K37" s="67" t="s">
        <v>84</v>
      </c>
      <c r="L37" s="64" t="s">
        <v>72</v>
      </c>
      <c r="M37" s="64" t="s">
        <v>73</v>
      </c>
      <c r="N37" s="64" t="s">
        <v>74</v>
      </c>
      <c r="O37" s="64" t="s">
        <v>75</v>
      </c>
      <c r="P37" s="69">
        <v>44571</v>
      </c>
      <c r="Q37" s="69">
        <v>44925</v>
      </c>
      <c r="R37" s="64"/>
      <c r="S37" s="70" t="s">
        <v>76</v>
      </c>
      <c r="T37" s="71"/>
      <c r="U37" s="72"/>
      <c r="V37" s="671">
        <v>17043</v>
      </c>
      <c r="W37" s="72"/>
      <c r="X37" s="72"/>
      <c r="Y37" s="834">
        <f t="shared" si="7"/>
        <v>0</v>
      </c>
      <c r="Z37" s="72"/>
      <c r="AA37" s="72"/>
      <c r="AB37" s="72"/>
      <c r="AC37" s="72"/>
      <c r="AD37" s="587"/>
      <c r="AE37" s="154"/>
      <c r="AF37" s="64" t="s">
        <v>85</v>
      </c>
      <c r="AG37" s="552">
        <v>0</v>
      </c>
      <c r="AH37" s="370">
        <v>0</v>
      </c>
      <c r="AI37" s="75"/>
      <c r="AJ37" s="701">
        <v>17043</v>
      </c>
      <c r="AK37" s="75"/>
      <c r="AL37" s="75"/>
      <c r="AM37" s="75"/>
      <c r="AN37" s="76" t="s">
        <v>39</v>
      </c>
      <c r="AO37" s="76"/>
      <c r="AP37" s="76"/>
      <c r="AQ37" s="405"/>
      <c r="AR37" s="76"/>
      <c r="AS37" s="467"/>
      <c r="AT37" s="76"/>
      <c r="AU37" s="877">
        <v>276</v>
      </c>
      <c r="AV37" s="335" t="s">
        <v>86</v>
      </c>
    </row>
    <row r="38" spans="1:48" ht="60" outlineLevel="2" x14ac:dyDescent="0.25">
      <c r="A38" s="63" t="str">
        <f t="shared" si="1"/>
        <v>1.1.1.1.9.64</v>
      </c>
      <c r="B38" s="64">
        <v>1</v>
      </c>
      <c r="C38" s="64">
        <v>1</v>
      </c>
      <c r="D38" s="64">
        <v>1</v>
      </c>
      <c r="E38" s="64">
        <v>1</v>
      </c>
      <c r="F38" s="64">
        <v>9</v>
      </c>
      <c r="G38" s="64">
        <v>64</v>
      </c>
      <c r="H38" s="65"/>
      <c r="I38" s="65"/>
      <c r="J38" s="66"/>
      <c r="K38" s="67" t="s">
        <v>84</v>
      </c>
      <c r="L38" s="64" t="s">
        <v>72</v>
      </c>
      <c r="M38" s="64" t="s">
        <v>73</v>
      </c>
      <c r="N38" s="64" t="s">
        <v>74</v>
      </c>
      <c r="O38" s="64" t="s">
        <v>75</v>
      </c>
      <c r="P38" s="69">
        <v>44571</v>
      </c>
      <c r="Q38" s="69">
        <v>44925</v>
      </c>
      <c r="R38" s="64"/>
      <c r="S38" s="70" t="s">
        <v>76</v>
      </c>
      <c r="T38" s="793"/>
      <c r="U38" s="154"/>
      <c r="V38" s="794">
        <v>17043</v>
      </c>
      <c r="W38" s="72"/>
      <c r="X38" s="72"/>
      <c r="Y38" s="834">
        <f t="shared" si="7"/>
        <v>0</v>
      </c>
      <c r="Z38" s="72"/>
      <c r="AA38" s="72"/>
      <c r="AB38" s="72"/>
      <c r="AC38" s="72"/>
      <c r="AD38" s="587"/>
      <c r="AE38" s="154"/>
      <c r="AF38" s="64" t="s">
        <v>85</v>
      </c>
      <c r="AG38" s="552">
        <v>0</v>
      </c>
      <c r="AH38" s="370">
        <v>0</v>
      </c>
      <c r="AI38" s="75"/>
      <c r="AJ38" s="701">
        <v>17043</v>
      </c>
      <c r="AK38" s="75"/>
      <c r="AL38" s="75"/>
      <c r="AM38" s="75"/>
      <c r="AN38" s="76" t="s">
        <v>39</v>
      </c>
      <c r="AO38" s="76"/>
      <c r="AP38" s="76"/>
      <c r="AQ38" s="405"/>
      <c r="AR38" s="76"/>
      <c r="AS38" s="467"/>
      <c r="AT38" s="76"/>
      <c r="AU38" s="877">
        <v>276</v>
      </c>
      <c r="AV38" s="335" t="s">
        <v>86</v>
      </c>
    </row>
    <row r="39" spans="1:48" ht="45" outlineLevel="2" x14ac:dyDescent="0.25">
      <c r="A39" s="63" t="str">
        <f t="shared" si="1"/>
        <v>1.1.1.1.13.58-64</v>
      </c>
      <c r="B39" s="64">
        <v>1</v>
      </c>
      <c r="C39" s="64">
        <v>1</v>
      </c>
      <c r="D39" s="64">
        <v>1</v>
      </c>
      <c r="E39" s="64">
        <v>1</v>
      </c>
      <c r="F39" s="64">
        <v>13</v>
      </c>
      <c r="G39" s="64" t="s">
        <v>64</v>
      </c>
      <c r="H39" s="65"/>
      <c r="I39" s="65"/>
      <c r="J39" s="65"/>
      <c r="K39" s="67" t="s">
        <v>1702</v>
      </c>
      <c r="L39" s="64" t="s">
        <v>41</v>
      </c>
      <c r="M39" s="68" t="s">
        <v>52</v>
      </c>
      <c r="N39" s="64" t="s">
        <v>47</v>
      </c>
      <c r="O39" s="64" t="s">
        <v>44</v>
      </c>
      <c r="P39" s="69">
        <v>44571</v>
      </c>
      <c r="Q39" s="69">
        <v>44925</v>
      </c>
      <c r="R39" s="64"/>
      <c r="S39" s="70" t="s">
        <v>48</v>
      </c>
      <c r="T39" s="588">
        <v>17</v>
      </c>
      <c r="U39" s="170"/>
      <c r="V39" s="794">
        <v>0</v>
      </c>
      <c r="W39" s="72"/>
      <c r="X39" s="72"/>
      <c r="Y39" s="834">
        <f t="shared" si="7"/>
        <v>0</v>
      </c>
      <c r="Z39" s="72"/>
      <c r="AA39" s="72"/>
      <c r="AB39" s="72"/>
      <c r="AC39" s="72"/>
      <c r="AD39" s="587"/>
      <c r="AE39" s="154"/>
      <c r="AF39" s="64" t="s">
        <v>55</v>
      </c>
      <c r="AG39" s="552">
        <v>0</v>
      </c>
      <c r="AH39" s="372">
        <v>0</v>
      </c>
      <c r="AI39" s="79"/>
      <c r="AJ39" s="79"/>
      <c r="AK39" s="79"/>
      <c r="AL39" s="79"/>
      <c r="AM39" s="79"/>
      <c r="AN39" s="76" t="s">
        <v>39</v>
      </c>
      <c r="AO39" s="76"/>
      <c r="AP39" s="76"/>
      <c r="AQ39" s="405"/>
      <c r="AR39" s="76"/>
      <c r="AS39" s="467"/>
      <c r="AT39" s="76"/>
      <c r="AU39" s="661"/>
      <c r="AV39" s="335" t="s">
        <v>87</v>
      </c>
    </row>
    <row r="40" spans="1:48" ht="30" outlineLevel="2" x14ac:dyDescent="0.25">
      <c r="A40" s="63" t="str">
        <f t="shared" si="1"/>
        <v>1.1.1.1.14.58-64</v>
      </c>
      <c r="B40" s="64">
        <v>1</v>
      </c>
      <c r="C40" s="64">
        <v>1</v>
      </c>
      <c r="D40" s="64">
        <v>1</v>
      </c>
      <c r="E40" s="64">
        <v>1</v>
      </c>
      <c r="F40" s="64">
        <v>14</v>
      </c>
      <c r="G40" s="64" t="s">
        <v>64</v>
      </c>
      <c r="H40" s="65"/>
      <c r="I40" s="65"/>
      <c r="J40" s="65"/>
      <c r="K40" s="67" t="s">
        <v>1703</v>
      </c>
      <c r="L40" s="64" t="s">
        <v>41</v>
      </c>
      <c r="M40" s="68" t="s">
        <v>52</v>
      </c>
      <c r="N40" s="64" t="s">
        <v>47</v>
      </c>
      <c r="O40" s="64" t="s">
        <v>44</v>
      </c>
      <c r="P40" s="69">
        <v>44571</v>
      </c>
      <c r="Q40" s="69">
        <v>44925</v>
      </c>
      <c r="R40" s="64"/>
      <c r="S40" s="70" t="s">
        <v>48</v>
      </c>
      <c r="T40" s="71"/>
      <c r="U40" s="795"/>
      <c r="V40" s="671">
        <v>0</v>
      </c>
      <c r="W40" s="72"/>
      <c r="X40" s="72"/>
      <c r="Y40" s="834">
        <f t="shared" si="7"/>
        <v>0</v>
      </c>
      <c r="Z40" s="72"/>
      <c r="AA40" s="72"/>
      <c r="AB40" s="72"/>
      <c r="AC40" s="72"/>
      <c r="AD40" s="587"/>
      <c r="AE40" s="154"/>
      <c r="AF40" s="64" t="s">
        <v>55</v>
      </c>
      <c r="AG40" s="552">
        <v>0</v>
      </c>
      <c r="AH40" s="372">
        <v>0</v>
      </c>
      <c r="AI40" s="79"/>
      <c r="AJ40" s="79"/>
      <c r="AK40" s="79"/>
      <c r="AL40" s="79"/>
      <c r="AM40" s="79"/>
      <c r="AN40" s="76" t="s">
        <v>39</v>
      </c>
      <c r="AO40" s="76"/>
      <c r="AP40" s="76"/>
      <c r="AQ40" s="405"/>
      <c r="AR40" s="76"/>
      <c r="AS40" s="467"/>
      <c r="AT40" s="76"/>
      <c r="AU40" s="661"/>
      <c r="AV40" s="335" t="s">
        <v>88</v>
      </c>
    </row>
    <row r="41" spans="1:48" ht="30" outlineLevel="2" x14ac:dyDescent="0.25">
      <c r="A41" s="63" t="str">
        <f t="shared" si="1"/>
        <v>1.1.1.1.15.58-64</v>
      </c>
      <c r="B41" s="64">
        <v>1</v>
      </c>
      <c r="C41" s="64">
        <v>1</v>
      </c>
      <c r="D41" s="64">
        <v>1</v>
      </c>
      <c r="E41" s="64">
        <v>1</v>
      </c>
      <c r="F41" s="64">
        <v>15</v>
      </c>
      <c r="G41" s="64" t="s">
        <v>64</v>
      </c>
      <c r="H41" s="65"/>
      <c r="I41" s="65"/>
      <c r="J41" s="65"/>
      <c r="K41" s="65" t="s">
        <v>1704</v>
      </c>
      <c r="L41" s="64" t="s">
        <v>41</v>
      </c>
      <c r="M41" s="68" t="s">
        <v>52</v>
      </c>
      <c r="N41" s="64" t="s">
        <v>47</v>
      </c>
      <c r="O41" s="64" t="s">
        <v>44</v>
      </c>
      <c r="P41" s="69">
        <v>44571</v>
      </c>
      <c r="Q41" s="69">
        <v>44925</v>
      </c>
      <c r="R41" s="64"/>
      <c r="S41" s="70" t="s">
        <v>48</v>
      </c>
      <c r="T41" s="71"/>
      <c r="U41" s="72"/>
      <c r="V41" s="671">
        <v>0</v>
      </c>
      <c r="W41" s="72"/>
      <c r="X41" s="72"/>
      <c r="Y41" s="834">
        <f t="shared" si="7"/>
        <v>0</v>
      </c>
      <c r="Z41" s="72"/>
      <c r="AA41" s="72"/>
      <c r="AB41" s="72"/>
      <c r="AC41" s="72"/>
      <c r="AD41" s="587"/>
      <c r="AE41" s="154"/>
      <c r="AF41" s="64" t="s">
        <v>55</v>
      </c>
      <c r="AG41" s="552">
        <v>0</v>
      </c>
      <c r="AH41" s="372">
        <v>0</v>
      </c>
      <c r="AI41" s="79"/>
      <c r="AJ41" s="79"/>
      <c r="AK41" s="79"/>
      <c r="AL41" s="79"/>
      <c r="AM41" s="79"/>
      <c r="AN41" s="76" t="s">
        <v>39</v>
      </c>
      <c r="AO41" s="76"/>
      <c r="AP41" s="76"/>
      <c r="AQ41" s="405"/>
      <c r="AR41" s="76"/>
      <c r="AS41" s="467"/>
      <c r="AT41" s="76"/>
      <c r="AU41" s="661"/>
      <c r="AV41" s="335" t="s">
        <v>88</v>
      </c>
    </row>
    <row r="42" spans="1:48" ht="30" outlineLevel="2" x14ac:dyDescent="0.25">
      <c r="A42" s="63" t="str">
        <f t="shared" si="1"/>
        <v>1.1.1.1.17.58-64</v>
      </c>
      <c r="B42" s="64">
        <v>1</v>
      </c>
      <c r="C42" s="64">
        <v>1</v>
      </c>
      <c r="D42" s="64">
        <v>1</v>
      </c>
      <c r="E42" s="64">
        <v>1</v>
      </c>
      <c r="F42" s="64">
        <v>17</v>
      </c>
      <c r="G42" s="64" t="s">
        <v>64</v>
      </c>
      <c r="H42" s="65"/>
      <c r="I42" s="65"/>
      <c r="J42" s="65"/>
      <c r="K42" s="67" t="s">
        <v>1705</v>
      </c>
      <c r="L42" s="64" t="s">
        <v>41</v>
      </c>
      <c r="M42" s="68" t="s">
        <v>52</v>
      </c>
      <c r="N42" s="64" t="s">
        <v>47</v>
      </c>
      <c r="O42" s="64" t="s">
        <v>44</v>
      </c>
      <c r="P42" s="69">
        <v>44571</v>
      </c>
      <c r="Q42" s="69">
        <v>44925</v>
      </c>
      <c r="R42" s="64"/>
      <c r="S42" s="70" t="s">
        <v>48</v>
      </c>
      <c r="T42" s="71"/>
      <c r="U42" s="72"/>
      <c r="V42" s="671">
        <v>0</v>
      </c>
      <c r="W42" s="72"/>
      <c r="X42" s="72"/>
      <c r="Y42" s="834">
        <f t="shared" si="7"/>
        <v>0</v>
      </c>
      <c r="Z42" s="72"/>
      <c r="AA42" s="72"/>
      <c r="AB42" s="72"/>
      <c r="AC42" s="72"/>
      <c r="AD42" s="587"/>
      <c r="AE42" s="154"/>
      <c r="AF42" s="64" t="s">
        <v>55</v>
      </c>
      <c r="AG42" s="552">
        <v>0</v>
      </c>
      <c r="AH42" s="372">
        <v>0</v>
      </c>
      <c r="AI42" s="79"/>
      <c r="AJ42" s="79"/>
      <c r="AK42" s="79"/>
      <c r="AL42" s="79"/>
      <c r="AM42" s="79"/>
      <c r="AN42" s="76" t="s">
        <v>39</v>
      </c>
      <c r="AO42" s="76"/>
      <c r="AP42" s="76"/>
      <c r="AQ42" s="405"/>
      <c r="AR42" s="76"/>
      <c r="AS42" s="467"/>
      <c r="AT42" s="76"/>
      <c r="AU42" s="661"/>
      <c r="AV42" s="335" t="s">
        <v>88</v>
      </c>
    </row>
    <row r="43" spans="1:48" ht="30" outlineLevel="2" x14ac:dyDescent="0.25">
      <c r="A43" s="63" t="str">
        <f t="shared" si="1"/>
        <v>1.1.1.1.18.58-64</v>
      </c>
      <c r="B43" s="64">
        <v>1</v>
      </c>
      <c r="C43" s="64">
        <v>1</v>
      </c>
      <c r="D43" s="64">
        <v>1</v>
      </c>
      <c r="E43" s="64">
        <v>1</v>
      </c>
      <c r="F43" s="64">
        <v>18</v>
      </c>
      <c r="G43" s="64" t="s">
        <v>64</v>
      </c>
      <c r="H43" s="65"/>
      <c r="I43" s="65"/>
      <c r="J43" s="65"/>
      <c r="K43" s="67" t="s">
        <v>1706</v>
      </c>
      <c r="L43" s="64" t="s">
        <v>41</v>
      </c>
      <c r="M43" s="68" t="s">
        <v>52</v>
      </c>
      <c r="N43" s="64" t="s">
        <v>47</v>
      </c>
      <c r="O43" s="64" t="s">
        <v>44</v>
      </c>
      <c r="P43" s="69">
        <v>44571</v>
      </c>
      <c r="Q43" s="69">
        <v>44925</v>
      </c>
      <c r="R43" s="64"/>
      <c r="S43" s="70" t="s">
        <v>48</v>
      </c>
      <c r="T43" s="71"/>
      <c r="U43" s="72"/>
      <c r="V43" s="671">
        <v>0</v>
      </c>
      <c r="W43" s="72"/>
      <c r="X43" s="72"/>
      <c r="Y43" s="834">
        <f t="shared" si="7"/>
        <v>0</v>
      </c>
      <c r="Z43" s="72"/>
      <c r="AA43" s="72"/>
      <c r="AB43" s="72"/>
      <c r="AC43" s="72"/>
      <c r="AD43" s="587"/>
      <c r="AE43" s="154"/>
      <c r="AF43" s="64" t="s">
        <v>55</v>
      </c>
      <c r="AG43" s="552">
        <v>0</v>
      </c>
      <c r="AH43" s="372">
        <v>0</v>
      </c>
      <c r="AI43" s="79"/>
      <c r="AJ43" s="79"/>
      <c r="AK43" s="79"/>
      <c r="AL43" s="79"/>
      <c r="AM43" s="79"/>
      <c r="AN43" s="76" t="s">
        <v>39</v>
      </c>
      <c r="AO43" s="76"/>
      <c r="AP43" s="76"/>
      <c r="AQ43" s="405"/>
      <c r="AR43" s="76"/>
      <c r="AS43" s="467"/>
      <c r="AT43" s="76"/>
      <c r="AU43" s="661"/>
      <c r="AV43" s="335" t="s">
        <v>88</v>
      </c>
    </row>
    <row r="44" spans="1:48" ht="30" outlineLevel="2" x14ac:dyDescent="0.25">
      <c r="A44" s="63" t="str">
        <f t="shared" si="1"/>
        <v>1.1.1.1.19.58-64</v>
      </c>
      <c r="B44" s="64">
        <v>1</v>
      </c>
      <c r="C44" s="64">
        <v>1</v>
      </c>
      <c r="D44" s="64">
        <v>1</v>
      </c>
      <c r="E44" s="64">
        <v>1</v>
      </c>
      <c r="F44" s="64">
        <v>19</v>
      </c>
      <c r="G44" s="64" t="s">
        <v>64</v>
      </c>
      <c r="H44" s="65"/>
      <c r="I44" s="65"/>
      <c r="J44" s="65"/>
      <c r="K44" s="67" t="s">
        <v>1707</v>
      </c>
      <c r="L44" s="64" t="s">
        <v>41</v>
      </c>
      <c r="M44" s="68" t="s">
        <v>52</v>
      </c>
      <c r="N44" s="64" t="s">
        <v>47</v>
      </c>
      <c r="O44" s="64" t="s">
        <v>44</v>
      </c>
      <c r="P44" s="69">
        <v>44571</v>
      </c>
      <c r="Q44" s="69">
        <v>44925</v>
      </c>
      <c r="R44" s="64"/>
      <c r="S44" s="70" t="s">
        <v>48</v>
      </c>
      <c r="T44" s="71"/>
      <c r="U44" s="72"/>
      <c r="V44" s="671">
        <v>0</v>
      </c>
      <c r="W44" s="72"/>
      <c r="X44" s="72"/>
      <c r="Y44" s="834">
        <f t="shared" si="7"/>
        <v>0</v>
      </c>
      <c r="Z44" s="72"/>
      <c r="AA44" s="72"/>
      <c r="AB44" s="72"/>
      <c r="AC44" s="72"/>
      <c r="AD44" s="587"/>
      <c r="AE44" s="154"/>
      <c r="AF44" s="64" t="s">
        <v>55</v>
      </c>
      <c r="AG44" s="552">
        <v>0</v>
      </c>
      <c r="AH44" s="372">
        <v>0</v>
      </c>
      <c r="AI44" s="79"/>
      <c r="AJ44" s="79"/>
      <c r="AK44" s="79"/>
      <c r="AL44" s="79"/>
      <c r="AM44" s="79"/>
      <c r="AN44" s="76" t="s">
        <v>39</v>
      </c>
      <c r="AO44" s="76"/>
      <c r="AP44" s="76"/>
      <c r="AQ44" s="405"/>
      <c r="AR44" s="76"/>
      <c r="AS44" s="467"/>
      <c r="AT44" s="76"/>
      <c r="AU44" s="661"/>
      <c r="AV44" s="335" t="s">
        <v>88</v>
      </c>
    </row>
    <row r="45" spans="1:48" ht="30" outlineLevel="2" x14ac:dyDescent="0.25">
      <c r="A45" s="63" t="str">
        <f t="shared" si="1"/>
        <v>1.1.1.1.21.58-64</v>
      </c>
      <c r="B45" s="64">
        <v>1</v>
      </c>
      <c r="C45" s="64">
        <v>1</v>
      </c>
      <c r="D45" s="64">
        <v>1</v>
      </c>
      <c r="E45" s="64">
        <v>1</v>
      </c>
      <c r="F45" s="64">
        <v>21</v>
      </c>
      <c r="G45" s="64" t="s">
        <v>64</v>
      </c>
      <c r="H45" s="65"/>
      <c r="I45" s="65"/>
      <c r="J45" s="65"/>
      <c r="K45" s="67" t="s">
        <v>1811</v>
      </c>
      <c r="L45" s="64" t="s">
        <v>41</v>
      </c>
      <c r="M45" s="68" t="s">
        <v>52</v>
      </c>
      <c r="N45" s="64" t="s">
        <v>47</v>
      </c>
      <c r="O45" s="64" t="s">
        <v>44</v>
      </c>
      <c r="P45" s="69">
        <v>44571</v>
      </c>
      <c r="Q45" s="69">
        <v>44925</v>
      </c>
      <c r="R45" s="64"/>
      <c r="S45" s="70" t="s">
        <v>48</v>
      </c>
      <c r="T45" s="71"/>
      <c r="U45" s="72"/>
      <c r="V45" s="671">
        <v>0</v>
      </c>
      <c r="W45" s="72"/>
      <c r="X45" s="72"/>
      <c r="Y45" s="834">
        <f t="shared" si="7"/>
        <v>0</v>
      </c>
      <c r="Z45" s="72"/>
      <c r="AA45" s="72"/>
      <c r="AB45" s="72"/>
      <c r="AC45" s="72"/>
      <c r="AD45" s="587"/>
      <c r="AE45" s="154"/>
      <c r="AF45" s="64" t="s">
        <v>55</v>
      </c>
      <c r="AG45" s="552">
        <v>0</v>
      </c>
      <c r="AH45" s="372">
        <v>0</v>
      </c>
      <c r="AI45" s="79"/>
      <c r="AJ45" s="79"/>
      <c r="AK45" s="79"/>
      <c r="AL45" s="79"/>
      <c r="AM45" s="79"/>
      <c r="AN45" s="76" t="s">
        <v>39</v>
      </c>
      <c r="AO45" s="76"/>
      <c r="AP45" s="76"/>
      <c r="AQ45" s="405"/>
      <c r="AR45" s="76"/>
      <c r="AS45" s="467"/>
      <c r="AT45" s="76"/>
      <c r="AU45" s="661"/>
      <c r="AV45" s="335" t="s">
        <v>88</v>
      </c>
    </row>
    <row r="46" spans="1:48" ht="30" outlineLevel="2" x14ac:dyDescent="0.25">
      <c r="A46" s="63" t="str">
        <f t="shared" si="1"/>
        <v>1.1.1.1.22.58-64</v>
      </c>
      <c r="B46" s="64">
        <v>1</v>
      </c>
      <c r="C46" s="64">
        <v>1</v>
      </c>
      <c r="D46" s="64">
        <v>1</v>
      </c>
      <c r="E46" s="64">
        <v>1</v>
      </c>
      <c r="F46" s="64">
        <v>22</v>
      </c>
      <c r="G46" s="64" t="s">
        <v>64</v>
      </c>
      <c r="H46" s="65"/>
      <c r="I46" s="65"/>
      <c r="J46" s="65"/>
      <c r="K46" s="67" t="s">
        <v>1708</v>
      </c>
      <c r="L46" s="64" t="s">
        <v>41</v>
      </c>
      <c r="M46" s="68" t="s">
        <v>52</v>
      </c>
      <c r="N46" s="64" t="s">
        <v>47</v>
      </c>
      <c r="O46" s="64" t="s">
        <v>44</v>
      </c>
      <c r="P46" s="69">
        <v>44571</v>
      </c>
      <c r="Q46" s="69">
        <v>44925</v>
      </c>
      <c r="R46" s="64"/>
      <c r="S46" s="70" t="s">
        <v>89</v>
      </c>
      <c r="T46" s="71"/>
      <c r="U46" s="72"/>
      <c r="V46" s="671">
        <v>0</v>
      </c>
      <c r="W46" s="72"/>
      <c r="X46" s="72"/>
      <c r="Y46" s="834">
        <f t="shared" si="7"/>
        <v>0</v>
      </c>
      <c r="Z46" s="72"/>
      <c r="AA46" s="72"/>
      <c r="AB46" s="72"/>
      <c r="AC46" s="72"/>
      <c r="AD46" s="587"/>
      <c r="AE46" s="154"/>
      <c r="AF46" s="64" t="s">
        <v>55</v>
      </c>
      <c r="AG46" s="552">
        <v>0</v>
      </c>
      <c r="AH46" s="372">
        <v>0</v>
      </c>
      <c r="AI46" s="79"/>
      <c r="AJ46" s="79"/>
      <c r="AK46" s="79"/>
      <c r="AL46" s="79"/>
      <c r="AM46" s="79"/>
      <c r="AN46" s="76" t="s">
        <v>39</v>
      </c>
      <c r="AO46" s="76"/>
      <c r="AP46" s="76"/>
      <c r="AQ46" s="405"/>
      <c r="AR46" s="76"/>
      <c r="AS46" s="467"/>
      <c r="AT46" s="76"/>
      <c r="AU46" s="661"/>
      <c r="AV46" s="335" t="s">
        <v>88</v>
      </c>
    </row>
    <row r="47" spans="1:48" ht="34.5" customHeight="1" outlineLevel="2" x14ac:dyDescent="0.25">
      <c r="A47" s="63" t="str">
        <f t="shared" si="1"/>
        <v>1.1.1.1.23.58-64</v>
      </c>
      <c r="B47" s="64">
        <v>1</v>
      </c>
      <c r="C47" s="64">
        <v>1</v>
      </c>
      <c r="D47" s="64">
        <v>1</v>
      </c>
      <c r="E47" s="64">
        <v>1</v>
      </c>
      <c r="F47" s="64">
        <v>23</v>
      </c>
      <c r="G47" s="64" t="s">
        <v>64</v>
      </c>
      <c r="H47" s="65"/>
      <c r="I47" s="65"/>
      <c r="J47" s="65"/>
      <c r="K47" s="65" t="s">
        <v>1709</v>
      </c>
      <c r="L47" s="64" t="s">
        <v>41</v>
      </c>
      <c r="M47" s="68" t="s">
        <v>52</v>
      </c>
      <c r="N47" s="64" t="s">
        <v>47</v>
      </c>
      <c r="O47" s="64" t="s">
        <v>44</v>
      </c>
      <c r="P47" s="69">
        <v>44571</v>
      </c>
      <c r="Q47" s="69">
        <v>44925</v>
      </c>
      <c r="R47" s="64"/>
      <c r="S47" s="70" t="s">
        <v>48</v>
      </c>
      <c r="T47" s="71"/>
      <c r="U47" s="72"/>
      <c r="V47" s="671">
        <v>0</v>
      </c>
      <c r="W47" s="73">
        <v>15</v>
      </c>
      <c r="X47" s="73"/>
      <c r="Y47" s="834">
        <f t="shared" si="7"/>
        <v>0</v>
      </c>
      <c r="Z47" s="72"/>
      <c r="AA47" s="72"/>
      <c r="AB47" s="72"/>
      <c r="AC47" s="72"/>
      <c r="AD47" s="587"/>
      <c r="AE47" s="154"/>
      <c r="AF47" s="64" t="s">
        <v>55</v>
      </c>
      <c r="AG47" s="552">
        <v>0</v>
      </c>
      <c r="AH47" s="372">
        <v>0</v>
      </c>
      <c r="AI47" s="79"/>
      <c r="AJ47" s="79"/>
      <c r="AK47" s="79"/>
      <c r="AL47" s="79"/>
      <c r="AM47" s="79"/>
      <c r="AN47" s="76" t="s">
        <v>39</v>
      </c>
      <c r="AO47" s="76"/>
      <c r="AP47" s="76"/>
      <c r="AQ47" s="405"/>
      <c r="AR47" s="76"/>
      <c r="AS47" s="467"/>
      <c r="AT47" s="76"/>
      <c r="AU47" s="661"/>
      <c r="AV47" s="335" t="s">
        <v>90</v>
      </c>
    </row>
    <row r="48" spans="1:48" ht="34.5" customHeight="1" outlineLevel="2" x14ac:dyDescent="0.25">
      <c r="A48" s="63" t="str">
        <f t="shared" si="1"/>
        <v>1.1.1.1.24.58-64</v>
      </c>
      <c r="B48" s="64">
        <v>1</v>
      </c>
      <c r="C48" s="64">
        <v>1</v>
      </c>
      <c r="D48" s="64">
        <v>1</v>
      </c>
      <c r="E48" s="64">
        <v>1</v>
      </c>
      <c r="F48" s="64">
        <v>24</v>
      </c>
      <c r="G48" s="64" t="s">
        <v>64</v>
      </c>
      <c r="H48" s="65"/>
      <c r="I48" s="65"/>
      <c r="J48" s="65"/>
      <c r="K48" s="67" t="s">
        <v>1710</v>
      </c>
      <c r="L48" s="64" t="s">
        <v>41</v>
      </c>
      <c r="M48" s="68" t="s">
        <v>52</v>
      </c>
      <c r="N48" s="64" t="s">
        <v>47</v>
      </c>
      <c r="O48" s="64" t="s">
        <v>44</v>
      </c>
      <c r="P48" s="69">
        <v>44571</v>
      </c>
      <c r="Q48" s="69">
        <v>44925</v>
      </c>
      <c r="R48" s="64"/>
      <c r="S48" s="70" t="s">
        <v>48</v>
      </c>
      <c r="T48" s="71"/>
      <c r="U48" s="72"/>
      <c r="V48" s="671">
        <v>0</v>
      </c>
      <c r="W48" s="72"/>
      <c r="X48" s="72"/>
      <c r="Y48" s="834">
        <f t="shared" si="7"/>
        <v>0</v>
      </c>
      <c r="Z48" s="72"/>
      <c r="AA48" s="72"/>
      <c r="AB48" s="72"/>
      <c r="AC48" s="72"/>
      <c r="AD48" s="587"/>
      <c r="AE48" s="154"/>
      <c r="AF48" s="64" t="s">
        <v>55</v>
      </c>
      <c r="AG48" s="552">
        <v>0</v>
      </c>
      <c r="AH48" s="372">
        <v>0</v>
      </c>
      <c r="AI48" s="79"/>
      <c r="AJ48" s="79"/>
      <c r="AK48" s="79"/>
      <c r="AL48" s="79"/>
      <c r="AM48" s="79"/>
      <c r="AN48" s="76" t="s">
        <v>39</v>
      </c>
      <c r="AO48" s="76"/>
      <c r="AP48" s="76"/>
      <c r="AQ48" s="405"/>
      <c r="AR48" s="76"/>
      <c r="AS48" s="467"/>
      <c r="AT48" s="76"/>
      <c r="AU48" s="661"/>
      <c r="AV48" s="335" t="s">
        <v>88</v>
      </c>
    </row>
    <row r="49" spans="1:48" ht="34.5" customHeight="1" outlineLevel="2" x14ac:dyDescent="0.25">
      <c r="A49" s="63" t="str">
        <f t="shared" si="1"/>
        <v>1.1.1.1.25.58-64</v>
      </c>
      <c r="B49" s="64">
        <v>1</v>
      </c>
      <c r="C49" s="64">
        <v>1</v>
      </c>
      <c r="D49" s="64">
        <v>1</v>
      </c>
      <c r="E49" s="64">
        <v>1</v>
      </c>
      <c r="F49" s="64">
        <v>25</v>
      </c>
      <c r="G49" s="64" t="s">
        <v>64</v>
      </c>
      <c r="H49" s="65"/>
      <c r="I49" s="65"/>
      <c r="J49" s="65"/>
      <c r="K49" s="67" t="s">
        <v>1711</v>
      </c>
      <c r="L49" s="64" t="s">
        <v>41</v>
      </c>
      <c r="M49" s="68" t="s">
        <v>52</v>
      </c>
      <c r="N49" s="64" t="s">
        <v>47</v>
      </c>
      <c r="O49" s="64" t="s">
        <v>44</v>
      </c>
      <c r="P49" s="69">
        <v>44571</v>
      </c>
      <c r="Q49" s="69">
        <v>44925</v>
      </c>
      <c r="R49" s="64"/>
      <c r="S49" s="70" t="s">
        <v>48</v>
      </c>
      <c r="T49" s="71"/>
      <c r="U49" s="72"/>
      <c r="V49" s="671">
        <v>0</v>
      </c>
      <c r="W49" s="72"/>
      <c r="X49" s="72"/>
      <c r="Y49" s="834">
        <f t="shared" si="7"/>
        <v>0</v>
      </c>
      <c r="Z49" s="800">
        <v>7</v>
      </c>
      <c r="AA49" s="170"/>
      <c r="AB49" s="801"/>
      <c r="AC49" s="72"/>
      <c r="AD49" s="587"/>
      <c r="AE49" s="154"/>
      <c r="AF49" s="64" t="s">
        <v>55</v>
      </c>
      <c r="AG49" s="552">
        <v>0</v>
      </c>
      <c r="AH49" s="372">
        <v>0</v>
      </c>
      <c r="AI49" s="79"/>
      <c r="AJ49" s="79"/>
      <c r="AK49" s="79"/>
      <c r="AL49" s="79"/>
      <c r="AM49" s="79"/>
      <c r="AN49" s="76" t="s">
        <v>39</v>
      </c>
      <c r="AO49" s="76"/>
      <c r="AP49" s="76"/>
      <c r="AQ49" s="405"/>
      <c r="AR49" s="76"/>
      <c r="AS49" s="467"/>
      <c r="AT49" s="76"/>
      <c r="AU49" s="661"/>
      <c r="AV49" s="336" t="s">
        <v>91</v>
      </c>
    </row>
    <row r="50" spans="1:48" ht="34.5" customHeight="1" outlineLevel="2" x14ac:dyDescent="0.25">
      <c r="A50" s="63" t="str">
        <f t="shared" si="1"/>
        <v>1.1.1.1.26.58-64</v>
      </c>
      <c r="B50" s="64">
        <v>1</v>
      </c>
      <c r="C50" s="64">
        <v>1</v>
      </c>
      <c r="D50" s="64">
        <v>1</v>
      </c>
      <c r="E50" s="64">
        <v>1</v>
      </c>
      <c r="F50" s="64">
        <v>26</v>
      </c>
      <c r="G50" s="64" t="s">
        <v>64</v>
      </c>
      <c r="H50" s="65"/>
      <c r="I50" s="65"/>
      <c r="J50" s="65"/>
      <c r="K50" s="67" t="s">
        <v>1712</v>
      </c>
      <c r="L50" s="64" t="s">
        <v>41</v>
      </c>
      <c r="M50" s="68" t="s">
        <v>52</v>
      </c>
      <c r="N50" s="64" t="s">
        <v>47</v>
      </c>
      <c r="O50" s="64" t="s">
        <v>44</v>
      </c>
      <c r="P50" s="69">
        <v>44571</v>
      </c>
      <c r="Q50" s="69">
        <v>44925</v>
      </c>
      <c r="R50" s="64"/>
      <c r="S50" s="70" t="s">
        <v>48</v>
      </c>
      <c r="T50" s="71"/>
      <c r="U50" s="72"/>
      <c r="V50" s="671">
        <v>0</v>
      </c>
      <c r="W50" s="72"/>
      <c r="X50" s="72"/>
      <c r="Y50" s="834">
        <f t="shared" si="7"/>
        <v>0</v>
      </c>
      <c r="Z50" s="72"/>
      <c r="AA50" s="795"/>
      <c r="AB50" s="72"/>
      <c r="AC50" s="72"/>
      <c r="AD50" s="587"/>
      <c r="AE50" s="154"/>
      <c r="AF50" s="64" t="s">
        <v>55</v>
      </c>
      <c r="AG50" s="552">
        <v>0</v>
      </c>
      <c r="AH50" s="372">
        <v>0</v>
      </c>
      <c r="AI50" s="79"/>
      <c r="AJ50" s="79"/>
      <c r="AK50" s="79"/>
      <c r="AL50" s="79"/>
      <c r="AM50" s="79"/>
      <c r="AN50" s="76" t="s">
        <v>39</v>
      </c>
      <c r="AO50" s="76"/>
      <c r="AP50" s="76"/>
      <c r="AQ50" s="405"/>
      <c r="AR50" s="76"/>
      <c r="AS50" s="467"/>
      <c r="AT50" s="76"/>
      <c r="AU50" s="661"/>
      <c r="AV50" s="335" t="s">
        <v>88</v>
      </c>
    </row>
    <row r="51" spans="1:48" ht="34.5" customHeight="1" outlineLevel="2" x14ac:dyDescent="0.25">
      <c r="A51" s="63" t="str">
        <f t="shared" si="1"/>
        <v>1.1.1.1.27.58-64</v>
      </c>
      <c r="B51" s="64">
        <v>1</v>
      </c>
      <c r="C51" s="64">
        <v>1</v>
      </c>
      <c r="D51" s="64">
        <v>1</v>
      </c>
      <c r="E51" s="64">
        <v>1</v>
      </c>
      <c r="F51" s="64">
        <v>27</v>
      </c>
      <c r="G51" s="64" t="s">
        <v>64</v>
      </c>
      <c r="H51" s="65"/>
      <c r="I51" s="65"/>
      <c r="J51" s="65"/>
      <c r="K51" s="65" t="s">
        <v>1713</v>
      </c>
      <c r="L51" s="64" t="s">
        <v>41</v>
      </c>
      <c r="M51" s="68" t="s">
        <v>52</v>
      </c>
      <c r="N51" s="64" t="s">
        <v>47</v>
      </c>
      <c r="O51" s="64" t="s">
        <v>44</v>
      </c>
      <c r="P51" s="69">
        <v>44571</v>
      </c>
      <c r="Q51" s="69">
        <v>44925</v>
      </c>
      <c r="R51" s="64"/>
      <c r="S51" s="70" t="s">
        <v>48</v>
      </c>
      <c r="T51" s="71"/>
      <c r="U51" s="72"/>
      <c r="V51" s="671">
        <v>0</v>
      </c>
      <c r="W51" s="72"/>
      <c r="X51" s="72"/>
      <c r="Y51" s="834">
        <f t="shared" si="7"/>
        <v>0</v>
      </c>
      <c r="Z51" s="72"/>
      <c r="AA51" s="72"/>
      <c r="AB51" s="72"/>
      <c r="AC51" s="72"/>
      <c r="AD51" s="587"/>
      <c r="AE51" s="154"/>
      <c r="AF51" s="64" t="s">
        <v>55</v>
      </c>
      <c r="AG51" s="64">
        <v>0</v>
      </c>
      <c r="AH51" s="372">
        <v>0</v>
      </c>
      <c r="AI51" s="79"/>
      <c r="AJ51" s="79"/>
      <c r="AK51" s="79"/>
      <c r="AL51" s="79"/>
      <c r="AM51" s="79"/>
      <c r="AN51" s="76" t="s">
        <v>39</v>
      </c>
      <c r="AO51" s="76"/>
      <c r="AP51" s="76"/>
      <c r="AQ51" s="405"/>
      <c r="AR51" s="76"/>
      <c r="AS51" s="467"/>
      <c r="AT51" s="76"/>
      <c r="AU51" s="661"/>
      <c r="AV51" s="335" t="s">
        <v>88</v>
      </c>
    </row>
    <row r="52" spans="1:48" ht="45" outlineLevel="1" x14ac:dyDescent="0.25">
      <c r="A52" s="80" t="str">
        <f t="shared" si="1"/>
        <v>1.1.1.2.0.0</v>
      </c>
      <c r="B52" s="80">
        <v>1</v>
      </c>
      <c r="C52" s="80">
        <v>1</v>
      </c>
      <c r="D52" s="80">
        <v>1</v>
      </c>
      <c r="E52" s="80">
        <v>2</v>
      </c>
      <c r="F52" s="80">
        <v>0</v>
      </c>
      <c r="G52" s="81">
        <v>0</v>
      </c>
      <c r="H52" s="80"/>
      <c r="I52" s="80"/>
      <c r="J52" s="1347" t="s">
        <v>92</v>
      </c>
      <c r="K52" s="1347"/>
      <c r="L52" s="82" t="s">
        <v>72</v>
      </c>
      <c r="M52" s="83" t="s">
        <v>42</v>
      </c>
      <c r="N52" s="82" t="s">
        <v>47</v>
      </c>
      <c r="O52" s="82" t="s">
        <v>44</v>
      </c>
      <c r="P52" s="84">
        <v>44571</v>
      </c>
      <c r="Q52" s="84">
        <v>44925</v>
      </c>
      <c r="R52" s="85">
        <f>+SUM(R53:R95)</f>
        <v>0</v>
      </c>
      <c r="S52" s="57" t="s">
        <v>93</v>
      </c>
      <c r="T52" s="54">
        <f>+SUM(T53:T108)</f>
        <v>8</v>
      </c>
      <c r="U52" s="60">
        <f t="shared" ref="U52:AD52" si="9">SUM(U67:U108)</f>
        <v>417571.42000000004</v>
      </c>
      <c r="V52" s="672">
        <f t="shared" si="9"/>
        <v>0</v>
      </c>
      <c r="W52" s="60">
        <f t="shared" si="9"/>
        <v>0</v>
      </c>
      <c r="X52" s="60">
        <f t="shared" si="9"/>
        <v>242571.42</v>
      </c>
      <c r="Y52" s="833">
        <f t="shared" si="9"/>
        <v>84000</v>
      </c>
      <c r="Z52" s="60">
        <f t="shared" si="9"/>
        <v>0</v>
      </c>
      <c r="AA52" s="60">
        <f t="shared" si="9"/>
        <v>80857.149999999994</v>
      </c>
      <c r="AB52" s="60"/>
      <c r="AC52" s="60">
        <f t="shared" si="9"/>
        <v>0</v>
      </c>
      <c r="AD52" s="586">
        <f t="shared" si="9"/>
        <v>0</v>
      </c>
      <c r="AE52" s="116"/>
      <c r="AF52" s="331"/>
      <c r="AG52" s="576">
        <f>SUM(AG53:AG108)</f>
        <v>740583.49000000011</v>
      </c>
      <c r="AH52" s="369">
        <f>SUM(AH53:AH108)</f>
        <v>740999.99000000011</v>
      </c>
      <c r="AI52" s="369">
        <f t="shared" ref="AI52" si="10">SUM(AI53:AI108)</f>
        <v>0</v>
      </c>
      <c r="AJ52" s="369">
        <f>SUM(AJ53:AJ108)</f>
        <v>84000</v>
      </c>
      <c r="AK52" s="61"/>
      <c r="AL52" s="61"/>
      <c r="AM52" s="61"/>
      <c r="AN52" s="62" t="s">
        <v>39</v>
      </c>
      <c r="AO52" s="62"/>
      <c r="AP52" s="62"/>
      <c r="AQ52" s="404"/>
      <c r="AR52" s="62"/>
      <c r="AS52" s="466"/>
      <c r="AT52" s="62"/>
      <c r="AU52" s="660"/>
      <c r="AV52" s="334" t="s">
        <v>94</v>
      </c>
    </row>
    <row r="53" spans="1:48" ht="45" outlineLevel="3" x14ac:dyDescent="0.25">
      <c r="A53" s="63" t="str">
        <f t="shared" si="1"/>
        <v>1.1.1.2.1.58</v>
      </c>
      <c r="B53" s="63">
        <v>1</v>
      </c>
      <c r="C53" s="63">
        <v>1</v>
      </c>
      <c r="D53" s="63">
        <v>1</v>
      </c>
      <c r="E53" s="63">
        <v>2</v>
      </c>
      <c r="F53" s="63">
        <v>1</v>
      </c>
      <c r="G53" s="64">
        <v>58</v>
      </c>
      <c r="H53" s="63"/>
      <c r="I53" s="63"/>
      <c r="J53" s="67"/>
      <c r="K53" s="86" t="s">
        <v>95</v>
      </c>
      <c r="L53" s="64" t="s">
        <v>75</v>
      </c>
      <c r="M53" s="68" t="s">
        <v>52</v>
      </c>
      <c r="N53" s="64" t="s">
        <v>47</v>
      </c>
      <c r="O53" s="64" t="s">
        <v>44</v>
      </c>
      <c r="P53" s="69">
        <v>44571</v>
      </c>
      <c r="Q53" s="69">
        <v>44925</v>
      </c>
      <c r="R53" s="64"/>
      <c r="S53" s="74" t="s">
        <v>93</v>
      </c>
      <c r="T53" s="74"/>
      <c r="U53" s="87"/>
      <c r="V53" s="671">
        <v>0</v>
      </c>
      <c r="W53" s="589">
        <v>3</v>
      </c>
      <c r="X53" s="170"/>
      <c r="Y53" s="834">
        <f t="shared" ref="Y53:Y84" si="11">+AJ53-V53</f>
        <v>0</v>
      </c>
      <c r="Z53" s="87"/>
      <c r="AA53" s="87"/>
      <c r="AB53" s="87"/>
      <c r="AC53" s="87"/>
      <c r="AD53" s="93"/>
      <c r="AE53" s="75"/>
      <c r="AF53" s="954" t="s">
        <v>96</v>
      </c>
      <c r="AG53" s="510">
        <v>0</v>
      </c>
      <c r="AH53" s="370">
        <v>0</v>
      </c>
      <c r="AI53" s="75"/>
      <c r="AJ53" s="75"/>
      <c r="AK53" s="75"/>
      <c r="AL53" s="75"/>
      <c r="AM53" s="75"/>
      <c r="AN53" s="89" t="s">
        <v>39</v>
      </c>
      <c r="AO53" s="89"/>
      <c r="AP53" s="89"/>
      <c r="AQ53" s="407"/>
      <c r="AR53" s="89"/>
      <c r="AS53" s="469"/>
      <c r="AT53" s="89"/>
      <c r="AU53" s="661"/>
      <c r="AV53" s="335" t="s">
        <v>97</v>
      </c>
    </row>
    <row r="54" spans="1:48" ht="45" outlineLevel="3" x14ac:dyDescent="0.25">
      <c r="A54" s="63" t="str">
        <f t="shared" si="1"/>
        <v>1.1.1.2.2.59</v>
      </c>
      <c r="B54" s="63">
        <v>1</v>
      </c>
      <c r="C54" s="63">
        <v>1</v>
      </c>
      <c r="D54" s="63">
        <v>1</v>
      </c>
      <c r="E54" s="63">
        <v>2</v>
      </c>
      <c r="F54" s="63">
        <v>2</v>
      </c>
      <c r="G54" s="64">
        <v>59</v>
      </c>
      <c r="H54" s="63"/>
      <c r="I54" s="63"/>
      <c r="J54" s="67"/>
      <c r="K54" s="86" t="s">
        <v>98</v>
      </c>
      <c r="L54" s="64" t="s">
        <v>75</v>
      </c>
      <c r="M54" s="68" t="s">
        <v>52</v>
      </c>
      <c r="N54" s="64" t="s">
        <v>47</v>
      </c>
      <c r="O54" s="64" t="s">
        <v>44</v>
      </c>
      <c r="P54" s="69">
        <v>44571</v>
      </c>
      <c r="Q54" s="69">
        <v>44925</v>
      </c>
      <c r="R54" s="64"/>
      <c r="S54" s="74" t="s">
        <v>93</v>
      </c>
      <c r="T54" s="74"/>
      <c r="U54" s="87"/>
      <c r="V54" s="671">
        <v>0</v>
      </c>
      <c r="W54" s="589">
        <v>2</v>
      </c>
      <c r="X54" s="170"/>
      <c r="Y54" s="834">
        <f t="shared" si="11"/>
        <v>0</v>
      </c>
      <c r="Z54" s="87"/>
      <c r="AA54" s="87"/>
      <c r="AB54" s="87"/>
      <c r="AC54" s="87"/>
      <c r="AD54" s="93"/>
      <c r="AE54" s="75"/>
      <c r="AF54" s="954" t="s">
        <v>96</v>
      </c>
      <c r="AG54" s="510">
        <v>0</v>
      </c>
      <c r="AH54" s="370">
        <v>0</v>
      </c>
      <c r="AI54" s="75"/>
      <c r="AJ54" s="75"/>
      <c r="AK54" s="75"/>
      <c r="AL54" s="75"/>
      <c r="AM54" s="75"/>
      <c r="AN54" s="89" t="s">
        <v>39</v>
      </c>
      <c r="AO54" s="89"/>
      <c r="AP54" s="89"/>
      <c r="AQ54" s="407"/>
      <c r="AR54" s="89"/>
      <c r="AS54" s="469"/>
      <c r="AT54" s="89"/>
      <c r="AU54" s="661"/>
      <c r="AV54" s="336" t="s">
        <v>99</v>
      </c>
    </row>
    <row r="55" spans="1:48" ht="105" outlineLevel="3" x14ac:dyDescent="0.25">
      <c r="A55" s="63" t="str">
        <f t="shared" si="1"/>
        <v>1.1.1.2.3.63</v>
      </c>
      <c r="B55" s="63">
        <v>1</v>
      </c>
      <c r="C55" s="63">
        <v>1</v>
      </c>
      <c r="D55" s="63">
        <v>1</v>
      </c>
      <c r="E55" s="63">
        <v>2</v>
      </c>
      <c r="F55" s="63">
        <v>3</v>
      </c>
      <c r="G55" s="64">
        <v>63</v>
      </c>
      <c r="H55" s="63"/>
      <c r="I55" s="63"/>
      <c r="J55" s="67"/>
      <c r="K55" s="86" t="s">
        <v>100</v>
      </c>
      <c r="L55" s="64" t="s">
        <v>75</v>
      </c>
      <c r="M55" s="68" t="s">
        <v>52</v>
      </c>
      <c r="N55" s="64" t="s">
        <v>47</v>
      </c>
      <c r="O55" s="64" t="s">
        <v>44</v>
      </c>
      <c r="P55" s="69">
        <v>44571</v>
      </c>
      <c r="Q55" s="69">
        <v>44925</v>
      </c>
      <c r="R55" s="64"/>
      <c r="S55" s="74" t="s">
        <v>93</v>
      </c>
      <c r="T55" s="74"/>
      <c r="U55" s="87"/>
      <c r="V55" s="671">
        <v>0</v>
      </c>
      <c r="W55" s="589">
        <v>3</v>
      </c>
      <c r="X55" s="170"/>
      <c r="Y55" s="834">
        <f t="shared" si="11"/>
        <v>0</v>
      </c>
      <c r="Z55" s="589">
        <v>1</v>
      </c>
      <c r="AA55" s="170"/>
      <c r="AB55" s="808"/>
      <c r="AC55" s="87"/>
      <c r="AD55" s="93"/>
      <c r="AE55" s="75"/>
      <c r="AF55" s="954" t="s">
        <v>96</v>
      </c>
      <c r="AG55" s="510">
        <v>0</v>
      </c>
      <c r="AH55" s="370">
        <v>0</v>
      </c>
      <c r="AI55" s="75"/>
      <c r="AJ55" s="75"/>
      <c r="AK55" s="75"/>
      <c r="AL55" s="75"/>
      <c r="AM55" s="75"/>
      <c r="AN55" s="89" t="s">
        <v>39</v>
      </c>
      <c r="AO55" s="89"/>
      <c r="AP55" s="89"/>
      <c r="AQ55" s="407"/>
      <c r="AR55" s="89"/>
      <c r="AS55" s="469"/>
      <c r="AT55" s="89"/>
      <c r="AU55" s="661"/>
      <c r="AV55" s="335" t="s">
        <v>101</v>
      </c>
    </row>
    <row r="56" spans="1:48" ht="105" outlineLevel="3" x14ac:dyDescent="0.25">
      <c r="A56" s="63" t="str">
        <f t="shared" si="1"/>
        <v>1.1.1.2.4.64</v>
      </c>
      <c r="B56" s="63">
        <v>1</v>
      </c>
      <c r="C56" s="63">
        <v>1</v>
      </c>
      <c r="D56" s="63">
        <v>1</v>
      </c>
      <c r="E56" s="63">
        <v>2</v>
      </c>
      <c r="F56" s="63">
        <v>4</v>
      </c>
      <c r="G56" s="64">
        <v>64</v>
      </c>
      <c r="H56" s="63"/>
      <c r="I56" s="63"/>
      <c r="J56" s="67"/>
      <c r="K56" s="86" t="s">
        <v>102</v>
      </c>
      <c r="L56" s="64" t="s">
        <v>75</v>
      </c>
      <c r="M56" s="68" t="s">
        <v>52</v>
      </c>
      <c r="N56" s="64" t="s">
        <v>47</v>
      </c>
      <c r="O56" s="64" t="s">
        <v>44</v>
      </c>
      <c r="P56" s="69">
        <v>44571</v>
      </c>
      <c r="Q56" s="69">
        <v>44925</v>
      </c>
      <c r="R56" s="64"/>
      <c r="S56" s="74" t="s">
        <v>93</v>
      </c>
      <c r="T56" s="74"/>
      <c r="U56" s="87"/>
      <c r="V56" s="671">
        <v>0</v>
      </c>
      <c r="W56" s="589">
        <v>2</v>
      </c>
      <c r="X56" s="170"/>
      <c r="Y56" s="834">
        <f t="shared" si="11"/>
        <v>0</v>
      </c>
      <c r="Z56" s="589">
        <v>1</v>
      </c>
      <c r="AA56" s="170"/>
      <c r="AB56" s="808"/>
      <c r="AC56" s="87"/>
      <c r="AD56" s="93"/>
      <c r="AE56" s="75"/>
      <c r="AF56" s="954" t="s">
        <v>96</v>
      </c>
      <c r="AG56" s="510">
        <v>0</v>
      </c>
      <c r="AH56" s="370">
        <v>0</v>
      </c>
      <c r="AI56" s="75"/>
      <c r="AJ56" s="75"/>
      <c r="AK56" s="75"/>
      <c r="AL56" s="75"/>
      <c r="AM56" s="75"/>
      <c r="AN56" s="89" t="s">
        <v>39</v>
      </c>
      <c r="AO56" s="89"/>
      <c r="AP56" s="89"/>
      <c r="AQ56" s="407"/>
      <c r="AR56" s="89"/>
      <c r="AS56" s="469"/>
      <c r="AT56" s="89"/>
      <c r="AU56" s="661"/>
      <c r="AV56" s="336" t="s">
        <v>103</v>
      </c>
    </row>
    <row r="57" spans="1:48" ht="105" outlineLevel="3" x14ac:dyDescent="0.25">
      <c r="A57" s="63" t="str">
        <f t="shared" si="1"/>
        <v>1.1.1.2.5.61</v>
      </c>
      <c r="B57" s="63">
        <v>1</v>
      </c>
      <c r="C57" s="63">
        <v>1</v>
      </c>
      <c r="D57" s="63">
        <v>1</v>
      </c>
      <c r="E57" s="63">
        <v>2</v>
      </c>
      <c r="F57" s="63">
        <v>5</v>
      </c>
      <c r="G57" s="64">
        <v>61</v>
      </c>
      <c r="H57" s="63"/>
      <c r="I57" s="63"/>
      <c r="J57" s="90"/>
      <c r="K57" s="90" t="s">
        <v>104</v>
      </c>
      <c r="L57" s="64" t="s">
        <v>75</v>
      </c>
      <c r="M57" s="68" t="s">
        <v>52</v>
      </c>
      <c r="N57" s="64" t="s">
        <v>47</v>
      </c>
      <c r="O57" s="64" t="s">
        <v>44</v>
      </c>
      <c r="P57" s="69">
        <v>44571</v>
      </c>
      <c r="Q57" s="69">
        <v>44925</v>
      </c>
      <c r="R57" s="64"/>
      <c r="S57" s="74" t="s">
        <v>93</v>
      </c>
      <c r="T57" s="74"/>
      <c r="U57" s="87"/>
      <c r="V57" s="671">
        <v>0</v>
      </c>
      <c r="W57" s="589">
        <v>3</v>
      </c>
      <c r="X57" s="170"/>
      <c r="Y57" s="834">
        <f t="shared" si="11"/>
        <v>0</v>
      </c>
      <c r="Z57" s="589">
        <v>1</v>
      </c>
      <c r="AA57" s="170"/>
      <c r="AB57" s="808"/>
      <c r="AC57" s="87"/>
      <c r="AD57" s="93"/>
      <c r="AE57" s="75"/>
      <c r="AF57" s="954" t="s">
        <v>96</v>
      </c>
      <c r="AG57" s="510">
        <v>0</v>
      </c>
      <c r="AH57" s="370">
        <v>0</v>
      </c>
      <c r="AI57" s="75"/>
      <c r="AJ57" s="75"/>
      <c r="AK57" s="75"/>
      <c r="AL57" s="75"/>
      <c r="AM57" s="75"/>
      <c r="AN57" s="89" t="s">
        <v>39</v>
      </c>
      <c r="AO57" s="89"/>
      <c r="AP57" s="89"/>
      <c r="AQ57" s="407"/>
      <c r="AR57" s="89"/>
      <c r="AS57" s="469"/>
      <c r="AT57" s="89"/>
      <c r="AU57" s="661"/>
      <c r="AV57" s="336" t="s">
        <v>101</v>
      </c>
    </row>
    <row r="58" spans="1:48" ht="45" outlineLevel="3" x14ac:dyDescent="0.25">
      <c r="A58" s="63" t="str">
        <f t="shared" si="1"/>
        <v>1.1.1.2.6.62</v>
      </c>
      <c r="B58" s="63">
        <v>1</v>
      </c>
      <c r="C58" s="63">
        <v>1</v>
      </c>
      <c r="D58" s="63">
        <v>1</v>
      </c>
      <c r="E58" s="63">
        <v>2</v>
      </c>
      <c r="F58" s="63">
        <v>6</v>
      </c>
      <c r="G58" s="64">
        <v>62</v>
      </c>
      <c r="H58" s="63"/>
      <c r="I58" s="63"/>
      <c r="J58" s="90"/>
      <c r="K58" s="90" t="s">
        <v>105</v>
      </c>
      <c r="L58" s="64" t="s">
        <v>75</v>
      </c>
      <c r="M58" s="68" t="s">
        <v>52</v>
      </c>
      <c r="N58" s="64" t="s">
        <v>47</v>
      </c>
      <c r="O58" s="64" t="s">
        <v>44</v>
      </c>
      <c r="P58" s="69">
        <v>44571</v>
      </c>
      <c r="Q58" s="69">
        <v>44925</v>
      </c>
      <c r="R58" s="64"/>
      <c r="S58" s="74" t="s">
        <v>93</v>
      </c>
      <c r="T58" s="74"/>
      <c r="U58" s="87"/>
      <c r="V58" s="671">
        <v>0</v>
      </c>
      <c r="W58" s="589">
        <v>3</v>
      </c>
      <c r="X58" s="170"/>
      <c r="Y58" s="834">
        <f t="shared" si="11"/>
        <v>0</v>
      </c>
      <c r="Z58" s="87"/>
      <c r="AA58" s="95"/>
      <c r="AB58" s="87"/>
      <c r="AC58" s="87"/>
      <c r="AD58" s="93"/>
      <c r="AE58" s="75"/>
      <c r="AF58" s="954" t="s">
        <v>96</v>
      </c>
      <c r="AG58" s="510">
        <v>0</v>
      </c>
      <c r="AH58" s="370">
        <v>0</v>
      </c>
      <c r="AI58" s="75"/>
      <c r="AJ58" s="75"/>
      <c r="AK58" s="75"/>
      <c r="AL58" s="75"/>
      <c r="AM58" s="75"/>
      <c r="AN58" s="89" t="s">
        <v>39</v>
      </c>
      <c r="AO58" s="89"/>
      <c r="AP58" s="89"/>
      <c r="AQ58" s="407"/>
      <c r="AR58" s="89"/>
      <c r="AS58" s="469"/>
      <c r="AT58" s="89"/>
      <c r="AU58" s="661"/>
      <c r="AV58" s="335" t="s">
        <v>97</v>
      </c>
    </row>
    <row r="59" spans="1:48" ht="165" outlineLevel="3" x14ac:dyDescent="0.25">
      <c r="A59" s="63" t="str">
        <f t="shared" si="1"/>
        <v>1.1.1.2.7.60</v>
      </c>
      <c r="B59" s="63">
        <v>1</v>
      </c>
      <c r="C59" s="63">
        <v>1</v>
      </c>
      <c r="D59" s="63">
        <v>1</v>
      </c>
      <c r="E59" s="63">
        <v>2</v>
      </c>
      <c r="F59" s="63">
        <v>7</v>
      </c>
      <c r="G59" s="64">
        <v>60</v>
      </c>
      <c r="H59" s="63"/>
      <c r="I59" s="63"/>
      <c r="J59" s="90"/>
      <c r="K59" s="91" t="s">
        <v>106</v>
      </c>
      <c r="L59" s="64" t="s">
        <v>75</v>
      </c>
      <c r="M59" s="68" t="s">
        <v>52</v>
      </c>
      <c r="N59" s="64" t="s">
        <v>47</v>
      </c>
      <c r="O59" s="64" t="s">
        <v>44</v>
      </c>
      <c r="P59" s="69">
        <v>44571</v>
      </c>
      <c r="Q59" s="69">
        <v>44925</v>
      </c>
      <c r="R59" s="64"/>
      <c r="S59" s="74" t="s">
        <v>93</v>
      </c>
      <c r="T59" s="74"/>
      <c r="U59" s="87"/>
      <c r="V59" s="671">
        <v>0</v>
      </c>
      <c r="W59" s="589">
        <v>3</v>
      </c>
      <c r="X59" s="170"/>
      <c r="Y59" s="834">
        <f t="shared" si="11"/>
        <v>0</v>
      </c>
      <c r="Z59" s="589">
        <v>1</v>
      </c>
      <c r="AA59" s="170"/>
      <c r="AB59" s="808"/>
      <c r="AC59" s="87"/>
      <c r="AD59" s="93"/>
      <c r="AE59" s="75"/>
      <c r="AF59" s="954" t="s">
        <v>96</v>
      </c>
      <c r="AG59" s="510">
        <v>0</v>
      </c>
      <c r="AH59" s="370">
        <v>0</v>
      </c>
      <c r="AI59" s="75"/>
      <c r="AJ59" s="75"/>
      <c r="AK59" s="75"/>
      <c r="AL59" s="75"/>
      <c r="AM59" s="75"/>
      <c r="AN59" s="89" t="s">
        <v>39</v>
      </c>
      <c r="AO59" s="89"/>
      <c r="AP59" s="89"/>
      <c r="AQ59" s="407"/>
      <c r="AR59" s="89"/>
      <c r="AS59" s="469"/>
      <c r="AT59" s="89"/>
      <c r="AU59" s="661"/>
      <c r="AV59" s="336" t="s">
        <v>107</v>
      </c>
    </row>
    <row r="60" spans="1:48" ht="300" outlineLevel="3" x14ac:dyDescent="0.25">
      <c r="A60" s="63" t="str">
        <f t="shared" si="1"/>
        <v>1.1.1.2.8.58</v>
      </c>
      <c r="B60" s="63">
        <v>1</v>
      </c>
      <c r="C60" s="63">
        <v>1</v>
      </c>
      <c r="D60" s="63">
        <v>1</v>
      </c>
      <c r="E60" s="63">
        <v>2</v>
      </c>
      <c r="F60" s="63">
        <v>8</v>
      </c>
      <c r="G60" s="64">
        <v>58</v>
      </c>
      <c r="H60" s="63"/>
      <c r="I60" s="63"/>
      <c r="J60" s="90"/>
      <c r="K60" s="91" t="s">
        <v>108</v>
      </c>
      <c r="L60" s="64" t="s">
        <v>75</v>
      </c>
      <c r="M60" s="68" t="s">
        <v>52</v>
      </c>
      <c r="N60" s="64" t="s">
        <v>47</v>
      </c>
      <c r="O60" s="64" t="s">
        <v>44</v>
      </c>
      <c r="P60" s="69">
        <v>44571</v>
      </c>
      <c r="Q60" s="69">
        <v>44925</v>
      </c>
      <c r="R60" s="64"/>
      <c r="S60" s="339" t="s">
        <v>93</v>
      </c>
      <c r="T60" s="295">
        <v>1</v>
      </c>
      <c r="U60" s="170"/>
      <c r="V60" s="794">
        <v>0</v>
      </c>
      <c r="W60" s="810">
        <v>3</v>
      </c>
      <c r="X60" s="573"/>
      <c r="Y60" s="834">
        <f t="shared" si="11"/>
        <v>0</v>
      </c>
      <c r="Z60" s="589">
        <v>3</v>
      </c>
      <c r="AA60" s="573"/>
      <c r="AB60" s="808"/>
      <c r="AC60" s="589">
        <v>2</v>
      </c>
      <c r="AD60" s="953"/>
      <c r="AE60" s="295"/>
      <c r="AF60" s="954" t="s">
        <v>96</v>
      </c>
      <c r="AG60" s="510">
        <v>0</v>
      </c>
      <c r="AH60" s="370">
        <v>0</v>
      </c>
      <c r="AI60" s="75"/>
      <c r="AJ60" s="75"/>
      <c r="AK60" s="75"/>
      <c r="AL60" s="75"/>
      <c r="AM60" s="75"/>
      <c r="AN60" s="89" t="s">
        <v>39</v>
      </c>
      <c r="AO60" s="89"/>
      <c r="AP60" s="89"/>
      <c r="AQ60" s="407"/>
      <c r="AR60" s="89"/>
      <c r="AS60" s="469"/>
      <c r="AT60" s="89"/>
      <c r="AU60" s="661"/>
      <c r="AV60" s="335" t="s">
        <v>109</v>
      </c>
    </row>
    <row r="61" spans="1:48" ht="375" outlineLevel="3" x14ac:dyDescent="0.25">
      <c r="A61" s="63" t="str">
        <f t="shared" si="1"/>
        <v>1.1.1.2.9.59</v>
      </c>
      <c r="B61" s="63">
        <v>1</v>
      </c>
      <c r="C61" s="63">
        <v>1</v>
      </c>
      <c r="D61" s="63">
        <v>1</v>
      </c>
      <c r="E61" s="63">
        <v>2</v>
      </c>
      <c r="F61" s="63">
        <v>9</v>
      </c>
      <c r="G61" s="64">
        <v>59</v>
      </c>
      <c r="H61" s="63"/>
      <c r="I61" s="63"/>
      <c r="J61" s="90"/>
      <c r="K61" s="91" t="s">
        <v>110</v>
      </c>
      <c r="L61" s="64" t="s">
        <v>75</v>
      </c>
      <c r="M61" s="68" t="s">
        <v>52</v>
      </c>
      <c r="N61" s="64" t="s">
        <v>47</v>
      </c>
      <c r="O61" s="64" t="s">
        <v>44</v>
      </c>
      <c r="P61" s="69">
        <v>44571</v>
      </c>
      <c r="Q61" s="69">
        <v>44925</v>
      </c>
      <c r="R61" s="64"/>
      <c r="S61" s="339" t="s">
        <v>93</v>
      </c>
      <c r="T61" s="295">
        <v>1</v>
      </c>
      <c r="U61" s="170"/>
      <c r="V61" s="813">
        <v>0</v>
      </c>
      <c r="W61" s="295">
        <v>2</v>
      </c>
      <c r="X61" s="295"/>
      <c r="Y61" s="834">
        <f t="shared" si="11"/>
        <v>0</v>
      </c>
      <c r="Z61" s="295">
        <v>3</v>
      </c>
      <c r="AA61" s="295"/>
      <c r="AB61" s="75"/>
      <c r="AC61" s="295">
        <v>3</v>
      </c>
      <c r="AD61" s="803"/>
      <c r="AE61" s="295"/>
      <c r="AF61" s="954" t="s">
        <v>96</v>
      </c>
      <c r="AG61" s="510">
        <v>0</v>
      </c>
      <c r="AH61" s="370">
        <v>0</v>
      </c>
      <c r="AI61" s="75"/>
      <c r="AJ61" s="75"/>
      <c r="AK61" s="75"/>
      <c r="AL61" s="75"/>
      <c r="AM61" s="75"/>
      <c r="AN61" s="89" t="s">
        <v>39</v>
      </c>
      <c r="AO61" s="89"/>
      <c r="AP61" s="89"/>
      <c r="AQ61" s="407"/>
      <c r="AR61" s="89"/>
      <c r="AS61" s="469"/>
      <c r="AT61" s="89"/>
      <c r="AU61" s="661"/>
      <c r="AV61" s="336" t="s">
        <v>111</v>
      </c>
    </row>
    <row r="62" spans="1:48" ht="375" outlineLevel="3" x14ac:dyDescent="0.25">
      <c r="A62" s="63" t="str">
        <f t="shared" si="1"/>
        <v>1.1.1.2.10.63</v>
      </c>
      <c r="B62" s="63">
        <v>1</v>
      </c>
      <c r="C62" s="63">
        <v>1</v>
      </c>
      <c r="D62" s="63">
        <v>1</v>
      </c>
      <c r="E62" s="63">
        <v>2</v>
      </c>
      <c r="F62" s="63">
        <v>10</v>
      </c>
      <c r="G62" s="64">
        <v>63</v>
      </c>
      <c r="H62" s="63"/>
      <c r="I62" s="63"/>
      <c r="J62" s="90"/>
      <c r="K62" s="91" t="s">
        <v>112</v>
      </c>
      <c r="L62" s="64" t="s">
        <v>75</v>
      </c>
      <c r="M62" s="68" t="s">
        <v>52</v>
      </c>
      <c r="N62" s="64" t="s">
        <v>47</v>
      </c>
      <c r="O62" s="64" t="s">
        <v>44</v>
      </c>
      <c r="P62" s="69">
        <v>44571</v>
      </c>
      <c r="Q62" s="69">
        <v>44925</v>
      </c>
      <c r="R62" s="64"/>
      <c r="S62" s="339" t="s">
        <v>93</v>
      </c>
      <c r="T62" s="295">
        <v>1</v>
      </c>
      <c r="U62" s="170"/>
      <c r="V62" s="794">
        <v>0</v>
      </c>
      <c r="W62" s="95"/>
      <c r="X62" s="809">
        <v>5</v>
      </c>
      <c r="Y62" s="834">
        <f t="shared" si="11"/>
        <v>0</v>
      </c>
      <c r="Z62" s="95"/>
      <c r="AA62" s="809">
        <v>3</v>
      </c>
      <c r="AB62" s="809"/>
      <c r="AC62" s="95"/>
      <c r="AD62" s="810">
        <v>3</v>
      </c>
      <c r="AE62" s="295"/>
      <c r="AF62" s="954" t="s">
        <v>96</v>
      </c>
      <c r="AG62" s="510">
        <v>0</v>
      </c>
      <c r="AH62" s="370">
        <v>0</v>
      </c>
      <c r="AI62" s="75"/>
      <c r="AJ62" s="75"/>
      <c r="AK62" s="75"/>
      <c r="AL62" s="75"/>
      <c r="AM62" s="75"/>
      <c r="AN62" s="89" t="s">
        <v>39</v>
      </c>
      <c r="AO62" s="89"/>
      <c r="AP62" s="89"/>
      <c r="AQ62" s="407"/>
      <c r="AR62" s="89"/>
      <c r="AS62" s="469"/>
      <c r="AT62" s="89"/>
      <c r="AU62" s="661"/>
      <c r="AV62" s="335" t="s">
        <v>113</v>
      </c>
    </row>
    <row r="63" spans="1:48" ht="315" outlineLevel="3" x14ac:dyDescent="0.25">
      <c r="A63" s="63" t="str">
        <f t="shared" si="1"/>
        <v>1.1.1.2.11.64</v>
      </c>
      <c r="B63" s="63">
        <v>1</v>
      </c>
      <c r="C63" s="63">
        <v>1</v>
      </c>
      <c r="D63" s="63">
        <v>1</v>
      </c>
      <c r="E63" s="63">
        <v>2</v>
      </c>
      <c r="F63" s="63">
        <v>11</v>
      </c>
      <c r="G63" s="64">
        <v>64</v>
      </c>
      <c r="H63" s="63"/>
      <c r="I63" s="63"/>
      <c r="J63" s="90"/>
      <c r="K63" s="91" t="s">
        <v>114</v>
      </c>
      <c r="L63" s="64" t="s">
        <v>75</v>
      </c>
      <c r="M63" s="68" t="s">
        <v>52</v>
      </c>
      <c r="N63" s="64" t="s">
        <v>47</v>
      </c>
      <c r="O63" s="64" t="s">
        <v>44</v>
      </c>
      <c r="P63" s="69">
        <v>44571</v>
      </c>
      <c r="Q63" s="69">
        <v>44925</v>
      </c>
      <c r="R63" s="64"/>
      <c r="S63" s="339" t="s">
        <v>93</v>
      </c>
      <c r="T63" s="295">
        <v>1</v>
      </c>
      <c r="U63" s="170"/>
      <c r="V63" s="794">
        <v>0</v>
      </c>
      <c r="W63" s="88">
        <v>2</v>
      </c>
      <c r="X63" s="88"/>
      <c r="Y63" s="834">
        <f t="shared" si="11"/>
        <v>0</v>
      </c>
      <c r="Z63" s="88">
        <v>3</v>
      </c>
      <c r="AA63" s="88"/>
      <c r="AB63" s="87"/>
      <c r="AC63" s="88">
        <v>3</v>
      </c>
      <c r="AE63" s="295"/>
      <c r="AF63" s="954" t="s">
        <v>96</v>
      </c>
      <c r="AG63" s="510">
        <v>0</v>
      </c>
      <c r="AH63" s="370">
        <v>0</v>
      </c>
      <c r="AI63" s="75"/>
      <c r="AJ63" s="75"/>
      <c r="AK63" s="75"/>
      <c r="AL63" s="75"/>
      <c r="AM63" s="75"/>
      <c r="AN63" s="89" t="s">
        <v>39</v>
      </c>
      <c r="AO63" s="89"/>
      <c r="AP63" s="89"/>
      <c r="AQ63" s="407"/>
      <c r="AR63" s="89"/>
      <c r="AS63" s="469"/>
      <c r="AT63" s="89"/>
      <c r="AU63" s="661"/>
      <c r="AV63" s="336" t="s">
        <v>115</v>
      </c>
    </row>
    <row r="64" spans="1:48" ht="390" outlineLevel="3" x14ac:dyDescent="0.25">
      <c r="A64" s="63" t="str">
        <f t="shared" si="1"/>
        <v>1.1.1.2.12.61</v>
      </c>
      <c r="B64" s="63">
        <v>1</v>
      </c>
      <c r="C64" s="63">
        <v>1</v>
      </c>
      <c r="D64" s="63">
        <v>1</v>
      </c>
      <c r="E64" s="63">
        <v>2</v>
      </c>
      <c r="F64" s="63">
        <v>12</v>
      </c>
      <c r="G64" s="64">
        <v>61</v>
      </c>
      <c r="H64" s="63"/>
      <c r="I64" s="63"/>
      <c r="J64" s="90"/>
      <c r="K64" s="91" t="s">
        <v>116</v>
      </c>
      <c r="L64" s="64" t="s">
        <v>75</v>
      </c>
      <c r="M64" s="68" t="s">
        <v>52</v>
      </c>
      <c r="N64" s="64" t="s">
        <v>47</v>
      </c>
      <c r="O64" s="64" t="s">
        <v>44</v>
      </c>
      <c r="P64" s="69">
        <v>44571</v>
      </c>
      <c r="Q64" s="69">
        <v>44925</v>
      </c>
      <c r="R64" s="64"/>
      <c r="S64" s="339" t="s">
        <v>93</v>
      </c>
      <c r="T64" s="295">
        <v>2</v>
      </c>
      <c r="U64" s="170"/>
      <c r="V64" s="794">
        <v>0</v>
      </c>
      <c r="W64" s="87"/>
      <c r="X64" s="88">
        <v>3</v>
      </c>
      <c r="Y64" s="834">
        <f t="shared" si="11"/>
        <v>0</v>
      </c>
      <c r="Z64" s="87"/>
      <c r="AA64" s="88">
        <v>6</v>
      </c>
      <c r="AB64" s="88"/>
      <c r="AC64" s="87"/>
      <c r="AD64" s="589">
        <v>6</v>
      </c>
      <c r="AE64" s="295"/>
      <c r="AF64" s="954" t="s">
        <v>96</v>
      </c>
      <c r="AG64" s="510">
        <v>0</v>
      </c>
      <c r="AH64" s="370">
        <v>0</v>
      </c>
      <c r="AI64" s="75"/>
      <c r="AJ64" s="75"/>
      <c r="AK64" s="75"/>
      <c r="AL64" s="75"/>
      <c r="AM64" s="75"/>
      <c r="AN64" s="89" t="s">
        <v>39</v>
      </c>
      <c r="AO64" s="89"/>
      <c r="AP64" s="89"/>
      <c r="AQ64" s="407"/>
      <c r="AR64" s="89"/>
      <c r="AS64" s="469"/>
      <c r="AT64" s="89"/>
      <c r="AU64" s="661"/>
      <c r="AV64" s="336" t="s">
        <v>117</v>
      </c>
    </row>
    <row r="65" spans="1:48" ht="331.5" outlineLevel="3" x14ac:dyDescent="0.25">
      <c r="A65" s="63" t="str">
        <f t="shared" si="1"/>
        <v>1.1.1.2.13.62</v>
      </c>
      <c r="B65" s="63">
        <v>1</v>
      </c>
      <c r="C65" s="63">
        <v>1</v>
      </c>
      <c r="D65" s="63">
        <v>1</v>
      </c>
      <c r="E65" s="63">
        <v>2</v>
      </c>
      <c r="F65" s="63">
        <v>13</v>
      </c>
      <c r="G65" s="64">
        <v>62</v>
      </c>
      <c r="H65" s="63"/>
      <c r="I65" s="63"/>
      <c r="J65" s="90"/>
      <c r="K65" s="91" t="s">
        <v>118</v>
      </c>
      <c r="L65" s="64" t="s">
        <v>75</v>
      </c>
      <c r="M65" s="68" t="s">
        <v>52</v>
      </c>
      <c r="N65" s="64" t="s">
        <v>47</v>
      </c>
      <c r="O65" s="64" t="s">
        <v>44</v>
      </c>
      <c r="P65" s="69">
        <v>44571</v>
      </c>
      <c r="Q65" s="69">
        <v>44925</v>
      </c>
      <c r="R65" s="64"/>
      <c r="S65" s="339" t="s">
        <v>93</v>
      </c>
      <c r="T65" s="295">
        <v>1</v>
      </c>
      <c r="U65" s="170"/>
      <c r="V65" s="794">
        <v>0</v>
      </c>
      <c r="W65" s="87"/>
      <c r="X65" s="88">
        <v>5</v>
      </c>
      <c r="Y65" s="834">
        <f t="shared" si="11"/>
        <v>0</v>
      </c>
      <c r="Z65" s="87"/>
      <c r="AA65" s="88">
        <v>3</v>
      </c>
      <c r="AB65" s="88"/>
      <c r="AC65" s="87"/>
      <c r="AD65" s="589">
        <v>3</v>
      </c>
      <c r="AE65" s="295"/>
      <c r="AF65" s="954" t="s">
        <v>96</v>
      </c>
      <c r="AG65" s="510">
        <v>0</v>
      </c>
      <c r="AH65" s="370">
        <v>0</v>
      </c>
      <c r="AI65" s="75"/>
      <c r="AJ65" s="75"/>
      <c r="AK65" s="75"/>
      <c r="AL65" s="75"/>
      <c r="AM65" s="75"/>
      <c r="AN65" s="89" t="s">
        <v>39</v>
      </c>
      <c r="AO65" s="89"/>
      <c r="AP65" s="89"/>
      <c r="AQ65" s="407"/>
      <c r="AR65" s="89"/>
      <c r="AS65" s="469"/>
      <c r="AT65" s="89"/>
      <c r="AU65" s="661"/>
      <c r="AV65" s="337" t="s">
        <v>119</v>
      </c>
    </row>
    <row r="66" spans="1:48" ht="375" outlineLevel="3" x14ac:dyDescent="0.25">
      <c r="A66" s="63" t="str">
        <f t="shared" si="1"/>
        <v>1.1.1.2.14.60</v>
      </c>
      <c r="B66" s="63">
        <v>1</v>
      </c>
      <c r="C66" s="63">
        <v>1</v>
      </c>
      <c r="D66" s="63">
        <v>1</v>
      </c>
      <c r="E66" s="63">
        <v>2</v>
      </c>
      <c r="F66" s="63">
        <v>14</v>
      </c>
      <c r="G66" s="64">
        <v>60</v>
      </c>
      <c r="H66" s="63"/>
      <c r="I66" s="63"/>
      <c r="J66" s="90"/>
      <c r="K66" s="91" t="s">
        <v>120</v>
      </c>
      <c r="L66" s="64" t="s">
        <v>75</v>
      </c>
      <c r="M66" s="68" t="s">
        <v>52</v>
      </c>
      <c r="N66" s="64" t="s">
        <v>47</v>
      </c>
      <c r="O66" s="64" t="s">
        <v>44</v>
      </c>
      <c r="P66" s="69">
        <v>44571</v>
      </c>
      <c r="Q66" s="69">
        <v>44925</v>
      </c>
      <c r="R66" s="64"/>
      <c r="S66" s="339" t="s">
        <v>93</v>
      </c>
      <c r="T66" s="295">
        <v>1</v>
      </c>
      <c r="U66" s="170"/>
      <c r="V66" s="794">
        <v>0</v>
      </c>
      <c r="W66" s="87"/>
      <c r="X66" s="88">
        <v>3</v>
      </c>
      <c r="Y66" s="834">
        <f t="shared" si="11"/>
        <v>0</v>
      </c>
      <c r="Z66" s="87"/>
      <c r="AA66" s="88">
        <v>3</v>
      </c>
      <c r="AB66" s="88"/>
      <c r="AC66" s="87"/>
      <c r="AD66" s="589">
        <v>3</v>
      </c>
      <c r="AE66" s="295"/>
      <c r="AF66" s="954" t="s">
        <v>96</v>
      </c>
      <c r="AG66" s="510">
        <v>0</v>
      </c>
      <c r="AH66" s="370">
        <v>0</v>
      </c>
      <c r="AI66" s="75"/>
      <c r="AJ66" s="75"/>
      <c r="AK66" s="75"/>
      <c r="AL66" s="75"/>
      <c r="AM66" s="75"/>
      <c r="AN66" s="89" t="s">
        <v>39</v>
      </c>
      <c r="AO66" s="89"/>
      <c r="AP66" s="89"/>
      <c r="AQ66" s="407"/>
      <c r="AR66" s="89"/>
      <c r="AS66" s="469"/>
      <c r="AT66" s="89"/>
      <c r="AU66" s="661"/>
      <c r="AV66" s="336" t="s">
        <v>121</v>
      </c>
    </row>
    <row r="67" spans="1:48" outlineLevel="3" x14ac:dyDescent="0.25">
      <c r="A67" s="63" t="str">
        <f t="shared" si="1"/>
        <v>1.1.1.2.15.58</v>
      </c>
      <c r="B67" s="63">
        <v>1</v>
      </c>
      <c r="C67" s="63">
        <v>1</v>
      </c>
      <c r="D67" s="63">
        <v>1</v>
      </c>
      <c r="E67" s="63">
        <v>2</v>
      </c>
      <c r="F67" s="63">
        <v>15</v>
      </c>
      <c r="G67" s="64">
        <v>58</v>
      </c>
      <c r="H67" s="63"/>
      <c r="I67" s="63"/>
      <c r="J67" s="90"/>
      <c r="K67" s="91" t="s">
        <v>122</v>
      </c>
      <c r="L67" s="64" t="s">
        <v>72</v>
      </c>
      <c r="M67" s="64" t="s">
        <v>73</v>
      </c>
      <c r="N67" s="68" t="s">
        <v>123</v>
      </c>
      <c r="O67" s="64" t="s">
        <v>75</v>
      </c>
      <c r="P67" s="69">
        <v>44571</v>
      </c>
      <c r="Q67" s="69">
        <v>44925</v>
      </c>
      <c r="R67" s="64"/>
      <c r="S67" s="74" t="s">
        <v>73</v>
      </c>
      <c r="T67" s="812"/>
      <c r="U67" s="95">
        <f>+AH67</f>
        <v>25000</v>
      </c>
      <c r="V67" s="671">
        <v>0</v>
      </c>
      <c r="W67" s="87"/>
      <c r="X67" s="87"/>
      <c r="Y67" s="834">
        <f t="shared" si="11"/>
        <v>0</v>
      </c>
      <c r="Z67" s="87"/>
      <c r="AA67" s="87"/>
      <c r="AB67" s="87"/>
      <c r="AC67" s="87"/>
      <c r="AD67" s="93"/>
      <c r="AE67" s="75"/>
      <c r="AF67" s="954" t="s">
        <v>77</v>
      </c>
      <c r="AG67" s="510">
        <v>25000</v>
      </c>
      <c r="AH67" s="371">
        <v>25000</v>
      </c>
      <c r="AI67" s="78"/>
      <c r="AJ67" s="78"/>
      <c r="AK67" s="78"/>
      <c r="AL67" s="78"/>
      <c r="AM67" s="78"/>
      <c r="AN67" s="89" t="s">
        <v>39</v>
      </c>
      <c r="AO67" s="313"/>
      <c r="AP67" s="313"/>
      <c r="AQ67" s="408"/>
      <c r="AR67" s="89"/>
      <c r="AS67" s="470"/>
      <c r="AT67" s="89"/>
      <c r="AU67" s="661"/>
      <c r="AV67" s="1352" t="s">
        <v>124</v>
      </c>
    </row>
    <row r="68" spans="1:48" outlineLevel="3" x14ac:dyDescent="0.25">
      <c r="A68" s="63" t="str">
        <f t="shared" si="1"/>
        <v>1.1.1.2.15.59</v>
      </c>
      <c r="B68" s="63">
        <v>1</v>
      </c>
      <c r="C68" s="63">
        <v>1</v>
      </c>
      <c r="D68" s="63">
        <v>1</v>
      </c>
      <c r="E68" s="63">
        <v>2</v>
      </c>
      <c r="F68" s="63">
        <v>15</v>
      </c>
      <c r="G68" s="64">
        <v>59</v>
      </c>
      <c r="H68" s="63"/>
      <c r="I68" s="63"/>
      <c r="J68" s="90"/>
      <c r="K68" s="91" t="s">
        <v>122</v>
      </c>
      <c r="L68" s="64" t="s">
        <v>72</v>
      </c>
      <c r="M68" s="64" t="s">
        <v>73</v>
      </c>
      <c r="N68" s="68" t="s">
        <v>123</v>
      </c>
      <c r="O68" s="64" t="s">
        <v>75</v>
      </c>
      <c r="P68" s="69">
        <v>44571</v>
      </c>
      <c r="Q68" s="69">
        <v>44925</v>
      </c>
      <c r="R68" s="64"/>
      <c r="S68" s="74" t="s">
        <v>73</v>
      </c>
      <c r="T68" s="74"/>
      <c r="U68" s="87">
        <f t="shared" ref="U68:U69" si="12">+AH68</f>
        <v>25000</v>
      </c>
      <c r="V68" s="671">
        <v>0</v>
      </c>
      <c r="W68" s="87"/>
      <c r="X68" s="87"/>
      <c r="Y68" s="834">
        <f t="shared" si="11"/>
        <v>0</v>
      </c>
      <c r="Z68" s="87"/>
      <c r="AA68" s="87"/>
      <c r="AB68" s="87"/>
      <c r="AC68" s="87"/>
      <c r="AD68" s="93"/>
      <c r="AE68" s="75"/>
      <c r="AF68" s="954" t="s">
        <v>77</v>
      </c>
      <c r="AG68" s="510">
        <v>25000</v>
      </c>
      <c r="AH68" s="371">
        <v>25000</v>
      </c>
      <c r="AI68" s="78"/>
      <c r="AJ68" s="78"/>
      <c r="AK68" s="78"/>
      <c r="AL68" s="78"/>
      <c r="AM68" s="78"/>
      <c r="AN68" s="89" t="s">
        <v>39</v>
      </c>
      <c r="AO68" s="313"/>
      <c r="AP68" s="313"/>
      <c r="AQ68" s="408"/>
      <c r="AR68" s="89"/>
      <c r="AS68" s="470"/>
      <c r="AT68" s="89"/>
      <c r="AU68" s="661"/>
      <c r="AV68" s="1352"/>
    </row>
    <row r="69" spans="1:48" outlineLevel="3" x14ac:dyDescent="0.25">
      <c r="A69" s="63" t="str">
        <f t="shared" si="1"/>
        <v>1.1.1.2.15.60</v>
      </c>
      <c r="B69" s="63">
        <v>1</v>
      </c>
      <c r="C69" s="63">
        <v>1</v>
      </c>
      <c r="D69" s="63">
        <v>1</v>
      </c>
      <c r="E69" s="63">
        <v>2</v>
      </c>
      <c r="F69" s="63">
        <v>15</v>
      </c>
      <c r="G69" s="64">
        <v>60</v>
      </c>
      <c r="H69" s="63"/>
      <c r="I69" s="63"/>
      <c r="J69" s="90"/>
      <c r="K69" s="91" t="s">
        <v>122</v>
      </c>
      <c r="L69" s="64" t="s">
        <v>72</v>
      </c>
      <c r="M69" s="64" t="s">
        <v>73</v>
      </c>
      <c r="N69" s="68" t="s">
        <v>123</v>
      </c>
      <c r="O69" s="64" t="s">
        <v>75</v>
      </c>
      <c r="P69" s="69">
        <v>44571</v>
      </c>
      <c r="Q69" s="69">
        <v>44925</v>
      </c>
      <c r="R69" s="64"/>
      <c r="S69" s="74" t="s">
        <v>73</v>
      </c>
      <c r="T69" s="74"/>
      <c r="U69" s="87">
        <f t="shared" si="12"/>
        <v>25000</v>
      </c>
      <c r="V69" s="671">
        <v>0</v>
      </c>
      <c r="W69" s="87"/>
      <c r="X69" s="87"/>
      <c r="Y69" s="834">
        <f t="shared" si="11"/>
        <v>0</v>
      </c>
      <c r="Z69" s="87"/>
      <c r="AA69" s="87"/>
      <c r="AB69" s="87"/>
      <c r="AC69" s="87"/>
      <c r="AD69" s="93"/>
      <c r="AE69" s="75"/>
      <c r="AF69" s="954" t="s">
        <v>77</v>
      </c>
      <c r="AG69" s="510">
        <v>25000</v>
      </c>
      <c r="AH69" s="371">
        <v>25000</v>
      </c>
      <c r="AI69" s="78"/>
      <c r="AJ69" s="78"/>
      <c r="AK69" s="78"/>
      <c r="AL69" s="78"/>
      <c r="AM69" s="78"/>
      <c r="AN69" s="89" t="s">
        <v>39</v>
      </c>
      <c r="AO69" s="313"/>
      <c r="AP69" s="313"/>
      <c r="AQ69" s="408"/>
      <c r="AR69" s="89"/>
      <c r="AS69" s="470"/>
      <c r="AT69" s="89"/>
      <c r="AU69" s="661"/>
      <c r="AV69" s="1352"/>
    </row>
    <row r="70" spans="1:48" outlineLevel="3" x14ac:dyDescent="0.25">
      <c r="A70" s="63" t="str">
        <f t="shared" si="1"/>
        <v>1.1.1.2.15.61</v>
      </c>
      <c r="B70" s="63">
        <v>1</v>
      </c>
      <c r="C70" s="63">
        <v>1</v>
      </c>
      <c r="D70" s="63">
        <v>1</v>
      </c>
      <c r="E70" s="63">
        <v>2</v>
      </c>
      <c r="F70" s="63">
        <v>15</v>
      </c>
      <c r="G70" s="64">
        <v>61</v>
      </c>
      <c r="H70" s="63"/>
      <c r="I70" s="63"/>
      <c r="J70" s="90"/>
      <c r="K70" s="91" t="s">
        <v>122</v>
      </c>
      <c r="L70" s="64" t="s">
        <v>72</v>
      </c>
      <c r="M70" s="64" t="s">
        <v>73</v>
      </c>
      <c r="N70" s="68" t="s">
        <v>123</v>
      </c>
      <c r="O70" s="64" t="s">
        <v>75</v>
      </c>
      <c r="P70" s="69">
        <v>44571</v>
      </c>
      <c r="Q70" s="69">
        <v>44925</v>
      </c>
      <c r="R70" s="64"/>
      <c r="S70" s="74" t="s">
        <v>73</v>
      </c>
      <c r="T70" s="74"/>
      <c r="U70" s="87">
        <f>+AH70</f>
        <v>25000</v>
      </c>
      <c r="V70" s="671">
        <v>0</v>
      </c>
      <c r="W70" s="87"/>
      <c r="X70" s="87"/>
      <c r="Y70" s="834">
        <f t="shared" si="11"/>
        <v>0</v>
      </c>
      <c r="Z70" s="87"/>
      <c r="AA70" s="87"/>
      <c r="AB70" s="87"/>
      <c r="AC70" s="87"/>
      <c r="AD70" s="93"/>
      <c r="AE70" s="75"/>
      <c r="AF70" s="954" t="s">
        <v>77</v>
      </c>
      <c r="AG70" s="510">
        <v>25000</v>
      </c>
      <c r="AH70" s="371">
        <v>25000</v>
      </c>
      <c r="AI70" s="78"/>
      <c r="AJ70" s="78"/>
      <c r="AK70" s="78"/>
      <c r="AL70" s="78"/>
      <c r="AM70" s="78"/>
      <c r="AN70" s="89" t="s">
        <v>39</v>
      </c>
      <c r="AO70" s="313"/>
      <c r="AP70" s="313"/>
      <c r="AQ70" s="408"/>
      <c r="AR70" s="89"/>
      <c r="AS70" s="470"/>
      <c r="AT70" s="89"/>
      <c r="AU70" s="661"/>
      <c r="AV70" s="1352"/>
    </row>
    <row r="71" spans="1:48" outlineLevel="3" x14ac:dyDescent="0.25">
      <c r="A71" s="63" t="str">
        <f t="shared" si="1"/>
        <v>1.1.1.2.15.62</v>
      </c>
      <c r="B71" s="63">
        <v>1</v>
      </c>
      <c r="C71" s="63">
        <v>1</v>
      </c>
      <c r="D71" s="63">
        <v>1</v>
      </c>
      <c r="E71" s="63">
        <v>2</v>
      </c>
      <c r="F71" s="63">
        <v>15</v>
      </c>
      <c r="G71" s="64">
        <v>62</v>
      </c>
      <c r="H71" s="63"/>
      <c r="I71" s="63"/>
      <c r="J71" s="90"/>
      <c r="K71" s="91" t="s">
        <v>122</v>
      </c>
      <c r="L71" s="64" t="s">
        <v>72</v>
      </c>
      <c r="M71" s="64" t="s">
        <v>73</v>
      </c>
      <c r="N71" s="68" t="s">
        <v>123</v>
      </c>
      <c r="O71" s="64" t="s">
        <v>75</v>
      </c>
      <c r="P71" s="69">
        <v>44571</v>
      </c>
      <c r="Q71" s="69">
        <v>44925</v>
      </c>
      <c r="R71" s="64"/>
      <c r="S71" s="74" t="s">
        <v>73</v>
      </c>
      <c r="T71" s="74"/>
      <c r="U71" s="87">
        <v>25000</v>
      </c>
      <c r="V71" s="671">
        <v>0</v>
      </c>
      <c r="W71" s="87"/>
      <c r="X71" s="87"/>
      <c r="Y71" s="834">
        <f t="shared" si="11"/>
        <v>0</v>
      </c>
      <c r="Z71" s="87"/>
      <c r="AA71" s="87"/>
      <c r="AB71" s="87"/>
      <c r="AC71" s="87"/>
      <c r="AD71" s="93"/>
      <c r="AE71" s="75"/>
      <c r="AF71" s="954" t="s">
        <v>77</v>
      </c>
      <c r="AG71" s="510">
        <v>25000</v>
      </c>
      <c r="AH71" s="371">
        <v>25000</v>
      </c>
      <c r="AI71" s="78"/>
      <c r="AJ71" s="78"/>
      <c r="AK71" s="78"/>
      <c r="AL71" s="78"/>
      <c r="AM71" s="78"/>
      <c r="AN71" s="89" t="s">
        <v>39</v>
      </c>
      <c r="AO71" s="313"/>
      <c r="AP71" s="313"/>
      <c r="AQ71" s="408"/>
      <c r="AR71" s="89"/>
      <c r="AS71" s="470"/>
      <c r="AT71" s="89"/>
      <c r="AU71" s="661"/>
      <c r="AV71" s="1352"/>
    </row>
    <row r="72" spans="1:48" outlineLevel="3" x14ac:dyDescent="0.25">
      <c r="A72" s="63" t="str">
        <f t="shared" si="1"/>
        <v>1.1.1.2.15.63</v>
      </c>
      <c r="B72" s="63">
        <v>1</v>
      </c>
      <c r="C72" s="63">
        <v>1</v>
      </c>
      <c r="D72" s="63">
        <v>1</v>
      </c>
      <c r="E72" s="63">
        <v>2</v>
      </c>
      <c r="F72" s="63">
        <v>15</v>
      </c>
      <c r="G72" s="64">
        <v>63</v>
      </c>
      <c r="H72" s="63"/>
      <c r="I72" s="63"/>
      <c r="J72" s="90"/>
      <c r="K72" s="91" t="s">
        <v>122</v>
      </c>
      <c r="L72" s="64" t="s">
        <v>72</v>
      </c>
      <c r="M72" s="64" t="s">
        <v>73</v>
      </c>
      <c r="N72" s="68" t="s">
        <v>123</v>
      </c>
      <c r="O72" s="64" t="s">
        <v>75</v>
      </c>
      <c r="P72" s="69">
        <v>44571</v>
      </c>
      <c r="Q72" s="69">
        <v>44925</v>
      </c>
      <c r="R72" s="64"/>
      <c r="S72" s="74" t="s">
        <v>73</v>
      </c>
      <c r="T72" s="74"/>
      <c r="U72" s="87">
        <v>25000</v>
      </c>
      <c r="V72" s="671">
        <v>0</v>
      </c>
      <c r="W72" s="87"/>
      <c r="X72" s="87"/>
      <c r="Y72" s="834">
        <f t="shared" si="11"/>
        <v>0</v>
      </c>
      <c r="Z72" s="87"/>
      <c r="AA72" s="87"/>
      <c r="AB72" s="87"/>
      <c r="AC72" s="87"/>
      <c r="AD72" s="93"/>
      <c r="AE72" s="75"/>
      <c r="AF72" s="954" t="s">
        <v>77</v>
      </c>
      <c r="AG72" s="510">
        <v>25000</v>
      </c>
      <c r="AH72" s="371">
        <v>25000</v>
      </c>
      <c r="AI72" s="78"/>
      <c r="AJ72" s="78"/>
      <c r="AK72" s="78"/>
      <c r="AL72" s="78"/>
      <c r="AM72" s="78"/>
      <c r="AN72" s="89" t="s">
        <v>39</v>
      </c>
      <c r="AO72" s="313"/>
      <c r="AP72" s="313"/>
      <c r="AQ72" s="408"/>
      <c r="AR72" s="89"/>
      <c r="AS72" s="470"/>
      <c r="AT72" s="89"/>
      <c r="AU72" s="661"/>
      <c r="AV72" s="1352"/>
    </row>
    <row r="73" spans="1:48" outlineLevel="3" x14ac:dyDescent="0.25">
      <c r="A73" s="63" t="str">
        <f t="shared" si="1"/>
        <v>1.1.1.2.15.64</v>
      </c>
      <c r="B73" s="63">
        <v>1</v>
      </c>
      <c r="C73" s="63">
        <v>1</v>
      </c>
      <c r="D73" s="63">
        <v>1</v>
      </c>
      <c r="E73" s="63">
        <v>2</v>
      </c>
      <c r="F73" s="63">
        <v>15</v>
      </c>
      <c r="G73" s="64">
        <v>64</v>
      </c>
      <c r="H73" s="63"/>
      <c r="I73" s="63"/>
      <c r="J73" s="90"/>
      <c r="K73" s="91" t="s">
        <v>122</v>
      </c>
      <c r="L73" s="64" t="s">
        <v>72</v>
      </c>
      <c r="M73" s="64" t="s">
        <v>73</v>
      </c>
      <c r="N73" s="68" t="s">
        <v>123</v>
      </c>
      <c r="O73" s="64" t="s">
        <v>75</v>
      </c>
      <c r="P73" s="69">
        <v>44571</v>
      </c>
      <c r="Q73" s="69">
        <v>44925</v>
      </c>
      <c r="R73" s="64"/>
      <c r="S73" s="74" t="s">
        <v>73</v>
      </c>
      <c r="T73" s="74"/>
      <c r="U73" s="87">
        <v>25000</v>
      </c>
      <c r="V73" s="671">
        <v>0</v>
      </c>
      <c r="W73" s="87"/>
      <c r="X73" s="87"/>
      <c r="Y73" s="834">
        <f t="shared" si="11"/>
        <v>0</v>
      </c>
      <c r="Z73" s="87"/>
      <c r="AA73" s="87"/>
      <c r="AB73" s="87"/>
      <c r="AC73" s="87"/>
      <c r="AD73" s="93"/>
      <c r="AE73" s="75"/>
      <c r="AF73" s="954" t="s">
        <v>77</v>
      </c>
      <c r="AG73" s="510">
        <v>25000</v>
      </c>
      <c r="AH73" s="371">
        <v>25000</v>
      </c>
      <c r="AI73" s="78"/>
      <c r="AJ73" s="78"/>
      <c r="AK73" s="78"/>
      <c r="AL73" s="78"/>
      <c r="AM73" s="78"/>
      <c r="AN73" s="89" t="s">
        <v>39</v>
      </c>
      <c r="AO73" s="313"/>
      <c r="AP73" s="313"/>
      <c r="AQ73" s="408"/>
      <c r="AR73" s="89"/>
      <c r="AS73" s="470"/>
      <c r="AT73" s="89"/>
      <c r="AU73" s="661"/>
      <c r="AV73" s="1352"/>
    </row>
    <row r="74" spans="1:48" ht="30" outlineLevel="3" x14ac:dyDescent="0.25">
      <c r="A74" s="63" t="str">
        <f t="shared" si="1"/>
        <v>1.1.1.2.16.58</v>
      </c>
      <c r="B74" s="63">
        <v>1</v>
      </c>
      <c r="C74" s="63">
        <v>1</v>
      </c>
      <c r="D74" s="63">
        <v>1</v>
      </c>
      <c r="E74" s="63">
        <v>2</v>
      </c>
      <c r="F74" s="63">
        <v>16</v>
      </c>
      <c r="G74" s="64">
        <v>58</v>
      </c>
      <c r="H74" s="63"/>
      <c r="I74" s="63"/>
      <c r="J74" s="90"/>
      <c r="K74" s="91" t="s">
        <v>125</v>
      </c>
      <c r="L74" s="64" t="s">
        <v>72</v>
      </c>
      <c r="M74" s="64" t="s">
        <v>73</v>
      </c>
      <c r="N74" s="68" t="s">
        <v>123</v>
      </c>
      <c r="O74" s="64" t="s">
        <v>75</v>
      </c>
      <c r="P74" s="69">
        <v>44571</v>
      </c>
      <c r="Q74" s="69">
        <v>44925</v>
      </c>
      <c r="R74" s="64"/>
      <c r="S74" s="74" t="s">
        <v>73</v>
      </c>
      <c r="T74" s="74"/>
      <c r="U74" s="87"/>
      <c r="V74" s="671">
        <v>0</v>
      </c>
      <c r="W74" s="87"/>
      <c r="X74" s="87"/>
      <c r="Y74" s="834">
        <f t="shared" si="11"/>
        <v>0</v>
      </c>
      <c r="Z74" s="87"/>
      <c r="AA74" s="87"/>
      <c r="AB74" s="87"/>
      <c r="AC74" s="87"/>
      <c r="AD74" s="93"/>
      <c r="AE74" s="75"/>
      <c r="AF74" s="954" t="s">
        <v>126</v>
      </c>
      <c r="AG74" s="510">
        <v>0</v>
      </c>
      <c r="AH74" s="370">
        <v>0</v>
      </c>
      <c r="AI74" s="75"/>
      <c r="AJ74" s="75"/>
      <c r="AK74" s="75"/>
      <c r="AL74" s="75"/>
      <c r="AM74" s="75"/>
      <c r="AN74" s="89" t="s">
        <v>39</v>
      </c>
      <c r="AO74" s="89"/>
      <c r="AP74" s="89"/>
      <c r="AQ74" s="407"/>
      <c r="AR74" s="89"/>
      <c r="AS74" s="469"/>
      <c r="AT74" s="89"/>
      <c r="AU74" s="661"/>
      <c r="AV74" s="335" t="s">
        <v>127</v>
      </c>
    </row>
    <row r="75" spans="1:48" outlineLevel="3" x14ac:dyDescent="0.25">
      <c r="A75" s="63" t="str">
        <f t="shared" si="1"/>
        <v>1.1.1.2.16.59</v>
      </c>
      <c r="B75" s="63">
        <v>1</v>
      </c>
      <c r="C75" s="63">
        <v>1</v>
      </c>
      <c r="D75" s="63">
        <v>1</v>
      </c>
      <c r="E75" s="63">
        <v>2</v>
      </c>
      <c r="F75" s="63">
        <v>16</v>
      </c>
      <c r="G75" s="64">
        <v>59</v>
      </c>
      <c r="H75" s="63"/>
      <c r="I75" s="63"/>
      <c r="J75" s="90"/>
      <c r="K75" s="91" t="s">
        <v>128</v>
      </c>
      <c r="L75" s="64" t="s">
        <v>72</v>
      </c>
      <c r="M75" s="64" t="s">
        <v>73</v>
      </c>
      <c r="N75" s="68" t="s">
        <v>123</v>
      </c>
      <c r="O75" s="64" t="s">
        <v>75</v>
      </c>
      <c r="P75" s="69">
        <v>44571</v>
      </c>
      <c r="Q75" s="69">
        <v>44925</v>
      </c>
      <c r="R75" s="64"/>
      <c r="S75" s="74" t="s">
        <v>73</v>
      </c>
      <c r="T75" s="74"/>
      <c r="U75" s="87"/>
      <c r="V75" s="671">
        <v>0</v>
      </c>
      <c r="W75" s="87"/>
      <c r="X75" s="87"/>
      <c r="Y75" s="834">
        <f t="shared" si="11"/>
        <v>0</v>
      </c>
      <c r="Z75" s="87"/>
      <c r="AA75" s="87"/>
      <c r="AB75" s="87"/>
      <c r="AC75" s="87"/>
      <c r="AD75" s="93"/>
      <c r="AE75" s="75"/>
      <c r="AF75" s="954" t="s">
        <v>129</v>
      </c>
      <c r="AG75" s="510">
        <v>0</v>
      </c>
      <c r="AH75" s="370">
        <v>0</v>
      </c>
      <c r="AI75" s="75"/>
      <c r="AJ75" s="75"/>
      <c r="AK75" s="75"/>
      <c r="AL75" s="75"/>
      <c r="AM75" s="75"/>
      <c r="AN75" s="89" t="s">
        <v>39</v>
      </c>
      <c r="AO75" s="89"/>
      <c r="AP75" s="89"/>
      <c r="AQ75" s="407"/>
      <c r="AR75" s="89"/>
      <c r="AS75" s="469"/>
      <c r="AT75" s="89"/>
      <c r="AU75" s="661"/>
      <c r="AV75" s="335" t="s">
        <v>127</v>
      </c>
    </row>
    <row r="76" spans="1:48" outlineLevel="3" x14ac:dyDescent="0.25">
      <c r="A76" s="63" t="str">
        <f t="shared" si="1"/>
        <v>1.1.1.2.16.60</v>
      </c>
      <c r="B76" s="63">
        <v>1</v>
      </c>
      <c r="C76" s="63">
        <v>1</v>
      </c>
      <c r="D76" s="63">
        <v>1</v>
      </c>
      <c r="E76" s="63">
        <v>2</v>
      </c>
      <c r="F76" s="63">
        <v>16</v>
      </c>
      <c r="G76" s="64">
        <v>60</v>
      </c>
      <c r="H76" s="63"/>
      <c r="I76" s="63"/>
      <c r="J76" s="90"/>
      <c r="K76" s="91" t="s">
        <v>130</v>
      </c>
      <c r="L76" s="64" t="s">
        <v>72</v>
      </c>
      <c r="M76" s="64" t="s">
        <v>73</v>
      </c>
      <c r="N76" s="68" t="s">
        <v>123</v>
      </c>
      <c r="O76" s="64" t="s">
        <v>75</v>
      </c>
      <c r="P76" s="69">
        <v>44571</v>
      </c>
      <c r="Q76" s="69">
        <v>44925</v>
      </c>
      <c r="R76" s="64"/>
      <c r="S76" s="74" t="s">
        <v>73</v>
      </c>
      <c r="T76" s="74"/>
      <c r="U76" s="87"/>
      <c r="V76" s="671">
        <v>0</v>
      </c>
      <c r="W76" s="87"/>
      <c r="X76" s="87"/>
      <c r="Y76" s="834">
        <f t="shared" si="11"/>
        <v>0</v>
      </c>
      <c r="Z76" s="87"/>
      <c r="AA76" s="87"/>
      <c r="AB76" s="87"/>
      <c r="AC76" s="87"/>
      <c r="AD76" s="93"/>
      <c r="AE76" s="75"/>
      <c r="AF76" s="954" t="s">
        <v>129</v>
      </c>
      <c r="AG76" s="510">
        <v>0</v>
      </c>
      <c r="AH76" s="370">
        <v>0</v>
      </c>
      <c r="AI76" s="75"/>
      <c r="AJ76" s="75"/>
      <c r="AK76" s="75"/>
      <c r="AL76" s="75"/>
      <c r="AM76" s="75"/>
      <c r="AN76" s="89" t="s">
        <v>39</v>
      </c>
      <c r="AO76" s="89"/>
      <c r="AP76" s="89"/>
      <c r="AQ76" s="407"/>
      <c r="AR76" s="89"/>
      <c r="AS76" s="469"/>
      <c r="AT76" s="89"/>
      <c r="AU76" s="661"/>
      <c r="AV76" s="335" t="s">
        <v>127</v>
      </c>
    </row>
    <row r="77" spans="1:48" outlineLevel="3" x14ac:dyDescent="0.25">
      <c r="A77" s="63" t="str">
        <f t="shared" si="1"/>
        <v>1.1.1.2.16.61</v>
      </c>
      <c r="B77" s="63">
        <v>1</v>
      </c>
      <c r="C77" s="63">
        <v>1</v>
      </c>
      <c r="D77" s="63">
        <v>1</v>
      </c>
      <c r="E77" s="63">
        <v>2</v>
      </c>
      <c r="F77" s="63">
        <v>16</v>
      </c>
      <c r="G77" s="64">
        <v>61</v>
      </c>
      <c r="H77" s="63"/>
      <c r="I77" s="63"/>
      <c r="J77" s="90"/>
      <c r="K77" s="91" t="s">
        <v>131</v>
      </c>
      <c r="L77" s="64" t="s">
        <v>72</v>
      </c>
      <c r="M77" s="64" t="s">
        <v>73</v>
      </c>
      <c r="N77" s="68" t="s">
        <v>123</v>
      </c>
      <c r="O77" s="64" t="s">
        <v>75</v>
      </c>
      <c r="P77" s="69">
        <v>44571</v>
      </c>
      <c r="Q77" s="69">
        <v>44925</v>
      </c>
      <c r="R77" s="64"/>
      <c r="S77" s="74" t="s">
        <v>73</v>
      </c>
      <c r="T77" s="74"/>
      <c r="U77" s="87"/>
      <c r="V77" s="671">
        <v>0</v>
      </c>
      <c r="W77" s="87"/>
      <c r="X77" s="87"/>
      <c r="Y77" s="834">
        <f t="shared" si="11"/>
        <v>0</v>
      </c>
      <c r="Z77" s="87"/>
      <c r="AA77" s="87"/>
      <c r="AB77" s="87"/>
      <c r="AC77" s="87"/>
      <c r="AD77" s="93"/>
      <c r="AE77" s="75"/>
      <c r="AF77" s="954" t="s">
        <v>129</v>
      </c>
      <c r="AG77" s="510">
        <v>0</v>
      </c>
      <c r="AH77" s="370">
        <v>0</v>
      </c>
      <c r="AI77" s="75"/>
      <c r="AJ77" s="75"/>
      <c r="AK77" s="75"/>
      <c r="AL77" s="75"/>
      <c r="AM77" s="75"/>
      <c r="AN77" s="89" t="s">
        <v>39</v>
      </c>
      <c r="AO77" s="89"/>
      <c r="AP77" s="89"/>
      <c r="AQ77" s="407"/>
      <c r="AR77" s="89"/>
      <c r="AS77" s="469"/>
      <c r="AT77" s="89"/>
      <c r="AU77" s="661"/>
      <c r="AV77" s="335" t="s">
        <v>127</v>
      </c>
    </row>
    <row r="78" spans="1:48" ht="30" outlineLevel="3" x14ac:dyDescent="0.25">
      <c r="A78" s="63" t="str">
        <f t="shared" si="1"/>
        <v>1.1.1.2.16.62</v>
      </c>
      <c r="B78" s="63">
        <v>1</v>
      </c>
      <c r="C78" s="63">
        <v>1</v>
      </c>
      <c r="D78" s="63">
        <v>1</v>
      </c>
      <c r="E78" s="63">
        <v>2</v>
      </c>
      <c r="F78" s="63">
        <v>16</v>
      </c>
      <c r="G78" s="64">
        <v>62</v>
      </c>
      <c r="H78" s="63"/>
      <c r="I78" s="63"/>
      <c r="J78" s="90"/>
      <c r="K78" s="91" t="s">
        <v>132</v>
      </c>
      <c r="L78" s="64" t="s">
        <v>72</v>
      </c>
      <c r="M78" s="64" t="s">
        <v>73</v>
      </c>
      <c r="N78" s="68" t="s">
        <v>123</v>
      </c>
      <c r="O78" s="64" t="s">
        <v>75</v>
      </c>
      <c r="P78" s="69">
        <v>44571</v>
      </c>
      <c r="Q78" s="69">
        <v>44925</v>
      </c>
      <c r="R78" s="64"/>
      <c r="S78" s="74" t="s">
        <v>73</v>
      </c>
      <c r="T78" s="74"/>
      <c r="U78" s="87"/>
      <c r="V78" s="671">
        <v>0</v>
      </c>
      <c r="W78" s="87"/>
      <c r="X78" s="87"/>
      <c r="Y78" s="834">
        <f t="shared" si="11"/>
        <v>0</v>
      </c>
      <c r="Z78" s="87"/>
      <c r="AA78" s="87"/>
      <c r="AB78" s="87"/>
      <c r="AC78" s="87"/>
      <c r="AD78" s="93"/>
      <c r="AE78" s="75"/>
      <c r="AF78" s="954" t="s">
        <v>129</v>
      </c>
      <c r="AG78" s="510">
        <v>0</v>
      </c>
      <c r="AH78" s="370">
        <v>0</v>
      </c>
      <c r="AI78" s="75"/>
      <c r="AJ78" s="75"/>
      <c r="AK78" s="75"/>
      <c r="AL78" s="75"/>
      <c r="AM78" s="75"/>
      <c r="AN78" s="89" t="s">
        <v>39</v>
      </c>
      <c r="AO78" s="89"/>
      <c r="AP78" s="89"/>
      <c r="AQ78" s="407"/>
      <c r="AR78" s="89"/>
      <c r="AS78" s="469"/>
      <c r="AT78" s="89"/>
      <c r="AU78" s="661"/>
      <c r="AV78" s="335" t="s">
        <v>127</v>
      </c>
    </row>
    <row r="79" spans="1:48" outlineLevel="3" x14ac:dyDescent="0.25">
      <c r="A79" s="63" t="str">
        <f t="shared" si="1"/>
        <v>1.1.1.2.16.63</v>
      </c>
      <c r="B79" s="63">
        <v>1</v>
      </c>
      <c r="C79" s="63">
        <v>1</v>
      </c>
      <c r="D79" s="63">
        <v>1</v>
      </c>
      <c r="E79" s="63">
        <v>2</v>
      </c>
      <c r="F79" s="63">
        <v>16</v>
      </c>
      <c r="G79" s="64">
        <v>63</v>
      </c>
      <c r="H79" s="63"/>
      <c r="I79" s="63"/>
      <c r="J79" s="90"/>
      <c r="K79" s="91" t="s">
        <v>1721</v>
      </c>
      <c r="L79" s="64" t="s">
        <v>72</v>
      </c>
      <c r="M79" s="64" t="s">
        <v>73</v>
      </c>
      <c r="N79" s="68" t="s">
        <v>123</v>
      </c>
      <c r="O79" s="64" t="s">
        <v>75</v>
      </c>
      <c r="P79" s="69">
        <v>44571</v>
      </c>
      <c r="Q79" s="69">
        <v>44925</v>
      </c>
      <c r="R79" s="64"/>
      <c r="S79" s="74" t="s">
        <v>73</v>
      </c>
      <c r="T79" s="74"/>
      <c r="U79" s="87"/>
      <c r="V79" s="671">
        <v>0</v>
      </c>
      <c r="W79" s="87"/>
      <c r="X79" s="87"/>
      <c r="Y79" s="834">
        <f t="shared" si="11"/>
        <v>0</v>
      </c>
      <c r="Z79" s="87"/>
      <c r="AA79" s="87"/>
      <c r="AB79" s="87"/>
      <c r="AC79" s="87"/>
      <c r="AD79" s="93"/>
      <c r="AE79" s="75"/>
      <c r="AF79" s="954" t="s">
        <v>129</v>
      </c>
      <c r="AG79" s="510">
        <v>0</v>
      </c>
      <c r="AH79" s="370">
        <v>0</v>
      </c>
      <c r="AI79" s="75"/>
      <c r="AJ79" s="75"/>
      <c r="AK79" s="75"/>
      <c r="AL79" s="75"/>
      <c r="AM79" s="75"/>
      <c r="AN79" s="89" t="s">
        <v>39</v>
      </c>
      <c r="AO79" s="89"/>
      <c r="AP79" s="89"/>
      <c r="AQ79" s="407"/>
      <c r="AR79" s="89"/>
      <c r="AS79" s="469"/>
      <c r="AT79" s="89"/>
      <c r="AU79" s="661"/>
      <c r="AV79" s="335" t="s">
        <v>127</v>
      </c>
    </row>
    <row r="80" spans="1:48" ht="30" outlineLevel="3" x14ac:dyDescent="0.25">
      <c r="A80" s="63" t="str">
        <f t="shared" si="1"/>
        <v>1.1.1.2.16.64</v>
      </c>
      <c r="B80" s="63">
        <v>1</v>
      </c>
      <c r="C80" s="63">
        <v>1</v>
      </c>
      <c r="D80" s="63">
        <v>1</v>
      </c>
      <c r="E80" s="63">
        <v>2</v>
      </c>
      <c r="F80" s="63">
        <v>16</v>
      </c>
      <c r="G80" s="64">
        <v>64</v>
      </c>
      <c r="H80" s="63"/>
      <c r="I80" s="63"/>
      <c r="J80" s="90"/>
      <c r="K80" s="91" t="s">
        <v>133</v>
      </c>
      <c r="L80" s="64" t="s">
        <v>72</v>
      </c>
      <c r="M80" s="64" t="s">
        <v>73</v>
      </c>
      <c r="N80" s="68" t="s">
        <v>123</v>
      </c>
      <c r="O80" s="64" t="s">
        <v>75</v>
      </c>
      <c r="P80" s="69">
        <v>44571</v>
      </c>
      <c r="Q80" s="69">
        <v>44925</v>
      </c>
      <c r="R80" s="64"/>
      <c r="S80" s="74" t="s">
        <v>73</v>
      </c>
      <c r="T80" s="74"/>
      <c r="U80" s="87"/>
      <c r="V80" s="671">
        <v>0</v>
      </c>
      <c r="W80" s="87"/>
      <c r="X80" s="87"/>
      <c r="Y80" s="834">
        <f t="shared" si="11"/>
        <v>0</v>
      </c>
      <c r="Z80" s="87"/>
      <c r="AA80" s="87"/>
      <c r="AB80" s="87"/>
      <c r="AC80" s="87"/>
      <c r="AD80" s="93"/>
      <c r="AE80" s="75"/>
      <c r="AF80" s="954" t="s">
        <v>129</v>
      </c>
      <c r="AG80" s="510">
        <v>0</v>
      </c>
      <c r="AH80" s="370">
        <v>0</v>
      </c>
      <c r="AI80" s="75"/>
      <c r="AJ80" s="75"/>
      <c r="AK80" s="75"/>
      <c r="AL80" s="75"/>
      <c r="AM80" s="75"/>
      <c r="AN80" s="89" t="s">
        <v>39</v>
      </c>
      <c r="AO80" s="89"/>
      <c r="AP80" s="89"/>
      <c r="AQ80" s="407"/>
      <c r="AR80" s="89"/>
      <c r="AS80" s="469"/>
      <c r="AT80" s="89"/>
      <c r="AU80" s="661"/>
      <c r="AV80" s="335" t="s">
        <v>127</v>
      </c>
    </row>
    <row r="81" spans="1:48" ht="30" outlineLevel="3" x14ac:dyDescent="0.25">
      <c r="A81" s="63" t="str">
        <f t="shared" si="1"/>
        <v>1.1.1.2.18.58</v>
      </c>
      <c r="B81" s="63">
        <v>1</v>
      </c>
      <c r="C81" s="63">
        <v>1</v>
      </c>
      <c r="D81" s="63">
        <v>1</v>
      </c>
      <c r="E81" s="63">
        <v>2</v>
      </c>
      <c r="F81" s="63">
        <v>18</v>
      </c>
      <c r="G81" s="64">
        <v>58</v>
      </c>
      <c r="H81" s="63"/>
      <c r="I81" s="63"/>
      <c r="J81" s="90"/>
      <c r="K81" s="91" t="s">
        <v>134</v>
      </c>
      <c r="L81" s="64" t="s">
        <v>72</v>
      </c>
      <c r="M81" s="64" t="s">
        <v>73</v>
      </c>
      <c r="N81" s="68" t="s">
        <v>123</v>
      </c>
      <c r="O81" s="64" t="s">
        <v>75</v>
      </c>
      <c r="P81" s="69">
        <v>44571</v>
      </c>
      <c r="Q81" s="69">
        <v>44925</v>
      </c>
      <c r="R81" s="64"/>
      <c r="S81" s="74" t="s">
        <v>73</v>
      </c>
      <c r="T81" s="74"/>
      <c r="U81" s="87">
        <f>+AH81</f>
        <v>21428.57</v>
      </c>
      <c r="V81" s="671">
        <v>0</v>
      </c>
      <c r="W81" s="87"/>
      <c r="X81" s="87"/>
      <c r="Y81" s="834">
        <f t="shared" si="11"/>
        <v>0</v>
      </c>
      <c r="Z81" s="87"/>
      <c r="AA81" s="87"/>
      <c r="AB81" s="87"/>
      <c r="AC81" s="87"/>
      <c r="AD81" s="93"/>
      <c r="AE81" s="75"/>
      <c r="AF81" s="954" t="s">
        <v>135</v>
      </c>
      <c r="AG81" s="510">
        <v>21428.57</v>
      </c>
      <c r="AH81" s="370">
        <v>21428.57</v>
      </c>
      <c r="AI81" s="75"/>
      <c r="AJ81" s="75"/>
      <c r="AK81" s="75"/>
      <c r="AL81" s="75"/>
      <c r="AM81" s="75"/>
      <c r="AN81" s="89" t="s">
        <v>39</v>
      </c>
      <c r="AO81" s="313"/>
      <c r="AP81" s="313"/>
      <c r="AQ81" s="408"/>
      <c r="AR81" s="89"/>
      <c r="AS81" s="470"/>
      <c r="AT81" s="89"/>
      <c r="AU81" s="661"/>
      <c r="AV81" s="1274" t="s">
        <v>136</v>
      </c>
    </row>
    <row r="82" spans="1:48" outlineLevel="3" x14ac:dyDescent="0.25">
      <c r="A82" s="63" t="str">
        <f t="shared" si="1"/>
        <v>1.1.1.2.18.59</v>
      </c>
      <c r="B82" s="63">
        <v>1</v>
      </c>
      <c r="C82" s="63">
        <v>1</v>
      </c>
      <c r="D82" s="63">
        <v>1</v>
      </c>
      <c r="E82" s="63">
        <v>2</v>
      </c>
      <c r="F82" s="63">
        <v>18</v>
      </c>
      <c r="G82" s="64">
        <v>59</v>
      </c>
      <c r="H82" s="63"/>
      <c r="I82" s="63"/>
      <c r="J82" s="90"/>
      <c r="K82" s="91" t="s">
        <v>137</v>
      </c>
      <c r="L82" s="64" t="s">
        <v>72</v>
      </c>
      <c r="M82" s="64" t="s">
        <v>73</v>
      </c>
      <c r="N82" s="68" t="s">
        <v>123</v>
      </c>
      <c r="O82" s="64" t="s">
        <v>75</v>
      </c>
      <c r="P82" s="69">
        <v>44571</v>
      </c>
      <c r="Q82" s="69">
        <v>44925</v>
      </c>
      <c r="R82" s="64"/>
      <c r="S82" s="74" t="s">
        <v>73</v>
      </c>
      <c r="T82" s="74"/>
      <c r="U82" s="87">
        <f t="shared" ref="U82:U83" si="13">+AH82</f>
        <v>21428.57</v>
      </c>
      <c r="V82" s="671">
        <v>0</v>
      </c>
      <c r="W82" s="87"/>
      <c r="X82" s="87"/>
      <c r="Y82" s="834">
        <f t="shared" si="11"/>
        <v>0</v>
      </c>
      <c r="Z82" s="87"/>
      <c r="AA82" s="87"/>
      <c r="AB82" s="87"/>
      <c r="AC82" s="87"/>
      <c r="AD82" s="93"/>
      <c r="AE82" s="75"/>
      <c r="AF82" s="954" t="s">
        <v>135</v>
      </c>
      <c r="AG82" s="510">
        <v>21428.57</v>
      </c>
      <c r="AH82" s="371">
        <v>21428.57</v>
      </c>
      <c r="AI82" s="78"/>
      <c r="AJ82" s="78"/>
      <c r="AK82" s="78"/>
      <c r="AL82" s="78"/>
      <c r="AM82" s="78"/>
      <c r="AN82" s="89" t="s">
        <v>39</v>
      </c>
      <c r="AO82" s="313"/>
      <c r="AP82" s="313"/>
      <c r="AQ82" s="408"/>
      <c r="AR82" s="89"/>
      <c r="AS82" s="470"/>
      <c r="AT82" s="89"/>
      <c r="AU82" s="661"/>
      <c r="AV82" s="1274"/>
    </row>
    <row r="83" spans="1:48" outlineLevel="3" x14ac:dyDescent="0.25">
      <c r="A83" s="63" t="str">
        <f t="shared" si="1"/>
        <v>1.1.1.2.18.60</v>
      </c>
      <c r="B83" s="63">
        <v>1</v>
      </c>
      <c r="C83" s="63">
        <v>1</v>
      </c>
      <c r="D83" s="63">
        <v>1</v>
      </c>
      <c r="E83" s="63">
        <v>2</v>
      </c>
      <c r="F83" s="63">
        <v>18</v>
      </c>
      <c r="G83" s="64">
        <v>60</v>
      </c>
      <c r="H83" s="63"/>
      <c r="I83" s="63"/>
      <c r="J83" s="90"/>
      <c r="K83" s="91" t="s">
        <v>138</v>
      </c>
      <c r="L83" s="64" t="s">
        <v>72</v>
      </c>
      <c r="M83" s="64" t="s">
        <v>73</v>
      </c>
      <c r="N83" s="68" t="s">
        <v>123</v>
      </c>
      <c r="O83" s="64" t="s">
        <v>75</v>
      </c>
      <c r="P83" s="69">
        <v>44571</v>
      </c>
      <c r="Q83" s="69">
        <v>44925</v>
      </c>
      <c r="R83" s="64"/>
      <c r="S83" s="74" t="s">
        <v>73</v>
      </c>
      <c r="T83" s="74"/>
      <c r="U83" s="87">
        <f t="shared" si="13"/>
        <v>21428.57</v>
      </c>
      <c r="V83" s="671">
        <v>0</v>
      </c>
      <c r="W83" s="87"/>
      <c r="X83" s="87"/>
      <c r="Y83" s="834">
        <f t="shared" si="11"/>
        <v>0</v>
      </c>
      <c r="Z83" s="87"/>
      <c r="AA83" s="87"/>
      <c r="AB83" s="87"/>
      <c r="AC83" s="87"/>
      <c r="AD83" s="93"/>
      <c r="AE83" s="75"/>
      <c r="AF83" s="954" t="s">
        <v>135</v>
      </c>
      <c r="AG83" s="510">
        <v>21428.57</v>
      </c>
      <c r="AH83" s="371">
        <v>21428.57</v>
      </c>
      <c r="AI83" s="78"/>
      <c r="AJ83" s="78"/>
      <c r="AK83" s="78"/>
      <c r="AL83" s="78"/>
      <c r="AM83" s="78"/>
      <c r="AN83" s="89" t="s">
        <v>39</v>
      </c>
      <c r="AO83" s="313"/>
      <c r="AP83" s="313"/>
      <c r="AQ83" s="408"/>
      <c r="AR83" s="89"/>
      <c r="AS83" s="470"/>
      <c r="AT83" s="89"/>
      <c r="AU83" s="661"/>
      <c r="AV83" s="1274"/>
    </row>
    <row r="84" spans="1:48" outlineLevel="3" x14ac:dyDescent="0.25">
      <c r="A84" s="63" t="str">
        <f t="shared" si="1"/>
        <v>1.1.1.2.18.61</v>
      </c>
      <c r="B84" s="63">
        <v>1</v>
      </c>
      <c r="C84" s="63">
        <v>1</v>
      </c>
      <c r="D84" s="63">
        <v>1</v>
      </c>
      <c r="E84" s="63">
        <v>2</v>
      </c>
      <c r="F84" s="63">
        <v>18</v>
      </c>
      <c r="G84" s="64">
        <v>61</v>
      </c>
      <c r="H84" s="63"/>
      <c r="I84" s="63"/>
      <c r="J84" s="90"/>
      <c r="K84" s="91" t="s">
        <v>139</v>
      </c>
      <c r="L84" s="64" t="s">
        <v>72</v>
      </c>
      <c r="M84" s="64" t="s">
        <v>73</v>
      </c>
      <c r="N84" s="68" t="s">
        <v>123</v>
      </c>
      <c r="O84" s="64" t="s">
        <v>75</v>
      </c>
      <c r="P84" s="69">
        <v>44571</v>
      </c>
      <c r="Q84" s="69">
        <v>44925</v>
      </c>
      <c r="R84" s="64"/>
      <c r="S84" s="74" t="s">
        <v>73</v>
      </c>
      <c r="T84" s="74"/>
      <c r="U84" s="87"/>
      <c r="V84" s="671">
        <v>0</v>
      </c>
      <c r="W84" s="87"/>
      <c r="X84" s="87">
        <f>+AH84</f>
        <v>21428.57</v>
      </c>
      <c r="Y84" s="834">
        <f t="shared" si="11"/>
        <v>0</v>
      </c>
      <c r="Z84" s="87"/>
      <c r="AA84" s="87"/>
      <c r="AB84" s="87"/>
      <c r="AC84" s="87"/>
      <c r="AD84" s="93"/>
      <c r="AE84" s="75"/>
      <c r="AF84" s="954" t="s">
        <v>135</v>
      </c>
      <c r="AG84" s="510">
        <v>21428.57</v>
      </c>
      <c r="AH84" s="371">
        <v>21428.57</v>
      </c>
      <c r="AI84" s="78"/>
      <c r="AJ84" s="78"/>
      <c r="AK84" s="78"/>
      <c r="AL84" s="78"/>
      <c r="AM84" s="78"/>
      <c r="AN84" s="89" t="s">
        <v>39</v>
      </c>
      <c r="AO84" s="313"/>
      <c r="AP84" s="313"/>
      <c r="AQ84" s="408"/>
      <c r="AR84" s="89"/>
      <c r="AS84" s="470"/>
      <c r="AT84" s="89"/>
      <c r="AU84" s="661"/>
      <c r="AV84" s="1274"/>
    </row>
    <row r="85" spans="1:48" outlineLevel="3" x14ac:dyDescent="0.25">
      <c r="A85" s="63" t="str">
        <f t="shared" si="1"/>
        <v>1.1.1.2.18.62</v>
      </c>
      <c r="B85" s="63">
        <v>1</v>
      </c>
      <c r="C85" s="63">
        <v>1</v>
      </c>
      <c r="D85" s="63">
        <v>1</v>
      </c>
      <c r="E85" s="63">
        <v>2</v>
      </c>
      <c r="F85" s="63">
        <v>18</v>
      </c>
      <c r="G85" s="64">
        <v>62</v>
      </c>
      <c r="H85" s="63"/>
      <c r="I85" s="63"/>
      <c r="J85" s="90"/>
      <c r="K85" s="91" t="s">
        <v>140</v>
      </c>
      <c r="L85" s="64" t="s">
        <v>72</v>
      </c>
      <c r="M85" s="64" t="s">
        <v>73</v>
      </c>
      <c r="N85" s="68" t="s">
        <v>123</v>
      </c>
      <c r="O85" s="64" t="s">
        <v>75</v>
      </c>
      <c r="P85" s="69">
        <v>44571</v>
      </c>
      <c r="Q85" s="69">
        <v>44925</v>
      </c>
      <c r="R85" s="64"/>
      <c r="S85" s="74" t="s">
        <v>73</v>
      </c>
      <c r="T85" s="74"/>
      <c r="U85" s="87"/>
      <c r="V85" s="671">
        <v>0</v>
      </c>
      <c r="W85" s="87"/>
      <c r="X85" s="87">
        <f t="shared" ref="X85:X86" si="14">+AH85</f>
        <v>21428.57</v>
      </c>
      <c r="Y85" s="834">
        <f t="shared" ref="Y85:Y108" si="15">+AJ85-V85</f>
        <v>0</v>
      </c>
      <c r="Z85" s="87"/>
      <c r="AA85" s="87"/>
      <c r="AB85" s="87"/>
      <c r="AC85" s="87"/>
      <c r="AD85" s="93"/>
      <c r="AE85" s="75"/>
      <c r="AF85" s="954" t="s">
        <v>135</v>
      </c>
      <c r="AG85" s="510">
        <v>21428.57</v>
      </c>
      <c r="AH85" s="371">
        <v>21428.57</v>
      </c>
      <c r="AI85" s="78"/>
      <c r="AJ85" s="78"/>
      <c r="AK85" s="78"/>
      <c r="AL85" s="78"/>
      <c r="AM85" s="78"/>
      <c r="AN85" s="89" t="s">
        <v>39</v>
      </c>
      <c r="AO85" s="313"/>
      <c r="AP85" s="313"/>
      <c r="AQ85" s="408"/>
      <c r="AR85" s="89"/>
      <c r="AS85" s="470"/>
      <c r="AT85" s="89"/>
      <c r="AU85" s="661"/>
      <c r="AV85" s="1274"/>
    </row>
    <row r="86" spans="1:48" outlineLevel="3" x14ac:dyDescent="0.25">
      <c r="A86" s="63" t="str">
        <f t="shared" si="1"/>
        <v>1.1.1.2.18.63</v>
      </c>
      <c r="B86" s="63">
        <v>1</v>
      </c>
      <c r="C86" s="63">
        <v>1</v>
      </c>
      <c r="D86" s="63">
        <v>1</v>
      </c>
      <c r="E86" s="63">
        <v>2</v>
      </c>
      <c r="F86" s="63">
        <v>18</v>
      </c>
      <c r="G86" s="64">
        <v>63</v>
      </c>
      <c r="H86" s="63"/>
      <c r="I86" s="63"/>
      <c r="J86" s="90"/>
      <c r="K86" s="91" t="s">
        <v>141</v>
      </c>
      <c r="L86" s="64" t="s">
        <v>72</v>
      </c>
      <c r="M86" s="64" t="s">
        <v>73</v>
      </c>
      <c r="N86" s="68" t="s">
        <v>123</v>
      </c>
      <c r="O86" s="64" t="s">
        <v>75</v>
      </c>
      <c r="P86" s="69">
        <v>44571</v>
      </c>
      <c r="Q86" s="69">
        <v>44925</v>
      </c>
      <c r="R86" s="64"/>
      <c r="S86" s="74" t="s">
        <v>73</v>
      </c>
      <c r="T86" s="74"/>
      <c r="U86" s="87"/>
      <c r="V86" s="671">
        <v>0</v>
      </c>
      <c r="W86" s="87"/>
      <c r="X86" s="87">
        <f t="shared" si="14"/>
        <v>21428.57</v>
      </c>
      <c r="Y86" s="834">
        <f t="shared" si="15"/>
        <v>0</v>
      </c>
      <c r="Z86" s="87"/>
      <c r="AA86" s="87"/>
      <c r="AB86" s="87"/>
      <c r="AC86" s="87"/>
      <c r="AD86" s="93"/>
      <c r="AE86" s="75"/>
      <c r="AF86" s="954" t="s">
        <v>135</v>
      </c>
      <c r="AG86" s="502">
        <v>21428.57</v>
      </c>
      <c r="AH86" s="371">
        <v>21428.57</v>
      </c>
      <c r="AI86" s="78"/>
      <c r="AJ86" s="78"/>
      <c r="AK86" s="78"/>
      <c r="AL86" s="78"/>
      <c r="AM86" s="78"/>
      <c r="AN86" s="89" t="s">
        <v>39</v>
      </c>
      <c r="AO86" s="313"/>
      <c r="AP86" s="313"/>
      <c r="AQ86" s="408"/>
      <c r="AR86" s="89"/>
      <c r="AS86" s="470"/>
      <c r="AT86" s="89"/>
      <c r="AU86" s="661"/>
      <c r="AV86" s="1274"/>
    </row>
    <row r="87" spans="1:48" outlineLevel="3" x14ac:dyDescent="0.25">
      <c r="A87" s="63" t="str">
        <f t="shared" si="1"/>
        <v>1.1.1.2.18.64</v>
      </c>
      <c r="B87" s="63">
        <v>1</v>
      </c>
      <c r="C87" s="63">
        <v>1</v>
      </c>
      <c r="D87" s="63">
        <v>1</v>
      </c>
      <c r="E87" s="63">
        <v>2</v>
      </c>
      <c r="F87" s="63">
        <v>18</v>
      </c>
      <c r="G87" s="64">
        <v>64</v>
      </c>
      <c r="H87" s="63"/>
      <c r="I87" s="63"/>
      <c r="J87" s="90"/>
      <c r="K87" s="91" t="s">
        <v>142</v>
      </c>
      <c r="L87" s="64" t="s">
        <v>72</v>
      </c>
      <c r="M87" s="64" t="s">
        <v>73</v>
      </c>
      <c r="N87" s="68" t="s">
        <v>123</v>
      </c>
      <c r="O87" s="64" t="s">
        <v>75</v>
      </c>
      <c r="P87" s="69">
        <v>44571</v>
      </c>
      <c r="Q87" s="69">
        <v>44925</v>
      </c>
      <c r="R87" s="64"/>
      <c r="S87" s="74" t="s">
        <v>73</v>
      </c>
      <c r="T87" s="74"/>
      <c r="U87" s="87"/>
      <c r="V87" s="671">
        <v>0</v>
      </c>
      <c r="W87" s="87"/>
      <c r="X87" s="87"/>
      <c r="Y87" s="834">
        <f t="shared" si="15"/>
        <v>0</v>
      </c>
      <c r="Z87" s="87"/>
      <c r="AA87" s="87">
        <f>+AH87</f>
        <v>21428.58</v>
      </c>
      <c r="AB87" s="87"/>
      <c r="AC87" s="87"/>
      <c r="AD87" s="93"/>
      <c r="AE87" s="75"/>
      <c r="AF87" s="954" t="s">
        <v>135</v>
      </c>
      <c r="AG87" s="502">
        <v>21428.58</v>
      </c>
      <c r="AH87" s="371">
        <v>21428.58</v>
      </c>
      <c r="AI87" s="78"/>
      <c r="AJ87" s="78"/>
      <c r="AK87" s="78"/>
      <c r="AL87" s="78"/>
      <c r="AM87" s="78"/>
      <c r="AN87" s="89" t="s">
        <v>39</v>
      </c>
      <c r="AO87" s="313"/>
      <c r="AP87" s="313"/>
      <c r="AQ87" s="408"/>
      <c r="AR87" s="89"/>
      <c r="AS87" s="470"/>
      <c r="AT87" s="89"/>
      <c r="AU87" s="661"/>
      <c r="AV87" s="1274"/>
    </row>
    <row r="88" spans="1:48" outlineLevel="3" x14ac:dyDescent="0.25">
      <c r="A88" s="63" t="str">
        <f t="shared" si="1"/>
        <v>1.1.1.2.20.58</v>
      </c>
      <c r="B88" s="63">
        <v>1</v>
      </c>
      <c r="C88" s="63">
        <v>1</v>
      </c>
      <c r="D88" s="63">
        <v>1</v>
      </c>
      <c r="E88" s="63">
        <v>2</v>
      </c>
      <c r="F88" s="63">
        <v>20</v>
      </c>
      <c r="G88" s="64">
        <v>58</v>
      </c>
      <c r="H88" s="63"/>
      <c r="I88" s="63"/>
      <c r="J88" s="90"/>
      <c r="K88" s="91" t="s">
        <v>1812</v>
      </c>
      <c r="L88" s="64" t="s">
        <v>72</v>
      </c>
      <c r="M88" s="64" t="s">
        <v>73</v>
      </c>
      <c r="N88" s="68" t="s">
        <v>143</v>
      </c>
      <c r="O88" s="64" t="s">
        <v>44</v>
      </c>
      <c r="P88" s="69">
        <v>44571</v>
      </c>
      <c r="Q88" s="69">
        <v>44925</v>
      </c>
      <c r="R88" s="92"/>
      <c r="S88" s="74" t="s">
        <v>144</v>
      </c>
      <c r="T88" s="74"/>
      <c r="U88" s="87">
        <f>+AH88</f>
        <v>21428.57</v>
      </c>
      <c r="V88" s="671">
        <v>0</v>
      </c>
      <c r="W88" s="87"/>
      <c r="X88" s="87"/>
      <c r="Y88" s="834">
        <f t="shared" si="15"/>
        <v>0</v>
      </c>
      <c r="Z88" s="87"/>
      <c r="AA88" s="87"/>
      <c r="AB88" s="87"/>
      <c r="AC88" s="87"/>
      <c r="AD88" s="93"/>
      <c r="AE88" s="75"/>
      <c r="AF88" s="954" t="s">
        <v>145</v>
      </c>
      <c r="AG88" s="502">
        <v>21028.57</v>
      </c>
      <c r="AH88" s="371">
        <v>21428.57</v>
      </c>
      <c r="AI88" s="78"/>
      <c r="AJ88" s="78"/>
      <c r="AK88" s="78"/>
      <c r="AL88" s="78"/>
      <c r="AM88" s="78"/>
      <c r="AN88" s="89" t="s">
        <v>39</v>
      </c>
      <c r="AO88" s="313"/>
      <c r="AP88" s="313"/>
      <c r="AQ88" s="408"/>
      <c r="AR88" s="89"/>
      <c r="AS88" s="470"/>
      <c r="AT88" s="89"/>
      <c r="AU88" s="661"/>
      <c r="AV88" s="1274" t="s">
        <v>146</v>
      </c>
    </row>
    <row r="89" spans="1:48" outlineLevel="3" x14ac:dyDescent="0.25">
      <c r="A89" s="63" t="str">
        <f t="shared" si="1"/>
        <v>1.1.1.2.20.59</v>
      </c>
      <c r="B89" s="63">
        <v>1</v>
      </c>
      <c r="C89" s="63">
        <v>1</v>
      </c>
      <c r="D89" s="63">
        <v>1</v>
      </c>
      <c r="E89" s="63">
        <v>2</v>
      </c>
      <c r="F89" s="63">
        <v>20</v>
      </c>
      <c r="G89" s="64">
        <v>59</v>
      </c>
      <c r="H89" s="63"/>
      <c r="I89" s="63"/>
      <c r="J89" s="90"/>
      <c r="K89" s="91" t="s">
        <v>147</v>
      </c>
      <c r="L89" s="64" t="s">
        <v>72</v>
      </c>
      <c r="M89" s="64" t="s">
        <v>73</v>
      </c>
      <c r="N89" s="68" t="s">
        <v>143</v>
      </c>
      <c r="O89" s="64" t="s">
        <v>44</v>
      </c>
      <c r="P89" s="69">
        <v>44571</v>
      </c>
      <c r="Q89" s="69">
        <v>44925</v>
      </c>
      <c r="R89" s="64"/>
      <c r="S89" s="74" t="s">
        <v>144</v>
      </c>
      <c r="T89" s="74"/>
      <c r="U89" s="87">
        <f t="shared" ref="U89:U90" si="16">+AH89</f>
        <v>21428.57</v>
      </c>
      <c r="V89" s="671">
        <v>0</v>
      </c>
      <c r="W89" s="87"/>
      <c r="X89" s="87"/>
      <c r="Y89" s="834">
        <f t="shared" si="15"/>
        <v>0</v>
      </c>
      <c r="Z89" s="87"/>
      <c r="AA89" s="87"/>
      <c r="AB89" s="87"/>
      <c r="AC89" s="87"/>
      <c r="AD89" s="93"/>
      <c r="AE89" s="75"/>
      <c r="AF89" s="954" t="s">
        <v>145</v>
      </c>
      <c r="AG89" s="502">
        <v>21412.07</v>
      </c>
      <c r="AH89" s="371">
        <v>21428.57</v>
      </c>
      <c r="AI89" s="78"/>
      <c r="AJ89" s="78"/>
      <c r="AK89" s="78"/>
      <c r="AL89" s="78"/>
      <c r="AM89" s="78"/>
      <c r="AN89" s="89" t="s">
        <v>39</v>
      </c>
      <c r="AO89" s="313"/>
      <c r="AP89" s="313"/>
      <c r="AQ89" s="408"/>
      <c r="AR89" s="89"/>
      <c r="AS89" s="470"/>
      <c r="AT89" s="89"/>
      <c r="AU89" s="661"/>
      <c r="AV89" s="1274"/>
    </row>
    <row r="90" spans="1:48" outlineLevel="3" x14ac:dyDescent="0.25">
      <c r="A90" s="63" t="str">
        <f t="shared" si="1"/>
        <v>1.1.1.2.20.60</v>
      </c>
      <c r="B90" s="63">
        <v>1</v>
      </c>
      <c r="C90" s="63">
        <v>1</v>
      </c>
      <c r="D90" s="63">
        <v>1</v>
      </c>
      <c r="E90" s="63">
        <v>2</v>
      </c>
      <c r="F90" s="63">
        <v>20</v>
      </c>
      <c r="G90" s="64">
        <v>60</v>
      </c>
      <c r="H90" s="63"/>
      <c r="I90" s="63"/>
      <c r="J90" s="90"/>
      <c r="K90" s="91" t="s">
        <v>148</v>
      </c>
      <c r="L90" s="64" t="s">
        <v>72</v>
      </c>
      <c r="M90" s="64" t="s">
        <v>73</v>
      </c>
      <c r="N90" s="68" t="s">
        <v>143</v>
      </c>
      <c r="O90" s="64" t="s">
        <v>44</v>
      </c>
      <c r="P90" s="69">
        <v>44571</v>
      </c>
      <c r="Q90" s="69">
        <v>44925</v>
      </c>
      <c r="R90" s="64"/>
      <c r="S90" s="74" t="s">
        <v>144</v>
      </c>
      <c r="T90" s="74"/>
      <c r="U90" s="87">
        <f t="shared" si="16"/>
        <v>21428.57</v>
      </c>
      <c r="V90" s="671">
        <v>0</v>
      </c>
      <c r="W90" s="87"/>
      <c r="X90" s="87"/>
      <c r="Y90" s="834">
        <f t="shared" si="15"/>
        <v>0</v>
      </c>
      <c r="Z90" s="87"/>
      <c r="AA90" s="87"/>
      <c r="AB90" s="87"/>
      <c r="AC90" s="87"/>
      <c r="AD90" s="93"/>
      <c r="AE90" s="75"/>
      <c r="AF90" s="954" t="s">
        <v>145</v>
      </c>
      <c r="AG90" s="502">
        <v>21428.57</v>
      </c>
      <c r="AH90" s="371">
        <v>21428.57</v>
      </c>
      <c r="AI90" s="78"/>
      <c r="AJ90" s="78"/>
      <c r="AK90" s="78"/>
      <c r="AL90" s="78"/>
      <c r="AM90" s="78"/>
      <c r="AN90" s="89" t="s">
        <v>39</v>
      </c>
      <c r="AO90" s="313"/>
      <c r="AP90" s="313"/>
      <c r="AQ90" s="408"/>
      <c r="AR90" s="89"/>
      <c r="AS90" s="470"/>
      <c r="AT90" s="89"/>
      <c r="AU90" s="661"/>
      <c r="AV90" s="1274"/>
    </row>
    <row r="91" spans="1:48" outlineLevel="3" x14ac:dyDescent="0.25">
      <c r="A91" s="63" t="str">
        <f t="shared" si="1"/>
        <v>1.1.1.2.20.61</v>
      </c>
      <c r="B91" s="63">
        <v>1</v>
      </c>
      <c r="C91" s="63">
        <v>1</v>
      </c>
      <c r="D91" s="63">
        <v>1</v>
      </c>
      <c r="E91" s="63">
        <v>2</v>
      </c>
      <c r="F91" s="63">
        <v>20</v>
      </c>
      <c r="G91" s="64">
        <v>61</v>
      </c>
      <c r="H91" s="63"/>
      <c r="I91" s="63"/>
      <c r="J91" s="90"/>
      <c r="K91" s="91" t="s">
        <v>149</v>
      </c>
      <c r="L91" s="64" t="s">
        <v>72</v>
      </c>
      <c r="M91" s="64" t="s">
        <v>73</v>
      </c>
      <c r="N91" s="68" t="s">
        <v>143</v>
      </c>
      <c r="O91" s="64" t="s">
        <v>44</v>
      </c>
      <c r="P91" s="69">
        <v>44571</v>
      </c>
      <c r="Q91" s="69">
        <v>44925</v>
      </c>
      <c r="R91" s="64"/>
      <c r="S91" s="74" t="s">
        <v>144</v>
      </c>
      <c r="T91" s="74"/>
      <c r="U91" s="87"/>
      <c r="V91" s="671">
        <v>0</v>
      </c>
      <c r="W91" s="87"/>
      <c r="X91" s="87">
        <f>+AH91</f>
        <v>21428.57</v>
      </c>
      <c r="Y91" s="834">
        <f t="shared" si="15"/>
        <v>0</v>
      </c>
      <c r="Z91" s="87"/>
      <c r="AA91" s="87"/>
      <c r="AB91" s="87"/>
      <c r="AC91" s="87"/>
      <c r="AD91" s="93"/>
      <c r="AE91" s="75"/>
      <c r="AF91" s="954" t="s">
        <v>145</v>
      </c>
      <c r="AG91" s="502">
        <v>21428.57</v>
      </c>
      <c r="AH91" s="371">
        <v>21428.57</v>
      </c>
      <c r="AI91" s="78"/>
      <c r="AJ91" s="78"/>
      <c r="AK91" s="78"/>
      <c r="AL91" s="78"/>
      <c r="AM91" s="78"/>
      <c r="AN91" s="89" t="s">
        <v>39</v>
      </c>
      <c r="AO91" s="313"/>
      <c r="AP91" s="313"/>
      <c r="AQ91" s="408"/>
      <c r="AR91" s="89"/>
      <c r="AS91" s="470"/>
      <c r="AT91" s="89"/>
      <c r="AU91" s="661"/>
      <c r="AV91" s="1274"/>
    </row>
    <row r="92" spans="1:48" outlineLevel="3" x14ac:dyDescent="0.25">
      <c r="A92" s="63" t="str">
        <f t="shared" si="1"/>
        <v>1.1.1.2.20.62</v>
      </c>
      <c r="B92" s="63">
        <v>1</v>
      </c>
      <c r="C92" s="63">
        <v>1</v>
      </c>
      <c r="D92" s="63">
        <v>1</v>
      </c>
      <c r="E92" s="63">
        <v>2</v>
      </c>
      <c r="F92" s="63">
        <v>20</v>
      </c>
      <c r="G92" s="64">
        <v>62</v>
      </c>
      <c r="H92" s="63"/>
      <c r="I92" s="63"/>
      <c r="J92" s="90"/>
      <c r="K92" s="91" t="s">
        <v>150</v>
      </c>
      <c r="L92" s="64" t="s">
        <v>72</v>
      </c>
      <c r="M92" s="64" t="s">
        <v>73</v>
      </c>
      <c r="N92" s="68" t="s">
        <v>143</v>
      </c>
      <c r="O92" s="64" t="s">
        <v>44</v>
      </c>
      <c r="P92" s="69">
        <v>44571</v>
      </c>
      <c r="Q92" s="69">
        <v>44925</v>
      </c>
      <c r="R92" s="64"/>
      <c r="S92" s="74" t="s">
        <v>144</v>
      </c>
      <c r="T92" s="74"/>
      <c r="U92" s="87"/>
      <c r="V92" s="671">
        <v>0</v>
      </c>
      <c r="W92" s="87"/>
      <c r="X92" s="87">
        <f t="shared" ref="X92:X93" si="17">+AH92</f>
        <v>21428.57</v>
      </c>
      <c r="Y92" s="834">
        <f t="shared" si="15"/>
        <v>0</v>
      </c>
      <c r="Z92" s="87"/>
      <c r="AA92" s="87"/>
      <c r="AB92" s="87"/>
      <c r="AC92" s="87"/>
      <c r="AD92" s="93"/>
      <c r="AE92" s="75"/>
      <c r="AF92" s="954" t="s">
        <v>145</v>
      </c>
      <c r="AG92" s="502">
        <v>21428.57</v>
      </c>
      <c r="AH92" s="371">
        <v>21428.57</v>
      </c>
      <c r="AI92" s="78"/>
      <c r="AJ92" s="78"/>
      <c r="AK92" s="78"/>
      <c r="AL92" s="78"/>
      <c r="AM92" s="78"/>
      <c r="AN92" s="89" t="s">
        <v>39</v>
      </c>
      <c r="AO92" s="313"/>
      <c r="AP92" s="313"/>
      <c r="AQ92" s="408"/>
      <c r="AR92" s="89"/>
      <c r="AS92" s="470"/>
      <c r="AT92" s="89"/>
      <c r="AU92" s="661"/>
      <c r="AV92" s="1274"/>
    </row>
    <row r="93" spans="1:48" outlineLevel="3" x14ac:dyDescent="0.25">
      <c r="A93" s="63" t="str">
        <f t="shared" si="1"/>
        <v>1.1.1.2.20.63</v>
      </c>
      <c r="B93" s="63">
        <v>1</v>
      </c>
      <c r="C93" s="63">
        <v>1</v>
      </c>
      <c r="D93" s="63">
        <v>1</v>
      </c>
      <c r="E93" s="63">
        <v>2</v>
      </c>
      <c r="F93" s="63">
        <v>20</v>
      </c>
      <c r="G93" s="64">
        <v>63</v>
      </c>
      <c r="H93" s="63"/>
      <c r="I93" s="63"/>
      <c r="J93" s="90"/>
      <c r="K93" s="91" t="s">
        <v>151</v>
      </c>
      <c r="L93" s="64" t="s">
        <v>72</v>
      </c>
      <c r="M93" s="64" t="s">
        <v>73</v>
      </c>
      <c r="N93" s="68" t="s">
        <v>143</v>
      </c>
      <c r="O93" s="64" t="s">
        <v>44</v>
      </c>
      <c r="P93" s="69">
        <v>44571</v>
      </c>
      <c r="Q93" s="69">
        <v>44925</v>
      </c>
      <c r="R93" s="64"/>
      <c r="S93" s="74" t="s">
        <v>144</v>
      </c>
      <c r="T93" s="74"/>
      <c r="U93" s="87"/>
      <c r="V93" s="671">
        <v>0</v>
      </c>
      <c r="W93" s="87"/>
      <c r="X93" s="87">
        <f t="shared" si="17"/>
        <v>21428.57</v>
      </c>
      <c r="Y93" s="834">
        <f t="shared" si="15"/>
        <v>0</v>
      </c>
      <c r="Z93" s="87"/>
      <c r="AA93" s="87"/>
      <c r="AB93" s="87"/>
      <c r="AC93" s="87"/>
      <c r="AD93" s="93"/>
      <c r="AE93" s="75"/>
      <c r="AF93" s="954" t="s">
        <v>145</v>
      </c>
      <c r="AG93" s="502">
        <v>21428.57</v>
      </c>
      <c r="AH93" s="371">
        <v>21428.57</v>
      </c>
      <c r="AI93" s="78"/>
      <c r="AJ93" s="78"/>
      <c r="AK93" s="78"/>
      <c r="AL93" s="78"/>
      <c r="AM93" s="78"/>
      <c r="AN93" s="89" t="s">
        <v>39</v>
      </c>
      <c r="AO93" s="313"/>
      <c r="AP93" s="313"/>
      <c r="AQ93" s="408"/>
      <c r="AR93" s="89"/>
      <c r="AS93" s="470"/>
      <c r="AT93" s="89"/>
      <c r="AU93" s="661"/>
      <c r="AV93" s="1274"/>
    </row>
    <row r="94" spans="1:48" outlineLevel="3" x14ac:dyDescent="0.25">
      <c r="A94" s="63" t="str">
        <f t="shared" si="1"/>
        <v>1.1.1.2.20.64</v>
      </c>
      <c r="B94" s="63">
        <v>1</v>
      </c>
      <c r="C94" s="63">
        <v>1</v>
      </c>
      <c r="D94" s="63">
        <v>1</v>
      </c>
      <c r="E94" s="63">
        <v>2</v>
      </c>
      <c r="F94" s="63">
        <v>20</v>
      </c>
      <c r="G94" s="64">
        <v>64</v>
      </c>
      <c r="H94" s="63"/>
      <c r="I94" s="63"/>
      <c r="J94" s="90"/>
      <c r="K94" s="91" t="s">
        <v>152</v>
      </c>
      <c r="L94" s="64" t="s">
        <v>72</v>
      </c>
      <c r="M94" s="64" t="s">
        <v>73</v>
      </c>
      <c r="N94" s="68" t="s">
        <v>143</v>
      </c>
      <c r="O94" s="64" t="s">
        <v>44</v>
      </c>
      <c r="P94" s="69">
        <v>44571</v>
      </c>
      <c r="Q94" s="69">
        <v>44925</v>
      </c>
      <c r="R94" s="64"/>
      <c r="S94" s="74" t="s">
        <v>144</v>
      </c>
      <c r="T94" s="74"/>
      <c r="U94" s="87"/>
      <c r="V94" s="671">
        <v>0</v>
      </c>
      <c r="W94" s="87"/>
      <c r="X94" s="87"/>
      <c r="Y94" s="834">
        <f t="shared" si="15"/>
        <v>0</v>
      </c>
      <c r="Z94" s="93"/>
      <c r="AA94" s="75">
        <f>+AH94</f>
        <v>21428.57</v>
      </c>
      <c r="AB94" s="585"/>
      <c r="AC94" s="94"/>
      <c r="AD94" s="93"/>
      <c r="AE94" s="75"/>
      <c r="AF94" s="954" t="s">
        <v>145</v>
      </c>
      <c r="AG94" s="502">
        <v>21428.57</v>
      </c>
      <c r="AH94" s="371">
        <v>21428.57</v>
      </c>
      <c r="AI94" s="78"/>
      <c r="AJ94" s="78"/>
      <c r="AK94" s="78"/>
      <c r="AL94" s="78"/>
      <c r="AM94" s="78"/>
      <c r="AN94" s="89" t="s">
        <v>39</v>
      </c>
      <c r="AO94" s="313"/>
      <c r="AP94" s="313"/>
      <c r="AQ94" s="408"/>
      <c r="AR94" s="89"/>
      <c r="AS94" s="470"/>
      <c r="AT94" s="89"/>
      <c r="AU94" s="661"/>
      <c r="AV94" s="1274"/>
    </row>
    <row r="95" spans="1:48" outlineLevel="3" x14ac:dyDescent="0.25">
      <c r="A95" s="63" t="str">
        <f t="shared" si="1"/>
        <v>1.1.1.2.21.58</v>
      </c>
      <c r="B95" s="63">
        <v>1</v>
      </c>
      <c r="C95" s="63">
        <v>1</v>
      </c>
      <c r="D95" s="63">
        <v>1</v>
      </c>
      <c r="E95" s="63">
        <v>2</v>
      </c>
      <c r="F95" s="63">
        <v>21</v>
      </c>
      <c r="G95" s="64">
        <v>58</v>
      </c>
      <c r="H95" s="63"/>
      <c r="I95" s="63"/>
      <c r="J95" s="90"/>
      <c r="K95" s="91" t="s">
        <v>153</v>
      </c>
      <c r="L95" s="64" t="s">
        <v>72</v>
      </c>
      <c r="M95" s="64" t="s">
        <v>73</v>
      </c>
      <c r="N95" s="68" t="s">
        <v>154</v>
      </c>
      <c r="O95" s="64" t="s">
        <v>155</v>
      </c>
      <c r="P95" s="69">
        <v>44571</v>
      </c>
      <c r="Q95" s="69">
        <v>44925</v>
      </c>
      <c r="R95" s="92"/>
      <c r="S95" s="74" t="s">
        <v>76</v>
      </c>
      <c r="T95" s="74"/>
      <c r="U95" s="87">
        <f>+AH95</f>
        <v>38000</v>
      </c>
      <c r="V95" s="671">
        <v>0</v>
      </c>
      <c r="W95" s="87"/>
      <c r="X95" s="87"/>
      <c r="Y95" s="834">
        <f t="shared" si="15"/>
        <v>12000</v>
      </c>
      <c r="Z95" s="87"/>
      <c r="AA95" s="95"/>
      <c r="AB95" s="95"/>
      <c r="AC95" s="87"/>
      <c r="AD95" s="93"/>
      <c r="AE95" s="75"/>
      <c r="AF95" s="954" t="s">
        <v>156</v>
      </c>
      <c r="AG95" s="502">
        <v>38000</v>
      </c>
      <c r="AH95" s="371">
        <v>38000</v>
      </c>
      <c r="AI95" s="78"/>
      <c r="AJ95" s="78">
        <f t="shared" ref="AJ95:AJ101" si="18">6000+6000</f>
        <v>12000</v>
      </c>
      <c r="AK95" s="78"/>
      <c r="AL95" s="78"/>
      <c r="AM95" s="78"/>
      <c r="AN95" s="89" t="s">
        <v>39</v>
      </c>
      <c r="AO95" s="313" t="s">
        <v>1819</v>
      </c>
      <c r="AP95" s="313" t="s">
        <v>2160</v>
      </c>
      <c r="AQ95" s="408" t="s">
        <v>2161</v>
      </c>
      <c r="AR95" s="69">
        <v>44658</v>
      </c>
      <c r="AS95" s="562">
        <v>45023</v>
      </c>
      <c r="AT95" s="89" t="s">
        <v>2029</v>
      </c>
      <c r="AU95" s="883" t="s">
        <v>2162</v>
      </c>
      <c r="AV95" s="1274" t="s">
        <v>157</v>
      </c>
    </row>
    <row r="96" spans="1:48" outlineLevel="3" x14ac:dyDescent="0.25">
      <c r="A96" s="63" t="str">
        <f t="shared" si="1"/>
        <v>1.1.1.2.21.59</v>
      </c>
      <c r="B96" s="63">
        <v>1</v>
      </c>
      <c r="C96" s="63">
        <v>1</v>
      </c>
      <c r="D96" s="63">
        <v>1</v>
      </c>
      <c r="E96" s="63">
        <v>2</v>
      </c>
      <c r="F96" s="63">
        <v>21</v>
      </c>
      <c r="G96" s="64">
        <v>59</v>
      </c>
      <c r="H96" s="63"/>
      <c r="I96" s="63"/>
      <c r="J96" s="90"/>
      <c r="K96" s="91" t="s">
        <v>158</v>
      </c>
      <c r="L96" s="64" t="s">
        <v>72</v>
      </c>
      <c r="M96" s="64" t="s">
        <v>73</v>
      </c>
      <c r="N96" s="68" t="s">
        <v>154</v>
      </c>
      <c r="O96" s="64" t="s">
        <v>155</v>
      </c>
      <c r="P96" s="69">
        <v>44571</v>
      </c>
      <c r="Q96" s="69">
        <v>44925</v>
      </c>
      <c r="R96" s="64"/>
      <c r="S96" s="74" t="s">
        <v>76</v>
      </c>
      <c r="T96" s="74"/>
      <c r="U96" s="87">
        <f t="shared" ref="U96:U97" si="19">+AH96</f>
        <v>38000</v>
      </c>
      <c r="V96" s="671">
        <v>0</v>
      </c>
      <c r="W96" s="87"/>
      <c r="X96" s="87"/>
      <c r="Y96" s="834">
        <f t="shared" si="15"/>
        <v>12000</v>
      </c>
      <c r="Z96" s="87"/>
      <c r="AA96" s="87"/>
      <c r="AB96" s="87"/>
      <c r="AC96" s="87"/>
      <c r="AD96" s="93"/>
      <c r="AE96" s="75"/>
      <c r="AF96" s="954" t="s">
        <v>159</v>
      </c>
      <c r="AG96" s="502">
        <v>38000</v>
      </c>
      <c r="AH96" s="371">
        <v>38000</v>
      </c>
      <c r="AI96" s="78"/>
      <c r="AJ96" s="78">
        <f t="shared" si="18"/>
        <v>12000</v>
      </c>
      <c r="AK96" s="78"/>
      <c r="AL96" s="78"/>
      <c r="AM96" s="78"/>
      <c r="AN96" s="89" t="s">
        <v>39</v>
      </c>
      <c r="AO96" s="313" t="s">
        <v>1819</v>
      </c>
      <c r="AP96" s="313" t="s">
        <v>2160</v>
      </c>
      <c r="AQ96" s="408" t="s">
        <v>2161</v>
      </c>
      <c r="AR96" s="69">
        <v>44658</v>
      </c>
      <c r="AS96" s="562">
        <v>45023</v>
      </c>
      <c r="AT96" s="89" t="s">
        <v>2029</v>
      </c>
      <c r="AU96" s="883" t="s">
        <v>2162</v>
      </c>
      <c r="AV96" s="1274"/>
    </row>
    <row r="97" spans="1:48" outlineLevel="3" x14ac:dyDescent="0.25">
      <c r="A97" s="63" t="str">
        <f t="shared" si="1"/>
        <v>1.1.1.2.21.60</v>
      </c>
      <c r="B97" s="63">
        <v>1</v>
      </c>
      <c r="C97" s="63">
        <v>1</v>
      </c>
      <c r="D97" s="63">
        <v>1</v>
      </c>
      <c r="E97" s="63">
        <v>2</v>
      </c>
      <c r="F97" s="63">
        <v>21</v>
      </c>
      <c r="G97" s="64">
        <v>60</v>
      </c>
      <c r="H97" s="63"/>
      <c r="I97" s="63"/>
      <c r="J97" s="90"/>
      <c r="K97" s="91" t="s">
        <v>160</v>
      </c>
      <c r="L97" s="64" t="s">
        <v>72</v>
      </c>
      <c r="M97" s="64" t="s">
        <v>73</v>
      </c>
      <c r="N97" s="68" t="s">
        <v>154</v>
      </c>
      <c r="O97" s="64" t="s">
        <v>155</v>
      </c>
      <c r="P97" s="69">
        <v>44571</v>
      </c>
      <c r="Q97" s="69">
        <v>44925</v>
      </c>
      <c r="R97" s="64"/>
      <c r="S97" s="74" t="s">
        <v>76</v>
      </c>
      <c r="T97" s="74"/>
      <c r="U97" s="87">
        <f t="shared" si="19"/>
        <v>38000</v>
      </c>
      <c r="V97" s="671">
        <v>0</v>
      </c>
      <c r="W97" s="87"/>
      <c r="X97" s="87"/>
      <c r="Y97" s="834">
        <f t="shared" si="15"/>
        <v>12000</v>
      </c>
      <c r="Z97" s="87"/>
      <c r="AA97" s="87"/>
      <c r="AB97" s="87"/>
      <c r="AC97" s="87"/>
      <c r="AD97" s="93"/>
      <c r="AE97" s="75"/>
      <c r="AF97" s="954" t="s">
        <v>159</v>
      </c>
      <c r="AG97" s="502">
        <v>38000</v>
      </c>
      <c r="AH97" s="371">
        <v>38000</v>
      </c>
      <c r="AI97" s="78"/>
      <c r="AJ97" s="78">
        <f t="shared" si="18"/>
        <v>12000</v>
      </c>
      <c r="AK97" s="78"/>
      <c r="AL97" s="78"/>
      <c r="AM97" s="78"/>
      <c r="AN97" s="89" t="s">
        <v>39</v>
      </c>
      <c r="AO97" s="313" t="s">
        <v>1819</v>
      </c>
      <c r="AP97" s="313" t="s">
        <v>2160</v>
      </c>
      <c r="AQ97" s="408" t="s">
        <v>2161</v>
      </c>
      <c r="AR97" s="69">
        <v>44658</v>
      </c>
      <c r="AS97" s="562">
        <v>45023</v>
      </c>
      <c r="AT97" s="89" t="s">
        <v>2029</v>
      </c>
      <c r="AU97" s="883" t="s">
        <v>2162</v>
      </c>
      <c r="AV97" s="1274"/>
    </row>
    <row r="98" spans="1:48" outlineLevel="3" x14ac:dyDescent="0.25">
      <c r="A98" s="63" t="str">
        <f t="shared" si="1"/>
        <v>1.1.1.2.21.61</v>
      </c>
      <c r="B98" s="63">
        <v>1</v>
      </c>
      <c r="C98" s="63">
        <v>1</v>
      </c>
      <c r="D98" s="63">
        <v>1</v>
      </c>
      <c r="E98" s="63">
        <v>2</v>
      </c>
      <c r="F98" s="63">
        <v>21</v>
      </c>
      <c r="G98" s="64">
        <v>61</v>
      </c>
      <c r="H98" s="63"/>
      <c r="I98" s="63"/>
      <c r="J98" s="90"/>
      <c r="K98" s="91" t="s">
        <v>161</v>
      </c>
      <c r="L98" s="64" t="s">
        <v>72</v>
      </c>
      <c r="M98" s="64" t="s">
        <v>73</v>
      </c>
      <c r="N98" s="68" t="s">
        <v>154</v>
      </c>
      <c r="O98" s="64" t="s">
        <v>155</v>
      </c>
      <c r="P98" s="69">
        <v>44571</v>
      </c>
      <c r="Q98" s="69">
        <v>44925</v>
      </c>
      <c r="R98" s="64"/>
      <c r="S98" s="74" t="s">
        <v>76</v>
      </c>
      <c r="T98" s="74"/>
      <c r="U98" s="87"/>
      <c r="V98" s="671">
        <v>0</v>
      </c>
      <c r="W98" s="87"/>
      <c r="X98" s="87">
        <v>38000</v>
      </c>
      <c r="Y98" s="834">
        <f t="shared" si="15"/>
        <v>12000</v>
      </c>
      <c r="Z98" s="87"/>
      <c r="AA98" s="87"/>
      <c r="AB98" s="87"/>
      <c r="AC98" s="87"/>
      <c r="AD98" s="93"/>
      <c r="AE98" s="75"/>
      <c r="AF98" s="954" t="s">
        <v>159</v>
      </c>
      <c r="AG98" s="502">
        <v>38000</v>
      </c>
      <c r="AH98" s="371">
        <v>38000</v>
      </c>
      <c r="AI98" s="78"/>
      <c r="AJ98" s="78">
        <f t="shared" si="18"/>
        <v>12000</v>
      </c>
      <c r="AK98" s="78"/>
      <c r="AL98" s="78"/>
      <c r="AM98" s="78"/>
      <c r="AN98" s="89" t="s">
        <v>39</v>
      </c>
      <c r="AO98" s="313" t="s">
        <v>1819</v>
      </c>
      <c r="AP98" s="313" t="s">
        <v>2160</v>
      </c>
      <c r="AQ98" s="408" t="s">
        <v>2161</v>
      </c>
      <c r="AR98" s="69">
        <v>44658</v>
      </c>
      <c r="AS98" s="562">
        <v>45023</v>
      </c>
      <c r="AT98" s="89" t="s">
        <v>2029</v>
      </c>
      <c r="AU98" s="883" t="s">
        <v>2162</v>
      </c>
      <c r="AV98" s="1274"/>
    </row>
    <row r="99" spans="1:48" outlineLevel="3" x14ac:dyDescent="0.25">
      <c r="A99" s="63" t="str">
        <f t="shared" si="1"/>
        <v>1.1.1.2.21.62</v>
      </c>
      <c r="B99" s="63">
        <v>1</v>
      </c>
      <c r="C99" s="63">
        <v>1</v>
      </c>
      <c r="D99" s="63">
        <v>1</v>
      </c>
      <c r="E99" s="63">
        <v>2</v>
      </c>
      <c r="F99" s="63">
        <v>21</v>
      </c>
      <c r="G99" s="64">
        <v>62</v>
      </c>
      <c r="H99" s="63"/>
      <c r="I99" s="63"/>
      <c r="J99" s="90"/>
      <c r="K99" s="91" t="s">
        <v>162</v>
      </c>
      <c r="L99" s="64" t="s">
        <v>72</v>
      </c>
      <c r="M99" s="64" t="s">
        <v>73</v>
      </c>
      <c r="N99" s="68" t="s">
        <v>154</v>
      </c>
      <c r="O99" s="64" t="s">
        <v>155</v>
      </c>
      <c r="P99" s="69">
        <v>44571</v>
      </c>
      <c r="Q99" s="69">
        <v>44925</v>
      </c>
      <c r="R99" s="64"/>
      <c r="S99" s="74" t="s">
        <v>76</v>
      </c>
      <c r="T99" s="74"/>
      <c r="U99" s="87"/>
      <c r="V99" s="671">
        <v>0</v>
      </c>
      <c r="W99" s="87"/>
      <c r="X99" s="87">
        <f t="shared" ref="X99:X100" si="20">+AH99</f>
        <v>38000</v>
      </c>
      <c r="Y99" s="834">
        <f t="shared" si="15"/>
        <v>12000</v>
      </c>
      <c r="Z99" s="87"/>
      <c r="AA99" s="87"/>
      <c r="AB99" s="87"/>
      <c r="AC99" s="87"/>
      <c r="AD99" s="93"/>
      <c r="AE99" s="75"/>
      <c r="AF99" s="954" t="s">
        <v>159</v>
      </c>
      <c r="AG99" s="502">
        <v>38000</v>
      </c>
      <c r="AH99" s="371">
        <v>38000</v>
      </c>
      <c r="AI99" s="78"/>
      <c r="AJ99" s="78">
        <f t="shared" si="18"/>
        <v>12000</v>
      </c>
      <c r="AK99" s="78"/>
      <c r="AL99" s="78"/>
      <c r="AM99" s="78"/>
      <c r="AN99" s="89" t="s">
        <v>39</v>
      </c>
      <c r="AO99" s="313" t="s">
        <v>1819</v>
      </c>
      <c r="AP99" s="313" t="s">
        <v>2160</v>
      </c>
      <c r="AQ99" s="408" t="s">
        <v>2161</v>
      </c>
      <c r="AR99" s="69">
        <v>44658</v>
      </c>
      <c r="AS99" s="562">
        <v>45023</v>
      </c>
      <c r="AT99" s="89" t="s">
        <v>2029</v>
      </c>
      <c r="AU99" s="883" t="s">
        <v>2162</v>
      </c>
      <c r="AV99" s="1274"/>
    </row>
    <row r="100" spans="1:48" outlineLevel="3" x14ac:dyDescent="0.25">
      <c r="A100" s="63" t="str">
        <f t="shared" si="1"/>
        <v>1.1.1.2.21.63</v>
      </c>
      <c r="B100" s="63">
        <v>1</v>
      </c>
      <c r="C100" s="63">
        <v>1</v>
      </c>
      <c r="D100" s="63">
        <v>1</v>
      </c>
      <c r="E100" s="63">
        <v>2</v>
      </c>
      <c r="F100" s="63">
        <v>21</v>
      </c>
      <c r="G100" s="64">
        <v>63</v>
      </c>
      <c r="H100" s="63"/>
      <c r="I100" s="63"/>
      <c r="J100" s="90"/>
      <c r="K100" s="91" t="s">
        <v>163</v>
      </c>
      <c r="L100" s="64" t="s">
        <v>72</v>
      </c>
      <c r="M100" s="64" t="s">
        <v>73</v>
      </c>
      <c r="N100" s="68" t="s">
        <v>154</v>
      </c>
      <c r="O100" s="64" t="s">
        <v>155</v>
      </c>
      <c r="P100" s="69">
        <v>44571</v>
      </c>
      <c r="Q100" s="69">
        <v>44925</v>
      </c>
      <c r="R100" s="64"/>
      <c r="S100" s="74" t="s">
        <v>76</v>
      </c>
      <c r="T100" s="74"/>
      <c r="U100" s="87"/>
      <c r="V100" s="671">
        <v>0</v>
      </c>
      <c r="W100" s="87"/>
      <c r="X100" s="87">
        <f t="shared" si="20"/>
        <v>38000</v>
      </c>
      <c r="Y100" s="834">
        <f t="shared" si="15"/>
        <v>12000</v>
      </c>
      <c r="Z100" s="87"/>
      <c r="AA100" s="87"/>
      <c r="AB100" s="87"/>
      <c r="AC100" s="87"/>
      <c r="AD100" s="93"/>
      <c r="AE100" s="75"/>
      <c r="AF100" s="954" t="s">
        <v>159</v>
      </c>
      <c r="AG100" s="502">
        <v>38000</v>
      </c>
      <c r="AH100" s="371">
        <v>38000</v>
      </c>
      <c r="AI100" s="78"/>
      <c r="AJ100" s="78">
        <f t="shared" si="18"/>
        <v>12000</v>
      </c>
      <c r="AK100" s="78"/>
      <c r="AL100" s="78"/>
      <c r="AM100" s="78"/>
      <c r="AN100" s="89" t="s">
        <v>39</v>
      </c>
      <c r="AO100" s="313" t="s">
        <v>1819</v>
      </c>
      <c r="AP100" s="313" t="s">
        <v>2160</v>
      </c>
      <c r="AQ100" s="408" t="s">
        <v>2161</v>
      </c>
      <c r="AR100" s="69">
        <v>44658</v>
      </c>
      <c r="AS100" s="562">
        <v>45023</v>
      </c>
      <c r="AT100" s="89" t="s">
        <v>2029</v>
      </c>
      <c r="AU100" s="883" t="s">
        <v>2162</v>
      </c>
      <c r="AV100" s="1274"/>
    </row>
    <row r="101" spans="1:48" outlineLevel="3" x14ac:dyDescent="0.25">
      <c r="A101" s="63" t="str">
        <f t="shared" si="1"/>
        <v>1.1.1.2.21.64</v>
      </c>
      <c r="B101" s="63">
        <v>1</v>
      </c>
      <c r="C101" s="63">
        <v>1</v>
      </c>
      <c r="D101" s="63">
        <v>1</v>
      </c>
      <c r="E101" s="63">
        <v>2</v>
      </c>
      <c r="F101" s="63">
        <v>21</v>
      </c>
      <c r="G101" s="64">
        <v>64</v>
      </c>
      <c r="H101" s="63"/>
      <c r="I101" s="63"/>
      <c r="J101" s="90"/>
      <c r="K101" s="91" t="s">
        <v>164</v>
      </c>
      <c r="L101" s="64" t="s">
        <v>72</v>
      </c>
      <c r="M101" s="64" t="s">
        <v>73</v>
      </c>
      <c r="N101" s="68" t="s">
        <v>154</v>
      </c>
      <c r="O101" s="64" t="s">
        <v>155</v>
      </c>
      <c r="P101" s="69">
        <v>44571</v>
      </c>
      <c r="Q101" s="69">
        <v>44925</v>
      </c>
      <c r="R101" s="64"/>
      <c r="S101" s="74" t="s">
        <v>76</v>
      </c>
      <c r="T101" s="74"/>
      <c r="U101" s="87"/>
      <c r="V101" s="671">
        <v>0</v>
      </c>
      <c r="W101" s="87"/>
      <c r="X101" s="87"/>
      <c r="Y101" s="834">
        <f t="shared" si="15"/>
        <v>12000</v>
      </c>
      <c r="Z101" s="87"/>
      <c r="AA101" s="87">
        <f>+AH101</f>
        <v>38000</v>
      </c>
      <c r="AB101" s="87"/>
      <c r="AC101" s="87"/>
      <c r="AD101" s="93"/>
      <c r="AE101" s="75"/>
      <c r="AF101" s="954" t="s">
        <v>159</v>
      </c>
      <c r="AG101" s="502">
        <v>38000</v>
      </c>
      <c r="AH101" s="371">
        <v>38000</v>
      </c>
      <c r="AI101" s="78"/>
      <c r="AJ101" s="78">
        <f t="shared" si="18"/>
        <v>12000</v>
      </c>
      <c r="AK101" s="78"/>
      <c r="AL101" s="78"/>
      <c r="AM101" s="78"/>
      <c r="AN101" s="89" t="s">
        <v>39</v>
      </c>
      <c r="AO101" s="313" t="s">
        <v>1819</v>
      </c>
      <c r="AP101" s="313" t="s">
        <v>2160</v>
      </c>
      <c r="AQ101" s="408" t="s">
        <v>2161</v>
      </c>
      <c r="AR101" s="69">
        <v>44658</v>
      </c>
      <c r="AS101" s="562">
        <v>45023</v>
      </c>
      <c r="AT101" s="89" t="s">
        <v>2029</v>
      </c>
      <c r="AU101" s="883" t="s">
        <v>2162</v>
      </c>
      <c r="AV101" s="1274"/>
    </row>
    <row r="102" spans="1:48" ht="30" outlineLevel="3" x14ac:dyDescent="0.25">
      <c r="A102" s="63" t="str">
        <f t="shared" si="1"/>
        <v>1.1.1.2.23.58</v>
      </c>
      <c r="B102" s="63">
        <v>1</v>
      </c>
      <c r="C102" s="63">
        <v>1</v>
      </c>
      <c r="D102" s="63">
        <v>1</v>
      </c>
      <c r="E102" s="63">
        <v>2</v>
      </c>
      <c r="F102" s="63">
        <v>23</v>
      </c>
      <c r="G102" s="64">
        <v>58</v>
      </c>
      <c r="H102" s="63"/>
      <c r="I102" s="63"/>
      <c r="J102" s="90"/>
      <c r="K102" s="91" t="s">
        <v>165</v>
      </c>
      <c r="L102" s="64" t="s">
        <v>72</v>
      </c>
      <c r="M102" s="64" t="s">
        <v>166</v>
      </c>
      <c r="N102" s="68" t="s">
        <v>167</v>
      </c>
      <c r="O102" s="64" t="s">
        <v>168</v>
      </c>
      <c r="P102" s="69">
        <v>44571</v>
      </c>
      <c r="Q102" s="69">
        <v>44925</v>
      </c>
      <c r="R102" s="92"/>
      <c r="S102" s="74" t="s">
        <v>166</v>
      </c>
      <c r="T102" s="74"/>
      <c r="U102" s="87"/>
      <c r="V102" s="671">
        <v>0</v>
      </c>
      <c r="W102" s="87"/>
      <c r="X102" s="87"/>
      <c r="Y102" s="834">
        <f t="shared" si="15"/>
        <v>0</v>
      </c>
      <c r="Z102" s="87"/>
      <c r="AA102" s="87"/>
      <c r="AB102" s="87"/>
      <c r="AC102" s="87"/>
      <c r="AD102" s="93"/>
      <c r="AE102" s="75"/>
      <c r="AF102" s="954" t="s">
        <v>169</v>
      </c>
      <c r="AG102" s="529">
        <v>0</v>
      </c>
      <c r="AH102" s="371">
        <v>0</v>
      </c>
      <c r="AI102" s="78"/>
      <c r="AJ102" s="78"/>
      <c r="AK102" s="78"/>
      <c r="AL102" s="78"/>
      <c r="AM102" s="78"/>
      <c r="AN102" s="89" t="s">
        <v>39</v>
      </c>
      <c r="AO102" s="89"/>
      <c r="AP102" s="89"/>
      <c r="AQ102" s="407"/>
      <c r="AR102" s="89"/>
      <c r="AS102" s="469"/>
      <c r="AT102" s="89"/>
      <c r="AU102" s="661"/>
      <c r="AV102" s="185" t="s">
        <v>127</v>
      </c>
    </row>
    <row r="103" spans="1:48" outlineLevel="3" x14ac:dyDescent="0.25">
      <c r="A103" s="63" t="str">
        <f t="shared" si="1"/>
        <v>1.1.1.2.23.59</v>
      </c>
      <c r="B103" s="63">
        <v>1</v>
      </c>
      <c r="C103" s="63">
        <v>1</v>
      </c>
      <c r="D103" s="63">
        <v>1</v>
      </c>
      <c r="E103" s="63">
        <v>2</v>
      </c>
      <c r="F103" s="63">
        <v>23</v>
      </c>
      <c r="G103" s="64">
        <v>59</v>
      </c>
      <c r="H103" s="63"/>
      <c r="I103" s="63"/>
      <c r="J103" s="90"/>
      <c r="K103" s="91" t="s">
        <v>170</v>
      </c>
      <c r="L103" s="64" t="s">
        <v>72</v>
      </c>
      <c r="M103" s="64" t="s">
        <v>166</v>
      </c>
      <c r="N103" s="68" t="s">
        <v>167</v>
      </c>
      <c r="O103" s="64" t="s">
        <v>168</v>
      </c>
      <c r="P103" s="69">
        <v>44571</v>
      </c>
      <c r="Q103" s="69">
        <v>44925</v>
      </c>
      <c r="R103" s="64"/>
      <c r="S103" s="74" t="s">
        <v>166</v>
      </c>
      <c r="T103" s="74"/>
      <c r="U103" s="87"/>
      <c r="V103" s="671">
        <v>0</v>
      </c>
      <c r="W103" s="87"/>
      <c r="X103" s="87"/>
      <c r="Y103" s="834">
        <f t="shared" si="15"/>
        <v>0</v>
      </c>
      <c r="Z103" s="87"/>
      <c r="AA103" s="87"/>
      <c r="AB103" s="87"/>
      <c r="AC103" s="87"/>
      <c r="AD103" s="93"/>
      <c r="AE103" s="75"/>
      <c r="AF103" s="954"/>
      <c r="AG103" s="529">
        <v>0</v>
      </c>
      <c r="AH103" s="371">
        <v>0</v>
      </c>
      <c r="AI103" s="78"/>
      <c r="AJ103" s="78"/>
      <c r="AK103" s="78"/>
      <c r="AL103" s="78"/>
      <c r="AM103" s="78"/>
      <c r="AN103" s="89" t="s">
        <v>39</v>
      </c>
      <c r="AO103" s="89"/>
      <c r="AP103" s="89"/>
      <c r="AQ103" s="407"/>
      <c r="AR103" s="89"/>
      <c r="AS103" s="469"/>
      <c r="AT103" s="89"/>
      <c r="AU103" s="661"/>
      <c r="AV103" s="185" t="s">
        <v>127</v>
      </c>
    </row>
    <row r="104" spans="1:48" outlineLevel="3" x14ac:dyDescent="0.25">
      <c r="A104" s="63" t="str">
        <f t="shared" si="1"/>
        <v>1.1.1.2.23.60</v>
      </c>
      <c r="B104" s="63">
        <v>1</v>
      </c>
      <c r="C104" s="63">
        <v>1</v>
      </c>
      <c r="D104" s="63">
        <v>1</v>
      </c>
      <c r="E104" s="63">
        <v>2</v>
      </c>
      <c r="F104" s="63">
        <v>23</v>
      </c>
      <c r="G104" s="64">
        <v>60</v>
      </c>
      <c r="H104" s="63"/>
      <c r="I104" s="63"/>
      <c r="J104" s="90"/>
      <c r="K104" s="91" t="s">
        <v>171</v>
      </c>
      <c r="L104" s="64" t="s">
        <v>72</v>
      </c>
      <c r="M104" s="64" t="s">
        <v>166</v>
      </c>
      <c r="N104" s="68" t="s">
        <v>167</v>
      </c>
      <c r="O104" s="64" t="s">
        <v>168</v>
      </c>
      <c r="P104" s="69">
        <v>44571</v>
      </c>
      <c r="Q104" s="69">
        <v>44925</v>
      </c>
      <c r="R104" s="64"/>
      <c r="S104" s="74" t="s">
        <v>166</v>
      </c>
      <c r="T104" s="74"/>
      <c r="U104" s="87"/>
      <c r="V104" s="671">
        <v>0</v>
      </c>
      <c r="W104" s="87"/>
      <c r="X104" s="87"/>
      <c r="Y104" s="834">
        <f t="shared" si="15"/>
        <v>0</v>
      </c>
      <c r="Z104" s="87"/>
      <c r="AA104" s="87"/>
      <c r="AB104" s="87"/>
      <c r="AC104" s="87"/>
      <c r="AD104" s="93"/>
      <c r="AE104" s="75"/>
      <c r="AF104" s="954"/>
      <c r="AG104" s="529">
        <v>0</v>
      </c>
      <c r="AH104" s="371">
        <v>0</v>
      </c>
      <c r="AI104" s="78"/>
      <c r="AJ104" s="78"/>
      <c r="AK104" s="78"/>
      <c r="AL104" s="78"/>
      <c r="AM104" s="78"/>
      <c r="AN104" s="89" t="s">
        <v>39</v>
      </c>
      <c r="AO104" s="89"/>
      <c r="AP104" s="89"/>
      <c r="AQ104" s="407"/>
      <c r="AR104" s="89"/>
      <c r="AS104" s="469"/>
      <c r="AT104" s="89"/>
      <c r="AU104" s="661"/>
      <c r="AV104" s="185" t="s">
        <v>127</v>
      </c>
    </row>
    <row r="105" spans="1:48" outlineLevel="3" x14ac:dyDescent="0.25">
      <c r="A105" s="63" t="str">
        <f t="shared" si="1"/>
        <v>1.1.1.2.23.61</v>
      </c>
      <c r="B105" s="63">
        <v>1</v>
      </c>
      <c r="C105" s="63">
        <v>1</v>
      </c>
      <c r="D105" s="63">
        <v>1</v>
      </c>
      <c r="E105" s="63">
        <v>2</v>
      </c>
      <c r="F105" s="63">
        <v>23</v>
      </c>
      <c r="G105" s="64">
        <v>61</v>
      </c>
      <c r="H105" s="63"/>
      <c r="I105" s="63"/>
      <c r="J105" s="90"/>
      <c r="K105" s="91" t="s">
        <v>172</v>
      </c>
      <c r="L105" s="64" t="s">
        <v>72</v>
      </c>
      <c r="M105" s="64" t="s">
        <v>166</v>
      </c>
      <c r="N105" s="68" t="s">
        <v>167</v>
      </c>
      <c r="O105" s="64" t="s">
        <v>168</v>
      </c>
      <c r="P105" s="69">
        <v>44571</v>
      </c>
      <c r="Q105" s="69">
        <v>44925</v>
      </c>
      <c r="R105" s="64"/>
      <c r="S105" s="74" t="s">
        <v>166</v>
      </c>
      <c r="T105" s="74"/>
      <c r="U105" s="87"/>
      <c r="V105" s="671">
        <v>0</v>
      </c>
      <c r="W105" s="87"/>
      <c r="X105" s="87"/>
      <c r="Y105" s="834">
        <f t="shared" si="15"/>
        <v>0</v>
      </c>
      <c r="Z105" s="87"/>
      <c r="AA105" s="87"/>
      <c r="AB105" s="87"/>
      <c r="AC105" s="87"/>
      <c r="AD105" s="93"/>
      <c r="AE105" s="75"/>
      <c r="AF105" s="954"/>
      <c r="AG105" s="529">
        <v>0</v>
      </c>
      <c r="AH105" s="371">
        <v>0</v>
      </c>
      <c r="AI105" s="78"/>
      <c r="AJ105" s="78"/>
      <c r="AK105" s="78"/>
      <c r="AL105" s="78"/>
      <c r="AM105" s="78"/>
      <c r="AN105" s="89" t="s">
        <v>39</v>
      </c>
      <c r="AO105" s="89"/>
      <c r="AP105" s="89"/>
      <c r="AQ105" s="407"/>
      <c r="AR105" s="89"/>
      <c r="AS105" s="469"/>
      <c r="AT105" s="89"/>
      <c r="AU105" s="661"/>
      <c r="AV105" s="185" t="s">
        <v>127</v>
      </c>
    </row>
    <row r="106" spans="1:48" outlineLevel="3" x14ac:dyDescent="0.25">
      <c r="A106" s="63" t="str">
        <f t="shared" si="1"/>
        <v>1.1.1.2.23.62</v>
      </c>
      <c r="B106" s="63">
        <v>1</v>
      </c>
      <c r="C106" s="63">
        <v>1</v>
      </c>
      <c r="D106" s="63">
        <v>1</v>
      </c>
      <c r="E106" s="63">
        <v>2</v>
      </c>
      <c r="F106" s="63">
        <v>23</v>
      </c>
      <c r="G106" s="64">
        <v>62</v>
      </c>
      <c r="H106" s="63"/>
      <c r="I106" s="63"/>
      <c r="J106" s="90"/>
      <c r="K106" s="91" t="s">
        <v>173</v>
      </c>
      <c r="L106" s="64" t="s">
        <v>72</v>
      </c>
      <c r="M106" s="64" t="s">
        <v>166</v>
      </c>
      <c r="N106" s="68" t="s">
        <v>167</v>
      </c>
      <c r="O106" s="64" t="s">
        <v>168</v>
      </c>
      <c r="P106" s="69">
        <v>44571</v>
      </c>
      <c r="Q106" s="69">
        <v>44925</v>
      </c>
      <c r="R106" s="64"/>
      <c r="S106" s="74" t="s">
        <v>166</v>
      </c>
      <c r="T106" s="74"/>
      <c r="U106" s="87"/>
      <c r="V106" s="671">
        <v>0</v>
      </c>
      <c r="W106" s="87"/>
      <c r="X106" s="87"/>
      <c r="Y106" s="834">
        <f t="shared" si="15"/>
        <v>0</v>
      </c>
      <c r="Z106" s="87"/>
      <c r="AA106" s="87"/>
      <c r="AB106" s="87"/>
      <c r="AC106" s="87"/>
      <c r="AD106" s="93"/>
      <c r="AE106" s="75"/>
      <c r="AF106" s="954"/>
      <c r="AG106" s="529">
        <v>0</v>
      </c>
      <c r="AH106" s="371">
        <v>0</v>
      </c>
      <c r="AI106" s="78"/>
      <c r="AJ106" s="78"/>
      <c r="AK106" s="78"/>
      <c r="AL106" s="78"/>
      <c r="AM106" s="78"/>
      <c r="AN106" s="89" t="s">
        <v>39</v>
      </c>
      <c r="AO106" s="89"/>
      <c r="AP106" s="89"/>
      <c r="AQ106" s="407"/>
      <c r="AR106" s="89"/>
      <c r="AS106" s="469"/>
      <c r="AT106" s="89"/>
      <c r="AU106" s="661"/>
      <c r="AV106" s="185" t="s">
        <v>127</v>
      </c>
    </row>
    <row r="107" spans="1:48" outlineLevel="3" x14ac:dyDescent="0.25">
      <c r="A107" s="63" t="str">
        <f t="shared" si="1"/>
        <v>1.1.1.2.23.63</v>
      </c>
      <c r="B107" s="63">
        <v>1</v>
      </c>
      <c r="C107" s="63">
        <v>1</v>
      </c>
      <c r="D107" s="63">
        <v>1</v>
      </c>
      <c r="E107" s="63">
        <v>2</v>
      </c>
      <c r="F107" s="63">
        <v>23</v>
      </c>
      <c r="G107" s="64">
        <v>63</v>
      </c>
      <c r="H107" s="63"/>
      <c r="I107" s="63"/>
      <c r="J107" s="90"/>
      <c r="K107" s="91" t="s">
        <v>174</v>
      </c>
      <c r="L107" s="64" t="s">
        <v>72</v>
      </c>
      <c r="M107" s="64" t="s">
        <v>166</v>
      </c>
      <c r="N107" s="68" t="s">
        <v>167</v>
      </c>
      <c r="O107" s="64" t="s">
        <v>168</v>
      </c>
      <c r="P107" s="69">
        <v>44571</v>
      </c>
      <c r="Q107" s="69">
        <v>44925</v>
      </c>
      <c r="R107" s="64"/>
      <c r="S107" s="74" t="s">
        <v>166</v>
      </c>
      <c r="T107" s="74"/>
      <c r="U107" s="87"/>
      <c r="V107" s="671">
        <v>0</v>
      </c>
      <c r="W107" s="87"/>
      <c r="X107" s="87"/>
      <c r="Y107" s="834">
        <f t="shared" si="15"/>
        <v>0</v>
      </c>
      <c r="Z107" s="87"/>
      <c r="AA107" s="87"/>
      <c r="AB107" s="87"/>
      <c r="AC107" s="87"/>
      <c r="AD107" s="93"/>
      <c r="AE107" s="75"/>
      <c r="AF107" s="954"/>
      <c r="AG107" s="529">
        <v>0</v>
      </c>
      <c r="AH107" s="371">
        <v>0</v>
      </c>
      <c r="AI107" s="78"/>
      <c r="AJ107" s="78"/>
      <c r="AK107" s="78"/>
      <c r="AL107" s="78"/>
      <c r="AM107" s="78"/>
      <c r="AN107" s="89" t="s">
        <v>39</v>
      </c>
      <c r="AO107" s="89"/>
      <c r="AP107" s="89"/>
      <c r="AQ107" s="407"/>
      <c r="AR107" s="89"/>
      <c r="AS107" s="469"/>
      <c r="AT107" s="89"/>
      <c r="AU107" s="661"/>
      <c r="AV107" s="185" t="s">
        <v>127</v>
      </c>
    </row>
    <row r="108" spans="1:48" outlineLevel="3" x14ac:dyDescent="0.25">
      <c r="A108" s="63" t="str">
        <f t="shared" si="1"/>
        <v>1.1.1.2.23.64</v>
      </c>
      <c r="B108" s="63">
        <v>1</v>
      </c>
      <c r="C108" s="63">
        <v>1</v>
      </c>
      <c r="D108" s="63">
        <v>1</v>
      </c>
      <c r="E108" s="63">
        <v>2</v>
      </c>
      <c r="F108" s="63">
        <v>23</v>
      </c>
      <c r="G108" s="64">
        <v>64</v>
      </c>
      <c r="H108" s="63"/>
      <c r="I108" s="63"/>
      <c r="J108" s="90"/>
      <c r="K108" s="91" t="s">
        <v>175</v>
      </c>
      <c r="L108" s="64" t="s">
        <v>72</v>
      </c>
      <c r="M108" s="64" t="s">
        <v>166</v>
      </c>
      <c r="N108" s="68" t="s">
        <v>167</v>
      </c>
      <c r="O108" s="64" t="s">
        <v>168</v>
      </c>
      <c r="P108" s="69">
        <v>44571</v>
      </c>
      <c r="Q108" s="69">
        <v>44925</v>
      </c>
      <c r="R108" s="64"/>
      <c r="S108" s="74" t="s">
        <v>166</v>
      </c>
      <c r="T108" s="74"/>
      <c r="U108" s="87"/>
      <c r="V108" s="671">
        <v>0</v>
      </c>
      <c r="W108" s="87"/>
      <c r="X108" s="87"/>
      <c r="Y108" s="834">
        <f t="shared" si="15"/>
        <v>0</v>
      </c>
      <c r="Z108" s="87"/>
      <c r="AA108" s="87"/>
      <c r="AB108" s="87"/>
      <c r="AC108" s="87"/>
      <c r="AD108" s="93"/>
      <c r="AE108" s="75"/>
      <c r="AF108" s="954"/>
      <c r="AG108" s="529">
        <v>0</v>
      </c>
      <c r="AH108" s="371">
        <v>0</v>
      </c>
      <c r="AI108" s="78"/>
      <c r="AJ108" s="78"/>
      <c r="AK108" s="78"/>
      <c r="AL108" s="78"/>
      <c r="AM108" s="78"/>
      <c r="AN108" s="89" t="s">
        <v>39</v>
      </c>
      <c r="AO108" s="89"/>
      <c r="AP108" s="89"/>
      <c r="AQ108" s="407"/>
      <c r="AR108" s="89"/>
      <c r="AS108" s="469"/>
      <c r="AT108" s="89"/>
      <c r="AU108" s="661"/>
      <c r="AV108" s="185" t="s">
        <v>127</v>
      </c>
    </row>
    <row r="109" spans="1:48" outlineLevel="1" x14ac:dyDescent="0.25">
      <c r="A109" s="80" t="str">
        <f t="shared" si="1"/>
        <v>1.1.1.3.0.0</v>
      </c>
      <c r="B109" s="80">
        <v>1</v>
      </c>
      <c r="C109" s="80">
        <v>1</v>
      </c>
      <c r="D109" s="80">
        <v>1</v>
      </c>
      <c r="E109" s="80">
        <v>3</v>
      </c>
      <c r="F109" s="80">
        <v>0</v>
      </c>
      <c r="G109" s="81">
        <v>0</v>
      </c>
      <c r="H109" s="80"/>
      <c r="I109" s="80"/>
      <c r="J109" s="1347" t="s">
        <v>176</v>
      </c>
      <c r="K109" s="1347"/>
      <c r="L109" s="82" t="s">
        <v>72</v>
      </c>
      <c r="M109" s="83" t="s">
        <v>177</v>
      </c>
      <c r="N109" s="82" t="s">
        <v>74</v>
      </c>
      <c r="O109" s="82" t="s">
        <v>75</v>
      </c>
      <c r="P109" s="84">
        <v>44571</v>
      </c>
      <c r="Q109" s="84">
        <v>44925</v>
      </c>
      <c r="R109" s="82"/>
      <c r="S109" s="54"/>
      <c r="T109" s="54" t="e">
        <f>+SUM(#REF!)</f>
        <v>#REF!</v>
      </c>
      <c r="U109" s="96">
        <v>0</v>
      </c>
      <c r="V109" s="673">
        <v>0</v>
      </c>
      <c r="W109" s="96">
        <v>0</v>
      </c>
      <c r="X109" s="96">
        <v>0</v>
      </c>
      <c r="Y109" s="839">
        <v>0</v>
      </c>
      <c r="Z109" s="96">
        <v>0</v>
      </c>
      <c r="AA109" s="96">
        <v>0</v>
      </c>
      <c r="AB109" s="96"/>
      <c r="AC109" s="96" t="e">
        <f>+SUM(#REF!)</f>
        <v>#REF!</v>
      </c>
      <c r="AD109" s="590">
        <v>0</v>
      </c>
      <c r="AE109" s="61"/>
      <c r="AF109" s="955"/>
      <c r="AG109" s="369">
        <v>0</v>
      </c>
      <c r="AH109" s="369">
        <v>0</v>
      </c>
      <c r="AI109" s="369">
        <v>0</v>
      </c>
      <c r="AJ109" s="369">
        <v>0</v>
      </c>
      <c r="AK109" s="61"/>
      <c r="AL109" s="61"/>
      <c r="AM109" s="61"/>
      <c r="AN109" s="62" t="s">
        <v>39</v>
      </c>
      <c r="AO109" s="62"/>
      <c r="AP109" s="62"/>
      <c r="AQ109" s="404"/>
      <c r="AR109" s="62"/>
      <c r="AS109" s="466"/>
      <c r="AT109" s="62"/>
      <c r="AU109" s="660"/>
      <c r="AV109" s="427"/>
    </row>
    <row r="110" spans="1:48" ht="30" outlineLevel="1" x14ac:dyDescent="0.25">
      <c r="A110" s="80" t="str">
        <f t="shared" si="1"/>
        <v>1.1.1.4.0.0</v>
      </c>
      <c r="B110" s="80">
        <v>1</v>
      </c>
      <c r="C110" s="80">
        <v>1</v>
      </c>
      <c r="D110" s="80">
        <v>1</v>
      </c>
      <c r="E110" s="80">
        <v>4</v>
      </c>
      <c r="F110" s="80">
        <v>0</v>
      </c>
      <c r="G110" s="81">
        <v>0</v>
      </c>
      <c r="H110" s="80"/>
      <c r="I110" s="80"/>
      <c r="J110" s="1347" t="s">
        <v>178</v>
      </c>
      <c r="K110" s="1347"/>
      <c r="L110" s="82" t="s">
        <v>179</v>
      </c>
      <c r="M110" s="82" t="s">
        <v>76</v>
      </c>
      <c r="N110" s="82" t="s">
        <v>180</v>
      </c>
      <c r="O110" s="82" t="s">
        <v>75</v>
      </c>
      <c r="P110" s="84">
        <v>44571</v>
      </c>
      <c r="Q110" s="84">
        <v>44925</v>
      </c>
      <c r="R110" s="82"/>
      <c r="S110" s="54"/>
      <c r="T110" s="54">
        <f>+SUM(T111:T129)</f>
        <v>28</v>
      </c>
      <c r="U110" s="96">
        <v>0</v>
      </c>
      <c r="V110" s="673">
        <f>SUM(V111:V129)</f>
        <v>0</v>
      </c>
      <c r="W110" s="96">
        <f t="shared" ref="W110:AC110" si="21">+SUM(W111:W129)</f>
        <v>30</v>
      </c>
      <c r="X110" s="96">
        <v>0</v>
      </c>
      <c r="Y110" s="839">
        <v>0</v>
      </c>
      <c r="Z110" s="96">
        <f t="shared" si="21"/>
        <v>32</v>
      </c>
      <c r="AA110" s="96">
        <v>0</v>
      </c>
      <c r="AB110" s="96"/>
      <c r="AC110" s="96">
        <f t="shared" si="21"/>
        <v>28</v>
      </c>
      <c r="AD110" s="590">
        <v>0</v>
      </c>
      <c r="AE110" s="61"/>
      <c r="AF110" s="955"/>
      <c r="AG110" s="369">
        <f>+SUM(AG111:AG129)</f>
        <v>0</v>
      </c>
      <c r="AH110" s="369">
        <f>+SUM(AH111:AH129)</f>
        <v>0</v>
      </c>
      <c r="AI110" s="369">
        <f t="shared" ref="AI110" si="22">+SUM(AI111:AI129)</f>
        <v>0</v>
      </c>
      <c r="AJ110" s="369">
        <f>+SUM(AJ111:AJ129)</f>
        <v>0</v>
      </c>
      <c r="AK110" s="61"/>
      <c r="AL110" s="61"/>
      <c r="AM110" s="61"/>
      <c r="AN110" s="62" t="s">
        <v>181</v>
      </c>
      <c r="AO110" s="62"/>
      <c r="AP110" s="62"/>
      <c r="AQ110" s="404"/>
      <c r="AR110" s="62"/>
      <c r="AS110" s="466"/>
      <c r="AT110" s="62"/>
      <c r="AU110" s="660"/>
      <c r="AV110" s="428" t="s">
        <v>182</v>
      </c>
    </row>
    <row r="111" spans="1:48" outlineLevel="3" x14ac:dyDescent="0.25">
      <c r="A111" s="63" t="str">
        <f t="shared" si="1"/>
        <v>1.1.1.4.1.0</v>
      </c>
      <c r="B111" s="64">
        <v>1</v>
      </c>
      <c r="C111" s="64">
        <v>1</v>
      </c>
      <c r="D111" s="64">
        <v>1</v>
      </c>
      <c r="E111" s="64">
        <v>4</v>
      </c>
      <c r="F111" s="64">
        <v>1</v>
      </c>
      <c r="G111" s="64">
        <v>0</v>
      </c>
      <c r="H111" s="65"/>
      <c r="I111" s="65"/>
      <c r="J111" s="66"/>
      <c r="K111" s="65" t="s">
        <v>183</v>
      </c>
      <c r="L111" s="64" t="s">
        <v>179</v>
      </c>
      <c r="M111" s="64" t="s">
        <v>184</v>
      </c>
      <c r="N111" s="64" t="s">
        <v>185</v>
      </c>
      <c r="O111" s="64" t="s">
        <v>75</v>
      </c>
      <c r="P111" s="69"/>
      <c r="Q111" s="69"/>
      <c r="R111" s="68"/>
      <c r="S111" s="65"/>
      <c r="T111" s="64"/>
      <c r="U111" s="75"/>
      <c r="V111" s="671">
        <v>0</v>
      </c>
      <c r="W111" s="75"/>
      <c r="X111" s="75"/>
      <c r="Y111" s="834">
        <f t="shared" ref="Y111:Y129" si="23">+AJ111-V111</f>
        <v>0</v>
      </c>
      <c r="Z111" s="75"/>
      <c r="AA111" s="75"/>
      <c r="AB111" s="75"/>
      <c r="AC111" s="97"/>
      <c r="AD111" s="591"/>
      <c r="AE111" s="97"/>
      <c r="AF111" s="956" t="s">
        <v>186</v>
      </c>
      <c r="AG111" s="505">
        <v>0</v>
      </c>
      <c r="AH111" s="370">
        <v>0</v>
      </c>
      <c r="AI111" s="75"/>
      <c r="AJ111" s="75"/>
      <c r="AK111" s="75"/>
      <c r="AL111" s="75"/>
      <c r="AM111" s="75"/>
      <c r="AN111" s="98" t="s">
        <v>181</v>
      </c>
      <c r="AO111" s="314"/>
      <c r="AP111" s="314"/>
      <c r="AQ111" s="409"/>
      <c r="AR111" s="98"/>
      <c r="AS111" s="471"/>
      <c r="AT111" s="98"/>
      <c r="AU111" s="646"/>
      <c r="AV111" s="1274" t="s">
        <v>187</v>
      </c>
    </row>
    <row r="112" spans="1:48" outlineLevel="3" x14ac:dyDescent="0.25">
      <c r="A112" s="63" t="str">
        <f t="shared" si="1"/>
        <v>1.1.1.4.2.0</v>
      </c>
      <c r="B112" s="64">
        <v>1</v>
      </c>
      <c r="C112" s="64">
        <v>1</v>
      </c>
      <c r="D112" s="64">
        <v>1</v>
      </c>
      <c r="E112" s="64">
        <v>4</v>
      </c>
      <c r="F112" s="64">
        <v>2</v>
      </c>
      <c r="G112" s="64">
        <v>0</v>
      </c>
      <c r="H112" s="65"/>
      <c r="I112" s="65"/>
      <c r="J112" s="66"/>
      <c r="K112" s="65" t="s">
        <v>188</v>
      </c>
      <c r="L112" s="64" t="s">
        <v>189</v>
      </c>
      <c r="M112" s="68" t="s">
        <v>190</v>
      </c>
      <c r="N112" s="64" t="s">
        <v>191</v>
      </c>
      <c r="O112" s="64" t="s">
        <v>192</v>
      </c>
      <c r="P112" s="69">
        <v>44612</v>
      </c>
      <c r="Q112" s="69">
        <v>44895</v>
      </c>
      <c r="R112" s="64">
        <v>8</v>
      </c>
      <c r="S112" s="65" t="s">
        <v>193</v>
      </c>
      <c r="T112" s="64">
        <v>2</v>
      </c>
      <c r="U112" s="75"/>
      <c r="V112" s="671">
        <v>0</v>
      </c>
      <c r="W112" s="75">
        <v>2</v>
      </c>
      <c r="X112" s="75"/>
      <c r="Y112" s="834">
        <f t="shared" si="23"/>
        <v>0</v>
      </c>
      <c r="Z112" s="75">
        <v>2</v>
      </c>
      <c r="AA112" s="75"/>
      <c r="AB112" s="75"/>
      <c r="AC112" s="97">
        <v>2</v>
      </c>
      <c r="AD112" s="591"/>
      <c r="AE112" s="97"/>
      <c r="AF112" s="956" t="s">
        <v>186</v>
      </c>
      <c r="AG112" s="505">
        <v>0</v>
      </c>
      <c r="AH112" s="370">
        <v>0</v>
      </c>
      <c r="AI112" s="75"/>
      <c r="AJ112" s="75"/>
      <c r="AK112" s="75"/>
      <c r="AL112" s="75"/>
      <c r="AM112" s="75"/>
      <c r="AN112" s="98" t="s">
        <v>181</v>
      </c>
      <c r="AO112" s="314"/>
      <c r="AP112" s="314"/>
      <c r="AQ112" s="409"/>
      <c r="AR112" s="98"/>
      <c r="AS112" s="471"/>
      <c r="AT112" s="98"/>
      <c r="AU112" s="646"/>
      <c r="AV112" s="1274"/>
    </row>
    <row r="113" spans="1:48" ht="30" outlineLevel="3" x14ac:dyDescent="0.25">
      <c r="A113" s="63" t="str">
        <f t="shared" si="1"/>
        <v>1.1.1.4.3.0</v>
      </c>
      <c r="B113" s="64">
        <v>1</v>
      </c>
      <c r="C113" s="64">
        <v>1</v>
      </c>
      <c r="D113" s="64">
        <v>1</v>
      </c>
      <c r="E113" s="64">
        <v>4</v>
      </c>
      <c r="F113" s="64">
        <v>3</v>
      </c>
      <c r="G113" s="64">
        <v>0</v>
      </c>
      <c r="H113" s="65"/>
      <c r="I113" s="65"/>
      <c r="J113" s="66"/>
      <c r="K113" s="67" t="s">
        <v>194</v>
      </c>
      <c r="L113" s="64" t="s">
        <v>195</v>
      </c>
      <c r="M113" s="68" t="s">
        <v>190</v>
      </c>
      <c r="N113" s="64" t="s">
        <v>191</v>
      </c>
      <c r="O113" s="64" t="s">
        <v>192</v>
      </c>
      <c r="P113" s="69">
        <v>44612</v>
      </c>
      <c r="Q113" s="69">
        <v>44864</v>
      </c>
      <c r="R113" s="64">
        <v>4</v>
      </c>
      <c r="S113" s="65" t="s">
        <v>193</v>
      </c>
      <c r="T113" s="64">
        <v>1</v>
      </c>
      <c r="U113" s="75"/>
      <c r="V113" s="671">
        <v>0</v>
      </c>
      <c r="W113" s="75">
        <v>1</v>
      </c>
      <c r="X113" s="75"/>
      <c r="Y113" s="834">
        <f t="shared" si="23"/>
        <v>0</v>
      </c>
      <c r="Z113" s="75">
        <v>1</v>
      </c>
      <c r="AA113" s="75"/>
      <c r="AB113" s="75"/>
      <c r="AC113" s="75">
        <v>1</v>
      </c>
      <c r="AD113" s="592"/>
      <c r="AE113" s="75"/>
      <c r="AF113" s="956" t="s">
        <v>186</v>
      </c>
      <c r="AG113" s="505">
        <v>0</v>
      </c>
      <c r="AH113" s="370">
        <v>0</v>
      </c>
      <c r="AI113" s="75"/>
      <c r="AJ113" s="75"/>
      <c r="AK113" s="75"/>
      <c r="AL113" s="75"/>
      <c r="AM113" s="75"/>
      <c r="AN113" s="98" t="s">
        <v>181</v>
      </c>
      <c r="AO113" s="314"/>
      <c r="AP113" s="314"/>
      <c r="AQ113" s="409"/>
      <c r="AR113" s="98"/>
      <c r="AS113" s="471"/>
      <c r="AT113" s="98"/>
      <c r="AU113" s="646"/>
      <c r="AV113" s="1274"/>
    </row>
    <row r="114" spans="1:48" outlineLevel="3" x14ac:dyDescent="0.25">
      <c r="A114" s="63" t="str">
        <f t="shared" si="1"/>
        <v>1.1.1.4.4.0</v>
      </c>
      <c r="B114" s="64">
        <v>1</v>
      </c>
      <c r="C114" s="64">
        <v>1</v>
      </c>
      <c r="D114" s="64">
        <v>1</v>
      </c>
      <c r="E114" s="64">
        <v>4</v>
      </c>
      <c r="F114" s="64">
        <v>4</v>
      </c>
      <c r="G114" s="64">
        <v>0</v>
      </c>
      <c r="H114" s="65"/>
      <c r="I114" s="65"/>
      <c r="J114" s="65"/>
      <c r="K114" s="65" t="s">
        <v>196</v>
      </c>
      <c r="L114" s="64" t="s">
        <v>195</v>
      </c>
      <c r="M114" s="68" t="s">
        <v>197</v>
      </c>
      <c r="N114" s="64" t="s">
        <v>198</v>
      </c>
      <c r="O114" s="64" t="s">
        <v>192</v>
      </c>
      <c r="P114" s="69">
        <v>44805</v>
      </c>
      <c r="Q114" s="69">
        <v>44814</v>
      </c>
      <c r="R114" s="64">
        <v>1</v>
      </c>
      <c r="S114" s="65" t="s">
        <v>193</v>
      </c>
      <c r="T114" s="64"/>
      <c r="U114" s="75"/>
      <c r="V114" s="671">
        <v>0</v>
      </c>
      <c r="W114" s="75"/>
      <c r="X114" s="75"/>
      <c r="Y114" s="834">
        <f t="shared" si="23"/>
        <v>0</v>
      </c>
      <c r="Z114" s="75">
        <v>1</v>
      </c>
      <c r="AA114" s="75"/>
      <c r="AB114" s="75"/>
      <c r="AC114" s="75"/>
      <c r="AD114" s="592"/>
      <c r="AE114" s="75"/>
      <c r="AF114" s="956" t="s">
        <v>186</v>
      </c>
      <c r="AG114" s="505">
        <v>0</v>
      </c>
      <c r="AH114" s="370">
        <v>0</v>
      </c>
      <c r="AI114" s="75"/>
      <c r="AJ114" s="75"/>
      <c r="AK114" s="75"/>
      <c r="AL114" s="75"/>
      <c r="AM114" s="75"/>
      <c r="AN114" s="98" t="s">
        <v>181</v>
      </c>
      <c r="AO114" s="314"/>
      <c r="AP114" s="314"/>
      <c r="AQ114" s="409"/>
      <c r="AR114" s="98"/>
      <c r="AS114" s="471"/>
      <c r="AT114" s="98"/>
      <c r="AU114" s="646"/>
      <c r="AV114" s="1274"/>
    </row>
    <row r="115" spans="1:48" ht="30" outlineLevel="3" x14ac:dyDescent="0.25">
      <c r="A115" s="63" t="str">
        <f t="shared" si="1"/>
        <v>1.1.1.4.5.0</v>
      </c>
      <c r="B115" s="64">
        <v>1</v>
      </c>
      <c r="C115" s="64">
        <v>1</v>
      </c>
      <c r="D115" s="64">
        <v>1</v>
      </c>
      <c r="E115" s="64">
        <v>4</v>
      </c>
      <c r="F115" s="64">
        <v>5</v>
      </c>
      <c r="G115" s="64">
        <v>0</v>
      </c>
      <c r="H115" s="65"/>
      <c r="I115" s="65"/>
      <c r="J115" s="66"/>
      <c r="K115" s="67" t="s">
        <v>199</v>
      </c>
      <c r="L115" s="64" t="s">
        <v>195</v>
      </c>
      <c r="M115" s="64" t="s">
        <v>200</v>
      </c>
      <c r="N115" s="64" t="s">
        <v>201</v>
      </c>
      <c r="O115" s="64" t="s">
        <v>202</v>
      </c>
      <c r="P115" s="69">
        <v>44571</v>
      </c>
      <c r="Q115" s="69">
        <v>44925</v>
      </c>
      <c r="R115" s="64"/>
      <c r="S115" s="65" t="s">
        <v>203</v>
      </c>
      <c r="T115" s="64"/>
      <c r="U115" s="75"/>
      <c r="V115" s="671">
        <v>0</v>
      </c>
      <c r="W115" s="75"/>
      <c r="X115" s="75"/>
      <c r="Y115" s="834">
        <f t="shared" si="23"/>
        <v>0</v>
      </c>
      <c r="Z115" s="75"/>
      <c r="AA115" s="75"/>
      <c r="AB115" s="75"/>
      <c r="AC115" s="75"/>
      <c r="AD115" s="75"/>
      <c r="AE115" s="592"/>
      <c r="AF115" s="259" t="s">
        <v>204</v>
      </c>
      <c r="AG115" s="506">
        <v>0</v>
      </c>
      <c r="AH115" s="370">
        <v>0</v>
      </c>
      <c r="AI115" s="75"/>
      <c r="AJ115" s="75"/>
      <c r="AK115" s="75"/>
      <c r="AL115" s="75"/>
      <c r="AM115" s="75"/>
      <c r="AN115" s="98" t="s">
        <v>181</v>
      </c>
      <c r="AO115" s="314"/>
      <c r="AP115" s="314"/>
      <c r="AQ115" s="409"/>
      <c r="AR115" s="98"/>
      <c r="AS115" s="471"/>
      <c r="AT115" s="98"/>
      <c r="AU115" s="646"/>
      <c r="AV115" s="1274"/>
    </row>
    <row r="116" spans="1:48" outlineLevel="3" x14ac:dyDescent="0.25">
      <c r="A116" s="63" t="str">
        <f t="shared" si="1"/>
        <v>1.1.1.4.6.0</v>
      </c>
      <c r="B116" s="64">
        <v>1</v>
      </c>
      <c r="C116" s="64">
        <v>1</v>
      </c>
      <c r="D116" s="64">
        <v>1</v>
      </c>
      <c r="E116" s="64">
        <v>4</v>
      </c>
      <c r="F116" s="64">
        <v>6</v>
      </c>
      <c r="G116" s="64">
        <v>0</v>
      </c>
      <c r="H116" s="65"/>
      <c r="I116" s="65"/>
      <c r="J116" s="66"/>
      <c r="K116" s="65" t="s">
        <v>205</v>
      </c>
      <c r="L116" s="64" t="s">
        <v>195</v>
      </c>
      <c r="M116" s="64" t="s">
        <v>206</v>
      </c>
      <c r="N116" s="64" t="s">
        <v>201</v>
      </c>
      <c r="O116" s="64" t="s">
        <v>202</v>
      </c>
      <c r="P116" s="69">
        <v>44722</v>
      </c>
      <c r="Q116" s="69">
        <v>44732</v>
      </c>
      <c r="R116" s="64">
        <v>1</v>
      </c>
      <c r="S116" s="65" t="s">
        <v>203</v>
      </c>
      <c r="T116" s="64"/>
      <c r="U116" s="75"/>
      <c r="V116" s="671">
        <v>0</v>
      </c>
      <c r="W116" s="75"/>
      <c r="X116" s="75"/>
      <c r="Y116" s="834">
        <f t="shared" si="23"/>
        <v>0</v>
      </c>
      <c r="Z116" s="75">
        <v>1</v>
      </c>
      <c r="AA116" s="75"/>
      <c r="AB116" s="75"/>
      <c r="AC116" s="75"/>
      <c r="AD116" s="75"/>
      <c r="AE116" s="592"/>
      <c r="AF116" s="259" t="s">
        <v>204</v>
      </c>
      <c r="AG116" s="506">
        <v>0</v>
      </c>
      <c r="AH116" s="370">
        <v>0</v>
      </c>
      <c r="AI116" s="75"/>
      <c r="AJ116" s="75"/>
      <c r="AK116" s="75"/>
      <c r="AL116" s="75"/>
      <c r="AM116" s="75"/>
      <c r="AN116" s="98" t="s">
        <v>181</v>
      </c>
      <c r="AO116" s="314"/>
      <c r="AP116" s="314"/>
      <c r="AQ116" s="409"/>
      <c r="AR116" s="98"/>
      <c r="AS116" s="471"/>
      <c r="AT116" s="98"/>
      <c r="AU116" s="646"/>
      <c r="AV116" s="1274"/>
    </row>
    <row r="117" spans="1:48" ht="30" outlineLevel="3" x14ac:dyDescent="0.25">
      <c r="A117" s="63" t="str">
        <f t="shared" si="1"/>
        <v>1.1.1.4.7.0</v>
      </c>
      <c r="B117" s="64">
        <v>1</v>
      </c>
      <c r="C117" s="64">
        <v>1</v>
      </c>
      <c r="D117" s="64">
        <v>1</v>
      </c>
      <c r="E117" s="64">
        <v>4</v>
      </c>
      <c r="F117" s="64">
        <v>7</v>
      </c>
      <c r="G117" s="64">
        <v>0</v>
      </c>
      <c r="H117" s="65"/>
      <c r="I117" s="65"/>
      <c r="J117" s="65"/>
      <c r="K117" s="67" t="s">
        <v>207</v>
      </c>
      <c r="L117" s="64" t="s">
        <v>208</v>
      </c>
      <c r="M117" s="68" t="s">
        <v>197</v>
      </c>
      <c r="N117" s="64" t="s">
        <v>198</v>
      </c>
      <c r="O117" s="64" t="s">
        <v>209</v>
      </c>
      <c r="P117" s="69">
        <v>44612</v>
      </c>
      <c r="Q117" s="69">
        <v>44895</v>
      </c>
      <c r="R117" s="64">
        <v>12</v>
      </c>
      <c r="S117" s="65" t="s">
        <v>193</v>
      </c>
      <c r="T117" s="64">
        <v>3</v>
      </c>
      <c r="U117" s="75"/>
      <c r="V117" s="671">
        <v>0</v>
      </c>
      <c r="W117" s="75">
        <v>3</v>
      </c>
      <c r="X117" s="75"/>
      <c r="Y117" s="834">
        <f t="shared" si="23"/>
        <v>0</v>
      </c>
      <c r="Z117" s="75">
        <v>3</v>
      </c>
      <c r="AA117" s="75"/>
      <c r="AB117" s="75"/>
      <c r="AC117" s="75">
        <v>3</v>
      </c>
      <c r="AD117" s="75"/>
      <c r="AE117" s="592"/>
      <c r="AF117" s="343" t="s">
        <v>186</v>
      </c>
      <c r="AG117" s="505">
        <v>0</v>
      </c>
      <c r="AH117" s="370">
        <v>0</v>
      </c>
      <c r="AI117" s="75"/>
      <c r="AJ117" s="75"/>
      <c r="AK117" s="75"/>
      <c r="AL117" s="75"/>
      <c r="AM117" s="75"/>
      <c r="AN117" s="98" t="s">
        <v>181</v>
      </c>
      <c r="AO117" s="314"/>
      <c r="AP117" s="314"/>
      <c r="AQ117" s="409"/>
      <c r="AR117" s="98"/>
      <c r="AS117" s="471"/>
      <c r="AT117" s="98"/>
      <c r="AU117" s="646"/>
      <c r="AV117" s="1274"/>
    </row>
    <row r="118" spans="1:48" outlineLevel="3" x14ac:dyDescent="0.25">
      <c r="A118" s="63" t="str">
        <f t="shared" si="1"/>
        <v>1.1.0.4.8.0</v>
      </c>
      <c r="B118" s="64">
        <v>1</v>
      </c>
      <c r="C118" s="64">
        <v>1</v>
      </c>
      <c r="D118" s="64">
        <v>0</v>
      </c>
      <c r="E118" s="64">
        <v>4</v>
      </c>
      <c r="F118" s="64">
        <v>8</v>
      </c>
      <c r="G118" s="64">
        <v>0</v>
      </c>
      <c r="H118" s="65"/>
      <c r="I118" s="65"/>
      <c r="J118" s="66"/>
      <c r="K118" s="65" t="s">
        <v>210</v>
      </c>
      <c r="L118" s="64" t="s">
        <v>179</v>
      </c>
      <c r="M118" s="68" t="s">
        <v>211</v>
      </c>
      <c r="N118" s="65" t="s">
        <v>185</v>
      </c>
      <c r="O118" s="64" t="s">
        <v>75</v>
      </c>
      <c r="P118" s="69">
        <v>44612</v>
      </c>
      <c r="Q118" s="69">
        <v>44895</v>
      </c>
      <c r="R118" s="64">
        <v>8</v>
      </c>
      <c r="S118" s="65" t="s">
        <v>212</v>
      </c>
      <c r="T118" s="64">
        <v>2</v>
      </c>
      <c r="U118" s="75"/>
      <c r="V118" s="671">
        <v>0</v>
      </c>
      <c r="W118" s="75">
        <v>2</v>
      </c>
      <c r="X118" s="75"/>
      <c r="Y118" s="834">
        <f t="shared" si="23"/>
        <v>0</v>
      </c>
      <c r="Z118" s="75">
        <v>2</v>
      </c>
      <c r="AA118" s="75"/>
      <c r="AB118" s="75"/>
      <c r="AC118" s="97">
        <v>2</v>
      </c>
      <c r="AD118" s="97"/>
      <c r="AE118" s="591"/>
      <c r="AF118" s="343" t="s">
        <v>213</v>
      </c>
      <c r="AG118" s="505">
        <v>0</v>
      </c>
      <c r="AH118" s="370">
        <v>0</v>
      </c>
      <c r="AI118" s="75"/>
      <c r="AJ118" s="75"/>
      <c r="AK118" s="75"/>
      <c r="AL118" s="75"/>
      <c r="AM118" s="75"/>
      <c r="AN118" s="98" t="s">
        <v>181</v>
      </c>
      <c r="AO118" s="314"/>
      <c r="AP118" s="314"/>
      <c r="AQ118" s="409"/>
      <c r="AR118" s="98"/>
      <c r="AS118" s="471"/>
      <c r="AT118" s="98"/>
      <c r="AU118" s="646"/>
      <c r="AV118" s="1274"/>
    </row>
    <row r="119" spans="1:48" outlineLevel="3" x14ac:dyDescent="0.25">
      <c r="A119" s="63" t="str">
        <f t="shared" si="1"/>
        <v>1.1.0.4.9.0</v>
      </c>
      <c r="B119" s="64">
        <v>1</v>
      </c>
      <c r="C119" s="64">
        <v>1</v>
      </c>
      <c r="D119" s="64">
        <v>0</v>
      </c>
      <c r="E119" s="64">
        <v>4</v>
      </c>
      <c r="F119" s="64">
        <v>9</v>
      </c>
      <c r="G119" s="64">
        <v>0</v>
      </c>
      <c r="H119" s="65"/>
      <c r="I119" s="65"/>
      <c r="J119" s="66"/>
      <c r="K119" s="65" t="s">
        <v>214</v>
      </c>
      <c r="L119" s="64" t="s">
        <v>179</v>
      </c>
      <c r="M119" s="68" t="s">
        <v>211</v>
      </c>
      <c r="N119" s="65" t="s">
        <v>185</v>
      </c>
      <c r="O119" s="64" t="s">
        <v>75</v>
      </c>
      <c r="P119" s="69">
        <v>44612</v>
      </c>
      <c r="Q119" s="69">
        <v>44895</v>
      </c>
      <c r="R119" s="64">
        <v>8</v>
      </c>
      <c r="S119" s="65" t="s">
        <v>212</v>
      </c>
      <c r="T119" s="64">
        <v>2</v>
      </c>
      <c r="U119" s="75"/>
      <c r="V119" s="671">
        <v>0</v>
      </c>
      <c r="W119" s="75">
        <v>2</v>
      </c>
      <c r="X119" s="75"/>
      <c r="Y119" s="834">
        <f t="shared" si="23"/>
        <v>0</v>
      </c>
      <c r="Z119" s="75">
        <v>2</v>
      </c>
      <c r="AA119" s="75"/>
      <c r="AB119" s="75"/>
      <c r="AC119" s="97">
        <v>2</v>
      </c>
      <c r="AD119" s="97"/>
      <c r="AE119" s="591"/>
      <c r="AF119" s="343" t="s">
        <v>213</v>
      </c>
      <c r="AG119" s="505">
        <v>0</v>
      </c>
      <c r="AH119" s="370">
        <v>0</v>
      </c>
      <c r="AI119" s="75"/>
      <c r="AJ119" s="75"/>
      <c r="AK119" s="75"/>
      <c r="AL119" s="75"/>
      <c r="AM119" s="75"/>
      <c r="AN119" s="98" t="s">
        <v>181</v>
      </c>
      <c r="AO119" s="314"/>
      <c r="AP119" s="314"/>
      <c r="AQ119" s="409"/>
      <c r="AR119" s="98"/>
      <c r="AS119" s="471"/>
      <c r="AT119" s="98"/>
      <c r="AU119" s="646"/>
      <c r="AV119" s="1274"/>
    </row>
    <row r="120" spans="1:48" outlineLevel="3" x14ac:dyDescent="0.25">
      <c r="A120" s="63" t="str">
        <f t="shared" si="1"/>
        <v>1.1.0.4.10.0</v>
      </c>
      <c r="B120" s="64">
        <v>1</v>
      </c>
      <c r="C120" s="64">
        <v>1</v>
      </c>
      <c r="D120" s="64">
        <v>0</v>
      </c>
      <c r="E120" s="64">
        <v>4</v>
      </c>
      <c r="F120" s="64">
        <v>10</v>
      </c>
      <c r="G120" s="64">
        <v>0</v>
      </c>
      <c r="H120" s="65"/>
      <c r="I120" s="65"/>
      <c r="J120" s="66"/>
      <c r="K120" s="65" t="s">
        <v>215</v>
      </c>
      <c r="L120" s="64" t="s">
        <v>179</v>
      </c>
      <c r="M120" s="68" t="s">
        <v>211</v>
      </c>
      <c r="N120" s="65" t="s">
        <v>185</v>
      </c>
      <c r="O120" s="64" t="s">
        <v>75</v>
      </c>
      <c r="P120" s="69">
        <v>44612</v>
      </c>
      <c r="Q120" s="69">
        <v>44895</v>
      </c>
      <c r="R120" s="64">
        <v>8</v>
      </c>
      <c r="S120" s="65" t="s">
        <v>212</v>
      </c>
      <c r="T120" s="64">
        <v>2</v>
      </c>
      <c r="U120" s="75"/>
      <c r="V120" s="671">
        <v>0</v>
      </c>
      <c r="W120" s="75">
        <v>2</v>
      </c>
      <c r="X120" s="75"/>
      <c r="Y120" s="834">
        <f t="shared" si="23"/>
        <v>0</v>
      </c>
      <c r="Z120" s="75">
        <v>2</v>
      </c>
      <c r="AA120" s="75"/>
      <c r="AB120" s="75"/>
      <c r="AC120" s="97">
        <v>2</v>
      </c>
      <c r="AD120" s="97"/>
      <c r="AE120" s="591"/>
      <c r="AF120" s="343" t="s">
        <v>213</v>
      </c>
      <c r="AG120" s="505">
        <v>0</v>
      </c>
      <c r="AH120" s="370">
        <v>0</v>
      </c>
      <c r="AI120" s="75"/>
      <c r="AJ120" s="75"/>
      <c r="AK120" s="75"/>
      <c r="AL120" s="75"/>
      <c r="AM120" s="75"/>
      <c r="AN120" s="98" t="s">
        <v>181</v>
      </c>
      <c r="AO120" s="314"/>
      <c r="AP120" s="314"/>
      <c r="AQ120" s="409"/>
      <c r="AR120" s="98"/>
      <c r="AS120" s="471"/>
      <c r="AT120" s="98"/>
      <c r="AU120" s="646"/>
      <c r="AV120" s="1274"/>
    </row>
    <row r="121" spans="1:48" outlineLevel="3" x14ac:dyDescent="0.25">
      <c r="A121" s="63" t="str">
        <f t="shared" si="1"/>
        <v>1.1.0.4.11.0</v>
      </c>
      <c r="B121" s="64">
        <v>1</v>
      </c>
      <c r="C121" s="64">
        <v>1</v>
      </c>
      <c r="D121" s="64">
        <v>0</v>
      </c>
      <c r="E121" s="64">
        <v>4</v>
      </c>
      <c r="F121" s="64">
        <v>11</v>
      </c>
      <c r="G121" s="64">
        <v>0</v>
      </c>
      <c r="H121" s="65"/>
      <c r="I121" s="65"/>
      <c r="J121" s="66"/>
      <c r="K121" s="65" t="s">
        <v>216</v>
      </c>
      <c r="L121" s="64" t="s">
        <v>179</v>
      </c>
      <c r="M121" s="68" t="s">
        <v>211</v>
      </c>
      <c r="N121" s="65" t="s">
        <v>185</v>
      </c>
      <c r="O121" s="64" t="s">
        <v>75</v>
      </c>
      <c r="P121" s="69">
        <v>44612</v>
      </c>
      <c r="Q121" s="69">
        <v>44895</v>
      </c>
      <c r="R121" s="64">
        <v>8</v>
      </c>
      <c r="S121" s="65" t="s">
        <v>212</v>
      </c>
      <c r="T121" s="64">
        <v>2</v>
      </c>
      <c r="U121" s="75"/>
      <c r="V121" s="671">
        <v>0</v>
      </c>
      <c r="W121" s="75">
        <v>2</v>
      </c>
      <c r="X121" s="75"/>
      <c r="Y121" s="834">
        <f t="shared" si="23"/>
        <v>0</v>
      </c>
      <c r="Z121" s="75">
        <v>2</v>
      </c>
      <c r="AA121" s="75"/>
      <c r="AB121" s="75"/>
      <c r="AC121" s="97">
        <v>2</v>
      </c>
      <c r="AD121" s="97"/>
      <c r="AE121" s="591"/>
      <c r="AF121" s="343" t="s">
        <v>213</v>
      </c>
      <c r="AG121" s="505">
        <v>0</v>
      </c>
      <c r="AH121" s="370">
        <v>0</v>
      </c>
      <c r="AI121" s="75"/>
      <c r="AJ121" s="75"/>
      <c r="AK121" s="75"/>
      <c r="AL121" s="75"/>
      <c r="AM121" s="75"/>
      <c r="AN121" s="98" t="s">
        <v>181</v>
      </c>
      <c r="AO121" s="314"/>
      <c r="AP121" s="314"/>
      <c r="AQ121" s="409"/>
      <c r="AR121" s="98"/>
      <c r="AS121" s="471"/>
      <c r="AT121" s="98"/>
      <c r="AU121" s="646"/>
      <c r="AV121" s="1274"/>
    </row>
    <row r="122" spans="1:48" outlineLevel="3" x14ac:dyDescent="0.25">
      <c r="A122" s="63" t="str">
        <f t="shared" si="1"/>
        <v>1.1.0.4.12.0</v>
      </c>
      <c r="B122" s="64">
        <v>1</v>
      </c>
      <c r="C122" s="64">
        <v>1</v>
      </c>
      <c r="D122" s="64">
        <v>0</v>
      </c>
      <c r="E122" s="64">
        <v>4</v>
      </c>
      <c r="F122" s="64">
        <v>12</v>
      </c>
      <c r="G122" s="64">
        <v>0</v>
      </c>
      <c r="H122" s="65"/>
      <c r="I122" s="65"/>
      <c r="J122" s="66"/>
      <c r="K122" s="65" t="s">
        <v>217</v>
      </c>
      <c r="L122" s="64" t="s">
        <v>179</v>
      </c>
      <c r="M122" s="68" t="s">
        <v>211</v>
      </c>
      <c r="N122" s="65" t="s">
        <v>185</v>
      </c>
      <c r="O122" s="64" t="s">
        <v>75</v>
      </c>
      <c r="P122" s="69">
        <v>44612</v>
      </c>
      <c r="Q122" s="69">
        <v>44895</v>
      </c>
      <c r="R122" s="64">
        <v>8</v>
      </c>
      <c r="S122" s="65" t="s">
        <v>212</v>
      </c>
      <c r="T122" s="64">
        <v>2</v>
      </c>
      <c r="U122" s="75"/>
      <c r="V122" s="671">
        <v>0</v>
      </c>
      <c r="W122" s="75">
        <v>2</v>
      </c>
      <c r="X122" s="75"/>
      <c r="Y122" s="834">
        <f t="shared" si="23"/>
        <v>0</v>
      </c>
      <c r="Z122" s="75">
        <v>2</v>
      </c>
      <c r="AA122" s="75"/>
      <c r="AB122" s="75"/>
      <c r="AC122" s="97">
        <v>2</v>
      </c>
      <c r="AD122" s="97"/>
      <c r="AE122" s="591"/>
      <c r="AF122" s="343" t="s">
        <v>213</v>
      </c>
      <c r="AG122" s="505">
        <v>0</v>
      </c>
      <c r="AH122" s="370">
        <v>0</v>
      </c>
      <c r="AI122" s="75"/>
      <c r="AJ122" s="75"/>
      <c r="AK122" s="75"/>
      <c r="AL122" s="75"/>
      <c r="AM122" s="75"/>
      <c r="AN122" s="98" t="s">
        <v>181</v>
      </c>
      <c r="AO122" s="314"/>
      <c r="AP122" s="314"/>
      <c r="AQ122" s="409"/>
      <c r="AR122" s="98"/>
      <c r="AS122" s="471"/>
      <c r="AT122" s="98"/>
      <c r="AU122" s="646"/>
      <c r="AV122" s="1274"/>
    </row>
    <row r="123" spans="1:48" outlineLevel="3" x14ac:dyDescent="0.25">
      <c r="A123" s="63" t="str">
        <f t="shared" si="1"/>
        <v>1.1.0.4.13.0</v>
      </c>
      <c r="B123" s="64">
        <v>1</v>
      </c>
      <c r="C123" s="64">
        <v>1</v>
      </c>
      <c r="D123" s="64">
        <v>0</v>
      </c>
      <c r="E123" s="64">
        <v>4</v>
      </c>
      <c r="F123" s="64">
        <v>13</v>
      </c>
      <c r="G123" s="64">
        <v>0</v>
      </c>
      <c r="H123" s="65"/>
      <c r="I123" s="65"/>
      <c r="J123" s="66"/>
      <c r="K123" s="65" t="s">
        <v>218</v>
      </c>
      <c r="L123" s="64" t="s">
        <v>179</v>
      </c>
      <c r="M123" s="68" t="s">
        <v>211</v>
      </c>
      <c r="N123" s="65" t="s">
        <v>185</v>
      </c>
      <c r="O123" s="64" t="s">
        <v>75</v>
      </c>
      <c r="P123" s="69">
        <v>44612</v>
      </c>
      <c r="Q123" s="69">
        <v>44895</v>
      </c>
      <c r="R123" s="64">
        <v>8</v>
      </c>
      <c r="S123" s="65" t="s">
        <v>212</v>
      </c>
      <c r="T123" s="64">
        <v>2</v>
      </c>
      <c r="U123" s="75"/>
      <c r="V123" s="671">
        <v>0</v>
      </c>
      <c r="W123" s="75">
        <v>2</v>
      </c>
      <c r="X123" s="75"/>
      <c r="Y123" s="834">
        <f t="shared" si="23"/>
        <v>0</v>
      </c>
      <c r="Z123" s="75">
        <v>2</v>
      </c>
      <c r="AA123" s="75"/>
      <c r="AB123" s="75"/>
      <c r="AC123" s="97">
        <v>2</v>
      </c>
      <c r="AD123" s="97"/>
      <c r="AE123" s="591"/>
      <c r="AF123" s="343" t="s">
        <v>213</v>
      </c>
      <c r="AG123" s="505">
        <v>0</v>
      </c>
      <c r="AH123" s="370">
        <v>0</v>
      </c>
      <c r="AI123" s="75"/>
      <c r="AJ123" s="75"/>
      <c r="AK123" s="75"/>
      <c r="AL123" s="75"/>
      <c r="AM123" s="75"/>
      <c r="AN123" s="98" t="s">
        <v>181</v>
      </c>
      <c r="AO123" s="314"/>
      <c r="AP123" s="314"/>
      <c r="AQ123" s="409"/>
      <c r="AR123" s="98"/>
      <c r="AS123" s="471"/>
      <c r="AT123" s="98"/>
      <c r="AU123" s="646"/>
      <c r="AV123" s="1274"/>
    </row>
    <row r="124" spans="1:48" outlineLevel="3" x14ac:dyDescent="0.25">
      <c r="A124" s="63" t="str">
        <f t="shared" si="1"/>
        <v>1.1.0.4.14.0</v>
      </c>
      <c r="B124" s="64">
        <v>1</v>
      </c>
      <c r="C124" s="64">
        <v>1</v>
      </c>
      <c r="D124" s="64">
        <v>0</v>
      </c>
      <c r="E124" s="64">
        <v>4</v>
      </c>
      <c r="F124" s="64">
        <v>14</v>
      </c>
      <c r="G124" s="64">
        <v>0</v>
      </c>
      <c r="H124" s="65"/>
      <c r="I124" s="65"/>
      <c r="J124" s="66"/>
      <c r="K124" s="65" t="s">
        <v>219</v>
      </c>
      <c r="L124" s="64" t="s">
        <v>179</v>
      </c>
      <c r="M124" s="68" t="s">
        <v>211</v>
      </c>
      <c r="N124" s="65" t="s">
        <v>185</v>
      </c>
      <c r="O124" s="64" t="s">
        <v>75</v>
      </c>
      <c r="P124" s="69">
        <v>44612</v>
      </c>
      <c r="Q124" s="69">
        <v>44895</v>
      </c>
      <c r="R124" s="64">
        <v>8</v>
      </c>
      <c r="S124" s="65" t="s">
        <v>212</v>
      </c>
      <c r="T124" s="64">
        <v>2</v>
      </c>
      <c r="U124" s="75"/>
      <c r="V124" s="671">
        <v>0</v>
      </c>
      <c r="W124" s="75">
        <v>2</v>
      </c>
      <c r="X124" s="75"/>
      <c r="Y124" s="834">
        <f t="shared" si="23"/>
        <v>0</v>
      </c>
      <c r="Z124" s="75">
        <v>2</v>
      </c>
      <c r="AA124" s="75"/>
      <c r="AB124" s="75"/>
      <c r="AC124" s="97">
        <v>2</v>
      </c>
      <c r="AD124" s="97"/>
      <c r="AE124" s="591"/>
      <c r="AF124" s="343" t="s">
        <v>213</v>
      </c>
      <c r="AG124" s="505">
        <v>0</v>
      </c>
      <c r="AH124" s="370">
        <v>0</v>
      </c>
      <c r="AI124" s="75"/>
      <c r="AJ124" s="75"/>
      <c r="AK124" s="75"/>
      <c r="AL124" s="75"/>
      <c r="AM124" s="75"/>
      <c r="AN124" s="98" t="s">
        <v>181</v>
      </c>
      <c r="AO124" s="314"/>
      <c r="AP124" s="314"/>
      <c r="AQ124" s="409"/>
      <c r="AR124" s="98"/>
      <c r="AS124" s="471"/>
      <c r="AT124" s="98"/>
      <c r="AU124" s="646"/>
      <c r="AV124" s="1274"/>
    </row>
    <row r="125" spans="1:48" outlineLevel="3" x14ac:dyDescent="0.25">
      <c r="A125" s="63" t="str">
        <f t="shared" si="1"/>
        <v>1.1.0.4.15.0</v>
      </c>
      <c r="B125" s="64">
        <v>1</v>
      </c>
      <c r="C125" s="64">
        <v>1</v>
      </c>
      <c r="D125" s="64">
        <v>0</v>
      </c>
      <c r="E125" s="64">
        <v>4</v>
      </c>
      <c r="F125" s="64">
        <v>15</v>
      </c>
      <c r="G125" s="64">
        <v>0</v>
      </c>
      <c r="H125" s="65"/>
      <c r="I125" s="65"/>
      <c r="J125" s="66"/>
      <c r="K125" s="65" t="s">
        <v>1808</v>
      </c>
      <c r="L125" s="64" t="s">
        <v>179</v>
      </c>
      <c r="M125" s="68" t="s">
        <v>211</v>
      </c>
      <c r="N125" s="65" t="s">
        <v>185</v>
      </c>
      <c r="O125" s="64" t="s">
        <v>75</v>
      </c>
      <c r="P125" s="69">
        <v>44612</v>
      </c>
      <c r="Q125" s="69">
        <v>44895</v>
      </c>
      <c r="R125" s="64">
        <v>8</v>
      </c>
      <c r="S125" s="65" t="s">
        <v>212</v>
      </c>
      <c r="T125" s="64">
        <v>2</v>
      </c>
      <c r="U125" s="75"/>
      <c r="V125" s="671">
        <v>0</v>
      </c>
      <c r="W125" s="75">
        <v>2</v>
      </c>
      <c r="X125" s="75"/>
      <c r="Y125" s="834">
        <f t="shared" si="23"/>
        <v>0</v>
      </c>
      <c r="Z125" s="75">
        <v>2</v>
      </c>
      <c r="AA125" s="75"/>
      <c r="AB125" s="75"/>
      <c r="AC125" s="97">
        <v>2</v>
      </c>
      <c r="AD125" s="97"/>
      <c r="AE125" s="591"/>
      <c r="AF125" s="343" t="s">
        <v>213</v>
      </c>
      <c r="AG125" s="505">
        <v>0</v>
      </c>
      <c r="AH125" s="370">
        <v>0</v>
      </c>
      <c r="AI125" s="75"/>
      <c r="AJ125" s="75"/>
      <c r="AK125" s="75"/>
      <c r="AL125" s="75"/>
      <c r="AM125" s="75"/>
      <c r="AN125" s="98" t="s">
        <v>181</v>
      </c>
      <c r="AO125" s="314"/>
      <c r="AP125" s="314"/>
      <c r="AQ125" s="409"/>
      <c r="AR125" s="98"/>
      <c r="AS125" s="471"/>
      <c r="AT125" s="98"/>
      <c r="AU125" s="646"/>
      <c r="AV125" s="1274"/>
    </row>
    <row r="126" spans="1:48" outlineLevel="3" x14ac:dyDescent="0.25">
      <c r="A126" s="63" t="str">
        <f t="shared" si="1"/>
        <v>1.1.0.4.16.0</v>
      </c>
      <c r="B126" s="64">
        <v>1</v>
      </c>
      <c r="C126" s="64">
        <v>1</v>
      </c>
      <c r="D126" s="64">
        <v>0</v>
      </c>
      <c r="E126" s="64">
        <v>4</v>
      </c>
      <c r="F126" s="64">
        <v>16</v>
      </c>
      <c r="G126" s="64">
        <v>0</v>
      </c>
      <c r="H126" s="65"/>
      <c r="I126" s="65"/>
      <c r="J126" s="66"/>
      <c r="K126" s="65" t="s">
        <v>1805</v>
      </c>
      <c r="L126" s="64" t="s">
        <v>179</v>
      </c>
      <c r="M126" s="68" t="s">
        <v>211</v>
      </c>
      <c r="N126" s="65" t="s">
        <v>185</v>
      </c>
      <c r="O126" s="64" t="s">
        <v>75</v>
      </c>
      <c r="P126" s="69">
        <v>44612</v>
      </c>
      <c r="Q126" s="69">
        <v>44895</v>
      </c>
      <c r="R126" s="64">
        <v>8</v>
      </c>
      <c r="S126" s="65" t="s">
        <v>212</v>
      </c>
      <c r="T126" s="64">
        <v>2</v>
      </c>
      <c r="U126" s="75"/>
      <c r="V126" s="671">
        <v>0</v>
      </c>
      <c r="W126" s="75">
        <v>2</v>
      </c>
      <c r="X126" s="75"/>
      <c r="Y126" s="834">
        <f t="shared" si="23"/>
        <v>0</v>
      </c>
      <c r="Z126" s="75">
        <v>2</v>
      </c>
      <c r="AA126" s="75"/>
      <c r="AB126" s="75"/>
      <c r="AC126" s="97">
        <v>2</v>
      </c>
      <c r="AD126" s="97"/>
      <c r="AE126" s="591"/>
      <c r="AF126" s="343" t="s">
        <v>213</v>
      </c>
      <c r="AG126" s="505">
        <v>0</v>
      </c>
      <c r="AH126" s="370">
        <v>0</v>
      </c>
      <c r="AI126" s="75"/>
      <c r="AJ126" s="75"/>
      <c r="AK126" s="75"/>
      <c r="AL126" s="75"/>
      <c r="AM126" s="75"/>
      <c r="AN126" s="98" t="s">
        <v>181</v>
      </c>
      <c r="AO126" s="314"/>
      <c r="AP126" s="314"/>
      <c r="AQ126" s="409"/>
      <c r="AR126" s="98"/>
      <c r="AS126" s="471"/>
      <c r="AT126" s="98"/>
      <c r="AU126" s="646"/>
      <c r="AV126" s="1274"/>
    </row>
    <row r="127" spans="1:48" outlineLevel="3" x14ac:dyDescent="0.25">
      <c r="A127" s="63" t="str">
        <f t="shared" si="1"/>
        <v>1.1.0.4.17.0</v>
      </c>
      <c r="B127" s="64">
        <v>1</v>
      </c>
      <c r="C127" s="64">
        <v>1</v>
      </c>
      <c r="D127" s="64">
        <v>0</v>
      </c>
      <c r="E127" s="64">
        <v>4</v>
      </c>
      <c r="F127" s="64">
        <v>17</v>
      </c>
      <c r="G127" s="64">
        <v>0</v>
      </c>
      <c r="H127" s="65"/>
      <c r="I127" s="65"/>
      <c r="J127" s="66"/>
      <c r="K127" s="65" t="s">
        <v>1807</v>
      </c>
      <c r="L127" s="64" t="s">
        <v>179</v>
      </c>
      <c r="M127" s="68" t="s">
        <v>211</v>
      </c>
      <c r="N127" s="65" t="s">
        <v>185</v>
      </c>
      <c r="O127" s="64" t="s">
        <v>75</v>
      </c>
      <c r="P127" s="69">
        <v>44612</v>
      </c>
      <c r="Q127" s="69">
        <v>44895</v>
      </c>
      <c r="R127" s="64">
        <v>8</v>
      </c>
      <c r="S127" s="65" t="s">
        <v>212</v>
      </c>
      <c r="T127" s="64">
        <v>2</v>
      </c>
      <c r="U127" s="75"/>
      <c r="V127" s="671">
        <v>0</v>
      </c>
      <c r="W127" s="75">
        <v>2</v>
      </c>
      <c r="X127" s="75"/>
      <c r="Y127" s="834">
        <f t="shared" si="23"/>
        <v>0</v>
      </c>
      <c r="Z127" s="75">
        <v>2</v>
      </c>
      <c r="AA127" s="75"/>
      <c r="AB127" s="75"/>
      <c r="AC127" s="97">
        <v>2</v>
      </c>
      <c r="AD127" s="97"/>
      <c r="AE127" s="591"/>
      <c r="AF127" s="343" t="s">
        <v>1789</v>
      </c>
      <c r="AG127" s="505">
        <v>0</v>
      </c>
      <c r="AH127" s="370">
        <v>0</v>
      </c>
      <c r="AI127" s="75"/>
      <c r="AJ127" s="75"/>
      <c r="AK127" s="75"/>
      <c r="AL127" s="75"/>
      <c r="AM127" s="75"/>
      <c r="AN127" s="98" t="s">
        <v>181</v>
      </c>
      <c r="AO127" s="314"/>
      <c r="AP127" s="314"/>
      <c r="AQ127" s="409"/>
      <c r="AR127" s="98"/>
      <c r="AS127" s="471"/>
      <c r="AT127" s="98"/>
      <c r="AU127" s="646"/>
      <c r="AV127" s="1274"/>
    </row>
    <row r="128" spans="1:48" ht="45" outlineLevel="3" x14ac:dyDescent="0.25">
      <c r="A128" s="63" t="str">
        <f t="shared" si="1"/>
        <v>1.1.0.4.18.0</v>
      </c>
      <c r="B128" s="64">
        <v>1</v>
      </c>
      <c r="C128" s="64">
        <v>1</v>
      </c>
      <c r="D128" s="64">
        <v>0</v>
      </c>
      <c r="E128" s="64">
        <v>4</v>
      </c>
      <c r="F128" s="64">
        <v>18</v>
      </c>
      <c r="G128" s="64">
        <v>0</v>
      </c>
      <c r="H128" s="65"/>
      <c r="I128" s="65"/>
      <c r="J128" s="66"/>
      <c r="K128" s="67" t="s">
        <v>1813</v>
      </c>
      <c r="L128" s="64" t="s">
        <v>75</v>
      </c>
      <c r="M128" s="64" t="s">
        <v>220</v>
      </c>
      <c r="N128" s="64" t="s">
        <v>221</v>
      </c>
      <c r="O128" s="64" t="s">
        <v>75</v>
      </c>
      <c r="P128" s="69"/>
      <c r="Q128" s="69"/>
      <c r="R128" s="64">
        <v>10</v>
      </c>
      <c r="S128" s="65" t="s">
        <v>212</v>
      </c>
      <c r="T128" s="64">
        <v>2</v>
      </c>
      <c r="U128" s="75"/>
      <c r="V128" s="671">
        <v>0</v>
      </c>
      <c r="W128" s="75">
        <v>3</v>
      </c>
      <c r="X128" s="75"/>
      <c r="Y128" s="834">
        <f t="shared" si="23"/>
        <v>0</v>
      </c>
      <c r="Z128" s="75">
        <v>3</v>
      </c>
      <c r="AA128" s="75"/>
      <c r="AB128" s="75"/>
      <c r="AC128" s="75">
        <v>2</v>
      </c>
      <c r="AD128" s="75"/>
      <c r="AE128" s="592"/>
      <c r="AF128" s="343" t="s">
        <v>1789</v>
      </c>
      <c r="AG128" s="505">
        <v>0</v>
      </c>
      <c r="AH128" s="370">
        <v>0</v>
      </c>
      <c r="AI128" s="75"/>
      <c r="AJ128" s="75"/>
      <c r="AK128" s="75"/>
      <c r="AL128" s="75"/>
      <c r="AM128" s="75"/>
      <c r="AN128" s="98" t="s">
        <v>181</v>
      </c>
      <c r="AO128" s="314"/>
      <c r="AP128" s="314"/>
      <c r="AQ128" s="409"/>
      <c r="AR128" s="98"/>
      <c r="AS128" s="471"/>
      <c r="AT128" s="98"/>
      <c r="AU128" s="646"/>
      <c r="AV128" s="1274"/>
    </row>
    <row r="129" spans="1:48" s="107" customFormat="1" ht="45" outlineLevel="3" x14ac:dyDescent="0.25">
      <c r="A129" s="99" t="str">
        <f t="shared" si="1"/>
        <v>1.1.0.4.19.0</v>
      </c>
      <c r="B129" s="100">
        <v>1</v>
      </c>
      <c r="C129" s="100">
        <v>1</v>
      </c>
      <c r="D129" s="100">
        <v>0</v>
      </c>
      <c r="E129" s="100">
        <v>4</v>
      </c>
      <c r="F129" s="100">
        <v>19</v>
      </c>
      <c r="G129" s="100">
        <v>0</v>
      </c>
      <c r="H129" s="101"/>
      <c r="I129" s="101"/>
      <c r="J129" s="102"/>
      <c r="K129" s="103" t="s">
        <v>1806</v>
      </c>
      <c r="L129" s="100" t="s">
        <v>75</v>
      </c>
      <c r="M129" s="100" t="s">
        <v>184</v>
      </c>
      <c r="N129" s="100" t="s">
        <v>221</v>
      </c>
      <c r="O129" s="100" t="s">
        <v>75</v>
      </c>
      <c r="P129" s="104"/>
      <c r="Q129" s="104"/>
      <c r="R129" s="100">
        <v>2</v>
      </c>
      <c r="S129" s="101" t="s">
        <v>222</v>
      </c>
      <c r="T129" s="100"/>
      <c r="U129" s="78"/>
      <c r="V129" s="671">
        <v>0</v>
      </c>
      <c r="W129" s="78">
        <v>1</v>
      </c>
      <c r="X129" s="78"/>
      <c r="Y129" s="834">
        <f t="shared" si="23"/>
        <v>0</v>
      </c>
      <c r="Z129" s="78">
        <v>1</v>
      </c>
      <c r="AA129" s="78"/>
      <c r="AB129" s="78"/>
      <c r="AC129" s="78"/>
      <c r="AD129" s="78"/>
      <c r="AE129" s="593"/>
      <c r="AF129" s="344" t="s">
        <v>1789</v>
      </c>
      <c r="AG129" s="507">
        <v>0</v>
      </c>
      <c r="AH129" s="373">
        <v>0</v>
      </c>
      <c r="AI129" s="105"/>
      <c r="AJ129" s="105"/>
      <c r="AK129" s="105"/>
      <c r="AL129" s="105"/>
      <c r="AM129" s="105"/>
      <c r="AN129" s="106" t="s">
        <v>181</v>
      </c>
      <c r="AO129" s="315"/>
      <c r="AP129" s="315"/>
      <c r="AQ129" s="410"/>
      <c r="AR129" s="106"/>
      <c r="AS129" s="472"/>
      <c r="AT129" s="106"/>
      <c r="AU129" s="662"/>
      <c r="AV129" s="1274"/>
    </row>
    <row r="130" spans="1:48" outlineLevel="1" x14ac:dyDescent="0.25">
      <c r="A130" s="108" t="str">
        <f t="shared" si="1"/>
        <v>1.2.1.2.0.0</v>
      </c>
      <c r="B130" s="109">
        <v>1</v>
      </c>
      <c r="C130" s="109">
        <v>2</v>
      </c>
      <c r="D130" s="109">
        <v>1</v>
      </c>
      <c r="E130" s="109">
        <v>2</v>
      </c>
      <c r="F130" s="109">
        <v>0</v>
      </c>
      <c r="G130" s="109">
        <v>0</v>
      </c>
      <c r="H130" s="110"/>
      <c r="I130" s="1258" t="s">
        <v>223</v>
      </c>
      <c r="J130" s="1258"/>
      <c r="K130" s="1258"/>
      <c r="L130" s="109" t="s">
        <v>224</v>
      </c>
      <c r="M130" s="109" t="s">
        <v>225</v>
      </c>
      <c r="N130" s="109" t="s">
        <v>226</v>
      </c>
      <c r="O130" s="109" t="s">
        <v>72</v>
      </c>
      <c r="P130" s="111" t="s">
        <v>227</v>
      </c>
      <c r="Q130" s="111" t="s">
        <v>227</v>
      </c>
      <c r="R130" s="109"/>
      <c r="S130" s="110"/>
      <c r="T130" s="109">
        <f>+T131</f>
        <v>0</v>
      </c>
      <c r="U130" s="112">
        <f t="shared" ref="U130:AG130" si="24">+U131</f>
        <v>0</v>
      </c>
      <c r="V130" s="686">
        <f>+V131</f>
        <v>0</v>
      </c>
      <c r="W130" s="374">
        <f t="shared" si="24"/>
        <v>0</v>
      </c>
      <c r="X130" s="374">
        <f t="shared" si="24"/>
        <v>0</v>
      </c>
      <c r="Y130" s="837">
        <f t="shared" si="24"/>
        <v>0</v>
      </c>
      <c r="Z130" s="374">
        <f t="shared" si="24"/>
        <v>750</v>
      </c>
      <c r="AA130" s="374">
        <f t="shared" si="24"/>
        <v>1025000</v>
      </c>
      <c r="AB130" s="374">
        <f t="shared" si="24"/>
        <v>0</v>
      </c>
      <c r="AC130" s="374">
        <f t="shared" si="24"/>
        <v>0</v>
      </c>
      <c r="AD130" s="374">
        <f t="shared" si="24"/>
        <v>0</v>
      </c>
      <c r="AE130" s="374">
        <f t="shared" si="24"/>
        <v>0</v>
      </c>
      <c r="AF130" s="374">
        <f t="shared" si="24"/>
        <v>0</v>
      </c>
      <c r="AG130" s="374">
        <f t="shared" si="24"/>
        <v>1000000</v>
      </c>
      <c r="AH130" s="374">
        <f>+AH131</f>
        <v>1025000</v>
      </c>
      <c r="AI130" s="374">
        <f t="shared" ref="AI130:AJ130" si="25">+AI131</f>
        <v>0</v>
      </c>
      <c r="AJ130" s="374">
        <f t="shared" si="25"/>
        <v>0</v>
      </c>
      <c r="AK130" s="112"/>
      <c r="AL130" s="112"/>
      <c r="AM130" s="112"/>
      <c r="AN130" s="109" t="s">
        <v>39</v>
      </c>
      <c r="AO130" s="109"/>
      <c r="AP130" s="109"/>
      <c r="AQ130" s="411"/>
      <c r="AR130" s="109"/>
      <c r="AS130" s="473"/>
      <c r="AT130" s="109"/>
      <c r="AU130" s="659"/>
      <c r="AV130" s="429"/>
    </row>
    <row r="131" spans="1:48" outlineLevel="1" x14ac:dyDescent="0.25">
      <c r="A131" s="80" t="str">
        <f t="shared" si="1"/>
        <v>1.2.1.3.0.0</v>
      </c>
      <c r="B131" s="81">
        <v>1</v>
      </c>
      <c r="C131" s="81">
        <v>2</v>
      </c>
      <c r="D131" s="81">
        <v>1</v>
      </c>
      <c r="E131" s="81">
        <v>3</v>
      </c>
      <c r="F131" s="81">
        <v>0</v>
      </c>
      <c r="G131" s="81">
        <v>0</v>
      </c>
      <c r="H131" s="114"/>
      <c r="I131" s="114"/>
      <c r="J131" s="1346" t="s">
        <v>228</v>
      </c>
      <c r="K131" s="1346"/>
      <c r="L131" s="81" t="s">
        <v>224</v>
      </c>
      <c r="M131" s="81" t="s">
        <v>225</v>
      </c>
      <c r="N131" s="81" t="s">
        <v>226</v>
      </c>
      <c r="O131" s="81" t="s">
        <v>72</v>
      </c>
      <c r="P131" s="115" t="s">
        <v>227</v>
      </c>
      <c r="Q131" s="115" t="s">
        <v>227</v>
      </c>
      <c r="R131" s="81">
        <f>SUM(R132:R135)</f>
        <v>750</v>
      </c>
      <c r="S131" s="114" t="s">
        <v>229</v>
      </c>
      <c r="T131" s="81">
        <f t="shared" ref="T131" si="26">SUM(T132:T135)</f>
        <v>0</v>
      </c>
      <c r="U131" s="61">
        <f>SUM(U132:U135)</f>
        <v>0</v>
      </c>
      <c r="V131" s="675">
        <f>SUM(V132:V135)</f>
        <v>0</v>
      </c>
      <c r="W131" s="61">
        <f t="shared" ref="W131:AI131" si="27">SUM(W132:W135)</f>
        <v>0</v>
      </c>
      <c r="X131" s="61">
        <f t="shared" si="27"/>
        <v>0</v>
      </c>
      <c r="Y131" s="838">
        <f t="shared" si="27"/>
        <v>0</v>
      </c>
      <c r="Z131" s="61">
        <f t="shared" si="27"/>
        <v>750</v>
      </c>
      <c r="AA131" s="61">
        <f t="shared" si="27"/>
        <v>1025000</v>
      </c>
      <c r="AB131" s="61">
        <f t="shared" si="27"/>
        <v>0</v>
      </c>
      <c r="AC131" s="61">
        <f t="shared" si="27"/>
        <v>0</v>
      </c>
      <c r="AD131" s="61">
        <f t="shared" si="27"/>
        <v>0</v>
      </c>
      <c r="AE131" s="61">
        <f t="shared" si="27"/>
        <v>0</v>
      </c>
      <c r="AF131" s="61">
        <f t="shared" si="27"/>
        <v>0</v>
      </c>
      <c r="AG131" s="61">
        <f t="shared" si="27"/>
        <v>1000000</v>
      </c>
      <c r="AH131" s="61">
        <f t="shared" si="27"/>
        <v>1025000</v>
      </c>
      <c r="AI131" s="61">
        <f t="shared" si="27"/>
        <v>0</v>
      </c>
      <c r="AJ131" s="61">
        <f>SUM(AJ132:AJ135)</f>
        <v>0</v>
      </c>
      <c r="AK131" s="61"/>
      <c r="AL131" s="61"/>
      <c r="AM131" s="61"/>
      <c r="AN131" s="81" t="s">
        <v>39</v>
      </c>
      <c r="AO131" s="81"/>
      <c r="AP131" s="81"/>
      <c r="AQ131" s="412"/>
      <c r="AR131" s="81"/>
      <c r="AS131" s="474"/>
      <c r="AT131" s="81"/>
      <c r="AU131" s="663"/>
      <c r="AV131" s="430"/>
    </row>
    <row r="132" spans="1:48" outlineLevel="2" x14ac:dyDescent="0.25">
      <c r="A132" s="63" t="str">
        <f t="shared" si="1"/>
        <v>1.2.1.3.1.58</v>
      </c>
      <c r="B132" s="64">
        <v>1</v>
      </c>
      <c r="C132" s="64">
        <v>2</v>
      </c>
      <c r="D132" s="64">
        <v>1</v>
      </c>
      <c r="E132" s="64">
        <v>3</v>
      </c>
      <c r="F132" s="64">
        <v>1</v>
      </c>
      <c r="G132" s="64">
        <v>58</v>
      </c>
      <c r="H132" s="65"/>
      <c r="I132" s="65"/>
      <c r="J132" s="66"/>
      <c r="K132" s="65" t="s">
        <v>230</v>
      </c>
      <c r="L132" s="64" t="s">
        <v>224</v>
      </c>
      <c r="M132" s="64" t="s">
        <v>231</v>
      </c>
      <c r="N132" s="64" t="s">
        <v>226</v>
      </c>
      <c r="O132" s="64" t="s">
        <v>232</v>
      </c>
      <c r="P132" s="69">
        <v>44650</v>
      </c>
      <c r="Q132" s="69">
        <v>44864</v>
      </c>
      <c r="R132" s="64">
        <v>200</v>
      </c>
      <c r="S132" s="65" t="s">
        <v>229</v>
      </c>
      <c r="T132" s="64"/>
      <c r="U132" s="75">
        <v>0</v>
      </c>
      <c r="V132" s="674">
        <v>0</v>
      </c>
      <c r="W132" s="75">
        <v>0</v>
      </c>
      <c r="X132" s="75">
        <v>0</v>
      </c>
      <c r="Y132" s="834">
        <f>+AJ132-V132</f>
        <v>0</v>
      </c>
      <c r="Z132" s="75">
        <v>200</v>
      </c>
      <c r="AA132" s="75">
        <f>+AH132</f>
        <v>256250</v>
      </c>
      <c r="AB132" s="75"/>
      <c r="AC132" s="75"/>
      <c r="AD132" s="75"/>
      <c r="AE132" s="595"/>
      <c r="AF132" s="1348" t="s">
        <v>233</v>
      </c>
      <c r="AG132" s="503">
        <v>250000</v>
      </c>
      <c r="AH132" s="372">
        <v>256250</v>
      </c>
      <c r="AI132" s="79"/>
      <c r="AJ132" s="79"/>
      <c r="AK132" s="79"/>
      <c r="AL132" s="79"/>
      <c r="AM132" s="79"/>
      <c r="AN132" s="64" t="s">
        <v>39</v>
      </c>
      <c r="AO132" s="165"/>
      <c r="AP132" s="165"/>
      <c r="AQ132" s="413"/>
      <c r="AR132" s="64"/>
      <c r="AS132" s="475"/>
      <c r="AT132" s="64"/>
      <c r="AU132" s="646"/>
      <c r="AV132" s="1274" t="s">
        <v>234</v>
      </c>
    </row>
    <row r="133" spans="1:48" outlineLevel="2" x14ac:dyDescent="0.25">
      <c r="A133" s="63" t="str">
        <f t="shared" si="1"/>
        <v>1.2.1.3.1.59</v>
      </c>
      <c r="B133" s="64">
        <v>1</v>
      </c>
      <c r="C133" s="64">
        <v>2</v>
      </c>
      <c r="D133" s="64">
        <v>1</v>
      </c>
      <c r="E133" s="64">
        <v>3</v>
      </c>
      <c r="F133" s="64">
        <v>1</v>
      </c>
      <c r="G133" s="64">
        <v>59</v>
      </c>
      <c r="H133" s="65"/>
      <c r="I133" s="65"/>
      <c r="J133" s="66"/>
      <c r="K133" s="65" t="s">
        <v>230</v>
      </c>
      <c r="L133" s="64" t="s">
        <v>224</v>
      </c>
      <c r="M133" s="64" t="s">
        <v>231</v>
      </c>
      <c r="N133" s="64" t="s">
        <v>226</v>
      </c>
      <c r="O133" s="64" t="s">
        <v>232</v>
      </c>
      <c r="P133" s="69">
        <v>44650</v>
      </c>
      <c r="Q133" s="69">
        <v>44864</v>
      </c>
      <c r="R133" s="64">
        <v>200</v>
      </c>
      <c r="S133" s="65" t="s">
        <v>229</v>
      </c>
      <c r="T133" s="64"/>
      <c r="U133" s="75">
        <v>0</v>
      </c>
      <c r="V133" s="674">
        <v>0</v>
      </c>
      <c r="W133" s="75">
        <v>0</v>
      </c>
      <c r="X133" s="75">
        <v>0</v>
      </c>
      <c r="Y133" s="834">
        <f>+AJ133-V133</f>
        <v>0</v>
      </c>
      <c r="Z133" s="75">
        <v>200</v>
      </c>
      <c r="AA133" s="75">
        <f>+AH133</f>
        <v>256250</v>
      </c>
      <c r="AB133" s="75"/>
      <c r="AC133" s="75"/>
      <c r="AD133" s="75"/>
      <c r="AE133" s="595"/>
      <c r="AF133" s="1348"/>
      <c r="AG133" s="503">
        <v>250000</v>
      </c>
      <c r="AH133" s="372">
        <v>256250</v>
      </c>
      <c r="AI133" s="79"/>
      <c r="AJ133" s="79"/>
      <c r="AK133" s="79"/>
      <c r="AL133" s="79"/>
      <c r="AM133" s="79"/>
      <c r="AN133" s="64" t="s">
        <v>39</v>
      </c>
      <c r="AO133" s="165"/>
      <c r="AP133" s="165"/>
      <c r="AQ133" s="413"/>
      <c r="AR133" s="64"/>
      <c r="AS133" s="475"/>
      <c r="AT133" s="64"/>
      <c r="AU133" s="646"/>
      <c r="AV133" s="1274"/>
    </row>
    <row r="134" spans="1:48" outlineLevel="2" x14ac:dyDescent="0.25">
      <c r="A134" s="63" t="str">
        <f t="shared" si="1"/>
        <v>1.2.1.3.1.62</v>
      </c>
      <c r="B134" s="64">
        <v>1</v>
      </c>
      <c r="C134" s="64">
        <v>2</v>
      </c>
      <c r="D134" s="64">
        <v>1</v>
      </c>
      <c r="E134" s="64">
        <v>3</v>
      </c>
      <c r="F134" s="64">
        <v>1</v>
      </c>
      <c r="G134" s="64">
        <v>62</v>
      </c>
      <c r="H134" s="65"/>
      <c r="I134" s="65"/>
      <c r="J134" s="66"/>
      <c r="K134" s="65" t="s">
        <v>230</v>
      </c>
      <c r="L134" s="64" t="s">
        <v>224</v>
      </c>
      <c r="M134" s="64" t="s">
        <v>231</v>
      </c>
      <c r="N134" s="64" t="s">
        <v>226</v>
      </c>
      <c r="O134" s="64" t="s">
        <v>232</v>
      </c>
      <c r="P134" s="69">
        <v>44650</v>
      </c>
      <c r="Q134" s="69">
        <v>44864</v>
      </c>
      <c r="R134" s="64">
        <v>200</v>
      </c>
      <c r="S134" s="65" t="s">
        <v>229</v>
      </c>
      <c r="T134" s="64"/>
      <c r="U134" s="75">
        <v>0</v>
      </c>
      <c r="V134" s="674">
        <v>0</v>
      </c>
      <c r="W134" s="75">
        <v>0</v>
      </c>
      <c r="X134" s="75">
        <v>0</v>
      </c>
      <c r="Y134" s="834">
        <f>+AJ134-V134</f>
        <v>0</v>
      </c>
      <c r="Z134" s="75">
        <v>200</v>
      </c>
      <c r="AA134" s="75">
        <f>+AH134</f>
        <v>256250</v>
      </c>
      <c r="AB134" s="75"/>
      <c r="AC134" s="75"/>
      <c r="AD134" s="75"/>
      <c r="AE134" s="595"/>
      <c r="AF134" s="1348"/>
      <c r="AG134" s="503">
        <v>250000</v>
      </c>
      <c r="AH134" s="372">
        <v>256250</v>
      </c>
      <c r="AI134" s="79"/>
      <c r="AJ134" s="79"/>
      <c r="AK134" s="79"/>
      <c r="AL134" s="79"/>
      <c r="AM134" s="79"/>
      <c r="AN134" s="64" t="s">
        <v>39</v>
      </c>
      <c r="AO134" s="165"/>
      <c r="AP134" s="165"/>
      <c r="AQ134" s="413"/>
      <c r="AR134" s="64"/>
      <c r="AS134" s="475"/>
      <c r="AT134" s="64"/>
      <c r="AU134" s="646"/>
      <c r="AV134" s="1274"/>
    </row>
    <row r="135" spans="1:48" ht="36.75" customHeight="1" outlineLevel="2" x14ac:dyDescent="0.25">
      <c r="A135" s="63" t="str">
        <f t="shared" si="1"/>
        <v>1.2.1.3.1.63</v>
      </c>
      <c r="B135" s="64">
        <v>1</v>
      </c>
      <c r="C135" s="64">
        <v>2</v>
      </c>
      <c r="D135" s="64">
        <v>1</v>
      </c>
      <c r="E135" s="64">
        <v>3</v>
      </c>
      <c r="F135" s="64">
        <v>1</v>
      </c>
      <c r="G135" s="64">
        <v>63</v>
      </c>
      <c r="H135" s="65"/>
      <c r="I135" s="65"/>
      <c r="J135" s="66"/>
      <c r="K135" s="65" t="s">
        <v>230</v>
      </c>
      <c r="L135" s="64" t="s">
        <v>224</v>
      </c>
      <c r="M135" s="64" t="s">
        <v>231</v>
      </c>
      <c r="N135" s="64" t="s">
        <v>226</v>
      </c>
      <c r="O135" s="64" t="s">
        <v>232</v>
      </c>
      <c r="P135" s="69">
        <v>44650</v>
      </c>
      <c r="Q135" s="69">
        <v>44864</v>
      </c>
      <c r="R135" s="64">
        <v>150</v>
      </c>
      <c r="S135" s="65" t="s">
        <v>229</v>
      </c>
      <c r="T135" s="64"/>
      <c r="U135" s="75">
        <v>0</v>
      </c>
      <c r="V135" s="674">
        <v>0</v>
      </c>
      <c r="W135" s="75">
        <v>0</v>
      </c>
      <c r="X135" s="75">
        <v>0</v>
      </c>
      <c r="Y135" s="834">
        <f>+AJ135-V135</f>
        <v>0</v>
      </c>
      <c r="Z135" s="75">
        <v>150</v>
      </c>
      <c r="AA135" s="75">
        <f>+AH135</f>
        <v>256250</v>
      </c>
      <c r="AB135" s="75"/>
      <c r="AC135" s="75"/>
      <c r="AD135" s="75"/>
      <c r="AE135" s="595"/>
      <c r="AF135" s="1348"/>
      <c r="AG135" s="503">
        <v>250000</v>
      </c>
      <c r="AH135" s="372">
        <v>256250</v>
      </c>
      <c r="AI135" s="79"/>
      <c r="AJ135" s="79"/>
      <c r="AK135" s="79"/>
      <c r="AL135" s="79"/>
      <c r="AM135" s="79"/>
      <c r="AN135" s="64" t="s">
        <v>39</v>
      </c>
      <c r="AO135" s="165"/>
      <c r="AP135" s="165"/>
      <c r="AQ135" s="413"/>
      <c r="AR135" s="64"/>
      <c r="AS135" s="475"/>
      <c r="AT135" s="64"/>
      <c r="AU135" s="646"/>
      <c r="AV135" s="1274"/>
    </row>
    <row r="136" spans="1:48" ht="30.75" customHeight="1" outlineLevel="1" x14ac:dyDescent="0.25">
      <c r="A136" s="108" t="str">
        <f t="shared" si="1"/>
        <v>1.3.1.0.0.0</v>
      </c>
      <c r="B136" s="109">
        <v>1</v>
      </c>
      <c r="C136" s="109">
        <v>3</v>
      </c>
      <c r="D136" s="109">
        <v>1</v>
      </c>
      <c r="E136" s="109">
        <v>0</v>
      </c>
      <c r="F136" s="109">
        <v>0</v>
      </c>
      <c r="G136" s="109">
        <v>0</v>
      </c>
      <c r="H136" s="110"/>
      <c r="I136" s="1258" t="s">
        <v>235</v>
      </c>
      <c r="J136" s="1258"/>
      <c r="K136" s="1258"/>
      <c r="L136" s="109" t="s">
        <v>236</v>
      </c>
      <c r="M136" s="113" t="s">
        <v>237</v>
      </c>
      <c r="N136" s="109" t="s">
        <v>226</v>
      </c>
      <c r="O136" s="109" t="s">
        <v>238</v>
      </c>
      <c r="P136" s="111" t="s">
        <v>227</v>
      </c>
      <c r="Q136" s="111" t="s">
        <v>227</v>
      </c>
      <c r="R136" s="109">
        <v>0</v>
      </c>
      <c r="S136" s="110">
        <v>0</v>
      </c>
      <c r="T136" s="109"/>
      <c r="U136" s="112">
        <f>+U137+U159+U181+U202+U227+U255+U284+U308+U310+U566+U573+U585+U593+U599+U605+U611+U617+U627+U632</f>
        <v>128582009.84057136</v>
      </c>
      <c r="V136" s="680">
        <f>+V137+V159+V181+V202+V227+V255+V284+V308+V310+V566+V573+V585+V593+V599+V605+V611+V617+V627+V632</f>
        <v>182507447.43000004</v>
      </c>
      <c r="W136" s="112">
        <f t="shared" ref="W136:AI136" si="28">+W137+W159+W181+W202+W227+W255+W284+W308+W310+W566+W573+W585+W593+W599+W605+W611+W617+W627+W632</f>
        <v>3279713.75</v>
      </c>
      <c r="X136" s="112">
        <f t="shared" si="28"/>
        <v>268353988.83757132</v>
      </c>
      <c r="Y136" s="832">
        <f t="shared" si="28"/>
        <v>271133800.15099996</v>
      </c>
      <c r="Z136" s="112">
        <f t="shared" si="28"/>
        <v>40727857.75</v>
      </c>
      <c r="AA136" s="112">
        <f t="shared" si="28"/>
        <v>279892192.20757133</v>
      </c>
      <c r="AB136" s="112">
        <f t="shared" si="28"/>
        <v>10902829.955</v>
      </c>
      <c r="AC136" s="112">
        <f t="shared" si="28"/>
        <v>76555757.629999995</v>
      </c>
      <c r="AD136" s="112">
        <f t="shared" si="28"/>
        <v>95382266.080857158</v>
      </c>
      <c r="AE136" s="112">
        <f t="shared" si="28"/>
        <v>3801450</v>
      </c>
      <c r="AF136" s="112" t="e">
        <f t="shared" si="28"/>
        <v>#VALUE!</v>
      </c>
      <c r="AG136" s="112">
        <f t="shared" si="28"/>
        <v>634494911.30333304</v>
      </c>
      <c r="AH136" s="112">
        <f t="shared" si="28"/>
        <v>751246033.15857124</v>
      </c>
      <c r="AI136" s="112">
        <f t="shared" si="28"/>
        <v>0</v>
      </c>
      <c r="AJ136" s="374">
        <f>+AJ137+AJ159+AJ181+AJ202+AJ227+AJ255+AJ284+AJ310+AJ566+AJ573+AJ585+AJ593+AJ599+AJ605+AJ611+AJ308+AJ617+AJ622+AJ627+AJ632</f>
        <v>454049337.27099997</v>
      </c>
      <c r="AK136" s="112"/>
      <c r="AL136" s="112"/>
      <c r="AM136" s="112"/>
      <c r="AN136" s="109" t="s">
        <v>39</v>
      </c>
      <c r="AO136" s="109"/>
      <c r="AP136" s="109"/>
      <c r="AQ136" s="411"/>
      <c r="AR136" s="109"/>
      <c r="AS136" s="473"/>
      <c r="AT136" s="109"/>
      <c r="AU136" s="659"/>
      <c r="AV136" s="431"/>
    </row>
    <row r="137" spans="1:48" s="107" customFormat="1" ht="107.1" customHeight="1" outlineLevel="1" x14ac:dyDescent="0.25">
      <c r="A137" s="80" t="str">
        <f t="shared" si="1"/>
        <v>1.3.1.1.0.58</v>
      </c>
      <c r="B137" s="81">
        <v>1</v>
      </c>
      <c r="C137" s="81">
        <v>3</v>
      </c>
      <c r="D137" s="81">
        <v>1</v>
      </c>
      <c r="E137" s="81">
        <v>1</v>
      </c>
      <c r="F137" s="81">
        <v>0</v>
      </c>
      <c r="G137" s="81">
        <v>58</v>
      </c>
      <c r="H137" s="114"/>
      <c r="I137" s="114"/>
      <c r="J137" s="1346" t="s">
        <v>239</v>
      </c>
      <c r="K137" s="1346"/>
      <c r="L137" s="81" t="s">
        <v>236</v>
      </c>
      <c r="M137" s="81" t="s">
        <v>240</v>
      </c>
      <c r="N137" s="81" t="s">
        <v>226</v>
      </c>
      <c r="O137" s="81" t="s">
        <v>241</v>
      </c>
      <c r="P137" s="118">
        <v>44571</v>
      </c>
      <c r="Q137" s="118">
        <v>44925</v>
      </c>
      <c r="R137" s="119">
        <f>+R138+R139</f>
        <v>425081</v>
      </c>
      <c r="S137" s="114" t="s">
        <v>242</v>
      </c>
      <c r="T137" s="119">
        <f>+T138+T139</f>
        <v>106270.25</v>
      </c>
      <c r="U137" s="369">
        <f t="shared" ref="U137:AI137" si="29">SUM(U138:U158)</f>
        <v>8187433.71</v>
      </c>
      <c r="V137" s="677">
        <f>SUM(V138:V158)</f>
        <v>9299902.0100000016</v>
      </c>
      <c r="W137" s="369">
        <f t="shared" si="29"/>
        <v>115577.25</v>
      </c>
      <c r="X137" s="369">
        <f t="shared" si="29"/>
        <v>8169984.6200000001</v>
      </c>
      <c r="Y137" s="840">
        <f t="shared" si="29"/>
        <v>8939137.9899999984</v>
      </c>
      <c r="Z137" s="369">
        <f t="shared" si="29"/>
        <v>3917024.25</v>
      </c>
      <c r="AA137" s="369">
        <f t="shared" si="29"/>
        <v>19749984.620000001</v>
      </c>
      <c r="AB137" s="369">
        <f t="shared" si="29"/>
        <v>-6130270.0449999999</v>
      </c>
      <c r="AC137" s="369">
        <f t="shared" si="29"/>
        <v>12886596.129999999</v>
      </c>
      <c r="AD137" s="369">
        <f t="shared" si="29"/>
        <v>20951484.620000001</v>
      </c>
      <c r="AE137" s="369">
        <f t="shared" si="29"/>
        <v>3801450</v>
      </c>
      <c r="AF137" s="369">
        <f t="shared" si="29"/>
        <v>3801450</v>
      </c>
      <c r="AG137" s="369">
        <f t="shared" si="29"/>
        <v>16818625</v>
      </c>
      <c r="AH137" s="369">
        <f t="shared" si="29"/>
        <v>55946150</v>
      </c>
      <c r="AI137" s="369">
        <f t="shared" si="29"/>
        <v>0</v>
      </c>
      <c r="AJ137" s="369">
        <f>SUM(AJ138:AJ158)</f>
        <v>18307054.939999998</v>
      </c>
      <c r="AK137" s="369">
        <f t="shared" ref="AK137:AM137" si="30">SUM(AK138:AK157)</f>
        <v>0</v>
      </c>
      <c r="AL137" s="369">
        <f t="shared" si="30"/>
        <v>0</v>
      </c>
      <c r="AM137" s="369">
        <f t="shared" si="30"/>
        <v>0</v>
      </c>
      <c r="AN137" s="81" t="s">
        <v>243</v>
      </c>
      <c r="AO137" s="81"/>
      <c r="AP137" s="81"/>
      <c r="AQ137" s="412"/>
      <c r="AR137" s="81"/>
      <c r="AS137" s="474"/>
      <c r="AT137" s="81"/>
      <c r="AU137" s="663"/>
      <c r="AV137" s="428" t="s">
        <v>244</v>
      </c>
    </row>
    <row r="138" spans="1:48" ht="140.1" customHeight="1" outlineLevel="3" x14ac:dyDescent="0.25">
      <c r="A138" s="63" t="str">
        <f t="shared" si="1"/>
        <v>1.3.1.1.1.58</v>
      </c>
      <c r="B138" s="64">
        <v>1</v>
      </c>
      <c r="C138" s="64">
        <v>3</v>
      </c>
      <c r="D138" s="64">
        <v>1</v>
      </c>
      <c r="E138" s="64">
        <v>1</v>
      </c>
      <c r="F138" s="64">
        <v>1</v>
      </c>
      <c r="G138" s="64">
        <v>58</v>
      </c>
      <c r="H138" s="65"/>
      <c r="I138" s="65"/>
      <c r="J138" s="66"/>
      <c r="K138" s="121" t="s">
        <v>245</v>
      </c>
      <c r="L138" s="64" t="s">
        <v>246</v>
      </c>
      <c r="M138" s="64" t="s">
        <v>240</v>
      </c>
      <c r="N138" s="64" t="s">
        <v>247</v>
      </c>
      <c r="O138" s="64" t="s">
        <v>241</v>
      </c>
      <c r="P138" s="69">
        <v>44571</v>
      </c>
      <c r="Q138" s="69">
        <v>44925</v>
      </c>
      <c r="R138" s="122">
        <v>32000</v>
      </c>
      <c r="S138" s="123" t="s">
        <v>248</v>
      </c>
      <c r="T138" s="124">
        <f>+R138/4</f>
        <v>8000</v>
      </c>
      <c r="U138" s="75">
        <v>0</v>
      </c>
      <c r="V138" s="674">
        <v>0</v>
      </c>
      <c r="W138" s="75">
        <f>+R138/4</f>
        <v>8000</v>
      </c>
      <c r="X138" s="75">
        <v>0</v>
      </c>
      <c r="Y138" s="834">
        <f t="shared" ref="Y138:Y143" si="31">+AJ138-V138</f>
        <v>0</v>
      </c>
      <c r="Z138" s="75">
        <v>8000</v>
      </c>
      <c r="AA138" s="75">
        <v>0</v>
      </c>
      <c r="AB138" s="75"/>
      <c r="AC138" s="75">
        <f>32000/4</f>
        <v>8000</v>
      </c>
      <c r="AD138" s="75">
        <v>0</v>
      </c>
      <c r="AE138" s="592"/>
      <c r="AF138" s="347" t="s">
        <v>249</v>
      </c>
      <c r="AG138" s="510">
        <v>0</v>
      </c>
      <c r="AH138" s="370">
        <v>0</v>
      </c>
      <c r="AI138" s="75"/>
      <c r="AJ138" s="75"/>
      <c r="AK138" s="75"/>
      <c r="AL138" s="75"/>
      <c r="AM138" s="75"/>
      <c r="AN138" s="64" t="s">
        <v>39</v>
      </c>
      <c r="AO138" s="64"/>
      <c r="AP138" s="64"/>
      <c r="AQ138" s="189"/>
      <c r="AR138" s="64"/>
      <c r="AS138" s="476"/>
      <c r="AT138" s="64"/>
      <c r="AU138" s="646"/>
      <c r="AV138" s="335" t="s">
        <v>250</v>
      </c>
    </row>
    <row r="139" spans="1:48" ht="76.349999999999994" customHeight="1" outlineLevel="3" x14ac:dyDescent="0.25">
      <c r="A139" s="63" t="str">
        <f t="shared" si="1"/>
        <v>1.3.1.1.2.58</v>
      </c>
      <c r="B139" s="64">
        <v>1</v>
      </c>
      <c r="C139" s="64">
        <v>3</v>
      </c>
      <c r="D139" s="64">
        <v>1</v>
      </c>
      <c r="E139" s="64">
        <v>1</v>
      </c>
      <c r="F139" s="64">
        <v>2</v>
      </c>
      <c r="G139" s="64">
        <v>58</v>
      </c>
      <c r="H139" s="65"/>
      <c r="I139" s="65"/>
      <c r="J139" s="66"/>
      <c r="K139" s="125" t="s">
        <v>251</v>
      </c>
      <c r="L139" s="64" t="s">
        <v>246</v>
      </c>
      <c r="M139" s="64" t="s">
        <v>240</v>
      </c>
      <c r="N139" s="64" t="s">
        <v>252</v>
      </c>
      <c r="O139" s="64" t="s">
        <v>241</v>
      </c>
      <c r="P139" s="69">
        <v>44571</v>
      </c>
      <c r="Q139" s="69">
        <v>44925</v>
      </c>
      <c r="R139" s="126">
        <v>393081</v>
      </c>
      <c r="S139" s="123" t="s">
        <v>248</v>
      </c>
      <c r="T139" s="124">
        <f>+R139/4</f>
        <v>98270.25</v>
      </c>
      <c r="U139" s="75">
        <v>0</v>
      </c>
      <c r="V139" s="674">
        <v>0</v>
      </c>
      <c r="W139" s="75">
        <f>+R139/4</f>
        <v>98270.25</v>
      </c>
      <c r="X139" s="75">
        <v>0</v>
      </c>
      <c r="Y139" s="834">
        <f t="shared" si="31"/>
        <v>0</v>
      </c>
      <c r="Z139" s="75">
        <f>+R139/4</f>
        <v>98270.25</v>
      </c>
      <c r="AA139" s="75">
        <v>0</v>
      </c>
      <c r="AB139" s="75"/>
      <c r="AC139" s="75">
        <f>+R139/4</f>
        <v>98270.25</v>
      </c>
      <c r="AD139" s="75">
        <v>0</v>
      </c>
      <c r="AE139" s="592"/>
      <c r="AF139" s="347" t="s">
        <v>253</v>
      </c>
      <c r="AG139" s="510">
        <v>0</v>
      </c>
      <c r="AH139" s="370">
        <v>0</v>
      </c>
      <c r="AI139" s="75"/>
      <c r="AJ139" s="75"/>
      <c r="AK139" s="75"/>
      <c r="AL139" s="75"/>
      <c r="AM139" s="75"/>
      <c r="AN139" s="64" t="s">
        <v>39</v>
      </c>
      <c r="AO139" s="64"/>
      <c r="AP139" s="64"/>
      <c r="AQ139" s="189"/>
      <c r="AR139" s="64"/>
      <c r="AS139" s="476"/>
      <c r="AT139" s="64"/>
      <c r="AU139" s="646"/>
      <c r="AV139" s="335" t="s">
        <v>254</v>
      </c>
    </row>
    <row r="140" spans="1:48" ht="43.35" customHeight="1" outlineLevel="3" x14ac:dyDescent="0.25">
      <c r="A140" s="63" t="str">
        <f t="shared" si="1"/>
        <v>1.3.1.1.3.58</v>
      </c>
      <c r="B140" s="64">
        <v>1</v>
      </c>
      <c r="C140" s="64">
        <v>3</v>
      </c>
      <c r="D140" s="64">
        <v>1</v>
      </c>
      <c r="E140" s="64">
        <v>1</v>
      </c>
      <c r="F140" s="64">
        <v>3</v>
      </c>
      <c r="G140" s="100">
        <v>58</v>
      </c>
      <c r="H140" s="65"/>
      <c r="I140" s="65"/>
      <c r="J140" s="66"/>
      <c r="K140" s="65" t="s">
        <v>1908</v>
      </c>
      <c r="L140" s="64" t="s">
        <v>246</v>
      </c>
      <c r="M140" s="64" t="s">
        <v>256</v>
      </c>
      <c r="N140" s="64" t="s">
        <v>257</v>
      </c>
      <c r="O140" s="64" t="s">
        <v>241</v>
      </c>
      <c r="P140" s="69">
        <v>44571</v>
      </c>
      <c r="Q140" s="69">
        <v>44925</v>
      </c>
      <c r="R140" s="124"/>
      <c r="S140" s="123" t="s">
        <v>258</v>
      </c>
      <c r="T140" s="124">
        <v>3</v>
      </c>
      <c r="U140" s="132">
        <v>1801450</v>
      </c>
      <c r="V140" s="702">
        <v>3260100</v>
      </c>
      <c r="W140" s="75">
        <v>3</v>
      </c>
      <c r="X140" s="132">
        <v>3801450</v>
      </c>
      <c r="Y140" s="834">
        <f t="shared" si="31"/>
        <v>3238700</v>
      </c>
      <c r="Z140" s="79">
        <v>3801450</v>
      </c>
      <c r="AA140" s="132">
        <f>+(AH140-U140-X140)/2</f>
        <v>15301450</v>
      </c>
      <c r="AB140" s="79">
        <f>+(AI140-V140-Y140)/2</f>
        <v>-3249400</v>
      </c>
      <c r="AC140" s="127">
        <f>+(AJ140-W140-Z140)/2</f>
        <v>1348673.5</v>
      </c>
      <c r="AD140" s="132">
        <f>+AH140-U140-X140-AA140</f>
        <v>15301450</v>
      </c>
      <c r="AE140" s="79">
        <v>3801450</v>
      </c>
      <c r="AF140" s="127">
        <v>3801450</v>
      </c>
      <c r="AG140" s="79">
        <v>3801450</v>
      </c>
      <c r="AH140" s="371">
        <v>36205800</v>
      </c>
      <c r="AI140" s="78"/>
      <c r="AJ140" s="78">
        <f>1095300+850050+608200+706550+925200+1109700+1203800</f>
        <v>6498800</v>
      </c>
      <c r="AK140" s="78"/>
      <c r="AL140" s="78"/>
      <c r="AM140" s="78"/>
      <c r="AN140" s="64" t="s">
        <v>39</v>
      </c>
      <c r="AO140" s="64" t="s">
        <v>1839</v>
      </c>
      <c r="AP140" s="64" t="s">
        <v>649</v>
      </c>
      <c r="AQ140" s="533" t="s">
        <v>649</v>
      </c>
      <c r="AR140" s="554">
        <v>44562</v>
      </c>
      <c r="AS140" s="554">
        <v>44926</v>
      </c>
      <c r="AT140" s="64" t="s">
        <v>1814</v>
      </c>
      <c r="AU140" s="875" t="s">
        <v>2093</v>
      </c>
      <c r="AV140" s="560" t="s">
        <v>2095</v>
      </c>
    </row>
    <row r="141" spans="1:48" ht="48.6" customHeight="1" outlineLevel="3" x14ac:dyDescent="0.25">
      <c r="A141" s="63" t="str">
        <f t="shared" si="1"/>
        <v>1.3.1.1.4.58</v>
      </c>
      <c r="B141" s="64">
        <v>1</v>
      </c>
      <c r="C141" s="64">
        <v>3</v>
      </c>
      <c r="D141" s="64">
        <v>1</v>
      </c>
      <c r="E141" s="64">
        <v>1</v>
      </c>
      <c r="F141" s="64">
        <v>4</v>
      </c>
      <c r="G141" s="64">
        <v>58</v>
      </c>
      <c r="H141" s="65"/>
      <c r="I141" s="65"/>
      <c r="J141" s="66"/>
      <c r="K141" s="65" t="s">
        <v>259</v>
      </c>
      <c r="L141" s="64" t="s">
        <v>246</v>
      </c>
      <c r="M141" s="64" t="s">
        <v>240</v>
      </c>
      <c r="N141" s="64" t="s">
        <v>247</v>
      </c>
      <c r="O141" s="64" t="s">
        <v>241</v>
      </c>
      <c r="P141" s="69">
        <v>44571</v>
      </c>
      <c r="Q141" s="69">
        <v>44925</v>
      </c>
      <c r="R141" s="126">
        <v>32000</v>
      </c>
      <c r="S141" s="123" t="s">
        <v>248</v>
      </c>
      <c r="T141" s="124">
        <f>+R141/4</f>
        <v>8000</v>
      </c>
      <c r="U141" s="75">
        <v>0</v>
      </c>
      <c r="V141" s="674">
        <v>0</v>
      </c>
      <c r="W141" s="75">
        <v>5100</v>
      </c>
      <c r="X141" s="75">
        <v>0</v>
      </c>
      <c r="Y141" s="834">
        <f t="shared" si="31"/>
        <v>0</v>
      </c>
      <c r="Z141" s="75">
        <v>5100</v>
      </c>
      <c r="AA141" s="75">
        <v>0</v>
      </c>
      <c r="AB141" s="75"/>
      <c r="AC141" s="75">
        <v>5100</v>
      </c>
      <c r="AD141" s="75">
        <v>0</v>
      </c>
      <c r="AE141" s="75"/>
      <c r="AF141" s="348" t="s">
        <v>260</v>
      </c>
      <c r="AG141" s="510">
        <v>0</v>
      </c>
      <c r="AH141" s="370">
        <v>0</v>
      </c>
      <c r="AI141" s="75"/>
      <c r="AJ141" s="75"/>
      <c r="AK141" s="75"/>
      <c r="AL141" s="75"/>
      <c r="AM141" s="75"/>
      <c r="AN141" s="64" t="s">
        <v>39</v>
      </c>
      <c r="AO141" s="64"/>
      <c r="AP141" s="64"/>
      <c r="AQ141" s="189"/>
      <c r="AR141" s="64"/>
      <c r="AS141" s="476"/>
      <c r="AT141" s="64"/>
      <c r="AU141" s="646"/>
      <c r="AV141" s="335" t="s">
        <v>261</v>
      </c>
    </row>
    <row r="142" spans="1:48" ht="40.35" customHeight="1" outlineLevel="3" x14ac:dyDescent="0.25">
      <c r="A142" s="63" t="str">
        <f t="shared" si="1"/>
        <v>1.3.1.1.5.58</v>
      </c>
      <c r="B142" s="64">
        <v>1</v>
      </c>
      <c r="C142" s="64">
        <v>3</v>
      </c>
      <c r="D142" s="64">
        <v>1</v>
      </c>
      <c r="E142" s="64">
        <v>1</v>
      </c>
      <c r="F142" s="64">
        <v>5</v>
      </c>
      <c r="G142" s="64">
        <v>58</v>
      </c>
      <c r="H142" s="65"/>
      <c r="I142" s="65"/>
      <c r="J142" s="66"/>
      <c r="K142" s="65" t="s">
        <v>262</v>
      </c>
      <c r="L142" s="64" t="s">
        <v>246</v>
      </c>
      <c r="M142" s="64" t="s">
        <v>240</v>
      </c>
      <c r="N142" s="64" t="s">
        <v>252</v>
      </c>
      <c r="O142" s="64" t="s">
        <v>241</v>
      </c>
      <c r="P142" s="69">
        <v>44571</v>
      </c>
      <c r="Q142" s="69">
        <v>44925</v>
      </c>
      <c r="R142" s="126">
        <v>393081</v>
      </c>
      <c r="S142" s="123" t="s">
        <v>248</v>
      </c>
      <c r="T142" s="124">
        <f>+R142/4</f>
        <v>98270.25</v>
      </c>
      <c r="U142" s="75">
        <v>0</v>
      </c>
      <c r="V142" s="674">
        <v>0</v>
      </c>
      <c r="W142" s="75">
        <v>4200</v>
      </c>
      <c r="X142" s="75">
        <v>0</v>
      </c>
      <c r="Y142" s="834">
        <f t="shared" si="31"/>
        <v>0</v>
      </c>
      <c r="Z142" s="75">
        <v>4200</v>
      </c>
      <c r="AA142" s="75">
        <v>0</v>
      </c>
      <c r="AB142" s="75"/>
      <c r="AC142" s="75">
        <v>4200</v>
      </c>
      <c r="AD142" s="75">
        <v>0</v>
      </c>
      <c r="AE142" s="75"/>
      <c r="AF142" s="348" t="s">
        <v>260</v>
      </c>
      <c r="AG142" s="510">
        <v>0</v>
      </c>
      <c r="AH142" s="370">
        <v>0</v>
      </c>
      <c r="AI142" s="75"/>
      <c r="AJ142" s="75"/>
      <c r="AK142" s="75"/>
      <c r="AL142" s="75"/>
      <c r="AM142" s="75"/>
      <c r="AN142" s="64" t="s">
        <v>39</v>
      </c>
      <c r="AO142" s="64"/>
      <c r="AP142" s="64"/>
      <c r="AQ142" s="189"/>
      <c r="AR142" s="64"/>
      <c r="AS142" s="476"/>
      <c r="AT142" s="64"/>
      <c r="AU142" s="646"/>
      <c r="AV142" s="335" t="s">
        <v>261</v>
      </c>
    </row>
    <row r="143" spans="1:48" ht="23.45" customHeight="1" outlineLevel="3" x14ac:dyDescent="0.25">
      <c r="A143" s="63" t="str">
        <f t="shared" si="1"/>
        <v>1.3.1.1.6.58</v>
      </c>
      <c r="B143" s="64">
        <v>1</v>
      </c>
      <c r="C143" s="64">
        <v>3</v>
      </c>
      <c r="D143" s="64">
        <v>1</v>
      </c>
      <c r="E143" s="64">
        <v>1</v>
      </c>
      <c r="F143" s="64">
        <v>6</v>
      </c>
      <c r="G143" s="64">
        <v>58</v>
      </c>
      <c r="H143" s="65"/>
      <c r="I143" s="65"/>
      <c r="J143" s="66"/>
      <c r="K143" s="65" t="s">
        <v>263</v>
      </c>
      <c r="L143" s="64" t="s">
        <v>264</v>
      </c>
      <c r="M143" s="64" t="s">
        <v>76</v>
      </c>
      <c r="N143" s="64" t="s">
        <v>265</v>
      </c>
      <c r="O143" s="64" t="s">
        <v>266</v>
      </c>
      <c r="P143" s="69">
        <v>44571</v>
      </c>
      <c r="Q143" s="69">
        <v>44925</v>
      </c>
      <c r="R143" s="124">
        <v>145</v>
      </c>
      <c r="S143" s="123" t="s">
        <v>258</v>
      </c>
      <c r="T143" s="124"/>
      <c r="U143" s="75">
        <v>0</v>
      </c>
      <c r="V143" s="674">
        <v>0</v>
      </c>
      <c r="W143" s="75"/>
      <c r="X143" s="75">
        <v>0</v>
      </c>
      <c r="Y143" s="834">
        <f t="shared" si="31"/>
        <v>0</v>
      </c>
      <c r="Z143" s="75"/>
      <c r="AA143" s="75">
        <v>0</v>
      </c>
      <c r="AB143" s="75"/>
      <c r="AC143" s="75">
        <v>1</v>
      </c>
      <c r="AD143" s="75">
        <f>+AH143</f>
        <v>1446500</v>
      </c>
      <c r="AE143" s="592"/>
      <c r="AF143" s="347" t="s">
        <v>267</v>
      </c>
      <c r="AG143" s="508">
        <v>1446500</v>
      </c>
      <c r="AH143" s="370">
        <f>((135*450)+(500*10))*22</f>
        <v>1446500</v>
      </c>
      <c r="AI143" s="75"/>
      <c r="AJ143" s="75"/>
      <c r="AK143" s="75"/>
      <c r="AL143" s="75"/>
      <c r="AM143" s="75"/>
      <c r="AN143" s="64" t="s">
        <v>181</v>
      </c>
      <c r="AO143" s="165"/>
      <c r="AP143" s="165"/>
      <c r="AQ143" s="413"/>
      <c r="AR143" s="64"/>
      <c r="AS143" s="475"/>
      <c r="AT143" s="64"/>
      <c r="AU143" s="646"/>
      <c r="AV143" s="432" t="s">
        <v>268</v>
      </c>
    </row>
    <row r="144" spans="1:48" ht="23.45" customHeight="1" outlineLevel="3" x14ac:dyDescent="0.25">
      <c r="A144" s="63" t="str">
        <f t="shared" si="1"/>
        <v>1.3.1.1.7.58</v>
      </c>
      <c r="B144" s="64">
        <v>1</v>
      </c>
      <c r="C144" s="64">
        <v>3</v>
      </c>
      <c r="D144" s="64">
        <v>1</v>
      </c>
      <c r="E144" s="64">
        <v>1</v>
      </c>
      <c r="F144" s="64">
        <v>7</v>
      </c>
      <c r="G144" s="64">
        <v>58</v>
      </c>
      <c r="H144" s="65"/>
      <c r="I144" s="65"/>
      <c r="J144" s="66"/>
      <c r="K144" s="65" t="s">
        <v>2024</v>
      </c>
      <c r="L144" s="64"/>
      <c r="M144" s="64"/>
      <c r="N144" s="64"/>
      <c r="O144" s="64"/>
      <c r="P144" s="69"/>
      <c r="Q144" s="69"/>
      <c r="R144" s="124"/>
      <c r="S144" s="123"/>
      <c r="T144" s="124"/>
      <c r="U144" s="75"/>
      <c r="V144" s="674"/>
      <c r="W144" s="75"/>
      <c r="X144" s="75"/>
      <c r="Y144" s="834"/>
      <c r="Z144" s="75"/>
      <c r="AA144" s="75"/>
      <c r="AB144" s="75"/>
      <c r="AC144" s="75"/>
      <c r="AD144" s="75"/>
      <c r="AE144" s="592"/>
      <c r="AF144" s="347"/>
      <c r="AG144" s="508"/>
      <c r="AH144" s="370"/>
      <c r="AI144" s="75"/>
      <c r="AJ144" s="75">
        <v>68014.94</v>
      </c>
      <c r="AK144" s="75"/>
      <c r="AL144" s="75"/>
      <c r="AM144" s="75"/>
      <c r="AN144" s="136" t="s">
        <v>39</v>
      </c>
      <c r="AO144" s="165" t="s">
        <v>1819</v>
      </c>
      <c r="AP144" s="165" t="s">
        <v>2190</v>
      </c>
      <c r="AQ144" s="413" t="s">
        <v>2191</v>
      </c>
      <c r="AR144" s="69">
        <v>44603</v>
      </c>
      <c r="AS144" s="562">
        <v>44631</v>
      </c>
      <c r="AT144" s="69">
        <v>44603</v>
      </c>
      <c r="AU144" s="879">
        <v>1163</v>
      </c>
      <c r="AV144" s="432"/>
    </row>
    <row r="145" spans="1:48" ht="53.1" customHeight="1" outlineLevel="3" x14ac:dyDescent="0.25">
      <c r="A145" s="63" t="str">
        <f>CONCATENATE(B145,".",C145,".",D145,".",E145,".",F145,".",G145)</f>
        <v>1.3.1.1.9.58</v>
      </c>
      <c r="B145" s="64">
        <v>1</v>
      </c>
      <c r="C145" s="64">
        <v>3</v>
      </c>
      <c r="D145" s="64">
        <v>1</v>
      </c>
      <c r="E145" s="64">
        <v>1</v>
      </c>
      <c r="F145" s="64">
        <v>9</v>
      </c>
      <c r="G145" s="64">
        <v>58</v>
      </c>
      <c r="H145" s="65"/>
      <c r="I145" s="65"/>
      <c r="J145" s="66"/>
      <c r="K145" s="67" t="s">
        <v>269</v>
      </c>
      <c r="L145" s="68" t="s">
        <v>270</v>
      </c>
      <c r="M145" s="64" t="s">
        <v>271</v>
      </c>
      <c r="N145" s="64" t="s">
        <v>74</v>
      </c>
      <c r="O145" s="64" t="s">
        <v>72</v>
      </c>
      <c r="P145" s="69">
        <v>44571</v>
      </c>
      <c r="Q145" s="69">
        <v>44925</v>
      </c>
      <c r="R145" s="124"/>
      <c r="S145" s="123"/>
      <c r="T145" s="124"/>
      <c r="U145" s="75">
        <f>+AH145</f>
        <v>437500</v>
      </c>
      <c r="V145" s="674">
        <v>0</v>
      </c>
      <c r="W145" s="75"/>
      <c r="X145" s="75">
        <v>0</v>
      </c>
      <c r="Y145" s="834">
        <f t="shared" ref="Y145:Y158" si="32">+AJ145-V145</f>
        <v>0</v>
      </c>
      <c r="Z145" s="75"/>
      <c r="AA145" s="75">
        <v>0</v>
      </c>
      <c r="AB145" s="75"/>
      <c r="AC145" s="75"/>
      <c r="AD145" s="75">
        <v>0</v>
      </c>
      <c r="AE145" s="592"/>
      <c r="AF145" s="347" t="s">
        <v>272</v>
      </c>
      <c r="AG145" s="508">
        <v>437500</v>
      </c>
      <c r="AH145" s="370">
        <v>437500</v>
      </c>
      <c r="AI145" s="75"/>
      <c r="AJ145" s="75"/>
      <c r="AK145" s="75"/>
      <c r="AL145" s="75"/>
      <c r="AM145" s="75"/>
      <c r="AN145" s="64" t="s">
        <v>39</v>
      </c>
      <c r="AO145" s="64"/>
      <c r="AP145" s="64"/>
      <c r="AQ145" s="189"/>
      <c r="AR145" s="64"/>
      <c r="AS145" s="476"/>
      <c r="AT145" s="64"/>
      <c r="AU145" s="646"/>
      <c r="AV145" s="335" t="s">
        <v>273</v>
      </c>
    </row>
    <row r="146" spans="1:48" ht="28.5" customHeight="1" outlineLevel="3" x14ac:dyDescent="0.25">
      <c r="A146" s="63" t="str">
        <f t="shared" ref="A146:A157" si="33">CONCATENATE(B146,".",C146,".",D146,".",E146,".",F146,".",G146)</f>
        <v>1.3.1.1.11.58</v>
      </c>
      <c r="B146" s="64">
        <v>1</v>
      </c>
      <c r="C146" s="64">
        <v>3</v>
      </c>
      <c r="D146" s="64">
        <v>1</v>
      </c>
      <c r="E146" s="64">
        <v>1</v>
      </c>
      <c r="F146" s="64">
        <v>11</v>
      </c>
      <c r="G146" s="64">
        <v>58</v>
      </c>
      <c r="H146" s="65"/>
      <c r="I146" s="65"/>
      <c r="J146" s="66"/>
      <c r="K146" s="67" t="s">
        <v>274</v>
      </c>
      <c r="L146" s="64" t="s">
        <v>72</v>
      </c>
      <c r="M146" s="64" t="s">
        <v>267</v>
      </c>
      <c r="N146" s="64" t="s">
        <v>265</v>
      </c>
      <c r="O146" s="68" t="s">
        <v>275</v>
      </c>
      <c r="P146" s="69">
        <v>44571</v>
      </c>
      <c r="Q146" s="69">
        <v>44925</v>
      </c>
      <c r="R146" s="124">
        <v>12</v>
      </c>
      <c r="S146" s="123" t="s">
        <v>144</v>
      </c>
      <c r="T146" s="124">
        <v>3</v>
      </c>
      <c r="U146" s="75">
        <v>5633483.71</v>
      </c>
      <c r="V146" s="702">
        <v>5761740.0899999999</v>
      </c>
      <c r="W146" s="75">
        <v>3</v>
      </c>
      <c r="X146" s="78">
        <v>4078534.62</v>
      </c>
      <c r="Y146" s="834">
        <f t="shared" si="32"/>
        <v>5660612.7899999991</v>
      </c>
      <c r="Z146" s="75">
        <v>3</v>
      </c>
      <c r="AA146" s="78">
        <v>4078534.62</v>
      </c>
      <c r="AB146" s="78">
        <f>+AI146-V146/2</f>
        <v>-2880870.0449999999</v>
      </c>
      <c r="AC146" s="78">
        <f>+AJ146-W146/2</f>
        <v>11422351.379999999</v>
      </c>
      <c r="AD146" s="78">
        <v>4078534.62</v>
      </c>
      <c r="AE146" s="592"/>
      <c r="AF146" s="259" t="s">
        <v>267</v>
      </c>
      <c r="AG146" s="508">
        <v>8333175</v>
      </c>
      <c r="AH146" s="375">
        <f>16666350</f>
        <v>16666350</v>
      </c>
      <c r="AI146" s="129"/>
      <c r="AJ146" s="129">
        <f>132583.5+1663099.03+121054.5+1882150.03+40351.5+1922501.53+1829994.53+1898015.63+1932602.63</f>
        <v>11422352.879999999</v>
      </c>
      <c r="AK146" s="129"/>
      <c r="AL146" s="129"/>
      <c r="AM146" s="129"/>
      <c r="AN146" s="64" t="s">
        <v>39</v>
      </c>
      <c r="AO146" s="165" t="s">
        <v>144</v>
      </c>
      <c r="AP146" s="165" t="s">
        <v>649</v>
      </c>
      <c r="AQ146" s="557" t="s">
        <v>649</v>
      </c>
      <c r="AR146" s="169">
        <v>44562</v>
      </c>
      <c r="AS146" s="562">
        <v>44926</v>
      </c>
      <c r="AT146" s="64" t="s">
        <v>1814</v>
      </c>
      <c r="AU146" s="875" t="s">
        <v>2059</v>
      </c>
      <c r="AV146" s="438" t="s">
        <v>2057</v>
      </c>
    </row>
    <row r="147" spans="1:48" ht="32.25" customHeight="1" outlineLevel="3" x14ac:dyDescent="0.25">
      <c r="A147" s="63" t="str">
        <f t="shared" si="33"/>
        <v>1.3.1.1.14.58</v>
      </c>
      <c r="B147" s="64">
        <v>1</v>
      </c>
      <c r="C147" s="64">
        <v>3</v>
      </c>
      <c r="D147" s="64">
        <v>1</v>
      </c>
      <c r="E147" s="64">
        <v>1</v>
      </c>
      <c r="F147" s="64">
        <v>14</v>
      </c>
      <c r="G147" s="64">
        <v>58</v>
      </c>
      <c r="H147" s="65"/>
      <c r="I147" s="65"/>
      <c r="J147" s="66"/>
      <c r="K147" s="67" t="s">
        <v>276</v>
      </c>
      <c r="L147" s="64" t="s">
        <v>72</v>
      </c>
      <c r="M147" s="64" t="s">
        <v>271</v>
      </c>
      <c r="N147" s="64" t="s">
        <v>74</v>
      </c>
      <c r="O147" s="68" t="s">
        <v>277</v>
      </c>
      <c r="P147" s="69">
        <v>44571</v>
      </c>
      <c r="Q147" s="69">
        <v>44925</v>
      </c>
      <c r="R147" s="124"/>
      <c r="S147" s="123"/>
      <c r="T147" s="124"/>
      <c r="U147" s="75">
        <v>125000</v>
      </c>
      <c r="V147" s="674">
        <v>186385.71000000002</v>
      </c>
      <c r="W147" s="75"/>
      <c r="X147" s="75"/>
      <c r="Y147" s="834">
        <f t="shared" si="32"/>
        <v>0</v>
      </c>
      <c r="Z147" s="75"/>
      <c r="AA147" s="75">
        <v>125000</v>
      </c>
      <c r="AB147" s="75"/>
      <c r="AC147" s="75"/>
      <c r="AD147" s="75"/>
      <c r="AE147" s="592"/>
      <c r="AF147" s="259" t="s">
        <v>278</v>
      </c>
      <c r="AG147" s="508">
        <v>250000</v>
      </c>
      <c r="AH147" s="375">
        <v>340000</v>
      </c>
      <c r="AI147" s="129"/>
      <c r="AJ147" s="129">
        <f>79186.72+107198.99</f>
        <v>186385.71000000002</v>
      </c>
      <c r="AK147" s="129"/>
      <c r="AL147" s="129"/>
      <c r="AM147" s="129"/>
      <c r="AN147" s="189" t="s">
        <v>39</v>
      </c>
      <c r="AO147" s="64" t="s">
        <v>1819</v>
      </c>
      <c r="AP147" s="68" t="s">
        <v>1835</v>
      </c>
      <c r="AQ147" s="68" t="s">
        <v>1834</v>
      </c>
      <c r="AR147" s="64"/>
      <c r="AS147" s="64"/>
      <c r="AT147" s="544" t="s">
        <v>1833</v>
      </c>
      <c r="AU147" s="648" t="s">
        <v>1828</v>
      </c>
      <c r="AV147" s="68" t="s">
        <v>1829</v>
      </c>
    </row>
    <row r="148" spans="1:48" ht="14.45" customHeight="1" outlineLevel="3" x14ac:dyDescent="0.25">
      <c r="A148" s="63" t="str">
        <f t="shared" si="33"/>
        <v>1.3.1.1.15.58</v>
      </c>
      <c r="B148" s="64">
        <v>1</v>
      </c>
      <c r="C148" s="64">
        <v>3</v>
      </c>
      <c r="D148" s="64">
        <v>1</v>
      </c>
      <c r="E148" s="64">
        <v>1</v>
      </c>
      <c r="F148" s="64">
        <v>15</v>
      </c>
      <c r="G148" s="64">
        <v>58</v>
      </c>
      <c r="H148" s="65"/>
      <c r="I148" s="65"/>
      <c r="J148" s="66"/>
      <c r="K148" s="67" t="s">
        <v>1889</v>
      </c>
      <c r="L148" s="64" t="s">
        <v>72</v>
      </c>
      <c r="M148" s="64" t="s">
        <v>279</v>
      </c>
      <c r="N148" s="64" t="s">
        <v>74</v>
      </c>
      <c r="O148" s="68" t="s">
        <v>277</v>
      </c>
      <c r="P148" s="69">
        <v>44571</v>
      </c>
      <c r="Q148" s="69">
        <v>44925</v>
      </c>
      <c r="R148" s="124">
        <v>2</v>
      </c>
      <c r="S148" s="123"/>
      <c r="T148" s="124"/>
      <c r="U148" s="75"/>
      <c r="V148" s="674">
        <v>51202.14</v>
      </c>
      <c r="W148" s="75">
        <v>1</v>
      </c>
      <c r="X148" s="75">
        <v>100000</v>
      </c>
      <c r="Y148" s="834">
        <f t="shared" si="32"/>
        <v>17646.190000000002</v>
      </c>
      <c r="Z148" s="75">
        <v>1</v>
      </c>
      <c r="AA148" s="75">
        <v>100000</v>
      </c>
      <c r="AB148" s="75"/>
      <c r="AC148" s="75"/>
      <c r="AD148" s="75"/>
      <c r="AE148" s="592"/>
      <c r="AF148" s="259" t="s">
        <v>279</v>
      </c>
      <c r="AG148" s="508">
        <v>200000</v>
      </c>
      <c r="AH148" s="376">
        <v>200000</v>
      </c>
      <c r="AI148" s="130"/>
      <c r="AJ148" s="130">
        <f>8084.72+8344.26+7349.71+27423.45+17646.19</f>
        <v>68848.33</v>
      </c>
      <c r="AK148" s="130"/>
      <c r="AL148" s="130"/>
      <c r="AM148" s="130"/>
      <c r="AN148" s="189" t="s">
        <v>39</v>
      </c>
      <c r="AO148" s="64" t="s">
        <v>1819</v>
      </c>
      <c r="AP148" s="68" t="s">
        <v>2110</v>
      </c>
      <c r="AQ148" s="68" t="s">
        <v>2111</v>
      </c>
      <c r="AR148" s="544" t="s">
        <v>2108</v>
      </c>
      <c r="AS148" s="544" t="s">
        <v>2109</v>
      </c>
      <c r="AT148" s="460"/>
      <c r="AU148" s="891" t="s">
        <v>2248</v>
      </c>
      <c r="AV148" s="538" t="s">
        <v>2019</v>
      </c>
    </row>
    <row r="149" spans="1:48" ht="14.45" customHeight="1" outlineLevel="3" x14ac:dyDescent="0.25">
      <c r="A149" s="63" t="str">
        <f t="shared" si="33"/>
        <v>1.3.1.1.19.58</v>
      </c>
      <c r="B149" s="64">
        <v>1</v>
      </c>
      <c r="C149" s="64">
        <v>3</v>
      </c>
      <c r="D149" s="64">
        <v>1</v>
      </c>
      <c r="E149" s="64">
        <v>1</v>
      </c>
      <c r="F149" s="64">
        <v>19</v>
      </c>
      <c r="G149" s="64">
        <v>58</v>
      </c>
      <c r="H149" s="65"/>
      <c r="I149" s="65"/>
      <c r="J149" s="66"/>
      <c r="K149" s="67" t="s">
        <v>280</v>
      </c>
      <c r="L149" s="64" t="s">
        <v>72</v>
      </c>
      <c r="M149" s="64" t="s">
        <v>271</v>
      </c>
      <c r="N149" s="64" t="s">
        <v>74</v>
      </c>
      <c r="O149" s="68" t="s">
        <v>281</v>
      </c>
      <c r="P149" s="69">
        <v>44571</v>
      </c>
      <c r="Q149" s="131">
        <v>44925</v>
      </c>
      <c r="R149" s="124"/>
      <c r="S149" s="123"/>
      <c r="T149" s="124"/>
      <c r="U149" s="75">
        <f>+AH149</f>
        <v>30000</v>
      </c>
      <c r="V149" s="674">
        <v>0</v>
      </c>
      <c r="W149" s="75"/>
      <c r="X149" s="75"/>
      <c r="Y149" s="834">
        <f t="shared" si="32"/>
        <v>0</v>
      </c>
      <c r="Z149" s="75"/>
      <c r="AA149" s="75"/>
      <c r="AB149" s="75"/>
      <c r="AC149" s="75"/>
      <c r="AD149" s="75"/>
      <c r="AE149" s="592"/>
      <c r="AF149" s="259" t="s">
        <v>166</v>
      </c>
      <c r="AG149" s="508">
        <v>30000</v>
      </c>
      <c r="AH149" s="377">
        <v>30000</v>
      </c>
      <c r="AI149" s="132"/>
      <c r="AJ149" s="132"/>
      <c r="AK149" s="132"/>
      <c r="AL149" s="132"/>
      <c r="AM149" s="132"/>
      <c r="AN149" s="64" t="s">
        <v>282</v>
      </c>
      <c r="AO149" s="64"/>
      <c r="AP149" s="64"/>
      <c r="AQ149" s="64"/>
      <c r="AR149" s="245"/>
      <c r="AS149" s="64"/>
      <c r="AT149" s="64"/>
      <c r="AU149" s="646"/>
      <c r="AV149" s="434"/>
    </row>
    <row r="150" spans="1:48" ht="14.25" customHeight="1" outlineLevel="3" x14ac:dyDescent="0.25">
      <c r="A150" s="63" t="str">
        <f t="shared" si="33"/>
        <v>1.3.1.1.20.58</v>
      </c>
      <c r="B150" s="64">
        <v>1</v>
      </c>
      <c r="C150" s="64">
        <v>3</v>
      </c>
      <c r="D150" s="64">
        <v>1</v>
      </c>
      <c r="E150" s="64">
        <v>1</v>
      </c>
      <c r="F150" s="64">
        <v>20</v>
      </c>
      <c r="G150" s="64">
        <v>58</v>
      </c>
      <c r="H150" s="65"/>
      <c r="I150" s="65"/>
      <c r="J150" s="66"/>
      <c r="K150" s="67" t="s">
        <v>283</v>
      </c>
      <c r="L150" s="64" t="s">
        <v>72</v>
      </c>
      <c r="M150" s="64" t="s">
        <v>271</v>
      </c>
      <c r="N150" s="64" t="s">
        <v>74</v>
      </c>
      <c r="O150" s="68" t="s">
        <v>281</v>
      </c>
      <c r="P150" s="69">
        <v>44571</v>
      </c>
      <c r="Q150" s="131">
        <v>44925</v>
      </c>
      <c r="R150" s="124"/>
      <c r="S150" s="123"/>
      <c r="T150" s="124"/>
      <c r="U150" s="75"/>
      <c r="V150" s="674">
        <v>0</v>
      </c>
      <c r="W150" s="75"/>
      <c r="X150" s="75">
        <v>30000</v>
      </c>
      <c r="Y150" s="834">
        <f t="shared" si="32"/>
        <v>0</v>
      </c>
      <c r="Z150" s="75"/>
      <c r="AA150" s="75"/>
      <c r="AB150" s="75"/>
      <c r="AC150" s="75"/>
      <c r="AD150" s="75"/>
      <c r="AE150" s="592"/>
      <c r="AF150" s="259" t="s">
        <v>166</v>
      </c>
      <c r="AG150" s="508">
        <v>30000</v>
      </c>
      <c r="AH150" s="370">
        <v>30000</v>
      </c>
      <c r="AI150" s="75"/>
      <c r="AJ150" s="75"/>
      <c r="AK150" s="75"/>
      <c r="AL150" s="75"/>
      <c r="AM150" s="75"/>
      <c r="AN150" s="64" t="s">
        <v>282</v>
      </c>
      <c r="AO150" s="64"/>
      <c r="AP150" s="64"/>
      <c r="AQ150" s="64"/>
      <c r="AR150" s="64"/>
      <c r="AS150" s="64"/>
      <c r="AT150" s="64"/>
      <c r="AU150" s="646"/>
      <c r="AV150" s="434"/>
    </row>
    <row r="151" spans="1:48" ht="14.45" customHeight="1" outlineLevel="3" x14ac:dyDescent="0.25">
      <c r="A151" s="63" t="str">
        <f t="shared" si="33"/>
        <v>1.3.1.1.21.58</v>
      </c>
      <c r="B151" s="64">
        <v>1</v>
      </c>
      <c r="C151" s="64">
        <v>3</v>
      </c>
      <c r="D151" s="64">
        <v>1</v>
      </c>
      <c r="E151" s="64">
        <v>1</v>
      </c>
      <c r="F151" s="64">
        <v>21</v>
      </c>
      <c r="G151" s="64">
        <v>58</v>
      </c>
      <c r="H151" s="65"/>
      <c r="I151" s="65"/>
      <c r="J151" s="66"/>
      <c r="K151" s="67" t="s">
        <v>284</v>
      </c>
      <c r="L151" s="64" t="s">
        <v>72</v>
      </c>
      <c r="M151" s="64" t="s">
        <v>271</v>
      </c>
      <c r="N151" s="64" t="s">
        <v>74</v>
      </c>
      <c r="O151" s="68" t="s">
        <v>281</v>
      </c>
      <c r="P151" s="69">
        <v>44571</v>
      </c>
      <c r="Q151" s="131">
        <v>44925</v>
      </c>
      <c r="R151" s="124"/>
      <c r="S151" s="123"/>
      <c r="T151" s="124"/>
      <c r="U151" s="75">
        <f>+AH151</f>
        <v>0</v>
      </c>
      <c r="V151" s="674">
        <v>0</v>
      </c>
      <c r="W151" s="75"/>
      <c r="X151" s="75"/>
      <c r="Y151" s="834">
        <f t="shared" si="32"/>
        <v>0</v>
      </c>
      <c r="Z151" s="75"/>
      <c r="AA151" s="75"/>
      <c r="AB151" s="75"/>
      <c r="AC151" s="75"/>
      <c r="AD151" s="75"/>
      <c r="AE151" s="592"/>
      <c r="AF151" s="259" t="s">
        <v>166</v>
      </c>
      <c r="AG151" s="508">
        <v>30000</v>
      </c>
      <c r="AH151" s="370">
        <v>0</v>
      </c>
      <c r="AI151" s="75"/>
      <c r="AJ151" s="75"/>
      <c r="AK151" s="75"/>
      <c r="AL151" s="75"/>
      <c r="AM151" s="75"/>
      <c r="AN151" s="64" t="s">
        <v>282</v>
      </c>
      <c r="AO151" s="64"/>
      <c r="AP151" s="64"/>
      <c r="AQ151" s="64"/>
      <c r="AR151" s="64"/>
      <c r="AS151" s="64"/>
      <c r="AT151" s="64"/>
      <c r="AU151" s="646"/>
      <c r="AV151" s="434"/>
    </row>
    <row r="152" spans="1:48" ht="14.45" customHeight="1" outlineLevel="3" x14ac:dyDescent="0.25">
      <c r="A152" s="63" t="str">
        <f t="shared" si="33"/>
        <v>1.3.1.1.23.58</v>
      </c>
      <c r="B152" s="64">
        <v>1</v>
      </c>
      <c r="C152" s="64">
        <v>3</v>
      </c>
      <c r="D152" s="64">
        <v>1</v>
      </c>
      <c r="E152" s="64">
        <v>1</v>
      </c>
      <c r="F152" s="64">
        <v>23</v>
      </c>
      <c r="G152" s="64">
        <v>58</v>
      </c>
      <c r="H152" s="65"/>
      <c r="I152" s="65"/>
      <c r="J152" s="66"/>
      <c r="K152" s="67" t="s">
        <v>285</v>
      </c>
      <c r="L152" s="64" t="s">
        <v>72</v>
      </c>
      <c r="M152" s="64" t="s">
        <v>279</v>
      </c>
      <c r="N152" s="64" t="s">
        <v>74</v>
      </c>
      <c r="O152" s="68" t="s">
        <v>281</v>
      </c>
      <c r="P152" s="69">
        <v>44571</v>
      </c>
      <c r="Q152" s="131">
        <v>44925</v>
      </c>
      <c r="R152" s="124"/>
      <c r="S152" s="123"/>
      <c r="T152" s="124"/>
      <c r="U152" s="75">
        <v>5000</v>
      </c>
      <c r="V152" s="674">
        <v>0</v>
      </c>
      <c r="W152" s="75"/>
      <c r="X152" s="75">
        <v>5000</v>
      </c>
      <c r="Y152" s="834">
        <f t="shared" si="32"/>
        <v>0</v>
      </c>
      <c r="Z152" s="75"/>
      <c r="AA152" s="75"/>
      <c r="AB152" s="75"/>
      <c r="AC152" s="75"/>
      <c r="AD152" s="75"/>
      <c r="AE152" s="592"/>
      <c r="AF152" s="259" t="s">
        <v>279</v>
      </c>
      <c r="AG152" s="508">
        <v>10000</v>
      </c>
      <c r="AH152" s="370">
        <v>10000</v>
      </c>
      <c r="AI152" s="75"/>
      <c r="AJ152" s="75"/>
      <c r="AK152" s="75"/>
      <c r="AL152" s="75"/>
      <c r="AM152" s="75"/>
      <c r="AN152" s="64" t="s">
        <v>282</v>
      </c>
      <c r="AO152" s="64"/>
      <c r="AP152" s="64"/>
      <c r="AQ152" s="64"/>
      <c r="AR152" s="64"/>
      <c r="AS152" s="64"/>
      <c r="AT152" s="64"/>
      <c r="AU152" s="646"/>
      <c r="AV152" s="434"/>
    </row>
    <row r="153" spans="1:48" ht="14.45" customHeight="1" outlineLevel="3" x14ac:dyDescent="0.25">
      <c r="A153" s="63" t="str">
        <f t="shared" si="33"/>
        <v>1.3.1.1.24.58</v>
      </c>
      <c r="B153" s="64">
        <v>1</v>
      </c>
      <c r="C153" s="64">
        <v>3</v>
      </c>
      <c r="D153" s="64">
        <v>1</v>
      </c>
      <c r="E153" s="64">
        <v>1</v>
      </c>
      <c r="F153" s="64">
        <v>24</v>
      </c>
      <c r="G153" s="64">
        <v>58</v>
      </c>
      <c r="H153" s="65"/>
      <c r="I153" s="65"/>
      <c r="J153" s="66"/>
      <c r="K153" s="67" t="s">
        <v>286</v>
      </c>
      <c r="L153" s="64" t="s">
        <v>72</v>
      </c>
      <c r="M153" s="64" t="s">
        <v>73</v>
      </c>
      <c r="N153" s="64" t="s">
        <v>74</v>
      </c>
      <c r="O153" s="68" t="s">
        <v>281</v>
      </c>
      <c r="P153" s="69">
        <v>44571</v>
      </c>
      <c r="Q153" s="131">
        <v>44925</v>
      </c>
      <c r="R153" s="124"/>
      <c r="S153" s="123"/>
      <c r="T153" s="124"/>
      <c r="U153" s="75"/>
      <c r="V153" s="674">
        <v>0</v>
      </c>
      <c r="W153" s="75"/>
      <c r="X153" s="75"/>
      <c r="Y153" s="834">
        <f t="shared" si="32"/>
        <v>0</v>
      </c>
      <c r="Z153" s="75"/>
      <c r="AA153" s="75"/>
      <c r="AB153" s="75"/>
      <c r="AC153" s="75"/>
      <c r="AD153" s="75"/>
      <c r="AE153" s="592"/>
      <c r="AF153" s="259" t="s">
        <v>73</v>
      </c>
      <c r="AG153" s="510">
        <v>0</v>
      </c>
      <c r="AH153" s="370">
        <v>0</v>
      </c>
      <c r="AI153" s="75"/>
      <c r="AJ153" s="75"/>
      <c r="AK153" s="75"/>
      <c r="AL153" s="75"/>
      <c r="AM153" s="75"/>
      <c r="AN153" s="64" t="s">
        <v>282</v>
      </c>
      <c r="AO153" s="64"/>
      <c r="AP153" s="64"/>
      <c r="AQ153" s="64"/>
      <c r="AR153" s="64"/>
      <c r="AS153" s="64"/>
      <c r="AT153" s="64"/>
      <c r="AU153" s="646"/>
      <c r="AV153" s="434"/>
    </row>
    <row r="154" spans="1:48" ht="14.45" customHeight="1" outlineLevel="3" x14ac:dyDescent="0.25">
      <c r="A154" s="63" t="str">
        <f t="shared" si="33"/>
        <v>1.3.1.1.25.58</v>
      </c>
      <c r="B154" s="64">
        <v>1</v>
      </c>
      <c r="C154" s="64">
        <v>3</v>
      </c>
      <c r="D154" s="64">
        <v>1</v>
      </c>
      <c r="E154" s="64">
        <v>1</v>
      </c>
      <c r="F154" s="64">
        <v>25</v>
      </c>
      <c r="G154" s="64">
        <v>58</v>
      </c>
      <c r="H154" s="65"/>
      <c r="I154" s="65"/>
      <c r="J154" s="66"/>
      <c r="K154" s="67" t="s">
        <v>287</v>
      </c>
      <c r="L154" s="64" t="s">
        <v>72</v>
      </c>
      <c r="M154" s="64" t="s">
        <v>73</v>
      </c>
      <c r="N154" s="64" t="s">
        <v>288</v>
      </c>
      <c r="O154" s="68" t="s">
        <v>281</v>
      </c>
      <c r="P154" s="69">
        <v>44571</v>
      </c>
      <c r="Q154" s="131">
        <v>44925</v>
      </c>
      <c r="R154" s="124"/>
      <c r="S154" s="123"/>
      <c r="T154" s="124"/>
      <c r="U154" s="75"/>
      <c r="V154" s="674">
        <v>0</v>
      </c>
      <c r="W154" s="75"/>
      <c r="X154" s="75"/>
      <c r="Y154" s="834">
        <f t="shared" si="32"/>
        <v>0</v>
      </c>
      <c r="Z154" s="75"/>
      <c r="AA154" s="75"/>
      <c r="AB154" s="75"/>
      <c r="AC154" s="75"/>
      <c r="AD154" s="75"/>
      <c r="AE154" s="592"/>
      <c r="AF154" s="259" t="s">
        <v>289</v>
      </c>
      <c r="AG154" s="510">
        <v>0</v>
      </c>
      <c r="AH154" s="377">
        <v>0</v>
      </c>
      <c r="AI154" s="132"/>
      <c r="AJ154" s="132"/>
      <c r="AK154" s="132"/>
      <c r="AL154" s="132"/>
      <c r="AM154" s="132"/>
      <c r="AN154" s="64" t="s">
        <v>282</v>
      </c>
      <c r="AO154" s="64"/>
      <c r="AP154" s="64"/>
      <c r="AQ154" s="64"/>
      <c r="AR154" s="64"/>
      <c r="AS154" s="64"/>
      <c r="AT154" s="64"/>
      <c r="AU154" s="646"/>
      <c r="AV154" s="434"/>
    </row>
    <row r="155" spans="1:48" ht="14.45" customHeight="1" outlineLevel="3" x14ac:dyDescent="0.25">
      <c r="A155" s="63" t="str">
        <f t="shared" si="33"/>
        <v>1.3.1.1.26.58</v>
      </c>
      <c r="B155" s="64">
        <v>1</v>
      </c>
      <c r="C155" s="64">
        <v>3</v>
      </c>
      <c r="D155" s="64">
        <v>1</v>
      </c>
      <c r="E155" s="64">
        <v>1</v>
      </c>
      <c r="F155" s="64">
        <v>26</v>
      </c>
      <c r="G155" s="64">
        <v>58</v>
      </c>
      <c r="H155" s="65"/>
      <c r="I155" s="65"/>
      <c r="J155" s="66"/>
      <c r="K155" s="67" t="s">
        <v>2206</v>
      </c>
      <c r="L155" s="64" t="s">
        <v>72</v>
      </c>
      <c r="M155" s="64" t="s">
        <v>279</v>
      </c>
      <c r="N155" s="64" t="s">
        <v>291</v>
      </c>
      <c r="O155" s="68" t="s">
        <v>281</v>
      </c>
      <c r="P155" s="69">
        <v>44571</v>
      </c>
      <c r="Q155" s="131">
        <v>44925</v>
      </c>
      <c r="R155" s="124"/>
      <c r="S155" s="123"/>
      <c r="T155" s="124"/>
      <c r="U155" s="75">
        <v>75000</v>
      </c>
      <c r="V155" s="674">
        <v>20474.07</v>
      </c>
      <c r="W155" s="75"/>
      <c r="X155" s="75">
        <v>75000</v>
      </c>
      <c r="Y155" s="834">
        <f t="shared" si="32"/>
        <v>12179.010000000002</v>
      </c>
      <c r="Z155" s="75"/>
      <c r="AA155" s="75">
        <v>75000</v>
      </c>
      <c r="AB155" s="75"/>
      <c r="AC155" s="75"/>
      <c r="AD155" s="75">
        <v>75000</v>
      </c>
      <c r="AE155" s="592"/>
      <c r="AF155" s="259" t="s">
        <v>292</v>
      </c>
      <c r="AG155" s="508">
        <v>300000</v>
      </c>
      <c r="AH155" s="376">
        <v>300000</v>
      </c>
      <c r="AI155" s="130"/>
      <c r="AJ155" s="130">
        <f>20474.07+8933.68+2178.81+1066.52</f>
        <v>32653.08</v>
      </c>
      <c r="AK155" s="130"/>
      <c r="AL155" s="130"/>
      <c r="AM155" s="130"/>
      <c r="AN155" s="64" t="s">
        <v>282</v>
      </c>
      <c r="AO155" s="64" t="s">
        <v>1819</v>
      </c>
      <c r="AP155" s="538" t="s">
        <v>2209</v>
      </c>
      <c r="AQ155" s="68" t="s">
        <v>2210</v>
      </c>
      <c r="AR155" s="64"/>
      <c r="AS155" s="64"/>
      <c r="AT155" s="544" t="s">
        <v>1823</v>
      </c>
      <c r="AU155" s="877" t="s">
        <v>2207</v>
      </c>
      <c r="AV155" s="434" t="s">
        <v>2054</v>
      </c>
    </row>
    <row r="156" spans="1:48" ht="78" customHeight="1" outlineLevel="3" x14ac:dyDescent="0.25">
      <c r="A156" s="63" t="str">
        <f t="shared" si="33"/>
        <v>1.3.1.1.28.58</v>
      </c>
      <c r="B156" s="64">
        <v>1</v>
      </c>
      <c r="C156" s="64">
        <v>3</v>
      </c>
      <c r="D156" s="64">
        <v>1</v>
      </c>
      <c r="E156" s="64">
        <v>1</v>
      </c>
      <c r="F156" s="64">
        <v>28</v>
      </c>
      <c r="G156" s="100">
        <v>58</v>
      </c>
      <c r="H156" s="65"/>
      <c r="I156" s="65"/>
      <c r="J156" s="66"/>
      <c r="K156" s="67" t="s">
        <v>293</v>
      </c>
      <c r="L156" s="64" t="s">
        <v>72</v>
      </c>
      <c r="M156" s="64" t="s">
        <v>279</v>
      </c>
      <c r="N156" s="64" t="s">
        <v>291</v>
      </c>
      <c r="O156" s="68" t="s">
        <v>281</v>
      </c>
      <c r="P156" s="69">
        <v>44571</v>
      </c>
      <c r="Q156" s="69">
        <v>44925</v>
      </c>
      <c r="R156" s="124"/>
      <c r="S156" s="123" t="s">
        <v>294</v>
      </c>
      <c r="T156" s="124"/>
      <c r="U156" s="75">
        <v>0</v>
      </c>
      <c r="V156" s="674">
        <v>0</v>
      </c>
      <c r="W156" s="75"/>
      <c r="X156" s="75">
        <v>0</v>
      </c>
      <c r="Y156" s="834">
        <f t="shared" si="32"/>
        <v>0</v>
      </c>
      <c r="Z156" s="75"/>
      <c r="AA156" s="75">
        <v>0</v>
      </c>
      <c r="AB156" s="75"/>
      <c r="AC156" s="75"/>
      <c r="AD156" s="75">
        <v>0</v>
      </c>
      <c r="AE156" s="592"/>
      <c r="AF156" s="347" t="s">
        <v>272</v>
      </c>
      <c r="AG156" s="508">
        <v>1750000</v>
      </c>
      <c r="AH156" s="377">
        <v>0</v>
      </c>
      <c r="AI156" s="132"/>
      <c r="AJ156" s="132"/>
      <c r="AK156" s="132"/>
      <c r="AL156" s="132"/>
      <c r="AM156" s="132"/>
      <c r="AN156" s="64" t="s">
        <v>282</v>
      </c>
      <c r="AO156" s="64"/>
      <c r="AP156" s="64"/>
      <c r="AQ156" s="189"/>
      <c r="AR156" s="64"/>
      <c r="AS156" s="476"/>
      <c r="AT156" s="64"/>
      <c r="AU156" s="646"/>
      <c r="AV156" s="335" t="s">
        <v>295</v>
      </c>
    </row>
    <row r="157" spans="1:48" ht="14.45" customHeight="1" outlineLevel="3" x14ac:dyDescent="0.25">
      <c r="A157" s="63" t="str">
        <f t="shared" si="33"/>
        <v>1.3.1.1.29.58</v>
      </c>
      <c r="B157" s="64">
        <v>1</v>
      </c>
      <c r="C157" s="64">
        <v>3</v>
      </c>
      <c r="D157" s="64">
        <v>1</v>
      </c>
      <c r="E157" s="64">
        <v>1</v>
      </c>
      <c r="F157" s="64">
        <v>29</v>
      </c>
      <c r="G157" s="64">
        <v>58</v>
      </c>
      <c r="H157" s="65"/>
      <c r="I157" s="65"/>
      <c r="J157" s="66"/>
      <c r="K157" s="67" t="s">
        <v>296</v>
      </c>
      <c r="L157" s="64" t="s">
        <v>72</v>
      </c>
      <c r="M157" s="64" t="s">
        <v>279</v>
      </c>
      <c r="N157" s="64" t="s">
        <v>291</v>
      </c>
      <c r="O157" s="68" t="s">
        <v>281</v>
      </c>
      <c r="P157" s="69">
        <v>44571</v>
      </c>
      <c r="Q157" s="69">
        <v>44925</v>
      </c>
      <c r="R157" s="124"/>
      <c r="S157" s="123"/>
      <c r="T157" s="124"/>
      <c r="U157" s="75">
        <v>50000</v>
      </c>
      <c r="V157" s="674">
        <v>0</v>
      </c>
      <c r="W157" s="75"/>
      <c r="X157" s="75">
        <v>50000</v>
      </c>
      <c r="Y157" s="834">
        <f t="shared" si="32"/>
        <v>0</v>
      </c>
      <c r="Z157" s="75"/>
      <c r="AA157" s="75">
        <v>50000</v>
      </c>
      <c r="AB157" s="75"/>
      <c r="AC157" s="75"/>
      <c r="AD157" s="75">
        <v>50000</v>
      </c>
      <c r="AE157" s="592"/>
      <c r="AF157" s="347" t="s">
        <v>297</v>
      </c>
      <c r="AG157" s="508">
        <v>200000</v>
      </c>
      <c r="AH157" s="377">
        <v>200000</v>
      </c>
      <c r="AI157" s="132"/>
      <c r="AJ157" s="132"/>
      <c r="AK157" s="132"/>
      <c r="AL157" s="132"/>
      <c r="AM157" s="132"/>
      <c r="AN157" s="64" t="s">
        <v>282</v>
      </c>
      <c r="AO157" s="64"/>
      <c r="AP157" s="64"/>
      <c r="AQ157" s="68"/>
      <c r="AR157" s="64"/>
      <c r="AS157" s="64"/>
      <c r="AT157" s="64"/>
      <c r="AU157" s="860"/>
      <c r="AV157" s="68"/>
    </row>
    <row r="158" spans="1:48" ht="14.45" customHeight="1" outlineLevel="3" x14ac:dyDescent="0.25">
      <c r="A158" s="99" t="str">
        <f>CONCATENATE(B158,".",C158,".",D158,".",E158,".",F158,".",G158)</f>
        <v>1.3.1.1.31.58</v>
      </c>
      <c r="B158" s="100">
        <v>1</v>
      </c>
      <c r="C158" s="100">
        <v>3</v>
      </c>
      <c r="D158" s="100">
        <v>1</v>
      </c>
      <c r="E158" s="100">
        <v>1</v>
      </c>
      <c r="F158" s="100">
        <v>31</v>
      </c>
      <c r="G158" s="100">
        <v>58</v>
      </c>
      <c r="H158" s="65"/>
      <c r="I158" s="65"/>
      <c r="J158" s="66"/>
      <c r="K158" s="67" t="s">
        <v>298</v>
      </c>
      <c r="L158" s="64" t="s">
        <v>359</v>
      </c>
      <c r="M158" s="64" t="s">
        <v>299</v>
      </c>
      <c r="N158" s="64"/>
      <c r="O158" s="68"/>
      <c r="P158" s="69"/>
      <c r="Q158" s="69"/>
      <c r="R158" s="124"/>
      <c r="S158" s="123"/>
      <c r="T158" s="124"/>
      <c r="U158" s="75">
        <v>30000</v>
      </c>
      <c r="V158" s="674">
        <v>20000</v>
      </c>
      <c r="W158" s="75"/>
      <c r="X158" s="75">
        <v>30000</v>
      </c>
      <c r="Y158" s="834">
        <f t="shared" si="32"/>
        <v>10000</v>
      </c>
      <c r="Z158" s="75"/>
      <c r="AA158" s="75">
        <v>20000</v>
      </c>
      <c r="AB158" s="75"/>
      <c r="AC158" s="75"/>
      <c r="AD158" s="75"/>
      <c r="AE158" s="592"/>
      <c r="AF158" s="347"/>
      <c r="AG158" s="377">
        <v>0</v>
      </c>
      <c r="AH158" s="377">
        <v>80000</v>
      </c>
      <c r="AI158" s="132"/>
      <c r="AJ158" s="132">
        <f>20000+10000</f>
        <v>30000</v>
      </c>
      <c r="AK158" s="132"/>
      <c r="AL158" s="132"/>
      <c r="AM158" s="132"/>
      <c r="AN158" s="64" t="s">
        <v>282</v>
      </c>
      <c r="AO158" s="64" t="s">
        <v>1819</v>
      </c>
      <c r="AP158" s="64" t="s">
        <v>2025</v>
      </c>
      <c r="AQ158" s="64" t="s">
        <v>2026</v>
      </c>
      <c r="AR158" s="69">
        <v>44428</v>
      </c>
      <c r="AS158" s="69">
        <v>44977</v>
      </c>
      <c r="AT158" s="64" t="s">
        <v>1814</v>
      </c>
      <c r="AU158" s="877" t="s">
        <v>2094</v>
      </c>
      <c r="AV158" s="434" t="s">
        <v>2027</v>
      </c>
    </row>
    <row r="159" spans="1:48" ht="68.25" customHeight="1" outlineLevel="1" x14ac:dyDescent="0.25">
      <c r="A159" s="80" t="str">
        <f t="shared" si="1"/>
        <v>1.3.1.2.0.0</v>
      </c>
      <c r="B159" s="81">
        <v>1</v>
      </c>
      <c r="C159" s="81">
        <v>3</v>
      </c>
      <c r="D159" s="81">
        <v>1</v>
      </c>
      <c r="E159" s="81">
        <v>2</v>
      </c>
      <c r="F159" s="81">
        <v>0</v>
      </c>
      <c r="G159" s="81">
        <v>0</v>
      </c>
      <c r="H159" s="114"/>
      <c r="I159" s="114"/>
      <c r="J159" s="1346" t="s">
        <v>300</v>
      </c>
      <c r="K159" s="1346"/>
      <c r="L159" s="81" t="s">
        <v>236</v>
      </c>
      <c r="M159" s="81" t="s">
        <v>240</v>
      </c>
      <c r="N159" s="81" t="s">
        <v>226</v>
      </c>
      <c r="O159" s="81" t="s">
        <v>241</v>
      </c>
      <c r="P159" s="118">
        <v>44571</v>
      </c>
      <c r="Q159" s="118">
        <v>44925</v>
      </c>
      <c r="R159" s="119">
        <f>R165+R164+R163+R162+R161+R160</f>
        <v>638815</v>
      </c>
      <c r="S159" s="114" t="s">
        <v>242</v>
      </c>
      <c r="T159" s="119">
        <f>+T160+T161</f>
        <v>79850</v>
      </c>
      <c r="U159" s="116">
        <f t="shared" ref="U159:AG159" si="34">SUM(U160:U180)</f>
        <v>7205352.1200000001</v>
      </c>
      <c r="V159" s="676">
        <f t="shared" si="34"/>
        <v>6396531.7899999991</v>
      </c>
      <c r="W159" s="116">
        <f t="shared" si="34"/>
        <v>88006</v>
      </c>
      <c r="X159" s="116">
        <f t="shared" si="34"/>
        <v>7302672.6899999995</v>
      </c>
      <c r="Y159" s="841">
        <f t="shared" si="34"/>
        <v>7116687.1100000003</v>
      </c>
      <c r="Z159" s="116">
        <f t="shared" si="34"/>
        <v>2879206</v>
      </c>
      <c r="AA159" s="116">
        <f t="shared" si="34"/>
        <v>10052672.689999999</v>
      </c>
      <c r="AB159" s="116">
        <f t="shared" si="34"/>
        <v>2791200</v>
      </c>
      <c r="AC159" s="116">
        <f t="shared" si="34"/>
        <v>2879221</v>
      </c>
      <c r="AD159" s="116">
        <f t="shared" si="34"/>
        <v>10271772.689999999</v>
      </c>
      <c r="AE159" s="116">
        <f t="shared" si="34"/>
        <v>0</v>
      </c>
      <c r="AF159" s="116">
        <f t="shared" si="34"/>
        <v>0</v>
      </c>
      <c r="AG159" s="116">
        <f t="shared" si="34"/>
        <v>12606041.060000001</v>
      </c>
      <c r="AH159" s="116">
        <f>SUM(AH160:AH180)</f>
        <v>32107150</v>
      </c>
      <c r="AI159" s="116">
        <f t="shared" ref="AI159" si="35">SUM(AI160:AI180)</f>
        <v>0</v>
      </c>
      <c r="AJ159" s="116">
        <f>SUM(AJ160:AJ180)</f>
        <v>13581233.850000001</v>
      </c>
      <c r="AK159" s="61"/>
      <c r="AL159" s="61"/>
      <c r="AM159" s="61"/>
      <c r="AN159" s="81" t="s">
        <v>243</v>
      </c>
      <c r="AO159" s="81"/>
      <c r="AP159" s="81"/>
      <c r="AQ159" s="412"/>
      <c r="AR159" s="81"/>
      <c r="AS159" s="474"/>
      <c r="AT159" s="81"/>
      <c r="AU159" s="663"/>
      <c r="AV159" s="433"/>
    </row>
    <row r="160" spans="1:48" ht="134.1" customHeight="1" outlineLevel="4" x14ac:dyDescent="0.25">
      <c r="A160" s="63" t="str">
        <f t="shared" si="1"/>
        <v>1.3.1.2.1.59</v>
      </c>
      <c r="B160" s="64">
        <v>1</v>
      </c>
      <c r="C160" s="64">
        <v>3</v>
      </c>
      <c r="D160" s="64">
        <v>1</v>
      </c>
      <c r="E160" s="64">
        <v>2</v>
      </c>
      <c r="F160" s="64">
        <v>1</v>
      </c>
      <c r="G160" s="64">
        <v>59</v>
      </c>
      <c r="H160" s="65"/>
      <c r="I160" s="65"/>
      <c r="J160" s="66"/>
      <c r="K160" s="65" t="s">
        <v>245</v>
      </c>
      <c r="L160" s="64" t="s">
        <v>246</v>
      </c>
      <c r="M160" s="64" t="s">
        <v>240</v>
      </c>
      <c r="N160" s="64" t="s">
        <v>247</v>
      </c>
      <c r="O160" s="64" t="s">
        <v>241</v>
      </c>
      <c r="P160" s="69">
        <v>44571</v>
      </c>
      <c r="Q160" s="69">
        <v>44925</v>
      </c>
      <c r="R160" s="126">
        <v>130000</v>
      </c>
      <c r="S160" s="123" t="s">
        <v>248</v>
      </c>
      <c r="T160" s="124">
        <f>+R160/4</f>
        <v>32500</v>
      </c>
      <c r="U160" s="75">
        <v>0</v>
      </c>
      <c r="V160" s="674">
        <v>0</v>
      </c>
      <c r="W160" s="75">
        <f>+R160/4</f>
        <v>32500</v>
      </c>
      <c r="X160" s="75">
        <v>0</v>
      </c>
      <c r="Y160" s="834">
        <f t="shared" ref="Y160:Y165" si="36">+AJ160-V160</f>
        <v>0</v>
      </c>
      <c r="Z160" s="75">
        <f>+R160/4</f>
        <v>32500</v>
      </c>
      <c r="AA160" s="75">
        <v>0</v>
      </c>
      <c r="AB160" s="75"/>
      <c r="AC160" s="75">
        <f>+R160/4</f>
        <v>32500</v>
      </c>
      <c r="AD160" s="75">
        <v>0</v>
      </c>
      <c r="AE160" s="592"/>
      <c r="AF160" s="347" t="s">
        <v>301</v>
      </c>
      <c r="AG160" s="506">
        <v>0</v>
      </c>
      <c r="AH160" s="370">
        <v>0</v>
      </c>
      <c r="AI160" s="75"/>
      <c r="AJ160" s="75"/>
      <c r="AK160" s="75"/>
      <c r="AL160" s="75"/>
      <c r="AM160" s="75"/>
      <c r="AN160" s="64" t="s">
        <v>39</v>
      </c>
      <c r="AO160" s="64"/>
      <c r="AP160" s="64"/>
      <c r="AQ160" s="189"/>
      <c r="AR160" s="64"/>
      <c r="AS160" s="476"/>
      <c r="AT160" s="64"/>
      <c r="AU160" s="646"/>
      <c r="AV160" s="335" t="s">
        <v>250</v>
      </c>
    </row>
    <row r="161" spans="1:48" ht="68.099999999999994" customHeight="1" outlineLevel="4" x14ac:dyDescent="0.25">
      <c r="A161" s="63" t="str">
        <f t="shared" si="1"/>
        <v>1.3.1.2.2.59</v>
      </c>
      <c r="B161" s="64">
        <v>1</v>
      </c>
      <c r="C161" s="64">
        <v>3</v>
      </c>
      <c r="D161" s="64">
        <v>1</v>
      </c>
      <c r="E161" s="64">
        <v>2</v>
      </c>
      <c r="F161" s="64">
        <v>2</v>
      </c>
      <c r="G161" s="64">
        <v>59</v>
      </c>
      <c r="H161" s="65"/>
      <c r="I161" s="65"/>
      <c r="J161" s="66"/>
      <c r="K161" s="65" t="s">
        <v>251</v>
      </c>
      <c r="L161" s="64" t="s">
        <v>246</v>
      </c>
      <c r="M161" s="64" t="s">
        <v>240</v>
      </c>
      <c r="N161" s="64" t="s">
        <v>252</v>
      </c>
      <c r="O161" s="64" t="s">
        <v>241</v>
      </c>
      <c r="P161" s="69">
        <v>44571</v>
      </c>
      <c r="Q161" s="69">
        <v>44925</v>
      </c>
      <c r="R161" s="126">
        <v>189400</v>
      </c>
      <c r="S161" s="123" t="s">
        <v>248</v>
      </c>
      <c r="T161" s="124">
        <f>+R161/4</f>
        <v>47350</v>
      </c>
      <c r="U161" s="75">
        <v>0</v>
      </c>
      <c r="V161" s="674">
        <v>0</v>
      </c>
      <c r="W161" s="75">
        <f>+R161/4</f>
        <v>47350</v>
      </c>
      <c r="X161" s="75">
        <v>0</v>
      </c>
      <c r="Y161" s="834">
        <f t="shared" si="36"/>
        <v>0</v>
      </c>
      <c r="Z161" s="75">
        <f>+R161/4</f>
        <v>47350</v>
      </c>
      <c r="AA161" s="75">
        <v>0</v>
      </c>
      <c r="AB161" s="75"/>
      <c r="AC161" s="75">
        <f>+R161/4</f>
        <v>47350</v>
      </c>
      <c r="AD161" s="75">
        <v>0</v>
      </c>
      <c r="AE161" s="592"/>
      <c r="AF161" s="347" t="s">
        <v>302</v>
      </c>
      <c r="AG161" s="506">
        <v>0</v>
      </c>
      <c r="AH161" s="370">
        <v>0</v>
      </c>
      <c r="AI161" s="75"/>
      <c r="AJ161" s="75"/>
      <c r="AK161" s="75"/>
      <c r="AL161" s="75"/>
      <c r="AM161" s="75"/>
      <c r="AN161" s="64" t="s">
        <v>39</v>
      </c>
      <c r="AO161" s="64"/>
      <c r="AP161" s="64"/>
      <c r="AQ161" s="189"/>
      <c r="AR161" s="64"/>
      <c r="AS161" s="476"/>
      <c r="AT161" s="64"/>
      <c r="AU161" s="646"/>
      <c r="AV161" s="335" t="s">
        <v>254</v>
      </c>
    </row>
    <row r="162" spans="1:48" ht="27" customHeight="1" outlineLevel="4" x14ac:dyDescent="0.25">
      <c r="A162" s="63" t="str">
        <f t="shared" si="1"/>
        <v>1.3.1.2.3.59</v>
      </c>
      <c r="B162" s="64">
        <v>1</v>
      </c>
      <c r="C162" s="64">
        <v>3</v>
      </c>
      <c r="D162" s="64">
        <v>1</v>
      </c>
      <c r="E162" s="64">
        <v>2</v>
      </c>
      <c r="F162" s="64">
        <v>3</v>
      </c>
      <c r="G162" s="64">
        <v>59</v>
      </c>
      <c r="H162" s="65"/>
      <c r="I162" s="65"/>
      <c r="J162" s="66"/>
      <c r="K162" s="65" t="s">
        <v>1909</v>
      </c>
      <c r="L162" s="64" t="s">
        <v>246</v>
      </c>
      <c r="M162" s="64" t="s">
        <v>256</v>
      </c>
      <c r="N162" s="64" t="s">
        <v>257</v>
      </c>
      <c r="O162" s="64" t="s">
        <v>241</v>
      </c>
      <c r="P162" s="69">
        <v>44571</v>
      </c>
      <c r="Q162" s="69">
        <v>44925</v>
      </c>
      <c r="R162" s="126"/>
      <c r="S162" s="123" t="s">
        <v>258</v>
      </c>
      <c r="T162" s="124"/>
      <c r="U162" s="132">
        <v>1341200</v>
      </c>
      <c r="V162" s="674">
        <v>1206450</v>
      </c>
      <c r="W162" s="127"/>
      <c r="X162" s="132">
        <v>2791200</v>
      </c>
      <c r="Y162" s="834">
        <f t="shared" si="36"/>
        <v>2135200</v>
      </c>
      <c r="Z162" s="79">
        <v>2791200</v>
      </c>
      <c r="AA162" s="132">
        <f>+(AH162-U162-X162)/2</f>
        <v>5766200</v>
      </c>
      <c r="AB162" s="127">
        <v>2791200</v>
      </c>
      <c r="AC162" s="127">
        <v>2791200</v>
      </c>
      <c r="AD162" s="132">
        <f>+AH162-U162-X162-AA162</f>
        <v>5766200</v>
      </c>
      <c r="AE162" s="596"/>
      <c r="AF162" s="347" t="s">
        <v>303</v>
      </c>
      <c r="AG162" s="506">
        <v>831850</v>
      </c>
      <c r="AH162" s="371">
        <v>15664800</v>
      </c>
      <c r="AI162" s="78"/>
      <c r="AJ162" s="78">
        <f>287650+268800+276400+373600+694400+727600+713200</f>
        <v>3341650</v>
      </c>
      <c r="AK162" s="78"/>
      <c r="AL162" s="78"/>
      <c r="AM162" s="78"/>
      <c r="AN162" s="64" t="s">
        <v>39</v>
      </c>
      <c r="AO162" s="64" t="s">
        <v>1839</v>
      </c>
      <c r="AP162" s="64" t="s">
        <v>649</v>
      </c>
      <c r="AQ162" s="533" t="s">
        <v>649</v>
      </c>
      <c r="AR162" s="554">
        <v>44562</v>
      </c>
      <c r="AS162" s="554">
        <v>44926</v>
      </c>
      <c r="AT162" s="64" t="s">
        <v>1814</v>
      </c>
      <c r="AU162" s="877" t="s">
        <v>2097</v>
      </c>
      <c r="AV162" s="561" t="s">
        <v>2098</v>
      </c>
    </row>
    <row r="163" spans="1:48" ht="38.1" customHeight="1" outlineLevel="4" x14ac:dyDescent="0.25">
      <c r="A163" s="63" t="str">
        <f t="shared" si="1"/>
        <v>1.3.1.2.4.59</v>
      </c>
      <c r="B163" s="64">
        <v>1</v>
      </c>
      <c r="C163" s="64">
        <v>3</v>
      </c>
      <c r="D163" s="64">
        <v>1</v>
      </c>
      <c r="E163" s="64">
        <v>2</v>
      </c>
      <c r="F163" s="64">
        <v>4</v>
      </c>
      <c r="G163" s="64">
        <v>59</v>
      </c>
      <c r="H163" s="65"/>
      <c r="I163" s="65"/>
      <c r="J163" s="66"/>
      <c r="K163" s="65" t="s">
        <v>304</v>
      </c>
      <c r="L163" s="64" t="s">
        <v>246</v>
      </c>
      <c r="M163" s="64" t="s">
        <v>240</v>
      </c>
      <c r="N163" s="64" t="s">
        <v>247</v>
      </c>
      <c r="O163" s="64" t="s">
        <v>241</v>
      </c>
      <c r="P163" s="69">
        <v>44571</v>
      </c>
      <c r="Q163" s="69">
        <v>44925</v>
      </c>
      <c r="R163" s="126">
        <v>130000</v>
      </c>
      <c r="S163" s="123" t="s">
        <v>248</v>
      </c>
      <c r="T163" s="124">
        <f>+R163/4</f>
        <v>32500</v>
      </c>
      <c r="U163" s="75">
        <v>0</v>
      </c>
      <c r="V163" s="674">
        <v>0</v>
      </c>
      <c r="W163" s="75">
        <v>2186</v>
      </c>
      <c r="X163" s="75">
        <v>0</v>
      </c>
      <c r="Y163" s="834">
        <f t="shared" si="36"/>
        <v>0</v>
      </c>
      <c r="Z163" s="75">
        <v>2186</v>
      </c>
      <c r="AA163" s="75">
        <v>0</v>
      </c>
      <c r="AB163" s="75"/>
      <c r="AC163" s="75">
        <v>2186</v>
      </c>
      <c r="AD163" s="75">
        <v>0</v>
      </c>
      <c r="AE163" s="592"/>
      <c r="AF163" s="348" t="s">
        <v>260</v>
      </c>
      <c r="AG163" s="505">
        <v>0</v>
      </c>
      <c r="AH163" s="370">
        <v>0</v>
      </c>
      <c r="AI163" s="75"/>
      <c r="AJ163" s="75"/>
      <c r="AK163" s="75"/>
      <c r="AL163" s="75"/>
      <c r="AM163" s="75"/>
      <c r="AN163" s="64" t="s">
        <v>39</v>
      </c>
      <c r="AO163" s="64"/>
      <c r="AP163" s="64"/>
      <c r="AQ163" s="189"/>
      <c r="AR163" s="64"/>
      <c r="AS163" s="476"/>
      <c r="AT163" s="64"/>
      <c r="AU163" s="646"/>
      <c r="AV163" s="335" t="s">
        <v>261</v>
      </c>
    </row>
    <row r="164" spans="1:48" ht="35.450000000000003" customHeight="1" outlineLevel="4" x14ac:dyDescent="0.25">
      <c r="A164" s="63" t="str">
        <f t="shared" si="1"/>
        <v>1.3.1.2.5.59</v>
      </c>
      <c r="B164" s="64">
        <v>1</v>
      </c>
      <c r="C164" s="64">
        <v>3</v>
      </c>
      <c r="D164" s="64">
        <v>1</v>
      </c>
      <c r="E164" s="64">
        <v>2</v>
      </c>
      <c r="F164" s="64">
        <v>5</v>
      </c>
      <c r="G164" s="64">
        <v>59</v>
      </c>
      <c r="H164" s="65"/>
      <c r="I164" s="65"/>
      <c r="J164" s="66"/>
      <c r="K164" s="65" t="s">
        <v>305</v>
      </c>
      <c r="L164" s="64" t="s">
        <v>246</v>
      </c>
      <c r="M164" s="64" t="s">
        <v>240</v>
      </c>
      <c r="N164" s="64" t="s">
        <v>252</v>
      </c>
      <c r="O164" s="64" t="s">
        <v>241</v>
      </c>
      <c r="P164" s="69">
        <v>44571</v>
      </c>
      <c r="Q164" s="69">
        <v>44925</v>
      </c>
      <c r="R164" s="126">
        <v>189400</v>
      </c>
      <c r="S164" s="123" t="s">
        <v>248</v>
      </c>
      <c r="T164" s="124">
        <f>+R164/4</f>
        <v>47350</v>
      </c>
      <c r="U164" s="75">
        <v>0</v>
      </c>
      <c r="V164" s="674">
        <v>0</v>
      </c>
      <c r="W164" s="75">
        <v>5967</v>
      </c>
      <c r="X164" s="75">
        <v>0</v>
      </c>
      <c r="Y164" s="834">
        <f t="shared" si="36"/>
        <v>0</v>
      </c>
      <c r="Z164" s="75">
        <v>5967</v>
      </c>
      <c r="AA164" s="75">
        <v>0</v>
      </c>
      <c r="AB164" s="75"/>
      <c r="AC164" s="75">
        <v>5967</v>
      </c>
      <c r="AD164" s="75">
        <v>0</v>
      </c>
      <c r="AE164" s="592"/>
      <c r="AF164" s="348" t="s">
        <v>260</v>
      </c>
      <c r="AG164" s="505">
        <v>0</v>
      </c>
      <c r="AH164" s="370">
        <v>0</v>
      </c>
      <c r="AI164" s="75"/>
      <c r="AJ164" s="75"/>
      <c r="AK164" s="75"/>
      <c r="AL164" s="75"/>
      <c r="AM164" s="75"/>
      <c r="AN164" s="64" t="s">
        <v>39</v>
      </c>
      <c r="AO164" s="64"/>
      <c r="AP164" s="64"/>
      <c r="AQ164" s="189"/>
      <c r="AR164" s="64"/>
      <c r="AS164" s="476"/>
      <c r="AT164" s="64"/>
      <c r="AU164" s="646"/>
      <c r="AV164" s="335" t="s">
        <v>261</v>
      </c>
    </row>
    <row r="165" spans="1:48" ht="33" customHeight="1" outlineLevel="4" x14ac:dyDescent="0.25">
      <c r="A165" s="63" t="str">
        <f t="shared" si="1"/>
        <v>1.3.1.2.6.59</v>
      </c>
      <c r="B165" s="64">
        <v>1</v>
      </c>
      <c r="C165" s="64">
        <v>3</v>
      </c>
      <c r="D165" s="64">
        <v>1</v>
      </c>
      <c r="E165" s="64">
        <v>2</v>
      </c>
      <c r="F165" s="64">
        <v>6</v>
      </c>
      <c r="G165" s="64">
        <v>59</v>
      </c>
      <c r="H165" s="65"/>
      <c r="I165" s="65"/>
      <c r="J165" s="66"/>
      <c r="K165" s="65" t="s">
        <v>263</v>
      </c>
      <c r="L165" s="64" t="s">
        <v>264</v>
      </c>
      <c r="M165" s="64" t="s">
        <v>144</v>
      </c>
      <c r="N165" s="64" t="s">
        <v>265</v>
      </c>
      <c r="O165" s="64" t="s">
        <v>266</v>
      </c>
      <c r="P165" s="69">
        <v>44571</v>
      </c>
      <c r="Q165" s="69">
        <v>44925</v>
      </c>
      <c r="R165" s="124">
        <v>15</v>
      </c>
      <c r="S165" s="123" t="s">
        <v>258</v>
      </c>
      <c r="T165" s="124"/>
      <c r="U165" s="75">
        <v>0</v>
      </c>
      <c r="V165" s="674">
        <v>0</v>
      </c>
      <c r="W165" s="75"/>
      <c r="X165" s="75">
        <v>0</v>
      </c>
      <c r="Y165" s="834">
        <f t="shared" si="36"/>
        <v>0</v>
      </c>
      <c r="Z165" s="75"/>
      <c r="AA165" s="75">
        <v>0</v>
      </c>
      <c r="AB165" s="75"/>
      <c r="AC165" s="75">
        <v>15</v>
      </c>
      <c r="AD165" s="75">
        <f>+AH165</f>
        <v>139100</v>
      </c>
      <c r="AE165" s="592"/>
      <c r="AF165" s="347" t="s">
        <v>144</v>
      </c>
      <c r="AG165" s="506">
        <v>139100</v>
      </c>
      <c r="AH165" s="370">
        <f>+((1*500)+(14*450)*22)</f>
        <v>139100</v>
      </c>
      <c r="AI165" s="75"/>
      <c r="AJ165" s="75"/>
      <c r="AK165" s="75"/>
      <c r="AL165" s="75"/>
      <c r="AM165" s="75"/>
      <c r="AN165" s="64" t="s">
        <v>181</v>
      </c>
      <c r="AO165" s="165"/>
      <c r="AP165" s="165"/>
      <c r="AQ165" s="413"/>
      <c r="AR165" s="64"/>
      <c r="AS165" s="475"/>
      <c r="AT165" s="64"/>
      <c r="AU165" s="646"/>
      <c r="AV165" s="432" t="s">
        <v>268</v>
      </c>
    </row>
    <row r="166" spans="1:48" ht="33" customHeight="1" outlineLevel="4" x14ac:dyDescent="0.25">
      <c r="A166" s="63" t="str">
        <f t="shared" si="1"/>
        <v>1.3.1.2.7.59</v>
      </c>
      <c r="B166" s="64">
        <v>1</v>
      </c>
      <c r="C166" s="64">
        <v>3</v>
      </c>
      <c r="D166" s="64">
        <v>1</v>
      </c>
      <c r="E166" s="64">
        <v>2</v>
      </c>
      <c r="F166" s="64">
        <v>7</v>
      </c>
      <c r="G166" s="64">
        <v>59</v>
      </c>
      <c r="H166" s="65"/>
      <c r="I166" s="65"/>
      <c r="J166" s="66"/>
      <c r="K166" s="65" t="s">
        <v>2024</v>
      </c>
      <c r="L166" s="64"/>
      <c r="M166" s="64"/>
      <c r="N166" s="64"/>
      <c r="O166" s="64"/>
      <c r="P166" s="69"/>
      <c r="Q166" s="69"/>
      <c r="R166" s="124"/>
      <c r="S166" s="123"/>
      <c r="T166" s="124"/>
      <c r="U166" s="75"/>
      <c r="V166" s="674"/>
      <c r="W166" s="75"/>
      <c r="X166" s="75"/>
      <c r="Y166" s="834"/>
      <c r="Z166" s="75"/>
      <c r="AA166" s="75"/>
      <c r="AB166" s="75"/>
      <c r="AC166" s="75"/>
      <c r="AD166" s="75"/>
      <c r="AE166" s="592"/>
      <c r="AF166" s="347"/>
      <c r="AG166" s="506"/>
      <c r="AH166" s="370"/>
      <c r="AI166" s="75"/>
      <c r="AJ166" s="75">
        <v>68014.95</v>
      </c>
      <c r="AK166" s="75"/>
      <c r="AL166" s="75"/>
      <c r="AM166" s="75"/>
      <c r="AN166" s="136" t="s">
        <v>39</v>
      </c>
      <c r="AO166" s="165" t="s">
        <v>1819</v>
      </c>
      <c r="AP166" s="165" t="s">
        <v>2190</v>
      </c>
      <c r="AQ166" s="413" t="s">
        <v>2191</v>
      </c>
      <c r="AR166" s="69">
        <v>44603</v>
      </c>
      <c r="AS166" s="562">
        <v>44631</v>
      </c>
      <c r="AT166" s="69">
        <v>44603</v>
      </c>
      <c r="AU166" s="879">
        <v>1163</v>
      </c>
      <c r="AV166" s="432"/>
    </row>
    <row r="167" spans="1:48" ht="53.1" customHeight="1" outlineLevel="4" x14ac:dyDescent="0.25">
      <c r="A167" s="63" t="str">
        <f t="shared" si="1"/>
        <v>1.3.1.2.9.59</v>
      </c>
      <c r="B167" s="64">
        <v>1</v>
      </c>
      <c r="C167" s="64">
        <v>3</v>
      </c>
      <c r="D167" s="64">
        <v>1</v>
      </c>
      <c r="E167" s="64">
        <v>2</v>
      </c>
      <c r="F167" s="64">
        <v>9</v>
      </c>
      <c r="G167" s="64">
        <v>59</v>
      </c>
      <c r="H167" s="65"/>
      <c r="I167" s="65"/>
      <c r="J167" s="66"/>
      <c r="K167" s="67" t="s">
        <v>306</v>
      </c>
      <c r="L167" s="68" t="s">
        <v>270</v>
      </c>
      <c r="M167" s="64" t="s">
        <v>271</v>
      </c>
      <c r="N167" s="64" t="s">
        <v>307</v>
      </c>
      <c r="O167" s="64" t="s">
        <v>72</v>
      </c>
      <c r="P167" s="69">
        <v>44571</v>
      </c>
      <c r="Q167" s="69">
        <v>44925</v>
      </c>
      <c r="R167" s="124"/>
      <c r="S167" s="123"/>
      <c r="T167" s="124"/>
      <c r="U167" s="75">
        <f>$AH$167</f>
        <v>437500</v>
      </c>
      <c r="V167" s="674">
        <v>0</v>
      </c>
      <c r="W167" s="75"/>
      <c r="X167" s="75">
        <v>0</v>
      </c>
      <c r="Y167" s="834">
        <f t="shared" ref="Y167:Y180" si="37">+AJ167-V167</f>
        <v>0</v>
      </c>
      <c r="Z167" s="75"/>
      <c r="AA167" s="75">
        <v>0</v>
      </c>
      <c r="AB167" s="75"/>
      <c r="AC167" s="75"/>
      <c r="AD167" s="75">
        <v>0</v>
      </c>
      <c r="AE167" s="592"/>
      <c r="AF167" s="347" t="s">
        <v>73</v>
      </c>
      <c r="AG167" s="506">
        <v>437500</v>
      </c>
      <c r="AH167" s="370">
        <v>437500</v>
      </c>
      <c r="AI167" s="75"/>
      <c r="AJ167" s="75"/>
      <c r="AK167" s="75"/>
      <c r="AL167" s="75"/>
      <c r="AM167" s="75"/>
      <c r="AN167" s="64" t="s">
        <v>39</v>
      </c>
      <c r="AO167" s="64"/>
      <c r="AP167" s="64"/>
      <c r="AQ167" s="189"/>
      <c r="AR167" s="64"/>
      <c r="AS167" s="476"/>
      <c r="AT167" s="64"/>
      <c r="AU167" s="646"/>
      <c r="AV167" s="335" t="s">
        <v>273</v>
      </c>
    </row>
    <row r="168" spans="1:48" ht="44.25" customHeight="1" outlineLevel="4" x14ac:dyDescent="0.25">
      <c r="A168" s="63" t="str">
        <f t="shared" si="1"/>
        <v>1.3.1.2.11.59</v>
      </c>
      <c r="B168" s="64">
        <v>1</v>
      </c>
      <c r="C168" s="64">
        <v>3</v>
      </c>
      <c r="D168" s="64">
        <v>1</v>
      </c>
      <c r="E168" s="64">
        <v>2</v>
      </c>
      <c r="F168" s="64">
        <v>11</v>
      </c>
      <c r="G168" s="64">
        <v>59</v>
      </c>
      <c r="H168" s="65"/>
      <c r="I168" s="65"/>
      <c r="J168" s="66"/>
      <c r="K168" s="125" t="s">
        <v>308</v>
      </c>
      <c r="L168" s="68" t="s">
        <v>72</v>
      </c>
      <c r="M168" s="64" t="s">
        <v>267</v>
      </c>
      <c r="N168" s="64" t="s">
        <v>265</v>
      </c>
      <c r="O168" s="64" t="s">
        <v>275</v>
      </c>
      <c r="P168" s="69">
        <v>44571</v>
      </c>
      <c r="Q168" s="69">
        <v>44925</v>
      </c>
      <c r="R168" s="124">
        <v>12</v>
      </c>
      <c r="S168" s="123"/>
      <c r="T168" s="124">
        <v>3</v>
      </c>
      <c r="U168" s="75">
        <v>4936652.12</v>
      </c>
      <c r="V168" s="674">
        <v>4972500.6899999995</v>
      </c>
      <c r="W168" s="75">
        <v>3</v>
      </c>
      <c r="X168" s="78">
        <v>4156472.69</v>
      </c>
      <c r="Y168" s="834">
        <f t="shared" si="37"/>
        <v>4950595.59</v>
      </c>
      <c r="Z168" s="75">
        <v>3</v>
      </c>
      <c r="AA168" s="78">
        <v>4056472.69</v>
      </c>
      <c r="AB168" s="75"/>
      <c r="AC168" s="75">
        <v>3</v>
      </c>
      <c r="AD168" s="78">
        <v>4156472.69</v>
      </c>
      <c r="AE168" s="592"/>
      <c r="AF168" s="259" t="s">
        <v>309</v>
      </c>
      <c r="AG168" s="506">
        <v>8670375</v>
      </c>
      <c r="AH168" s="370">
        <v>14580750</v>
      </c>
      <c r="AI168" s="75"/>
      <c r="AJ168" s="75">
        <f>155641.5+1465350.23+17293.5+1638285.23+28822.5+1667107.73+1678636.73+1630214.93+1641743.93</f>
        <v>9923096.2799999993</v>
      </c>
      <c r="AK168" s="75"/>
      <c r="AL168" s="75"/>
      <c r="AM168" s="75"/>
      <c r="AN168" s="64" t="s">
        <v>39</v>
      </c>
      <c r="AO168" s="165" t="s">
        <v>144</v>
      </c>
      <c r="AP168" s="165" t="s">
        <v>649</v>
      </c>
      <c r="AQ168" s="557" t="s">
        <v>649</v>
      </c>
      <c r="AR168" s="558">
        <v>44562</v>
      </c>
      <c r="AS168" s="559">
        <v>44926</v>
      </c>
      <c r="AT168" s="64" t="s">
        <v>1814</v>
      </c>
      <c r="AU168" s="875" t="s">
        <v>2058</v>
      </c>
      <c r="AV168" s="438" t="s">
        <v>2069</v>
      </c>
    </row>
    <row r="169" spans="1:48" ht="14.45" customHeight="1" outlineLevel="4" x14ac:dyDescent="0.25">
      <c r="A169" s="63" t="str">
        <f t="shared" si="1"/>
        <v>1.3.1.2.14.59</v>
      </c>
      <c r="B169" s="64">
        <v>1</v>
      </c>
      <c r="C169" s="64">
        <v>3</v>
      </c>
      <c r="D169" s="64">
        <v>1</v>
      </c>
      <c r="E169" s="64">
        <v>2</v>
      </c>
      <c r="F169" s="64">
        <v>14</v>
      </c>
      <c r="G169" s="64">
        <v>59</v>
      </c>
      <c r="H169" s="65"/>
      <c r="I169" s="65"/>
      <c r="J169" s="66"/>
      <c r="K169" s="67" t="s">
        <v>276</v>
      </c>
      <c r="L169" s="68" t="s">
        <v>72</v>
      </c>
      <c r="M169" s="64" t="s">
        <v>271</v>
      </c>
      <c r="N169" s="64" t="s">
        <v>74</v>
      </c>
      <c r="O169" s="64" t="s">
        <v>277</v>
      </c>
      <c r="P169" s="69">
        <v>44571</v>
      </c>
      <c r="Q169" s="69">
        <v>44925</v>
      </c>
      <c r="R169" s="124"/>
      <c r="S169" s="123"/>
      <c r="T169" s="124"/>
      <c r="U169" s="75">
        <f>$AH$169/4</f>
        <v>85000</v>
      </c>
      <c r="V169" s="674">
        <v>125904.92</v>
      </c>
      <c r="W169" s="75"/>
      <c r="X169" s="75">
        <f>$AH$169/4</f>
        <v>85000</v>
      </c>
      <c r="Y169" s="834">
        <f t="shared" si="37"/>
        <v>0</v>
      </c>
      <c r="Z169" s="75"/>
      <c r="AA169" s="75">
        <f>$AH$169/4</f>
        <v>85000</v>
      </c>
      <c r="AB169" s="75"/>
      <c r="AC169" s="75"/>
      <c r="AD169" s="75">
        <f>$AH$169/4</f>
        <v>85000</v>
      </c>
      <c r="AE169" s="592"/>
      <c r="AF169" s="347" t="s">
        <v>278</v>
      </c>
      <c r="AG169" s="506">
        <v>250000</v>
      </c>
      <c r="AH169" s="375">
        <v>340000</v>
      </c>
      <c r="AI169" s="129"/>
      <c r="AJ169" s="129">
        <v>125904.92</v>
      </c>
      <c r="AK169" s="129"/>
      <c r="AL169" s="129"/>
      <c r="AM169" s="129"/>
      <c r="AN169" s="189" t="s">
        <v>39</v>
      </c>
      <c r="AO169" s="64" t="s">
        <v>1819</v>
      </c>
      <c r="AP169" s="68" t="s">
        <v>1831</v>
      </c>
      <c r="AQ169" s="68" t="s">
        <v>1830</v>
      </c>
      <c r="AR169" s="64"/>
      <c r="AS169" s="64"/>
      <c r="AT169" s="544" t="s">
        <v>1832</v>
      </c>
      <c r="AU169" s="648">
        <v>125</v>
      </c>
      <c r="AV169" s="68" t="s">
        <v>2053</v>
      </c>
    </row>
    <row r="170" spans="1:48" ht="14.45" customHeight="1" outlineLevel="4" x14ac:dyDescent="0.25">
      <c r="A170" s="63" t="str">
        <f t="shared" si="1"/>
        <v>1.3.1.2.15.59</v>
      </c>
      <c r="B170" s="64">
        <v>1</v>
      </c>
      <c r="C170" s="64">
        <v>3</v>
      </c>
      <c r="D170" s="64">
        <v>1</v>
      </c>
      <c r="E170" s="64">
        <v>2</v>
      </c>
      <c r="F170" s="64">
        <v>15</v>
      </c>
      <c r="G170" s="64">
        <v>59</v>
      </c>
      <c r="H170" s="65"/>
      <c r="I170" s="65"/>
      <c r="J170" s="66"/>
      <c r="K170" s="67" t="s">
        <v>1890</v>
      </c>
      <c r="L170" s="64" t="s">
        <v>72</v>
      </c>
      <c r="M170" s="64" t="s">
        <v>279</v>
      </c>
      <c r="N170" s="64" t="s">
        <v>74</v>
      </c>
      <c r="O170" s="68" t="s">
        <v>277</v>
      </c>
      <c r="P170" s="69">
        <v>44571</v>
      </c>
      <c r="Q170" s="69">
        <v>44925</v>
      </c>
      <c r="R170" s="124"/>
      <c r="S170" s="123"/>
      <c r="T170" s="124"/>
      <c r="U170" s="75">
        <v>100000</v>
      </c>
      <c r="V170" s="674">
        <v>51202.130000000005</v>
      </c>
      <c r="W170" s="75"/>
      <c r="X170" s="75">
        <v>100000</v>
      </c>
      <c r="Y170" s="834">
        <f t="shared" si="37"/>
        <v>17646.190000000002</v>
      </c>
      <c r="Z170" s="75"/>
      <c r="AA170" s="75"/>
      <c r="AB170" s="75"/>
      <c r="AC170" s="75"/>
      <c r="AD170" s="75"/>
      <c r="AE170" s="592"/>
      <c r="AF170" s="259" t="s">
        <v>279</v>
      </c>
      <c r="AG170" s="506">
        <v>200000</v>
      </c>
      <c r="AH170" s="377">
        <v>200000</v>
      </c>
      <c r="AI170" s="132"/>
      <c r="AJ170" s="536">
        <f>8084.68+8344.29+7349.71+27423.45+17646.19</f>
        <v>68848.320000000007</v>
      </c>
      <c r="AK170" s="132"/>
      <c r="AL170" s="132"/>
      <c r="AM170" s="132"/>
      <c r="AN170" s="189" t="s">
        <v>39</v>
      </c>
      <c r="AO170" s="165" t="s">
        <v>1819</v>
      </c>
      <c r="AP170" s="68" t="s">
        <v>2110</v>
      </c>
      <c r="AQ170" s="68" t="s">
        <v>2111</v>
      </c>
      <c r="AR170" s="544" t="s">
        <v>2108</v>
      </c>
      <c r="AS170" s="544" t="s">
        <v>2109</v>
      </c>
      <c r="AT170" s="460"/>
      <c r="AU170" s="891" t="s">
        <v>2248</v>
      </c>
      <c r="AV170" s="538" t="s">
        <v>2019</v>
      </c>
    </row>
    <row r="171" spans="1:48" ht="14.45" customHeight="1" outlineLevel="4" x14ac:dyDescent="0.25">
      <c r="A171" s="63" t="str">
        <f t="shared" si="1"/>
        <v>1.3.1.2.20.59</v>
      </c>
      <c r="B171" s="64">
        <v>1</v>
      </c>
      <c r="C171" s="64">
        <v>3</v>
      </c>
      <c r="D171" s="64">
        <v>1</v>
      </c>
      <c r="E171" s="64">
        <v>2</v>
      </c>
      <c r="F171" s="64">
        <v>20</v>
      </c>
      <c r="G171" s="64">
        <v>59</v>
      </c>
      <c r="H171" s="65"/>
      <c r="I171" s="65"/>
      <c r="J171" s="66"/>
      <c r="K171" s="65" t="s">
        <v>280</v>
      </c>
      <c r="L171" s="68" t="s">
        <v>72</v>
      </c>
      <c r="M171" s="64" t="s">
        <v>271</v>
      </c>
      <c r="N171" s="64" t="s">
        <v>74</v>
      </c>
      <c r="O171" s="64" t="s">
        <v>281</v>
      </c>
      <c r="P171" s="69">
        <v>44571</v>
      </c>
      <c r="Q171" s="131">
        <v>44925</v>
      </c>
      <c r="R171" s="124"/>
      <c r="S171" s="123"/>
      <c r="T171" s="124"/>
      <c r="U171" s="75">
        <v>30000</v>
      </c>
      <c r="V171" s="674">
        <v>0</v>
      </c>
      <c r="W171" s="75"/>
      <c r="X171" s="75"/>
      <c r="Y171" s="834">
        <f t="shared" si="37"/>
        <v>0</v>
      </c>
      <c r="Z171" s="75"/>
      <c r="AA171" s="75"/>
      <c r="AB171" s="75"/>
      <c r="AC171" s="75"/>
      <c r="AD171" s="75"/>
      <c r="AE171" s="592"/>
      <c r="AF171" s="347" t="s">
        <v>166</v>
      </c>
      <c r="AG171" s="506">
        <v>30000</v>
      </c>
      <c r="AH171" s="377">
        <v>30000</v>
      </c>
      <c r="AI171" s="132"/>
      <c r="AJ171" s="132"/>
      <c r="AK171" s="132"/>
      <c r="AL171" s="132"/>
      <c r="AM171" s="132"/>
      <c r="AN171" s="64" t="s">
        <v>39</v>
      </c>
      <c r="AO171" s="64"/>
      <c r="AP171" s="64"/>
      <c r="AQ171" s="64"/>
      <c r="AR171" s="245"/>
      <c r="AS171" s="64"/>
      <c r="AT171" s="64"/>
      <c r="AU171" s="646"/>
      <c r="AV171" s="434"/>
    </row>
    <row r="172" spans="1:48" ht="14.45" customHeight="1" outlineLevel="4" x14ac:dyDescent="0.25">
      <c r="A172" s="63" t="str">
        <f t="shared" si="1"/>
        <v>1.3.1.2.21.59</v>
      </c>
      <c r="B172" s="64">
        <v>1</v>
      </c>
      <c r="C172" s="64">
        <v>3</v>
      </c>
      <c r="D172" s="64">
        <v>1</v>
      </c>
      <c r="E172" s="64">
        <v>2</v>
      </c>
      <c r="F172" s="64">
        <v>21</v>
      </c>
      <c r="G172" s="64">
        <v>59</v>
      </c>
      <c r="H172" s="65"/>
      <c r="I172" s="65"/>
      <c r="J172" s="66"/>
      <c r="K172" s="67" t="s">
        <v>310</v>
      </c>
      <c r="L172" s="68" t="s">
        <v>72</v>
      </c>
      <c r="M172" s="64" t="s">
        <v>271</v>
      </c>
      <c r="N172" s="64" t="s">
        <v>74</v>
      </c>
      <c r="O172" s="64" t="s">
        <v>281</v>
      </c>
      <c r="P172" s="69">
        <v>44571</v>
      </c>
      <c r="Q172" s="131">
        <v>44925</v>
      </c>
      <c r="R172" s="124"/>
      <c r="S172" s="123"/>
      <c r="T172" s="124"/>
      <c r="U172" s="75"/>
      <c r="V172" s="674">
        <v>0</v>
      </c>
      <c r="W172" s="75"/>
      <c r="X172" s="75">
        <v>10000</v>
      </c>
      <c r="Y172" s="834">
        <f t="shared" si="37"/>
        <v>0</v>
      </c>
      <c r="Z172" s="75"/>
      <c r="AA172" s="75"/>
      <c r="AB172" s="75"/>
      <c r="AC172" s="75"/>
      <c r="AD172" s="75"/>
      <c r="AE172" s="592"/>
      <c r="AF172" s="347" t="s">
        <v>166</v>
      </c>
      <c r="AG172" s="506">
        <v>10000</v>
      </c>
      <c r="AH172" s="377">
        <v>10000</v>
      </c>
      <c r="AI172" s="132"/>
      <c r="AJ172" s="132"/>
      <c r="AK172" s="132"/>
      <c r="AL172" s="132"/>
      <c r="AM172" s="132"/>
      <c r="AN172" s="64" t="s">
        <v>39</v>
      </c>
      <c r="AO172" s="64"/>
      <c r="AP172" s="64"/>
      <c r="AQ172" s="64"/>
      <c r="AR172" s="64"/>
      <c r="AS172" s="64"/>
      <c r="AT172" s="64"/>
      <c r="AU172" s="646"/>
      <c r="AV172" s="434"/>
    </row>
    <row r="173" spans="1:48" ht="21.75" customHeight="1" outlineLevel="4" x14ac:dyDescent="0.25">
      <c r="A173" s="63" t="str">
        <f t="shared" si="1"/>
        <v>1.3.1.2.22.59</v>
      </c>
      <c r="B173" s="64">
        <v>1</v>
      </c>
      <c r="C173" s="64">
        <v>3</v>
      </c>
      <c r="D173" s="64">
        <v>1</v>
      </c>
      <c r="E173" s="64">
        <v>2</v>
      </c>
      <c r="F173" s="64">
        <v>22</v>
      </c>
      <c r="G173" s="64">
        <v>59</v>
      </c>
      <c r="H173" s="65"/>
      <c r="I173" s="65"/>
      <c r="J173" s="66"/>
      <c r="K173" s="65" t="s">
        <v>284</v>
      </c>
      <c r="L173" s="68" t="s">
        <v>72</v>
      </c>
      <c r="M173" s="64" t="s">
        <v>271</v>
      </c>
      <c r="N173" s="64" t="s">
        <v>74</v>
      </c>
      <c r="O173" s="64" t="s">
        <v>281</v>
      </c>
      <c r="P173" s="69">
        <v>44571</v>
      </c>
      <c r="Q173" s="69">
        <v>44925</v>
      </c>
      <c r="R173" s="124"/>
      <c r="S173" s="123"/>
      <c r="T173" s="124"/>
      <c r="U173" s="75">
        <f>+AH173</f>
        <v>115000</v>
      </c>
      <c r="V173" s="674">
        <v>0</v>
      </c>
      <c r="W173" s="75"/>
      <c r="X173" s="75"/>
      <c r="Y173" s="834">
        <f t="shared" si="37"/>
        <v>0</v>
      </c>
      <c r="Z173" s="75"/>
      <c r="AA173" s="75"/>
      <c r="AB173" s="75"/>
      <c r="AC173" s="75"/>
      <c r="AD173" s="75"/>
      <c r="AE173" s="592"/>
      <c r="AF173" s="347" t="s">
        <v>166</v>
      </c>
      <c r="AG173" s="506">
        <v>30000</v>
      </c>
      <c r="AH173" s="377">
        <v>115000</v>
      </c>
      <c r="AI173" s="132"/>
      <c r="AJ173" s="132"/>
      <c r="AK173" s="132"/>
      <c r="AL173" s="132"/>
      <c r="AM173" s="132"/>
      <c r="AN173" s="64" t="s">
        <v>39</v>
      </c>
      <c r="AO173" s="64"/>
      <c r="AP173" s="64"/>
      <c r="AQ173" s="64"/>
      <c r="AR173" s="64"/>
      <c r="AS173" s="64"/>
      <c r="AT173" s="64"/>
      <c r="AU173" s="646"/>
      <c r="AV173" s="434"/>
    </row>
    <row r="174" spans="1:48" ht="21.75" customHeight="1" outlineLevel="4" x14ac:dyDescent="0.25">
      <c r="A174" s="63" t="str">
        <f t="shared" si="1"/>
        <v>1.3.1.2.24.59</v>
      </c>
      <c r="B174" s="64">
        <v>1</v>
      </c>
      <c r="C174" s="64">
        <v>3</v>
      </c>
      <c r="D174" s="64">
        <v>1</v>
      </c>
      <c r="E174" s="64">
        <v>2</v>
      </c>
      <c r="F174" s="64">
        <v>24</v>
      </c>
      <c r="G174" s="64">
        <v>59</v>
      </c>
      <c r="H174" s="65"/>
      <c r="I174" s="65"/>
      <c r="J174" s="66"/>
      <c r="K174" s="65" t="s">
        <v>285</v>
      </c>
      <c r="L174" s="68" t="s">
        <v>72</v>
      </c>
      <c r="M174" s="64" t="s">
        <v>279</v>
      </c>
      <c r="N174" s="64" t="s">
        <v>74</v>
      </c>
      <c r="O174" s="64" t="s">
        <v>281</v>
      </c>
      <c r="P174" s="69">
        <v>44571</v>
      </c>
      <c r="Q174" s="131">
        <v>44925</v>
      </c>
      <c r="R174" s="124"/>
      <c r="S174" s="123"/>
      <c r="T174" s="124"/>
      <c r="U174" s="75">
        <v>5000</v>
      </c>
      <c r="V174" s="674">
        <v>0</v>
      </c>
      <c r="W174" s="75"/>
      <c r="X174" s="75">
        <v>5000</v>
      </c>
      <c r="Y174" s="834">
        <f t="shared" si="37"/>
        <v>0</v>
      </c>
      <c r="Z174" s="75"/>
      <c r="AA174" s="75"/>
      <c r="AB174" s="75"/>
      <c r="AC174" s="75"/>
      <c r="AD174" s="75"/>
      <c r="AE174" s="592"/>
      <c r="AF174" s="259" t="s">
        <v>279</v>
      </c>
      <c r="AG174" s="506">
        <v>10000</v>
      </c>
      <c r="AH174" s="377">
        <v>10000</v>
      </c>
      <c r="AI174" s="132"/>
      <c r="AJ174" s="132"/>
      <c r="AK174" s="132"/>
      <c r="AL174" s="132"/>
      <c r="AM174" s="132"/>
      <c r="AN174" s="64" t="s">
        <v>39</v>
      </c>
      <c r="AO174" s="64"/>
      <c r="AP174" s="64"/>
      <c r="AQ174" s="64"/>
      <c r="AR174" s="64"/>
      <c r="AS174" s="64"/>
      <c r="AT174" s="64"/>
      <c r="AU174" s="646"/>
      <c r="AV174" s="434"/>
    </row>
    <row r="175" spans="1:48" ht="21.75" customHeight="1" outlineLevel="4" x14ac:dyDescent="0.25">
      <c r="A175" s="63" t="str">
        <f t="shared" si="1"/>
        <v>1.3.1.2.25.59</v>
      </c>
      <c r="B175" s="64">
        <v>1</v>
      </c>
      <c r="C175" s="64">
        <v>3</v>
      </c>
      <c r="D175" s="64">
        <v>1</v>
      </c>
      <c r="E175" s="64">
        <v>2</v>
      </c>
      <c r="F175" s="64">
        <v>25</v>
      </c>
      <c r="G175" s="64">
        <v>59</v>
      </c>
      <c r="H175" s="65"/>
      <c r="I175" s="65"/>
      <c r="J175" s="66"/>
      <c r="K175" s="65" t="s">
        <v>286</v>
      </c>
      <c r="L175" s="68" t="s">
        <v>72</v>
      </c>
      <c r="M175" s="64" t="s">
        <v>73</v>
      </c>
      <c r="N175" s="64" t="s">
        <v>74</v>
      </c>
      <c r="O175" s="64" t="s">
        <v>281</v>
      </c>
      <c r="P175" s="69">
        <v>44571</v>
      </c>
      <c r="Q175" s="131">
        <v>44925</v>
      </c>
      <c r="R175" s="124"/>
      <c r="S175" s="123"/>
      <c r="T175" s="124"/>
      <c r="U175" s="75"/>
      <c r="V175" s="674">
        <v>0</v>
      </c>
      <c r="W175" s="75"/>
      <c r="X175" s="75"/>
      <c r="Y175" s="834">
        <f t="shared" si="37"/>
        <v>0</v>
      </c>
      <c r="Z175" s="75"/>
      <c r="AA175" s="75"/>
      <c r="AB175" s="75"/>
      <c r="AC175" s="75"/>
      <c r="AD175" s="75"/>
      <c r="AE175" s="592"/>
      <c r="AF175" s="347" t="s">
        <v>73</v>
      </c>
      <c r="AG175" s="506">
        <v>0</v>
      </c>
      <c r="AH175" s="377">
        <v>0</v>
      </c>
      <c r="AI175" s="132"/>
      <c r="AJ175" s="132"/>
      <c r="AK175" s="132"/>
      <c r="AL175" s="132"/>
      <c r="AM175" s="132"/>
      <c r="AN175" s="64" t="s">
        <v>39</v>
      </c>
      <c r="AO175" s="64"/>
      <c r="AP175" s="64"/>
      <c r="AQ175" s="64"/>
      <c r="AR175" s="64"/>
      <c r="AS175" s="64"/>
      <c r="AT175" s="64"/>
      <c r="AU175" s="646"/>
      <c r="AV175" s="434"/>
    </row>
    <row r="176" spans="1:48" ht="21.75" customHeight="1" outlineLevel="4" x14ac:dyDescent="0.25">
      <c r="A176" s="63" t="str">
        <f t="shared" si="1"/>
        <v>1.3.1.2.26.59</v>
      </c>
      <c r="B176" s="64">
        <v>1</v>
      </c>
      <c r="C176" s="64">
        <v>3</v>
      </c>
      <c r="D176" s="64">
        <v>1</v>
      </c>
      <c r="E176" s="64">
        <v>2</v>
      </c>
      <c r="F176" s="64">
        <v>26</v>
      </c>
      <c r="G176" s="64">
        <v>59</v>
      </c>
      <c r="H176" s="65"/>
      <c r="I176" s="65"/>
      <c r="J176" s="66"/>
      <c r="K176" s="65" t="s">
        <v>287</v>
      </c>
      <c r="L176" s="68" t="s">
        <v>72</v>
      </c>
      <c r="M176" s="64" t="s">
        <v>73</v>
      </c>
      <c r="N176" s="64" t="s">
        <v>74</v>
      </c>
      <c r="O176" s="64" t="s">
        <v>281</v>
      </c>
      <c r="P176" s="69">
        <v>44571</v>
      </c>
      <c r="Q176" s="131">
        <v>44925</v>
      </c>
      <c r="R176" s="134"/>
      <c r="S176" s="123"/>
      <c r="T176" s="124"/>
      <c r="U176" s="75"/>
      <c r="V176" s="674">
        <v>0</v>
      </c>
      <c r="W176" s="75"/>
      <c r="X176" s="75"/>
      <c r="Y176" s="834">
        <f t="shared" si="37"/>
        <v>0</v>
      </c>
      <c r="Z176" s="75"/>
      <c r="AA176" s="75"/>
      <c r="AB176" s="75"/>
      <c r="AC176" s="75"/>
      <c r="AD176" s="75"/>
      <c r="AE176" s="592"/>
      <c r="AF176" s="347" t="s">
        <v>73</v>
      </c>
      <c r="AG176" s="506">
        <v>0</v>
      </c>
      <c r="AH176" s="377">
        <v>0</v>
      </c>
      <c r="AI176" s="132"/>
      <c r="AJ176" s="132"/>
      <c r="AK176" s="132"/>
      <c r="AL176" s="132"/>
      <c r="AM176" s="132"/>
      <c r="AN176" s="64" t="s">
        <v>39</v>
      </c>
      <c r="AO176" s="64"/>
      <c r="AP176" s="64"/>
      <c r="AQ176" s="64"/>
      <c r="AR176" s="64"/>
      <c r="AS176" s="64"/>
      <c r="AT176" s="64"/>
      <c r="AU176" s="646"/>
      <c r="AV176" s="434"/>
    </row>
    <row r="177" spans="1:48" ht="14.45" customHeight="1" outlineLevel="4" x14ac:dyDescent="0.25">
      <c r="A177" s="63" t="str">
        <f t="shared" si="1"/>
        <v>1.3.1.2.27.59</v>
      </c>
      <c r="B177" s="64">
        <v>1</v>
      </c>
      <c r="C177" s="64">
        <v>3</v>
      </c>
      <c r="D177" s="64">
        <v>1</v>
      </c>
      <c r="E177" s="64">
        <v>2</v>
      </c>
      <c r="F177" s="64">
        <v>27</v>
      </c>
      <c r="G177" s="64">
        <v>59</v>
      </c>
      <c r="H177" s="65"/>
      <c r="I177" s="65"/>
      <c r="J177" s="66"/>
      <c r="K177" s="67" t="s">
        <v>2206</v>
      </c>
      <c r="L177" s="68" t="s">
        <v>72</v>
      </c>
      <c r="M177" s="64" t="s">
        <v>279</v>
      </c>
      <c r="N177" s="64" t="s">
        <v>291</v>
      </c>
      <c r="O177" s="64" t="s">
        <v>281</v>
      </c>
      <c r="P177" s="69">
        <v>44571</v>
      </c>
      <c r="Q177" s="131">
        <v>44925</v>
      </c>
      <c r="R177" s="124"/>
      <c r="S177" s="123"/>
      <c r="T177" s="124"/>
      <c r="U177" s="75">
        <v>75000</v>
      </c>
      <c r="V177" s="674">
        <v>20474.05</v>
      </c>
      <c r="W177" s="75"/>
      <c r="X177" s="75">
        <v>75000</v>
      </c>
      <c r="Y177" s="834">
        <f t="shared" si="37"/>
        <v>3245.3300000000017</v>
      </c>
      <c r="Z177" s="75"/>
      <c r="AA177" s="75">
        <v>75000</v>
      </c>
      <c r="AB177" s="75"/>
      <c r="AC177" s="75"/>
      <c r="AD177" s="75">
        <v>75000</v>
      </c>
      <c r="AE177" s="592"/>
      <c r="AF177" s="259" t="s">
        <v>279</v>
      </c>
      <c r="AG177" s="506">
        <v>300000</v>
      </c>
      <c r="AH177" s="377">
        <v>300000</v>
      </c>
      <c r="AI177" s="132"/>
      <c r="AJ177" s="536">
        <f>20474.05+2178.81+1066.52</f>
        <v>23719.38</v>
      </c>
      <c r="AK177" s="132"/>
      <c r="AL177" s="132"/>
      <c r="AM177" s="132"/>
      <c r="AN177" s="64" t="s">
        <v>39</v>
      </c>
      <c r="AO177" s="64" t="s">
        <v>1819</v>
      </c>
      <c r="AP177" s="538" t="s">
        <v>2212</v>
      </c>
      <c r="AQ177" s="68" t="s">
        <v>2211</v>
      </c>
      <c r="AR177" s="64"/>
      <c r="AS177" s="165"/>
      <c r="AT177" s="546" t="s">
        <v>1823</v>
      </c>
      <c r="AU177" s="646" t="s">
        <v>2208</v>
      </c>
      <c r="AV177" s="434" t="s">
        <v>1820</v>
      </c>
    </row>
    <row r="178" spans="1:48" ht="67.349999999999994" customHeight="1" outlineLevel="4" x14ac:dyDescent="0.25">
      <c r="A178" s="63" t="str">
        <f t="shared" si="1"/>
        <v>1.3.1.2.28.59</v>
      </c>
      <c r="B178" s="64">
        <v>1</v>
      </c>
      <c r="C178" s="64">
        <v>3</v>
      </c>
      <c r="D178" s="64">
        <v>1</v>
      </c>
      <c r="E178" s="64">
        <v>2</v>
      </c>
      <c r="F178" s="64">
        <v>28</v>
      </c>
      <c r="G178" s="100">
        <v>59</v>
      </c>
      <c r="H178" s="65"/>
      <c r="I178" s="65"/>
      <c r="J178" s="66"/>
      <c r="K178" s="67" t="s">
        <v>293</v>
      </c>
      <c r="L178" s="64" t="s">
        <v>72</v>
      </c>
      <c r="M178" s="64" t="s">
        <v>279</v>
      </c>
      <c r="N178" s="64" t="s">
        <v>74</v>
      </c>
      <c r="O178" s="64" t="s">
        <v>281</v>
      </c>
      <c r="P178" s="69">
        <v>44571</v>
      </c>
      <c r="Q178" s="69">
        <v>44925</v>
      </c>
      <c r="R178" s="124"/>
      <c r="S178" s="123"/>
      <c r="T178" s="124"/>
      <c r="U178" s="75">
        <v>0</v>
      </c>
      <c r="V178" s="674">
        <v>0</v>
      </c>
      <c r="W178" s="75"/>
      <c r="X178" s="75">
        <v>0</v>
      </c>
      <c r="Y178" s="834">
        <f t="shared" si="37"/>
        <v>0</v>
      </c>
      <c r="Z178" s="75"/>
      <c r="AA178" s="75">
        <v>0</v>
      </c>
      <c r="AB178" s="75"/>
      <c r="AC178" s="75"/>
      <c r="AD178" s="75">
        <v>0</v>
      </c>
      <c r="AE178" s="592"/>
      <c r="AF178" s="259" t="s">
        <v>272</v>
      </c>
      <c r="AG178" s="506">
        <v>1497216.06</v>
      </c>
      <c r="AH178" s="377">
        <v>0</v>
      </c>
      <c r="AI178" s="132"/>
      <c r="AJ178" s="132"/>
      <c r="AK178" s="132"/>
      <c r="AL178" s="132"/>
      <c r="AM178" s="132"/>
      <c r="AN178" s="64" t="s">
        <v>39</v>
      </c>
      <c r="AO178" s="64"/>
      <c r="AP178" s="64"/>
      <c r="AQ178" s="64"/>
      <c r="AR178" s="64"/>
      <c r="AS178" s="64"/>
      <c r="AT178" s="64"/>
      <c r="AU178" s="646"/>
      <c r="AV178" s="335" t="s">
        <v>295</v>
      </c>
    </row>
    <row r="179" spans="1:48" ht="14.45" customHeight="1" outlineLevel="4" x14ac:dyDescent="0.25">
      <c r="A179" s="63" t="str">
        <f t="shared" si="1"/>
        <v>1.3.1.2.29.59</v>
      </c>
      <c r="B179" s="64">
        <v>1</v>
      </c>
      <c r="C179" s="64">
        <v>3</v>
      </c>
      <c r="D179" s="64">
        <v>1</v>
      </c>
      <c r="E179" s="64">
        <v>2</v>
      </c>
      <c r="F179" s="64">
        <v>29</v>
      </c>
      <c r="G179" s="64">
        <v>59</v>
      </c>
      <c r="H179" s="65"/>
      <c r="I179" s="65"/>
      <c r="J179" s="66"/>
      <c r="K179" s="67" t="s">
        <v>296</v>
      </c>
      <c r="L179" s="64" t="s">
        <v>72</v>
      </c>
      <c r="M179" s="64" t="s">
        <v>279</v>
      </c>
      <c r="N179" s="64" t="s">
        <v>74</v>
      </c>
      <c r="O179" s="64" t="s">
        <v>281</v>
      </c>
      <c r="P179" s="69">
        <v>44571</v>
      </c>
      <c r="Q179" s="69">
        <v>44925</v>
      </c>
      <c r="R179" s="124"/>
      <c r="S179" s="123"/>
      <c r="T179" s="124"/>
      <c r="U179" s="75">
        <v>50000</v>
      </c>
      <c r="V179" s="674">
        <v>0</v>
      </c>
      <c r="W179" s="75"/>
      <c r="X179" s="75">
        <v>50000</v>
      </c>
      <c r="Y179" s="834">
        <f t="shared" si="37"/>
        <v>0</v>
      </c>
      <c r="Z179" s="75"/>
      <c r="AA179" s="75">
        <v>50000</v>
      </c>
      <c r="AB179" s="75"/>
      <c r="AC179" s="75"/>
      <c r="AD179" s="75">
        <v>50000</v>
      </c>
      <c r="AE179" s="592"/>
      <c r="AF179" s="259" t="s">
        <v>279</v>
      </c>
      <c r="AG179" s="506">
        <v>200000</v>
      </c>
      <c r="AH179" s="377">
        <v>200000</v>
      </c>
      <c r="AI179" s="132"/>
      <c r="AJ179" s="132"/>
      <c r="AK179" s="132"/>
      <c r="AL179" s="132"/>
      <c r="AM179" s="132"/>
      <c r="AN179" s="64" t="s">
        <v>39</v>
      </c>
      <c r="AO179" s="64"/>
      <c r="AP179" s="64"/>
      <c r="AQ179" s="68"/>
      <c r="AR179" s="64"/>
      <c r="AS179" s="64"/>
      <c r="AT179" s="64"/>
      <c r="AU179" s="860"/>
      <c r="AV179" s="68"/>
    </row>
    <row r="180" spans="1:48" ht="14.45" customHeight="1" outlineLevel="4" x14ac:dyDescent="0.25">
      <c r="A180" s="99" t="str">
        <f>CONCATENATE(B180,".",C180,".",D180,".",E180,".",F180,".",G180)</f>
        <v>1.3.1.2.31.59</v>
      </c>
      <c r="B180" s="100">
        <v>1</v>
      </c>
      <c r="C180" s="100">
        <v>3</v>
      </c>
      <c r="D180" s="100">
        <v>1</v>
      </c>
      <c r="E180" s="100">
        <v>2</v>
      </c>
      <c r="F180" s="100">
        <v>31</v>
      </c>
      <c r="G180" s="100">
        <v>59</v>
      </c>
      <c r="H180" s="65"/>
      <c r="I180" s="65"/>
      <c r="J180" s="66"/>
      <c r="K180" s="67" t="s">
        <v>298</v>
      </c>
      <c r="L180" s="64" t="s">
        <v>359</v>
      </c>
      <c r="M180" s="64" t="s">
        <v>299</v>
      </c>
      <c r="N180" s="64"/>
      <c r="O180" s="64"/>
      <c r="P180" s="69"/>
      <c r="Q180" s="69"/>
      <c r="R180" s="124"/>
      <c r="S180" s="123"/>
      <c r="T180" s="124"/>
      <c r="U180" s="75">
        <v>30000</v>
      </c>
      <c r="V180" s="674">
        <v>20000</v>
      </c>
      <c r="W180" s="75"/>
      <c r="X180" s="75">
        <v>30000</v>
      </c>
      <c r="Y180" s="834">
        <f t="shared" si="37"/>
        <v>10000</v>
      </c>
      <c r="Z180" s="75"/>
      <c r="AA180" s="75">
        <v>20000</v>
      </c>
      <c r="AB180" s="75"/>
      <c r="AC180" s="75"/>
      <c r="AD180" s="75"/>
      <c r="AE180" s="592"/>
      <c r="AF180" s="259"/>
      <c r="AG180" s="377">
        <v>0</v>
      </c>
      <c r="AH180" s="377">
        <v>80000</v>
      </c>
      <c r="AI180" s="132"/>
      <c r="AJ180" s="132">
        <f>20000+10000</f>
        <v>30000</v>
      </c>
      <c r="AK180" s="132"/>
      <c r="AL180" s="132"/>
      <c r="AM180" s="132"/>
      <c r="AN180" s="64" t="s">
        <v>282</v>
      </c>
      <c r="AO180" s="64" t="s">
        <v>1819</v>
      </c>
      <c r="AP180" s="64" t="s">
        <v>2025</v>
      </c>
      <c r="AQ180" s="64" t="s">
        <v>2026</v>
      </c>
      <c r="AR180" s="69">
        <v>44428</v>
      </c>
      <c r="AS180" s="69">
        <v>44977</v>
      </c>
      <c r="AT180" s="64" t="s">
        <v>1814</v>
      </c>
      <c r="AU180" s="877" t="s">
        <v>2096</v>
      </c>
      <c r="AV180" s="434" t="s">
        <v>2027</v>
      </c>
    </row>
    <row r="181" spans="1:48" ht="44.1" customHeight="1" outlineLevel="1" x14ac:dyDescent="0.25">
      <c r="A181" s="80" t="str">
        <f t="shared" si="1"/>
        <v>1.3.1.3.0.0</v>
      </c>
      <c r="B181" s="81">
        <v>1</v>
      </c>
      <c r="C181" s="81">
        <v>3</v>
      </c>
      <c r="D181" s="81">
        <v>1</v>
      </c>
      <c r="E181" s="81">
        <v>3</v>
      </c>
      <c r="F181" s="81">
        <v>0</v>
      </c>
      <c r="G181" s="81">
        <v>0</v>
      </c>
      <c r="H181" s="114"/>
      <c r="I181" s="114"/>
      <c r="J181" s="1346" t="s">
        <v>312</v>
      </c>
      <c r="K181" s="1346"/>
      <c r="L181" s="81" t="s">
        <v>236</v>
      </c>
      <c r="M181" s="81" t="s">
        <v>240</v>
      </c>
      <c r="N181" s="81" t="s">
        <v>226</v>
      </c>
      <c r="O181" s="81" t="s">
        <v>241</v>
      </c>
      <c r="P181" s="118">
        <v>44571</v>
      </c>
      <c r="Q181" s="118">
        <v>44925</v>
      </c>
      <c r="R181" s="119">
        <f>+R182+R183</f>
        <v>730000</v>
      </c>
      <c r="S181" s="114" t="s">
        <v>242</v>
      </c>
      <c r="T181" s="119">
        <f>+T182+T183</f>
        <v>182500</v>
      </c>
      <c r="U181" s="369">
        <f t="shared" ref="U181:AG181" si="38">SUM(U182:U201)</f>
        <v>8536397.5</v>
      </c>
      <c r="V181" s="676">
        <f t="shared" si="38"/>
        <v>7777318.8999999994</v>
      </c>
      <c r="W181" s="369">
        <f t="shared" si="38"/>
        <v>365003</v>
      </c>
      <c r="X181" s="369">
        <f t="shared" si="38"/>
        <v>8127133.2699999996</v>
      </c>
      <c r="Y181" s="840">
        <f t="shared" si="38"/>
        <v>7363340.080000001</v>
      </c>
      <c r="Z181" s="369">
        <f t="shared" si="38"/>
        <v>3339423</v>
      </c>
      <c r="AA181" s="369">
        <f t="shared" si="38"/>
        <v>10224228.27</v>
      </c>
      <c r="AB181" s="369">
        <f t="shared" si="38"/>
        <v>2974420</v>
      </c>
      <c r="AC181" s="369">
        <f t="shared" si="38"/>
        <v>3339423</v>
      </c>
      <c r="AD181" s="369">
        <f t="shared" si="38"/>
        <v>10909794.940000001</v>
      </c>
      <c r="AE181" s="369">
        <f t="shared" si="38"/>
        <v>0</v>
      </c>
      <c r="AF181" s="369">
        <f t="shared" si="38"/>
        <v>181852000</v>
      </c>
      <c r="AG181" s="369">
        <f t="shared" si="38"/>
        <v>18568600</v>
      </c>
      <c r="AH181" s="369">
        <f>SUM(AH182:AH201)</f>
        <v>33783900</v>
      </c>
      <c r="AI181" s="369">
        <f t="shared" ref="AI181" si="39">SUM(AI182:AI201)</f>
        <v>0</v>
      </c>
      <c r="AJ181" s="369">
        <f>SUM(AJ182:AJ201)</f>
        <v>15208673.930000002</v>
      </c>
      <c r="AK181" s="61"/>
      <c r="AL181" s="61"/>
      <c r="AM181" s="61"/>
      <c r="AN181" s="81" t="s">
        <v>243</v>
      </c>
      <c r="AO181" s="570"/>
      <c r="AP181" s="570"/>
      <c r="AQ181" s="569"/>
      <c r="AR181" s="81"/>
      <c r="AS181" s="568"/>
      <c r="AT181" s="81"/>
      <c r="AU181" s="663"/>
      <c r="AV181" s="433"/>
    </row>
    <row r="182" spans="1:48" ht="135" customHeight="1" outlineLevel="3" x14ac:dyDescent="0.25">
      <c r="A182" s="63" t="str">
        <f t="shared" si="1"/>
        <v>1.3.1.3.1.63</v>
      </c>
      <c r="B182" s="64">
        <v>1</v>
      </c>
      <c r="C182" s="64">
        <v>3</v>
      </c>
      <c r="D182" s="64">
        <v>1</v>
      </c>
      <c r="E182" s="64">
        <v>3</v>
      </c>
      <c r="F182" s="64">
        <v>1</v>
      </c>
      <c r="G182" s="64">
        <v>63</v>
      </c>
      <c r="H182" s="65"/>
      <c r="I182" s="65"/>
      <c r="J182" s="66"/>
      <c r="K182" s="65" t="s">
        <v>245</v>
      </c>
      <c r="L182" s="64" t="s">
        <v>246</v>
      </c>
      <c r="M182" s="64" t="s">
        <v>240</v>
      </c>
      <c r="N182" s="64" t="s">
        <v>247</v>
      </c>
      <c r="O182" s="64" t="s">
        <v>241</v>
      </c>
      <c r="P182" s="69"/>
      <c r="Q182" s="69"/>
      <c r="R182" s="126">
        <v>80000</v>
      </c>
      <c r="S182" s="123" t="s">
        <v>248</v>
      </c>
      <c r="T182" s="124">
        <f>+R182/4</f>
        <v>20000</v>
      </c>
      <c r="U182" s="75">
        <v>0</v>
      </c>
      <c r="V182" s="674">
        <v>0</v>
      </c>
      <c r="W182" s="75">
        <f>+R182/4</f>
        <v>20000</v>
      </c>
      <c r="X182" s="75">
        <v>0</v>
      </c>
      <c r="Y182" s="834">
        <f t="shared" ref="Y182:Y187" si="40">+AJ182-V182</f>
        <v>0</v>
      </c>
      <c r="Z182" s="75">
        <f>+R182/4</f>
        <v>20000</v>
      </c>
      <c r="AA182" s="75">
        <v>0</v>
      </c>
      <c r="AB182" s="75"/>
      <c r="AC182" s="75">
        <f>+R182/4</f>
        <v>20000</v>
      </c>
      <c r="AD182" s="75">
        <v>0</v>
      </c>
      <c r="AE182" s="592"/>
      <c r="AF182" s="347">
        <f>R182*19*1.1</f>
        <v>1672000.0000000002</v>
      </c>
      <c r="AG182" s="75">
        <v>0</v>
      </c>
      <c r="AH182" s="370">
        <v>0</v>
      </c>
      <c r="AI182" s="75"/>
      <c r="AJ182" s="75"/>
      <c r="AK182" s="75"/>
      <c r="AL182" s="75"/>
      <c r="AM182" s="75"/>
      <c r="AN182" s="64" t="s">
        <v>39</v>
      </c>
      <c r="AO182" s="64"/>
      <c r="AP182" s="64"/>
      <c r="AQ182" s="189"/>
      <c r="AR182" s="64"/>
      <c r="AS182" s="476"/>
      <c r="AT182" s="64"/>
      <c r="AU182" s="646"/>
      <c r="AV182" s="335" t="s">
        <v>250</v>
      </c>
    </row>
    <row r="183" spans="1:48" ht="69.599999999999994" customHeight="1" outlineLevel="3" x14ac:dyDescent="0.25">
      <c r="A183" s="63" t="str">
        <f t="shared" si="1"/>
        <v>1.3.1.3.2.63</v>
      </c>
      <c r="B183" s="64">
        <v>1</v>
      </c>
      <c r="C183" s="64">
        <v>3</v>
      </c>
      <c r="D183" s="64">
        <v>1</v>
      </c>
      <c r="E183" s="64">
        <v>3</v>
      </c>
      <c r="F183" s="64">
        <v>2</v>
      </c>
      <c r="G183" s="64">
        <v>63</v>
      </c>
      <c r="H183" s="65"/>
      <c r="I183" s="65"/>
      <c r="J183" s="66"/>
      <c r="K183" s="65" t="s">
        <v>251</v>
      </c>
      <c r="L183" s="64" t="s">
        <v>246</v>
      </c>
      <c r="M183" s="64" t="s">
        <v>240</v>
      </c>
      <c r="N183" s="64" t="s">
        <v>252</v>
      </c>
      <c r="O183" s="64" t="s">
        <v>241</v>
      </c>
      <c r="P183" s="69"/>
      <c r="Q183" s="69"/>
      <c r="R183" s="126">
        <v>650000</v>
      </c>
      <c r="S183" s="123" t="s">
        <v>248</v>
      </c>
      <c r="T183" s="124">
        <f>+R183/4</f>
        <v>162500</v>
      </c>
      <c r="U183" s="75">
        <v>0</v>
      </c>
      <c r="V183" s="674">
        <v>0</v>
      </c>
      <c r="W183" s="75">
        <f>+R183/4</f>
        <v>162500</v>
      </c>
      <c r="X183" s="75">
        <v>0</v>
      </c>
      <c r="Y183" s="834">
        <f t="shared" si="40"/>
        <v>0</v>
      </c>
      <c r="Z183" s="75">
        <f>+R183/4</f>
        <v>162500</v>
      </c>
      <c r="AA183" s="75">
        <v>0</v>
      </c>
      <c r="AB183" s="75"/>
      <c r="AC183" s="75">
        <f>+R183/4</f>
        <v>162500</v>
      </c>
      <c r="AD183" s="75">
        <v>0</v>
      </c>
      <c r="AE183" s="592"/>
      <c r="AF183" s="347">
        <f>R183*252*1.1</f>
        <v>180180000</v>
      </c>
      <c r="AG183" s="75">
        <v>0</v>
      </c>
      <c r="AH183" s="370">
        <v>0</v>
      </c>
      <c r="AI183" s="75"/>
      <c r="AJ183" s="75"/>
      <c r="AK183" s="75"/>
      <c r="AL183" s="75"/>
      <c r="AM183" s="75"/>
      <c r="AN183" s="64" t="s">
        <v>39</v>
      </c>
      <c r="AO183" s="64"/>
      <c r="AP183" s="64"/>
      <c r="AQ183" s="189"/>
      <c r="AR183" s="64"/>
      <c r="AS183" s="476"/>
      <c r="AT183" s="64"/>
      <c r="AU183" s="646"/>
      <c r="AV183" s="335" t="s">
        <v>254</v>
      </c>
    </row>
    <row r="184" spans="1:48" ht="16.350000000000001" customHeight="1" outlineLevel="3" x14ac:dyDescent="0.25">
      <c r="A184" s="63" t="str">
        <f t="shared" si="1"/>
        <v>1.3.1.3.3.63</v>
      </c>
      <c r="B184" s="64">
        <v>1</v>
      </c>
      <c r="C184" s="64">
        <v>3</v>
      </c>
      <c r="D184" s="64">
        <v>1</v>
      </c>
      <c r="E184" s="64">
        <v>3</v>
      </c>
      <c r="F184" s="64">
        <v>3</v>
      </c>
      <c r="G184" s="100">
        <v>63</v>
      </c>
      <c r="H184" s="65"/>
      <c r="I184" s="65"/>
      <c r="J184" s="66"/>
      <c r="K184" s="125" t="s">
        <v>1910</v>
      </c>
      <c r="L184" s="64" t="s">
        <v>246</v>
      </c>
      <c r="M184" s="64" t="s">
        <v>256</v>
      </c>
      <c r="N184" s="64" t="s">
        <v>257</v>
      </c>
      <c r="O184" s="64" t="s">
        <v>241</v>
      </c>
      <c r="P184" s="69">
        <v>44562</v>
      </c>
      <c r="Q184" s="69">
        <v>44925</v>
      </c>
      <c r="R184" s="124"/>
      <c r="S184" s="123" t="s">
        <v>258</v>
      </c>
      <c r="T184" s="124"/>
      <c r="U184" s="132">
        <v>1604150</v>
      </c>
      <c r="V184" s="674">
        <v>1304100</v>
      </c>
      <c r="W184" s="75"/>
      <c r="X184" s="132">
        <v>2974420</v>
      </c>
      <c r="Y184" s="834">
        <f t="shared" si="40"/>
        <v>1498500</v>
      </c>
      <c r="Z184" s="79">
        <v>2974420</v>
      </c>
      <c r="AA184" s="132">
        <f>+(AH184-U184-X184)/2</f>
        <v>5619015</v>
      </c>
      <c r="AB184" s="127">
        <v>2974420</v>
      </c>
      <c r="AC184" s="127">
        <v>2974420</v>
      </c>
      <c r="AD184" s="132">
        <f>+AH184-U184-X184-AA184</f>
        <v>5619015</v>
      </c>
      <c r="AE184" s="596"/>
      <c r="AF184" s="347" t="s">
        <v>313</v>
      </c>
      <c r="AG184" s="75">
        <v>4221900</v>
      </c>
      <c r="AH184" s="370">
        <v>15816600</v>
      </c>
      <c r="AI184" s="75"/>
      <c r="AJ184" s="75">
        <f>445050+221400+282150+355500+476100+448650+573750</f>
        <v>2802600</v>
      </c>
      <c r="AK184" s="75"/>
      <c r="AL184" s="75"/>
      <c r="AM184" s="75"/>
      <c r="AN184" s="64" t="s">
        <v>39</v>
      </c>
      <c r="AO184" s="64" t="s">
        <v>1839</v>
      </c>
      <c r="AP184" s="64" t="s">
        <v>649</v>
      </c>
      <c r="AQ184" s="533" t="s">
        <v>649</v>
      </c>
      <c r="AR184" s="554">
        <v>44562</v>
      </c>
      <c r="AS184" s="554">
        <v>44926</v>
      </c>
      <c r="AT184" s="64" t="s">
        <v>1814</v>
      </c>
      <c r="AU184" s="877" t="s">
        <v>2099</v>
      </c>
      <c r="AV184" s="561" t="s">
        <v>2095</v>
      </c>
    </row>
    <row r="185" spans="1:48" ht="33.6" customHeight="1" outlineLevel="3" x14ac:dyDescent="0.25">
      <c r="A185" s="63" t="str">
        <f t="shared" si="1"/>
        <v>1.3.1.3.4.63</v>
      </c>
      <c r="B185" s="64">
        <v>1</v>
      </c>
      <c r="C185" s="64">
        <v>3</v>
      </c>
      <c r="D185" s="64">
        <v>1</v>
      </c>
      <c r="E185" s="64">
        <v>3</v>
      </c>
      <c r="F185" s="64">
        <v>4</v>
      </c>
      <c r="G185" s="64">
        <v>63</v>
      </c>
      <c r="H185" s="65"/>
      <c r="I185" s="65"/>
      <c r="J185" s="66"/>
      <c r="K185" s="65" t="s">
        <v>259</v>
      </c>
      <c r="L185" s="64" t="s">
        <v>246</v>
      </c>
      <c r="M185" s="64" t="s">
        <v>240</v>
      </c>
      <c r="N185" s="64" t="s">
        <v>247</v>
      </c>
      <c r="O185" s="64" t="s">
        <v>241</v>
      </c>
      <c r="P185" s="69"/>
      <c r="Q185" s="69"/>
      <c r="R185" s="126">
        <v>80000</v>
      </c>
      <c r="S185" s="123" t="s">
        <v>248</v>
      </c>
      <c r="T185" s="124">
        <f t="shared" ref="T185:AC186" si="41">+$R185/4</f>
        <v>20000</v>
      </c>
      <c r="U185" s="75"/>
      <c r="V185" s="674">
        <v>0</v>
      </c>
      <c r="W185" s="75">
        <f t="shared" si="41"/>
        <v>20000</v>
      </c>
      <c r="X185" s="75"/>
      <c r="Y185" s="834">
        <f t="shared" si="40"/>
        <v>0</v>
      </c>
      <c r="Z185" s="75">
        <f t="shared" si="41"/>
        <v>20000</v>
      </c>
      <c r="AA185" s="75"/>
      <c r="AB185" s="75"/>
      <c r="AC185" s="75">
        <f t="shared" si="41"/>
        <v>20000</v>
      </c>
      <c r="AD185" s="75"/>
      <c r="AE185" s="592"/>
      <c r="AF185" s="348" t="s">
        <v>260</v>
      </c>
      <c r="AG185" s="129">
        <v>0</v>
      </c>
      <c r="AH185" s="370">
        <v>0</v>
      </c>
      <c r="AI185" s="75"/>
      <c r="AJ185" s="75"/>
      <c r="AK185" s="75"/>
      <c r="AL185" s="75"/>
      <c r="AM185" s="75"/>
      <c r="AN185" s="64" t="s">
        <v>39</v>
      </c>
      <c r="AO185" s="64"/>
      <c r="AP185" s="64"/>
      <c r="AQ185" s="189"/>
      <c r="AR185" s="64"/>
      <c r="AS185" s="476"/>
      <c r="AT185" s="64"/>
      <c r="AU185" s="646"/>
      <c r="AV185" s="335" t="s">
        <v>261</v>
      </c>
    </row>
    <row r="186" spans="1:48" ht="33.6" customHeight="1" outlineLevel="3" x14ac:dyDescent="0.25">
      <c r="A186" s="63" t="str">
        <f t="shared" si="1"/>
        <v>1.3.1.3.5.63</v>
      </c>
      <c r="B186" s="64">
        <v>1</v>
      </c>
      <c r="C186" s="64">
        <v>3</v>
      </c>
      <c r="D186" s="64">
        <v>1</v>
      </c>
      <c r="E186" s="64">
        <v>3</v>
      </c>
      <c r="F186" s="64">
        <v>5</v>
      </c>
      <c r="G186" s="64">
        <v>63</v>
      </c>
      <c r="H186" s="65"/>
      <c r="I186" s="65"/>
      <c r="J186" s="66"/>
      <c r="K186" s="65" t="s">
        <v>305</v>
      </c>
      <c r="L186" s="64" t="s">
        <v>246</v>
      </c>
      <c r="M186" s="64" t="s">
        <v>240</v>
      </c>
      <c r="N186" s="64" t="s">
        <v>252</v>
      </c>
      <c r="O186" s="64" t="s">
        <v>241</v>
      </c>
      <c r="P186" s="69"/>
      <c r="Q186" s="69"/>
      <c r="R186" s="126">
        <v>650000</v>
      </c>
      <c r="S186" s="123" t="s">
        <v>248</v>
      </c>
      <c r="T186" s="124">
        <f t="shared" si="41"/>
        <v>162500</v>
      </c>
      <c r="U186" s="75"/>
      <c r="V186" s="674">
        <v>0</v>
      </c>
      <c r="W186" s="75">
        <f t="shared" si="41"/>
        <v>162500</v>
      </c>
      <c r="X186" s="75"/>
      <c r="Y186" s="834">
        <f t="shared" si="40"/>
        <v>0</v>
      </c>
      <c r="Z186" s="75">
        <f t="shared" si="41"/>
        <v>162500</v>
      </c>
      <c r="AA186" s="75"/>
      <c r="AB186" s="75"/>
      <c r="AC186" s="75">
        <f t="shared" si="41"/>
        <v>162500</v>
      </c>
      <c r="AD186" s="75"/>
      <c r="AE186" s="592"/>
      <c r="AF186" s="348" t="s">
        <v>260</v>
      </c>
      <c r="AG186" s="129">
        <v>0</v>
      </c>
      <c r="AH186" s="370">
        <v>0</v>
      </c>
      <c r="AI186" s="75"/>
      <c r="AJ186" s="75"/>
      <c r="AK186" s="75"/>
      <c r="AL186" s="75"/>
      <c r="AM186" s="75"/>
      <c r="AN186" s="64" t="s">
        <v>39</v>
      </c>
      <c r="AO186" s="64"/>
      <c r="AP186" s="64"/>
      <c r="AQ186" s="189"/>
      <c r="AR186" s="64"/>
      <c r="AS186" s="476"/>
      <c r="AT186" s="64"/>
      <c r="AU186" s="646"/>
      <c r="AV186" s="335" t="s">
        <v>261</v>
      </c>
    </row>
    <row r="187" spans="1:48" ht="23.45" customHeight="1" outlineLevel="3" x14ac:dyDescent="0.25">
      <c r="A187" s="63" t="str">
        <f t="shared" si="1"/>
        <v>1.3.1.3.6.63</v>
      </c>
      <c r="B187" s="64">
        <v>1</v>
      </c>
      <c r="C187" s="64">
        <v>3</v>
      </c>
      <c r="D187" s="64">
        <v>1</v>
      </c>
      <c r="E187" s="64">
        <v>3</v>
      </c>
      <c r="F187" s="64">
        <v>6</v>
      </c>
      <c r="G187" s="64">
        <v>63</v>
      </c>
      <c r="H187" s="65"/>
      <c r="I187" s="65"/>
      <c r="J187" s="66"/>
      <c r="K187" s="65" t="s">
        <v>263</v>
      </c>
      <c r="L187" s="64" t="s">
        <v>264</v>
      </c>
      <c r="M187" s="64" t="s">
        <v>144</v>
      </c>
      <c r="N187" s="64" t="s">
        <v>265</v>
      </c>
      <c r="O187" s="64" t="s">
        <v>266</v>
      </c>
      <c r="P187" s="69"/>
      <c r="Q187" s="69"/>
      <c r="R187" s="124"/>
      <c r="S187" s="123" t="s">
        <v>258</v>
      </c>
      <c r="T187" s="124"/>
      <c r="U187" s="75"/>
      <c r="V187" s="674">
        <v>0</v>
      </c>
      <c r="W187" s="75"/>
      <c r="X187" s="75"/>
      <c r="Y187" s="834">
        <f t="shared" si="40"/>
        <v>0</v>
      </c>
      <c r="Z187" s="75"/>
      <c r="AA187" s="75"/>
      <c r="AB187" s="75"/>
      <c r="AC187" s="75"/>
      <c r="AD187" s="75">
        <f>+AH187</f>
        <v>711900</v>
      </c>
      <c r="AE187" s="592"/>
      <c r="AF187" s="347" t="s">
        <v>144</v>
      </c>
      <c r="AG187" s="75">
        <v>711900</v>
      </c>
      <c r="AH187" s="370">
        <f>+((18*500)+(71*450)*22)</f>
        <v>711900</v>
      </c>
      <c r="AI187" s="75"/>
      <c r="AJ187" s="75"/>
      <c r="AK187" s="75"/>
      <c r="AL187" s="75"/>
      <c r="AM187" s="75"/>
      <c r="AN187" s="64" t="s">
        <v>181</v>
      </c>
      <c r="AO187" s="165"/>
      <c r="AP187" s="165"/>
      <c r="AQ187" s="413"/>
      <c r="AR187" s="64"/>
      <c r="AS187" s="475"/>
      <c r="AT187" s="64"/>
      <c r="AU187" s="646"/>
      <c r="AV187" s="432" t="s">
        <v>268</v>
      </c>
    </row>
    <row r="188" spans="1:48" ht="23.45" customHeight="1" outlineLevel="3" x14ac:dyDescent="0.25">
      <c r="A188" s="63" t="str">
        <f t="shared" si="1"/>
        <v>1.3.1.3.7.63</v>
      </c>
      <c r="B188" s="64">
        <v>1</v>
      </c>
      <c r="C188" s="64">
        <v>3</v>
      </c>
      <c r="D188" s="64">
        <v>1</v>
      </c>
      <c r="E188" s="64">
        <v>3</v>
      </c>
      <c r="F188" s="64">
        <v>7</v>
      </c>
      <c r="G188" s="64">
        <v>63</v>
      </c>
      <c r="H188" s="65"/>
      <c r="I188" s="65"/>
      <c r="J188" s="66"/>
      <c r="K188" s="67" t="s">
        <v>2024</v>
      </c>
      <c r="L188" s="64"/>
      <c r="M188" s="64"/>
      <c r="N188" s="64"/>
      <c r="O188" s="64"/>
      <c r="P188" s="69"/>
      <c r="Q188" s="69"/>
      <c r="R188" s="124"/>
      <c r="S188" s="123"/>
      <c r="T188" s="124"/>
      <c r="U188" s="75"/>
      <c r="V188" s="674"/>
      <c r="W188" s="75"/>
      <c r="X188" s="75"/>
      <c r="Y188" s="834"/>
      <c r="Z188" s="75"/>
      <c r="AA188" s="75"/>
      <c r="AB188" s="75"/>
      <c r="AC188" s="75"/>
      <c r="AD188" s="75"/>
      <c r="AE188" s="592"/>
      <c r="AF188" s="347"/>
      <c r="AG188" s="75"/>
      <c r="AH188" s="370"/>
      <c r="AI188" s="75"/>
      <c r="AJ188" s="75">
        <v>68014.95</v>
      </c>
      <c r="AK188" s="75"/>
      <c r="AL188" s="75"/>
      <c r="AM188" s="75"/>
      <c r="AN188" s="136" t="s">
        <v>39</v>
      </c>
      <c r="AO188" s="165" t="s">
        <v>1819</v>
      </c>
      <c r="AP188" s="165" t="s">
        <v>2190</v>
      </c>
      <c r="AQ188" s="413" t="s">
        <v>2191</v>
      </c>
      <c r="AR188" s="69">
        <v>44603</v>
      </c>
      <c r="AS188" s="562">
        <v>44631</v>
      </c>
      <c r="AT188" s="69">
        <v>44603</v>
      </c>
      <c r="AU188" s="879">
        <v>1163</v>
      </c>
      <c r="AV188" s="432"/>
    </row>
    <row r="189" spans="1:48" ht="51.6" customHeight="1" outlineLevel="3" x14ac:dyDescent="0.25">
      <c r="A189" s="63" t="str">
        <f t="shared" si="1"/>
        <v>1.3.1.3.9.63</v>
      </c>
      <c r="B189" s="64">
        <v>1</v>
      </c>
      <c r="C189" s="64">
        <v>3</v>
      </c>
      <c r="D189" s="64">
        <v>1</v>
      </c>
      <c r="E189" s="64">
        <v>3</v>
      </c>
      <c r="F189" s="64">
        <v>9</v>
      </c>
      <c r="G189" s="64">
        <v>63</v>
      </c>
      <c r="H189" s="65"/>
      <c r="I189" s="65"/>
      <c r="J189" s="66"/>
      <c r="K189" s="67" t="s">
        <v>314</v>
      </c>
      <c r="L189" s="68" t="s">
        <v>270</v>
      </c>
      <c r="M189" s="64" t="s">
        <v>279</v>
      </c>
      <c r="N189" s="64"/>
      <c r="O189" s="64"/>
      <c r="P189" s="69"/>
      <c r="Q189" s="69"/>
      <c r="R189" s="124"/>
      <c r="S189" s="123"/>
      <c r="T189" s="124"/>
      <c r="U189" s="75">
        <v>0</v>
      </c>
      <c r="V189" s="674">
        <v>0</v>
      </c>
      <c r="W189" s="75"/>
      <c r="X189" s="75">
        <f>+AH189</f>
        <v>437500</v>
      </c>
      <c r="Y189" s="834">
        <f t="shared" ref="Y189:Y201" si="42">+AJ189-V189</f>
        <v>0</v>
      </c>
      <c r="Z189" s="75"/>
      <c r="AA189" s="75">
        <v>0</v>
      </c>
      <c r="AB189" s="75"/>
      <c r="AC189" s="75"/>
      <c r="AD189" s="75">
        <v>0</v>
      </c>
      <c r="AE189" s="592"/>
      <c r="AF189" s="347" t="s">
        <v>272</v>
      </c>
      <c r="AG189" s="75">
        <v>437500</v>
      </c>
      <c r="AH189" s="370">
        <v>437500</v>
      </c>
      <c r="AI189" s="75"/>
      <c r="AJ189" s="75"/>
      <c r="AK189" s="75"/>
      <c r="AL189" s="75"/>
      <c r="AM189" s="75"/>
      <c r="AN189" s="64" t="s">
        <v>39</v>
      </c>
      <c r="AO189" s="64"/>
      <c r="AP189" s="64"/>
      <c r="AQ189" s="189"/>
      <c r="AR189" s="64"/>
      <c r="AS189" s="476"/>
      <c r="AT189" s="64"/>
      <c r="AU189" s="646"/>
      <c r="AV189" s="335" t="s">
        <v>273</v>
      </c>
    </row>
    <row r="190" spans="1:48" ht="52.5" customHeight="1" outlineLevel="3" x14ac:dyDescent="0.25">
      <c r="A190" s="63" t="str">
        <f t="shared" si="1"/>
        <v>1.3.1.3.11.63</v>
      </c>
      <c r="B190" s="64">
        <v>1</v>
      </c>
      <c r="C190" s="64">
        <v>3</v>
      </c>
      <c r="D190" s="64">
        <v>1</v>
      </c>
      <c r="E190" s="64">
        <v>3</v>
      </c>
      <c r="F190" s="64">
        <v>11</v>
      </c>
      <c r="G190" s="100">
        <v>63</v>
      </c>
      <c r="H190" s="65"/>
      <c r="I190" s="65"/>
      <c r="J190" s="66"/>
      <c r="K190" s="86" t="s">
        <v>315</v>
      </c>
      <c r="L190" s="68" t="s">
        <v>72</v>
      </c>
      <c r="M190" s="64" t="s">
        <v>267</v>
      </c>
      <c r="N190" s="64" t="s">
        <v>265</v>
      </c>
      <c r="O190" s="64" t="s">
        <v>275</v>
      </c>
      <c r="P190" s="69"/>
      <c r="Q190" s="69"/>
      <c r="R190" s="124">
        <v>12</v>
      </c>
      <c r="S190" s="123"/>
      <c r="T190" s="124">
        <v>3</v>
      </c>
      <c r="U190" s="75">
        <v>6732247.5</v>
      </c>
      <c r="V190" s="674">
        <v>6255637.7999999998</v>
      </c>
      <c r="W190" s="75">
        <v>3</v>
      </c>
      <c r="X190" s="78">
        <v>4385213.2699999996</v>
      </c>
      <c r="Y190" s="834">
        <f t="shared" si="42"/>
        <v>5811441.7500000009</v>
      </c>
      <c r="Z190" s="75">
        <v>3</v>
      </c>
      <c r="AA190" s="78">
        <v>4285213.2699999996</v>
      </c>
      <c r="AB190" s="75"/>
      <c r="AC190" s="75">
        <v>3</v>
      </c>
      <c r="AD190" s="78">
        <v>4428879.9400000004</v>
      </c>
      <c r="AE190" s="592"/>
      <c r="AF190" s="259" t="s">
        <v>309</v>
      </c>
      <c r="AG190" s="75">
        <v>10527300</v>
      </c>
      <c r="AH190" s="370">
        <v>15642900</v>
      </c>
      <c r="AI190" s="75"/>
      <c r="AJ190" s="75">
        <f>125666.65+1918810.15+23058+2038712.3+55339.2+2094051.5+1990564.95+1867204.65+1953672.15</f>
        <v>12067079.550000001</v>
      </c>
      <c r="AK190" s="75"/>
      <c r="AL190" s="75"/>
      <c r="AM190" s="75"/>
      <c r="AN190" s="64" t="s">
        <v>39</v>
      </c>
      <c r="AO190" s="165" t="s">
        <v>144</v>
      </c>
      <c r="AP190" s="165" t="s">
        <v>649</v>
      </c>
      <c r="AQ190" s="557" t="s">
        <v>649</v>
      </c>
      <c r="AR190" s="558">
        <v>44562</v>
      </c>
      <c r="AS190" s="559">
        <v>44926</v>
      </c>
      <c r="AT190" s="64" t="s">
        <v>1814</v>
      </c>
      <c r="AU190" s="875" t="s">
        <v>2060</v>
      </c>
      <c r="AV190" s="438" t="s">
        <v>2070</v>
      </c>
    </row>
    <row r="191" spans="1:48" ht="14.45" customHeight="1" outlineLevel="3" x14ac:dyDescent="0.25">
      <c r="A191" s="63" t="str">
        <f t="shared" si="1"/>
        <v>1.3.1.3.14.63</v>
      </c>
      <c r="B191" s="64">
        <v>1</v>
      </c>
      <c r="C191" s="64">
        <v>3</v>
      </c>
      <c r="D191" s="64">
        <v>1</v>
      </c>
      <c r="E191" s="64">
        <v>3</v>
      </c>
      <c r="F191" s="64">
        <v>14</v>
      </c>
      <c r="G191" s="64">
        <v>63</v>
      </c>
      <c r="H191" s="65"/>
      <c r="I191" s="65"/>
      <c r="J191" s="66"/>
      <c r="K191" s="67" t="s">
        <v>276</v>
      </c>
      <c r="L191" s="68" t="s">
        <v>72</v>
      </c>
      <c r="M191" s="64" t="s">
        <v>271</v>
      </c>
      <c r="N191" s="64" t="s">
        <v>307</v>
      </c>
      <c r="O191" s="64" t="s">
        <v>277</v>
      </c>
      <c r="P191" s="69"/>
      <c r="Q191" s="69"/>
      <c r="R191" s="124"/>
      <c r="S191" s="123"/>
      <c r="T191" s="124"/>
      <c r="U191" s="75"/>
      <c r="V191" s="674">
        <v>125904.92</v>
      </c>
      <c r="W191" s="75"/>
      <c r="X191" s="75">
        <v>100000</v>
      </c>
      <c r="Y191" s="834">
        <f t="shared" si="42"/>
        <v>13573.14</v>
      </c>
      <c r="Z191" s="75"/>
      <c r="AA191" s="75">
        <v>100000</v>
      </c>
      <c r="AB191" s="75"/>
      <c r="AC191" s="75"/>
      <c r="AD191" s="75">
        <v>50000</v>
      </c>
      <c r="AE191" s="592"/>
      <c r="AF191" s="347" t="s">
        <v>278</v>
      </c>
      <c r="AG191" s="75">
        <v>250000</v>
      </c>
      <c r="AH191" s="375">
        <v>340000</v>
      </c>
      <c r="AI191" s="129"/>
      <c r="AJ191" s="129">
        <f>125904.92+13573.14</f>
        <v>139478.06</v>
      </c>
      <c r="AK191" s="129"/>
      <c r="AL191" s="129"/>
      <c r="AM191" s="129"/>
      <c r="AN191" s="189" t="s">
        <v>39</v>
      </c>
      <c r="AO191" s="64" t="s">
        <v>1819</v>
      </c>
      <c r="AP191" s="538" t="s">
        <v>2240</v>
      </c>
      <c r="AQ191" s="538" t="s">
        <v>2241</v>
      </c>
      <c r="AR191" s="64"/>
      <c r="AS191" s="64"/>
      <c r="AT191" s="546" t="s">
        <v>2239</v>
      </c>
      <c r="AU191" s="891" t="s">
        <v>2238</v>
      </c>
      <c r="AV191" s="68" t="s">
        <v>1827</v>
      </c>
    </row>
    <row r="192" spans="1:48" ht="14.45" customHeight="1" outlineLevel="3" x14ac:dyDescent="0.25">
      <c r="A192" s="63" t="str">
        <f t="shared" si="1"/>
        <v>1.3.1.3.15.63</v>
      </c>
      <c r="B192" s="64">
        <v>1</v>
      </c>
      <c r="C192" s="64">
        <v>3</v>
      </c>
      <c r="D192" s="64">
        <v>1</v>
      </c>
      <c r="E192" s="64">
        <v>3</v>
      </c>
      <c r="F192" s="64">
        <v>15</v>
      </c>
      <c r="G192" s="64">
        <v>63</v>
      </c>
      <c r="H192" s="65"/>
      <c r="I192" s="65"/>
      <c r="J192" s="66"/>
      <c r="K192" s="67" t="s">
        <v>1891</v>
      </c>
      <c r="L192" s="64" t="s">
        <v>72</v>
      </c>
      <c r="M192" s="64" t="s">
        <v>279</v>
      </c>
      <c r="N192" s="64" t="s">
        <v>307</v>
      </c>
      <c r="O192" s="68" t="s">
        <v>277</v>
      </c>
      <c r="P192" s="69"/>
      <c r="Q192" s="69"/>
      <c r="R192" s="124"/>
      <c r="S192" s="123"/>
      <c r="T192" s="124"/>
      <c r="U192" s="75"/>
      <c r="V192" s="674">
        <v>51202.130000000005</v>
      </c>
      <c r="W192" s="75"/>
      <c r="X192" s="75">
        <v>100000</v>
      </c>
      <c r="Y192" s="834">
        <f t="shared" si="42"/>
        <v>17646.190000000002</v>
      </c>
      <c r="Z192" s="75"/>
      <c r="AA192" s="75">
        <v>100000</v>
      </c>
      <c r="AB192" s="75"/>
      <c r="AC192" s="75"/>
      <c r="AD192" s="75"/>
      <c r="AE192" s="592"/>
      <c r="AF192" s="259" t="s">
        <v>279</v>
      </c>
      <c r="AG192" s="75">
        <v>200000</v>
      </c>
      <c r="AH192" s="370">
        <v>200000</v>
      </c>
      <c r="AI192" s="75"/>
      <c r="AJ192" s="536">
        <f>8084.68+8344.29+7349.71+27423.45+17646.19</f>
        <v>68848.320000000007</v>
      </c>
      <c r="AK192" s="75"/>
      <c r="AL192" s="75"/>
      <c r="AM192" s="75"/>
      <c r="AN192" s="189" t="s">
        <v>39</v>
      </c>
      <c r="AO192" s="64" t="s">
        <v>1819</v>
      </c>
      <c r="AP192" s="68" t="s">
        <v>2110</v>
      </c>
      <c r="AQ192" s="68" t="s">
        <v>2111</v>
      </c>
      <c r="AR192" s="544" t="s">
        <v>2108</v>
      </c>
      <c r="AS192" s="544" t="s">
        <v>2109</v>
      </c>
      <c r="AT192" s="460"/>
      <c r="AU192" s="891" t="s">
        <v>2248</v>
      </c>
      <c r="AV192" s="538" t="s">
        <v>2019</v>
      </c>
    </row>
    <row r="193" spans="1:48" ht="14.45" customHeight="1" outlineLevel="3" x14ac:dyDescent="0.25">
      <c r="A193" s="63" t="str">
        <f t="shared" si="1"/>
        <v>1.3.1.3.19.63</v>
      </c>
      <c r="B193" s="64">
        <v>1</v>
      </c>
      <c r="C193" s="64">
        <v>3</v>
      </c>
      <c r="D193" s="64">
        <v>1</v>
      </c>
      <c r="E193" s="64">
        <v>3</v>
      </c>
      <c r="F193" s="64">
        <v>19</v>
      </c>
      <c r="G193" s="64">
        <v>63</v>
      </c>
      <c r="H193" s="65"/>
      <c r="I193" s="65"/>
      <c r="J193" s="66"/>
      <c r="K193" s="67" t="s">
        <v>280</v>
      </c>
      <c r="L193" s="68" t="s">
        <v>72</v>
      </c>
      <c r="M193" s="64" t="s">
        <v>271</v>
      </c>
      <c r="N193" s="64" t="s">
        <v>307</v>
      </c>
      <c r="O193" s="64" t="s">
        <v>281</v>
      </c>
      <c r="P193" s="69"/>
      <c r="Q193" s="131"/>
      <c r="R193" s="124"/>
      <c r="S193" s="123"/>
      <c r="T193" s="124"/>
      <c r="U193" s="75">
        <v>30000</v>
      </c>
      <c r="V193" s="674">
        <v>0</v>
      </c>
      <c r="W193" s="75"/>
      <c r="X193" s="75"/>
      <c r="Y193" s="834">
        <f t="shared" si="42"/>
        <v>0</v>
      </c>
      <c r="Z193" s="75"/>
      <c r="AA193" s="75"/>
      <c r="AB193" s="75"/>
      <c r="AC193" s="75"/>
      <c r="AD193" s="75"/>
      <c r="AE193" s="592"/>
      <c r="AF193" s="347" t="s">
        <v>166</v>
      </c>
      <c r="AG193" s="75">
        <v>30000</v>
      </c>
      <c r="AH193" s="377">
        <v>30000</v>
      </c>
      <c r="AI193" s="132"/>
      <c r="AJ193" s="132"/>
      <c r="AK193" s="132"/>
      <c r="AL193" s="132"/>
      <c r="AM193" s="132"/>
      <c r="AN193" s="64" t="s">
        <v>39</v>
      </c>
      <c r="AO193" s="64"/>
      <c r="AP193" s="64"/>
      <c r="AQ193" s="64"/>
      <c r="AR193" s="245"/>
      <c r="AS193" s="64"/>
      <c r="AT193" s="64"/>
      <c r="AU193" s="646"/>
      <c r="AV193" s="434"/>
    </row>
    <row r="194" spans="1:48" ht="14.45" customHeight="1" outlineLevel="3" x14ac:dyDescent="0.25">
      <c r="A194" s="63" t="str">
        <f t="shared" si="1"/>
        <v>1.3.1.3.20.63</v>
      </c>
      <c r="B194" s="64">
        <v>1</v>
      </c>
      <c r="C194" s="64">
        <v>3</v>
      </c>
      <c r="D194" s="64">
        <v>1</v>
      </c>
      <c r="E194" s="64">
        <v>3</v>
      </c>
      <c r="F194" s="64">
        <v>20</v>
      </c>
      <c r="G194" s="64">
        <v>63</v>
      </c>
      <c r="H194" s="65"/>
      <c r="I194" s="65"/>
      <c r="J194" s="66"/>
      <c r="K194" s="67" t="s">
        <v>283</v>
      </c>
      <c r="L194" s="68" t="s">
        <v>72</v>
      </c>
      <c r="M194" s="64" t="s">
        <v>271</v>
      </c>
      <c r="N194" s="64" t="s">
        <v>307</v>
      </c>
      <c r="O194" s="64" t="s">
        <v>281</v>
      </c>
      <c r="P194" s="69"/>
      <c r="Q194" s="131"/>
      <c r="R194" s="124"/>
      <c r="S194" s="123"/>
      <c r="T194" s="124"/>
      <c r="U194" s="75">
        <v>10000</v>
      </c>
      <c r="V194" s="674">
        <v>0</v>
      </c>
      <c r="W194" s="75"/>
      <c r="X194" s="75"/>
      <c r="Y194" s="834">
        <f t="shared" si="42"/>
        <v>0</v>
      </c>
      <c r="Z194" s="75"/>
      <c r="AA194" s="75"/>
      <c r="AB194" s="75"/>
      <c r="AC194" s="75"/>
      <c r="AD194" s="75"/>
      <c r="AE194" s="592"/>
      <c r="AF194" s="347" t="s">
        <v>166</v>
      </c>
      <c r="AG194" s="75">
        <v>10000</v>
      </c>
      <c r="AH194" s="370">
        <v>10000</v>
      </c>
      <c r="AI194" s="75"/>
      <c r="AJ194" s="75"/>
      <c r="AK194" s="75"/>
      <c r="AL194" s="75"/>
      <c r="AM194" s="75"/>
      <c r="AN194" s="64" t="s">
        <v>39</v>
      </c>
      <c r="AO194" s="64"/>
      <c r="AP194" s="64"/>
      <c r="AQ194" s="64"/>
      <c r="AR194" s="64"/>
      <c r="AS194" s="64"/>
      <c r="AT194" s="64"/>
      <c r="AU194" s="646"/>
      <c r="AV194" s="434"/>
    </row>
    <row r="195" spans="1:48" ht="14.45" customHeight="1" outlineLevel="3" x14ac:dyDescent="0.25">
      <c r="A195" s="63" t="str">
        <f t="shared" si="1"/>
        <v>1.3.1.3.21.63</v>
      </c>
      <c r="B195" s="64">
        <v>1</v>
      </c>
      <c r="C195" s="64">
        <v>3</v>
      </c>
      <c r="D195" s="64">
        <v>1</v>
      </c>
      <c r="E195" s="64">
        <v>3</v>
      </c>
      <c r="F195" s="64">
        <v>21</v>
      </c>
      <c r="G195" s="64">
        <v>63</v>
      </c>
      <c r="H195" s="65"/>
      <c r="I195" s="65"/>
      <c r="J195" s="66"/>
      <c r="K195" s="67" t="s">
        <v>284</v>
      </c>
      <c r="L195" s="68" t="s">
        <v>72</v>
      </c>
      <c r="M195" s="64" t="s">
        <v>271</v>
      </c>
      <c r="N195" s="64" t="s">
        <v>307</v>
      </c>
      <c r="O195" s="64" t="s">
        <v>281</v>
      </c>
      <c r="P195" s="69"/>
      <c r="Q195" s="131"/>
      <c r="R195" s="124"/>
      <c r="S195" s="123"/>
      <c r="T195" s="124"/>
      <c r="U195" s="75">
        <v>30000</v>
      </c>
      <c r="V195" s="674">
        <v>0</v>
      </c>
      <c r="W195" s="75"/>
      <c r="X195" s="75"/>
      <c r="Y195" s="834">
        <f t="shared" si="42"/>
        <v>0</v>
      </c>
      <c r="Z195" s="75"/>
      <c r="AA195" s="75"/>
      <c r="AB195" s="75"/>
      <c r="AC195" s="75"/>
      <c r="AD195" s="75"/>
      <c r="AE195" s="592"/>
      <c r="AF195" s="347" t="s">
        <v>166</v>
      </c>
      <c r="AG195" s="75">
        <v>30000</v>
      </c>
      <c r="AH195" s="370">
        <v>115000</v>
      </c>
      <c r="AI195" s="75"/>
      <c r="AJ195" s="75"/>
      <c r="AK195" s="75"/>
      <c r="AL195" s="75"/>
      <c r="AM195" s="75"/>
      <c r="AN195" s="64" t="s">
        <v>39</v>
      </c>
      <c r="AO195" s="64"/>
      <c r="AP195" s="64"/>
      <c r="AQ195" s="64"/>
      <c r="AR195" s="64"/>
      <c r="AS195" s="64"/>
      <c r="AT195" s="64"/>
      <c r="AU195" s="646"/>
      <c r="AV195" s="434"/>
    </row>
    <row r="196" spans="1:48" ht="14.45" customHeight="1" outlineLevel="3" x14ac:dyDescent="0.25">
      <c r="A196" s="63" t="str">
        <f t="shared" si="1"/>
        <v>1.3.1.3.24.63</v>
      </c>
      <c r="B196" s="64">
        <v>1</v>
      </c>
      <c r="C196" s="64">
        <v>3</v>
      </c>
      <c r="D196" s="64">
        <v>1</v>
      </c>
      <c r="E196" s="64">
        <v>3</v>
      </c>
      <c r="F196" s="64">
        <v>24</v>
      </c>
      <c r="G196" s="64">
        <v>63</v>
      </c>
      <c r="H196" s="65"/>
      <c r="I196" s="65"/>
      <c r="J196" s="66"/>
      <c r="K196" s="67" t="s">
        <v>286</v>
      </c>
      <c r="L196" s="68" t="s">
        <v>72</v>
      </c>
      <c r="M196" s="64" t="s">
        <v>73</v>
      </c>
      <c r="N196" s="64" t="s">
        <v>307</v>
      </c>
      <c r="O196" s="64" t="s">
        <v>281</v>
      </c>
      <c r="P196" s="69"/>
      <c r="Q196" s="131"/>
      <c r="R196" s="124"/>
      <c r="S196" s="123"/>
      <c r="T196" s="124"/>
      <c r="U196" s="75"/>
      <c r="V196" s="674">
        <v>0</v>
      </c>
      <c r="W196" s="75"/>
      <c r="X196" s="75"/>
      <c r="Y196" s="834">
        <f t="shared" si="42"/>
        <v>0</v>
      </c>
      <c r="Z196" s="75"/>
      <c r="AA196" s="75"/>
      <c r="AB196" s="75"/>
      <c r="AC196" s="75"/>
      <c r="AD196" s="75"/>
      <c r="AE196" s="592"/>
      <c r="AF196" s="347" t="s">
        <v>73</v>
      </c>
      <c r="AG196" s="75">
        <v>0</v>
      </c>
      <c r="AH196" s="370">
        <v>0</v>
      </c>
      <c r="AI196" s="75"/>
      <c r="AJ196" s="75"/>
      <c r="AK196" s="75"/>
      <c r="AL196" s="75"/>
      <c r="AM196" s="75"/>
      <c r="AN196" s="64" t="s">
        <v>39</v>
      </c>
      <c r="AO196" s="64"/>
      <c r="AP196" s="64"/>
      <c r="AQ196" s="64"/>
      <c r="AR196" s="64"/>
      <c r="AS196" s="64"/>
      <c r="AT196" s="64"/>
      <c r="AU196" s="646"/>
      <c r="AV196" s="434"/>
    </row>
    <row r="197" spans="1:48" ht="14.45" customHeight="1" outlineLevel="3" x14ac:dyDescent="0.25">
      <c r="A197" s="63" t="str">
        <f t="shared" si="1"/>
        <v>1.3.1.3.25.63</v>
      </c>
      <c r="B197" s="64">
        <v>1</v>
      </c>
      <c r="C197" s="64">
        <v>3</v>
      </c>
      <c r="D197" s="64">
        <v>1</v>
      </c>
      <c r="E197" s="64">
        <v>3</v>
      </c>
      <c r="F197" s="64">
        <v>25</v>
      </c>
      <c r="G197" s="64">
        <v>63</v>
      </c>
      <c r="H197" s="65"/>
      <c r="I197" s="65"/>
      <c r="J197" s="66"/>
      <c r="K197" s="67" t="s">
        <v>287</v>
      </c>
      <c r="L197" s="68" t="s">
        <v>72</v>
      </c>
      <c r="M197" s="64" t="s">
        <v>73</v>
      </c>
      <c r="N197" s="64"/>
      <c r="O197" s="64"/>
      <c r="P197" s="69"/>
      <c r="Q197" s="131"/>
      <c r="R197" s="124"/>
      <c r="S197" s="123"/>
      <c r="T197" s="124"/>
      <c r="U197" s="75"/>
      <c r="V197" s="674">
        <v>0</v>
      </c>
      <c r="W197" s="75"/>
      <c r="X197" s="75"/>
      <c r="Y197" s="834">
        <f t="shared" si="42"/>
        <v>0</v>
      </c>
      <c r="Z197" s="75"/>
      <c r="AA197" s="75"/>
      <c r="AB197" s="75"/>
      <c r="AC197" s="75"/>
      <c r="AD197" s="75"/>
      <c r="AE197" s="592"/>
      <c r="AF197" s="347" t="s">
        <v>73</v>
      </c>
      <c r="AG197" s="75">
        <v>0</v>
      </c>
      <c r="AH197" s="370">
        <v>0</v>
      </c>
      <c r="AI197" s="75"/>
      <c r="AJ197" s="75"/>
      <c r="AK197" s="75"/>
      <c r="AL197" s="75"/>
      <c r="AM197" s="75"/>
      <c r="AN197" s="64" t="s">
        <v>39</v>
      </c>
      <c r="AO197" s="64"/>
      <c r="AP197" s="64"/>
      <c r="AQ197" s="64"/>
      <c r="AR197" s="64"/>
      <c r="AS197" s="64"/>
      <c r="AT197" s="64"/>
      <c r="AU197" s="646"/>
      <c r="AV197" s="434"/>
    </row>
    <row r="198" spans="1:48" ht="14.45" customHeight="1" outlineLevel="3" x14ac:dyDescent="0.25">
      <c r="A198" s="63" t="str">
        <f t="shared" si="1"/>
        <v>1.3.1.3.26.63</v>
      </c>
      <c r="B198" s="64">
        <v>1</v>
      </c>
      <c r="C198" s="64">
        <v>3</v>
      </c>
      <c r="D198" s="64">
        <v>1</v>
      </c>
      <c r="E198" s="64">
        <v>3</v>
      </c>
      <c r="F198" s="64">
        <v>26</v>
      </c>
      <c r="G198" s="64">
        <v>63</v>
      </c>
      <c r="H198" s="65"/>
      <c r="I198" s="65"/>
      <c r="J198" s="66"/>
      <c r="K198" s="67" t="s">
        <v>2206</v>
      </c>
      <c r="L198" s="68" t="s">
        <v>72</v>
      </c>
      <c r="M198" s="64" t="s">
        <v>279</v>
      </c>
      <c r="N198" s="64"/>
      <c r="O198" s="64"/>
      <c r="P198" s="69"/>
      <c r="Q198" s="131"/>
      <c r="R198" s="124"/>
      <c r="S198" s="123"/>
      <c r="T198" s="124"/>
      <c r="U198" s="75">
        <v>50000</v>
      </c>
      <c r="V198" s="674">
        <v>20474.05</v>
      </c>
      <c r="W198" s="75"/>
      <c r="X198" s="75">
        <v>50000</v>
      </c>
      <c r="Y198" s="834">
        <f t="shared" si="42"/>
        <v>12179</v>
      </c>
      <c r="Z198" s="75"/>
      <c r="AA198" s="75">
        <v>50000</v>
      </c>
      <c r="AB198" s="75"/>
      <c r="AC198" s="75"/>
      <c r="AD198" s="75">
        <v>50000</v>
      </c>
      <c r="AE198" s="592"/>
      <c r="AF198" s="347" t="s">
        <v>73</v>
      </c>
      <c r="AG198" s="75">
        <v>200000</v>
      </c>
      <c r="AH198" s="370">
        <v>200000</v>
      </c>
      <c r="AI198" s="75"/>
      <c r="AJ198" s="536">
        <f>20474.05+8933.68+2178.81+1066.51</f>
        <v>32653.05</v>
      </c>
      <c r="AK198" s="75"/>
      <c r="AL198" s="75"/>
      <c r="AM198" s="75"/>
      <c r="AN198" s="64" t="s">
        <v>39</v>
      </c>
      <c r="AO198" s="64" t="s">
        <v>1819</v>
      </c>
      <c r="AP198" s="538" t="s">
        <v>2209</v>
      </c>
      <c r="AQ198" s="68" t="s">
        <v>2210</v>
      </c>
      <c r="AR198" s="64"/>
      <c r="AS198" s="64"/>
      <c r="AT198" s="546" t="s">
        <v>1823</v>
      </c>
      <c r="AU198" s="877" t="s">
        <v>2207</v>
      </c>
      <c r="AV198" s="434" t="s">
        <v>1820</v>
      </c>
    </row>
    <row r="199" spans="1:48" ht="72" customHeight="1" outlineLevel="3" x14ac:dyDescent="0.25">
      <c r="A199" s="63" t="str">
        <f t="shared" si="1"/>
        <v>1.3.1.3.28.63</v>
      </c>
      <c r="B199" s="64">
        <v>1</v>
      </c>
      <c r="C199" s="64">
        <v>3</v>
      </c>
      <c r="D199" s="64">
        <v>1</v>
      </c>
      <c r="E199" s="64">
        <v>3</v>
      </c>
      <c r="F199" s="64">
        <v>28</v>
      </c>
      <c r="G199" s="100">
        <v>63</v>
      </c>
      <c r="H199" s="65"/>
      <c r="I199" s="65"/>
      <c r="J199" s="66"/>
      <c r="K199" s="67" t="s">
        <v>293</v>
      </c>
      <c r="L199" s="64" t="s">
        <v>72</v>
      </c>
      <c r="M199" s="64" t="s">
        <v>279</v>
      </c>
      <c r="N199" s="64"/>
      <c r="O199" s="64"/>
      <c r="P199" s="69"/>
      <c r="Q199" s="69"/>
      <c r="R199" s="124"/>
      <c r="S199" s="123"/>
      <c r="T199" s="124"/>
      <c r="U199" s="75">
        <v>0</v>
      </c>
      <c r="V199" s="674">
        <v>0</v>
      </c>
      <c r="W199" s="75"/>
      <c r="X199" s="75">
        <v>0</v>
      </c>
      <c r="Y199" s="834">
        <f t="shared" si="42"/>
        <v>0</v>
      </c>
      <c r="Z199" s="75"/>
      <c r="AA199" s="75">
        <v>0</v>
      </c>
      <c r="AB199" s="75"/>
      <c r="AC199" s="75"/>
      <c r="AD199" s="75">
        <v>0</v>
      </c>
      <c r="AE199" s="592"/>
      <c r="AF199" s="347" t="s">
        <v>73</v>
      </c>
      <c r="AG199" s="75">
        <v>1750000</v>
      </c>
      <c r="AH199" s="377">
        <v>0</v>
      </c>
      <c r="AI199" s="132"/>
      <c r="AJ199" s="132"/>
      <c r="AK199" s="132"/>
      <c r="AL199" s="132"/>
      <c r="AM199" s="132"/>
      <c r="AN199" s="64" t="s">
        <v>39</v>
      </c>
      <c r="AO199" s="64"/>
      <c r="AP199" s="64"/>
      <c r="AQ199" s="64"/>
      <c r="AR199" s="64"/>
      <c r="AS199" s="64"/>
      <c r="AT199" s="64"/>
      <c r="AU199" s="646"/>
      <c r="AV199" s="335" t="s">
        <v>295</v>
      </c>
    </row>
    <row r="200" spans="1:48" ht="14.45" customHeight="1" outlineLevel="3" x14ac:dyDescent="0.25">
      <c r="A200" s="63" t="str">
        <f t="shared" si="1"/>
        <v>1.3.1.3.29.63</v>
      </c>
      <c r="B200" s="64">
        <v>1</v>
      </c>
      <c r="C200" s="64">
        <v>3</v>
      </c>
      <c r="D200" s="64">
        <v>1</v>
      </c>
      <c r="E200" s="64">
        <v>3</v>
      </c>
      <c r="F200" s="64">
        <v>29</v>
      </c>
      <c r="G200" s="64">
        <v>63</v>
      </c>
      <c r="H200" s="65"/>
      <c r="I200" s="65"/>
      <c r="J200" s="66"/>
      <c r="K200" s="67" t="s">
        <v>296</v>
      </c>
      <c r="L200" s="64"/>
      <c r="M200" s="64"/>
      <c r="N200" s="64"/>
      <c r="O200" s="64"/>
      <c r="P200" s="69"/>
      <c r="Q200" s="69"/>
      <c r="R200" s="124"/>
      <c r="S200" s="123"/>
      <c r="T200" s="124"/>
      <c r="U200" s="75">
        <v>50000</v>
      </c>
      <c r="V200" s="674">
        <v>0</v>
      </c>
      <c r="W200" s="75"/>
      <c r="X200" s="75">
        <v>50000</v>
      </c>
      <c r="Y200" s="834">
        <f t="shared" si="42"/>
        <v>0</v>
      </c>
      <c r="Z200" s="75"/>
      <c r="AA200" s="75">
        <v>50000</v>
      </c>
      <c r="AB200" s="75"/>
      <c r="AC200" s="75"/>
      <c r="AD200" s="75">
        <v>50000</v>
      </c>
      <c r="AE200" s="592"/>
      <c r="AF200" s="347" t="s">
        <v>73</v>
      </c>
      <c r="AG200" s="75">
        <v>200000</v>
      </c>
      <c r="AH200" s="370">
        <v>200000</v>
      </c>
      <c r="AI200" s="75"/>
      <c r="AJ200" s="132"/>
      <c r="AK200" s="75"/>
      <c r="AL200" s="75"/>
      <c r="AM200" s="75"/>
      <c r="AN200" s="64" t="s">
        <v>39</v>
      </c>
      <c r="AO200" s="64"/>
      <c r="AP200" s="64"/>
      <c r="AQ200" s="68"/>
      <c r="AR200" s="64"/>
      <c r="AS200" s="64"/>
      <c r="AT200" s="64"/>
      <c r="AU200" s="860"/>
      <c r="AV200" s="68"/>
    </row>
    <row r="201" spans="1:48" ht="14.45" customHeight="1" outlineLevel="3" x14ac:dyDescent="0.25">
      <c r="A201" s="63" t="str">
        <f>CONCATENATE(B201,".",C201,".",D201,".",E201,".",F201,".",G201)</f>
        <v>1.3.1.3.31.63</v>
      </c>
      <c r="B201" s="100">
        <v>1</v>
      </c>
      <c r="C201" s="100">
        <v>3</v>
      </c>
      <c r="D201" s="100">
        <v>1</v>
      </c>
      <c r="E201" s="100">
        <v>3</v>
      </c>
      <c r="F201" s="100">
        <v>31</v>
      </c>
      <c r="G201" s="100">
        <v>63</v>
      </c>
      <c r="H201" s="65"/>
      <c r="I201" s="65"/>
      <c r="J201" s="66"/>
      <c r="K201" s="67" t="s">
        <v>298</v>
      </c>
      <c r="L201" s="64" t="s">
        <v>359</v>
      </c>
      <c r="M201" s="64" t="s">
        <v>299</v>
      </c>
      <c r="N201" s="64"/>
      <c r="O201" s="64"/>
      <c r="P201" s="69"/>
      <c r="Q201" s="69"/>
      <c r="R201" s="124"/>
      <c r="S201" s="123"/>
      <c r="T201" s="124"/>
      <c r="U201" s="75">
        <v>30000</v>
      </c>
      <c r="V201" s="674">
        <v>20000</v>
      </c>
      <c r="W201" s="75"/>
      <c r="X201" s="75">
        <v>30000</v>
      </c>
      <c r="Y201" s="834">
        <f t="shared" si="42"/>
        <v>10000</v>
      </c>
      <c r="Z201" s="75"/>
      <c r="AA201" s="75">
        <v>20000</v>
      </c>
      <c r="AB201" s="75"/>
      <c r="AC201" s="75"/>
      <c r="AD201" s="75"/>
      <c r="AE201" s="592"/>
      <c r="AF201" s="347"/>
      <c r="AG201" s="377">
        <v>0</v>
      </c>
      <c r="AH201" s="377">
        <v>80000</v>
      </c>
      <c r="AI201" s="75"/>
      <c r="AJ201" s="132">
        <f>20000+10000</f>
        <v>30000</v>
      </c>
      <c r="AK201" s="75"/>
      <c r="AL201" s="75"/>
      <c r="AM201" s="75"/>
      <c r="AN201" s="64" t="s">
        <v>282</v>
      </c>
      <c r="AO201" s="64" t="s">
        <v>1819</v>
      </c>
      <c r="AP201" s="64" t="s">
        <v>2025</v>
      </c>
      <c r="AQ201" s="64" t="s">
        <v>2026</v>
      </c>
      <c r="AR201" s="69">
        <v>44428</v>
      </c>
      <c r="AS201" s="69">
        <v>44977</v>
      </c>
      <c r="AT201" s="64" t="s">
        <v>1814</v>
      </c>
      <c r="AU201" s="877" t="s">
        <v>2094</v>
      </c>
      <c r="AV201" s="434" t="s">
        <v>2027</v>
      </c>
    </row>
    <row r="202" spans="1:48" s="135" customFormat="1" ht="72" customHeight="1" outlineLevel="1" x14ac:dyDescent="0.25">
      <c r="A202" s="80" t="str">
        <f t="shared" si="1"/>
        <v>1.3.1.4.0.0</v>
      </c>
      <c r="B202" s="81">
        <v>1</v>
      </c>
      <c r="C202" s="81">
        <v>3</v>
      </c>
      <c r="D202" s="81">
        <v>1</v>
      </c>
      <c r="E202" s="81">
        <v>4</v>
      </c>
      <c r="F202" s="81">
        <v>0</v>
      </c>
      <c r="G202" s="81">
        <v>0</v>
      </c>
      <c r="H202" s="114"/>
      <c r="I202" s="114"/>
      <c r="J202" s="1346" t="s">
        <v>316</v>
      </c>
      <c r="K202" s="1346"/>
      <c r="L202" s="81" t="s">
        <v>236</v>
      </c>
      <c r="M202" s="81" t="s">
        <v>240</v>
      </c>
      <c r="N202" s="81" t="s">
        <v>226</v>
      </c>
      <c r="O202" s="81" t="s">
        <v>241</v>
      </c>
      <c r="P202" s="115">
        <v>44571</v>
      </c>
      <c r="Q202" s="115">
        <v>44925</v>
      </c>
      <c r="R202" s="119">
        <f>+R203+R204</f>
        <v>1211196</v>
      </c>
      <c r="S202" s="114" t="s">
        <v>242</v>
      </c>
      <c r="T202" s="119">
        <f>T210+T209+T208+T207+T206+T205+T204+T203</f>
        <v>605598</v>
      </c>
      <c r="U202" s="116">
        <f t="shared" ref="U202:AG202" si="43">SUM(U203:U226)</f>
        <v>8557304.3000000007</v>
      </c>
      <c r="V202" s="676">
        <f t="shared" si="43"/>
        <v>7026685.0999999996</v>
      </c>
      <c r="W202" s="116">
        <f t="shared" si="43"/>
        <v>605601</v>
      </c>
      <c r="X202" s="116">
        <f t="shared" si="43"/>
        <v>8813496.9699999988</v>
      </c>
      <c r="Y202" s="841">
        <f t="shared" si="43"/>
        <v>7892908.3499999996</v>
      </c>
      <c r="Z202" s="116">
        <f t="shared" si="43"/>
        <v>3624181</v>
      </c>
      <c r="AA202" s="116">
        <f t="shared" si="43"/>
        <v>6701643.6399999997</v>
      </c>
      <c r="AB202" s="116">
        <f t="shared" si="43"/>
        <v>2968580</v>
      </c>
      <c r="AC202" s="116">
        <f t="shared" si="43"/>
        <v>3624181</v>
      </c>
      <c r="AD202" s="116">
        <f t="shared" si="43"/>
        <v>7006676.9699999997</v>
      </c>
      <c r="AE202" s="116">
        <f t="shared" si="43"/>
        <v>0</v>
      </c>
      <c r="AF202" s="116">
        <f t="shared" si="43"/>
        <v>0</v>
      </c>
      <c r="AG202" s="116">
        <f t="shared" si="43"/>
        <v>14837633.333333334</v>
      </c>
      <c r="AH202" s="116">
        <f>SUM(AH203:AH226)</f>
        <v>21902300</v>
      </c>
      <c r="AI202" s="116">
        <f t="shared" ref="AI202" si="44">SUM(AI203:AI226)</f>
        <v>0</v>
      </c>
      <c r="AJ202" s="116">
        <f>SUM(AJ203:AJ226)</f>
        <v>14919593.449999999</v>
      </c>
      <c r="AK202" s="61"/>
      <c r="AL202" s="61"/>
      <c r="AM202" s="61"/>
      <c r="AN202" s="81" t="s">
        <v>243</v>
      </c>
      <c r="AO202" s="81"/>
      <c r="AP202" s="81"/>
      <c r="AQ202" s="412"/>
      <c r="AR202" s="81"/>
      <c r="AS202" s="474"/>
      <c r="AT202" s="81"/>
      <c r="AU202" s="663"/>
      <c r="AV202" s="433"/>
    </row>
    <row r="203" spans="1:48" ht="139.35" customHeight="1" outlineLevel="3" x14ac:dyDescent="0.25">
      <c r="A203" s="63" t="str">
        <f t="shared" si="1"/>
        <v>1.3.1.4.1.64</v>
      </c>
      <c r="B203" s="64">
        <v>1</v>
      </c>
      <c r="C203" s="64">
        <v>3</v>
      </c>
      <c r="D203" s="64">
        <v>1</v>
      </c>
      <c r="E203" s="64">
        <v>4</v>
      </c>
      <c r="F203" s="64">
        <v>1</v>
      </c>
      <c r="G203" s="64">
        <v>64</v>
      </c>
      <c r="H203" s="65"/>
      <c r="I203" s="65"/>
      <c r="J203" s="66"/>
      <c r="K203" s="65" t="s">
        <v>245</v>
      </c>
      <c r="L203" s="64" t="s">
        <v>246</v>
      </c>
      <c r="M203" s="64" t="s">
        <v>240</v>
      </c>
      <c r="N203" s="64" t="s">
        <v>247</v>
      </c>
      <c r="O203" s="64" t="s">
        <v>241</v>
      </c>
      <c r="P203" s="69">
        <v>44571</v>
      </c>
      <c r="Q203" s="69">
        <v>44925</v>
      </c>
      <c r="R203" s="126">
        <v>86646</v>
      </c>
      <c r="S203" s="123" t="s">
        <v>248</v>
      </c>
      <c r="T203" s="124">
        <f>+R203/4</f>
        <v>21661.5</v>
      </c>
      <c r="U203" s="75">
        <v>0</v>
      </c>
      <c r="V203" s="674">
        <v>0</v>
      </c>
      <c r="W203" s="75">
        <f>+R203/4</f>
        <v>21661.5</v>
      </c>
      <c r="X203" s="75">
        <v>0</v>
      </c>
      <c r="Y203" s="834">
        <f t="shared" ref="Y203:Y226" si="45">+AJ203-V203</f>
        <v>0</v>
      </c>
      <c r="Z203" s="75">
        <f>+R203/4</f>
        <v>21661.5</v>
      </c>
      <c r="AA203" s="75">
        <v>0</v>
      </c>
      <c r="AB203" s="75"/>
      <c r="AC203" s="75">
        <f>+R203/4</f>
        <v>21661.5</v>
      </c>
      <c r="AD203" s="75">
        <v>0</v>
      </c>
      <c r="AE203" s="592"/>
      <c r="AF203" s="347"/>
      <c r="AG203" s="510">
        <v>0</v>
      </c>
      <c r="AH203" s="370">
        <v>0</v>
      </c>
      <c r="AI203" s="75"/>
      <c r="AJ203" s="75"/>
      <c r="AK203" s="75"/>
      <c r="AL203" s="75"/>
      <c r="AM203" s="75"/>
      <c r="AN203" s="64" t="s">
        <v>39</v>
      </c>
      <c r="AO203" s="64"/>
      <c r="AP203" s="64"/>
      <c r="AQ203" s="189"/>
      <c r="AR203" s="64"/>
      <c r="AS203" s="476"/>
      <c r="AT203" s="64"/>
      <c r="AU203" s="646"/>
      <c r="AV203" s="335" t="s">
        <v>250</v>
      </c>
    </row>
    <row r="204" spans="1:48" ht="68.45" customHeight="1" outlineLevel="3" x14ac:dyDescent="0.25">
      <c r="A204" s="63" t="str">
        <f t="shared" si="1"/>
        <v>1.3.1.4.2.64</v>
      </c>
      <c r="B204" s="64">
        <v>1</v>
      </c>
      <c r="C204" s="64">
        <v>3</v>
      </c>
      <c r="D204" s="64">
        <v>1</v>
      </c>
      <c r="E204" s="64">
        <v>4</v>
      </c>
      <c r="F204" s="64">
        <v>2</v>
      </c>
      <c r="G204" s="64">
        <v>64</v>
      </c>
      <c r="H204" s="65"/>
      <c r="I204" s="65"/>
      <c r="J204" s="66"/>
      <c r="K204" s="65" t="s">
        <v>251</v>
      </c>
      <c r="L204" s="64" t="s">
        <v>246</v>
      </c>
      <c r="M204" s="64" t="s">
        <v>240</v>
      </c>
      <c r="N204" s="64" t="s">
        <v>252</v>
      </c>
      <c r="O204" s="64" t="s">
        <v>241</v>
      </c>
      <c r="P204" s="69">
        <v>44571</v>
      </c>
      <c r="Q204" s="69">
        <v>44925</v>
      </c>
      <c r="R204" s="126">
        <v>1124550</v>
      </c>
      <c r="S204" s="123" t="s">
        <v>248</v>
      </c>
      <c r="T204" s="124">
        <f>+R204/4</f>
        <v>281137.5</v>
      </c>
      <c r="U204" s="75">
        <v>0</v>
      </c>
      <c r="V204" s="674">
        <v>0</v>
      </c>
      <c r="W204" s="75">
        <f>+R204/4</f>
        <v>281137.5</v>
      </c>
      <c r="X204" s="75">
        <v>0</v>
      </c>
      <c r="Y204" s="834">
        <f t="shared" si="45"/>
        <v>0</v>
      </c>
      <c r="Z204" s="75">
        <f>+R204/4</f>
        <v>281137.5</v>
      </c>
      <c r="AA204" s="75">
        <v>0</v>
      </c>
      <c r="AB204" s="75"/>
      <c r="AC204" s="75">
        <f>+R204/4</f>
        <v>281137.5</v>
      </c>
      <c r="AD204" s="75">
        <v>0</v>
      </c>
      <c r="AE204" s="592"/>
      <c r="AF204" s="347"/>
      <c r="AG204" s="510">
        <v>0</v>
      </c>
      <c r="AH204" s="370">
        <v>0</v>
      </c>
      <c r="AI204" s="75"/>
      <c r="AJ204" s="75"/>
      <c r="AK204" s="75"/>
      <c r="AL204" s="75"/>
      <c r="AM204" s="75"/>
      <c r="AN204" s="64" t="s">
        <v>39</v>
      </c>
      <c r="AO204" s="64"/>
      <c r="AP204" s="64"/>
      <c r="AQ204" s="189"/>
      <c r="AR204" s="64"/>
      <c r="AS204" s="476"/>
      <c r="AT204" s="64"/>
      <c r="AU204" s="646"/>
      <c r="AV204" s="335" t="s">
        <v>254</v>
      </c>
    </row>
    <row r="205" spans="1:48" ht="14.45" customHeight="1" outlineLevel="3" x14ac:dyDescent="0.25">
      <c r="A205" s="63" t="str">
        <f t="shared" si="1"/>
        <v>1.3.1.4.3.64</v>
      </c>
      <c r="B205" s="64">
        <v>1</v>
      </c>
      <c r="C205" s="64">
        <v>3</v>
      </c>
      <c r="D205" s="64">
        <v>1</v>
      </c>
      <c r="E205" s="64">
        <v>4</v>
      </c>
      <c r="F205" s="64">
        <v>3</v>
      </c>
      <c r="G205" s="64">
        <v>64</v>
      </c>
      <c r="H205" s="65"/>
      <c r="I205" s="65"/>
      <c r="J205" s="66"/>
      <c r="K205" s="125" t="s">
        <v>317</v>
      </c>
      <c r="L205" s="64" t="s">
        <v>246</v>
      </c>
      <c r="M205" s="64" t="s">
        <v>240</v>
      </c>
      <c r="N205" s="64" t="s">
        <v>257</v>
      </c>
      <c r="O205" s="64" t="s">
        <v>241</v>
      </c>
      <c r="P205" s="69">
        <v>44571</v>
      </c>
      <c r="Q205" s="69">
        <v>44925</v>
      </c>
      <c r="R205" s="126">
        <v>0</v>
      </c>
      <c r="S205" s="123" t="s">
        <v>248</v>
      </c>
      <c r="T205" s="124"/>
      <c r="U205" s="75"/>
      <c r="V205" s="674">
        <v>0</v>
      </c>
      <c r="W205" s="75"/>
      <c r="X205" s="75"/>
      <c r="Y205" s="834">
        <f t="shared" si="45"/>
        <v>0</v>
      </c>
      <c r="Z205" s="75"/>
      <c r="AA205" s="75"/>
      <c r="AB205" s="75"/>
      <c r="AC205" s="75"/>
      <c r="AD205" s="75"/>
      <c r="AE205" s="592"/>
      <c r="AF205" s="349"/>
      <c r="AG205" s="510">
        <v>0</v>
      </c>
      <c r="AH205" s="370">
        <v>0</v>
      </c>
      <c r="AI205" s="75"/>
      <c r="AJ205" s="75"/>
      <c r="AK205" s="75"/>
      <c r="AL205" s="75"/>
      <c r="AM205" s="75"/>
      <c r="AN205" s="136" t="s">
        <v>39</v>
      </c>
      <c r="AO205" s="136"/>
      <c r="AP205" s="136"/>
      <c r="AQ205" s="414"/>
      <c r="AR205" s="136"/>
      <c r="AS205" s="477"/>
      <c r="AT205" s="136"/>
      <c r="AU205" s="646"/>
      <c r="AV205" s="433"/>
    </row>
    <row r="206" spans="1:48" ht="14.45" customHeight="1" outlineLevel="3" x14ac:dyDescent="0.25">
      <c r="A206" s="63" t="str">
        <f t="shared" si="1"/>
        <v>1.3.1.4.4.64</v>
      </c>
      <c r="B206" s="64">
        <v>1</v>
      </c>
      <c r="C206" s="64">
        <v>3</v>
      </c>
      <c r="D206" s="64">
        <v>1</v>
      </c>
      <c r="E206" s="64">
        <v>4</v>
      </c>
      <c r="F206" s="64">
        <v>4</v>
      </c>
      <c r="G206" s="100">
        <v>64</v>
      </c>
      <c r="H206" s="65"/>
      <c r="I206" s="65"/>
      <c r="J206" s="66"/>
      <c r="K206" s="125" t="s">
        <v>1911</v>
      </c>
      <c r="L206" s="64" t="s">
        <v>246</v>
      </c>
      <c r="M206" s="64" t="s">
        <v>256</v>
      </c>
      <c r="N206" s="64" t="s">
        <v>257</v>
      </c>
      <c r="O206" s="64" t="s">
        <v>241</v>
      </c>
      <c r="P206" s="69">
        <v>44571</v>
      </c>
      <c r="Q206" s="69">
        <v>44925</v>
      </c>
      <c r="R206" s="126"/>
      <c r="S206" s="123" t="s">
        <v>258</v>
      </c>
      <c r="T206" s="124"/>
      <c r="U206" s="132">
        <v>1885000</v>
      </c>
      <c r="V206" s="674">
        <v>381850</v>
      </c>
      <c r="W206" s="75"/>
      <c r="X206" s="132">
        <v>2968580</v>
      </c>
      <c r="Y206" s="834">
        <f t="shared" si="45"/>
        <v>1439900</v>
      </c>
      <c r="Z206" s="127">
        <f t="shared" ref="Z206:AC206" si="46">2885212.5+83367.5</f>
        <v>2968580</v>
      </c>
      <c r="AA206" s="132">
        <f>+(AH206-U206-X206)/2</f>
        <v>1281810</v>
      </c>
      <c r="AB206" s="127">
        <f t="shared" si="46"/>
        <v>2968580</v>
      </c>
      <c r="AC206" s="127">
        <f t="shared" si="46"/>
        <v>2968580</v>
      </c>
      <c r="AD206" s="132">
        <f>+AH206-U206-X206-AA206</f>
        <v>1281810</v>
      </c>
      <c r="AE206" s="596"/>
      <c r="AF206" s="349" t="s">
        <v>318</v>
      </c>
      <c r="AG206" s="510">
        <v>911133.33333333337</v>
      </c>
      <c r="AH206" s="370">
        <v>7417200</v>
      </c>
      <c r="AI206" s="75"/>
      <c r="AJ206" s="75">
        <f>101500+87150+89600+103600+396550+465850+577500</f>
        <v>1821750</v>
      </c>
      <c r="AK206" s="75"/>
      <c r="AL206" s="75"/>
      <c r="AM206" s="75"/>
      <c r="AN206" s="136" t="s">
        <v>39</v>
      </c>
      <c r="AO206" s="533" t="s">
        <v>1839</v>
      </c>
      <c r="AP206" s="533" t="s">
        <v>649</v>
      </c>
      <c r="AQ206" s="533" t="s">
        <v>649</v>
      </c>
      <c r="AR206" s="554">
        <v>44562</v>
      </c>
      <c r="AS206" s="554">
        <v>44926</v>
      </c>
      <c r="AT206" s="533" t="s">
        <v>1814</v>
      </c>
      <c r="AU206" s="875" t="s">
        <v>2100</v>
      </c>
      <c r="AV206" s="561" t="s">
        <v>2101</v>
      </c>
    </row>
    <row r="207" spans="1:48" ht="29.1" customHeight="1" outlineLevel="3" x14ac:dyDescent="0.25">
      <c r="A207" s="63" t="str">
        <f t="shared" si="1"/>
        <v>1.3.1.4.5.64</v>
      </c>
      <c r="B207" s="64">
        <v>1</v>
      </c>
      <c r="C207" s="64">
        <v>3</v>
      </c>
      <c r="D207" s="64">
        <v>1</v>
      </c>
      <c r="E207" s="64">
        <v>4</v>
      </c>
      <c r="F207" s="64">
        <v>5</v>
      </c>
      <c r="G207" s="64">
        <v>64</v>
      </c>
      <c r="H207" s="65"/>
      <c r="I207" s="65"/>
      <c r="J207" s="66"/>
      <c r="K207" s="65" t="s">
        <v>259</v>
      </c>
      <c r="L207" s="64" t="s">
        <v>246</v>
      </c>
      <c r="M207" s="64" t="s">
        <v>240</v>
      </c>
      <c r="N207" s="64" t="s">
        <v>247</v>
      </c>
      <c r="O207" s="64" t="s">
        <v>241</v>
      </c>
      <c r="P207" s="69">
        <v>44571</v>
      </c>
      <c r="Q207" s="69">
        <v>44925</v>
      </c>
      <c r="R207" s="126">
        <v>86646</v>
      </c>
      <c r="S207" s="123" t="s">
        <v>248</v>
      </c>
      <c r="T207" s="124">
        <f>+$R207/4</f>
        <v>21661.5</v>
      </c>
      <c r="U207" s="75"/>
      <c r="V207" s="674">
        <v>0</v>
      </c>
      <c r="W207" s="75">
        <f>+$R207/4</f>
        <v>21661.5</v>
      </c>
      <c r="X207" s="75"/>
      <c r="Y207" s="834">
        <f t="shared" si="45"/>
        <v>0</v>
      </c>
      <c r="Z207" s="75">
        <f>+$R207/4</f>
        <v>21661.5</v>
      </c>
      <c r="AA207" s="75"/>
      <c r="AB207" s="75"/>
      <c r="AC207" s="75">
        <f>+$R207/4</f>
        <v>21661.5</v>
      </c>
      <c r="AD207" s="75"/>
      <c r="AE207" s="592"/>
      <c r="AF207" s="350" t="s">
        <v>260</v>
      </c>
      <c r="AG207" s="510">
        <v>0</v>
      </c>
      <c r="AH207" s="370">
        <v>0</v>
      </c>
      <c r="AI207" s="75"/>
      <c r="AJ207" s="75"/>
      <c r="AK207" s="75"/>
      <c r="AL207" s="75"/>
      <c r="AM207" s="75"/>
      <c r="AN207" s="136" t="s">
        <v>39</v>
      </c>
      <c r="AO207" s="136"/>
      <c r="AP207" s="136"/>
      <c r="AQ207" s="414"/>
      <c r="AR207" s="136"/>
      <c r="AS207" s="477"/>
      <c r="AT207" s="136"/>
      <c r="AU207" s="646"/>
      <c r="AV207" s="335" t="s">
        <v>261</v>
      </c>
    </row>
    <row r="208" spans="1:48" ht="29.1" customHeight="1" outlineLevel="3" x14ac:dyDescent="0.25">
      <c r="A208" s="63" t="str">
        <f t="shared" si="1"/>
        <v>1.3.1.4.6.64</v>
      </c>
      <c r="B208" s="64">
        <v>1</v>
      </c>
      <c r="C208" s="64">
        <v>3</v>
      </c>
      <c r="D208" s="64">
        <v>1</v>
      </c>
      <c r="E208" s="64">
        <v>4</v>
      </c>
      <c r="F208" s="64">
        <v>6</v>
      </c>
      <c r="G208" s="64">
        <v>64</v>
      </c>
      <c r="H208" s="65"/>
      <c r="I208" s="65"/>
      <c r="J208" s="66"/>
      <c r="K208" s="65" t="s">
        <v>305</v>
      </c>
      <c r="L208" s="64" t="s">
        <v>246</v>
      </c>
      <c r="M208" s="64" t="s">
        <v>240</v>
      </c>
      <c r="N208" s="64" t="s">
        <v>252</v>
      </c>
      <c r="O208" s="64" t="s">
        <v>241</v>
      </c>
      <c r="P208" s="69">
        <v>44571</v>
      </c>
      <c r="Q208" s="69">
        <v>44925</v>
      </c>
      <c r="R208" s="126">
        <v>1124550</v>
      </c>
      <c r="S208" s="123" t="s">
        <v>248</v>
      </c>
      <c r="T208" s="124">
        <f>$R208/4</f>
        <v>281137.5</v>
      </c>
      <c r="U208" s="75"/>
      <c r="V208" s="674">
        <v>0</v>
      </c>
      <c r="W208" s="75">
        <f>$R208/4</f>
        <v>281137.5</v>
      </c>
      <c r="X208" s="75"/>
      <c r="Y208" s="834">
        <f t="shared" si="45"/>
        <v>0</v>
      </c>
      <c r="Z208" s="75">
        <f>$R208/4</f>
        <v>281137.5</v>
      </c>
      <c r="AA208" s="75"/>
      <c r="AB208" s="75"/>
      <c r="AC208" s="75">
        <f>$R208/4</f>
        <v>281137.5</v>
      </c>
      <c r="AD208" s="75"/>
      <c r="AE208" s="592"/>
      <c r="AF208" s="350" t="s">
        <v>260</v>
      </c>
      <c r="AG208" s="510">
        <v>0</v>
      </c>
      <c r="AH208" s="370">
        <v>0</v>
      </c>
      <c r="AI208" s="75"/>
      <c r="AJ208" s="75"/>
      <c r="AK208" s="75"/>
      <c r="AL208" s="75"/>
      <c r="AM208" s="75"/>
      <c r="AN208" s="136" t="s">
        <v>39</v>
      </c>
      <c r="AO208" s="136"/>
      <c r="AP208" s="136"/>
      <c r="AQ208" s="414"/>
      <c r="AR208" s="136"/>
      <c r="AS208" s="477"/>
      <c r="AT208" s="136"/>
      <c r="AU208" s="646"/>
      <c r="AV208" s="335" t="s">
        <v>261</v>
      </c>
    </row>
    <row r="209" spans="1:48" ht="29.1" customHeight="1" outlineLevel="3" x14ac:dyDescent="0.25">
      <c r="A209" s="63" t="str">
        <f t="shared" si="1"/>
        <v>1.3.1.4.7.64</v>
      </c>
      <c r="B209" s="64">
        <v>1</v>
      </c>
      <c r="C209" s="64">
        <v>3</v>
      </c>
      <c r="D209" s="64">
        <v>1</v>
      </c>
      <c r="E209" s="64">
        <v>4</v>
      </c>
      <c r="F209" s="64">
        <v>7</v>
      </c>
      <c r="G209" s="64">
        <v>64</v>
      </c>
      <c r="H209" s="65"/>
      <c r="I209" s="65"/>
      <c r="J209" s="66"/>
      <c r="K209" s="65" t="s">
        <v>319</v>
      </c>
      <c r="L209" s="64" t="s">
        <v>246</v>
      </c>
      <c r="M209" s="64" t="s">
        <v>240</v>
      </c>
      <c r="N209" s="64" t="s">
        <v>257</v>
      </c>
      <c r="O209" s="64" t="s">
        <v>241</v>
      </c>
      <c r="P209" s="69">
        <v>44571</v>
      </c>
      <c r="Q209" s="69">
        <v>44925</v>
      </c>
      <c r="R209" s="126">
        <v>0</v>
      </c>
      <c r="S209" s="123" t="s">
        <v>248</v>
      </c>
      <c r="T209" s="124"/>
      <c r="U209" s="75"/>
      <c r="V209" s="674">
        <v>0</v>
      </c>
      <c r="W209" s="75"/>
      <c r="X209" s="75"/>
      <c r="Y209" s="834">
        <f t="shared" si="45"/>
        <v>0</v>
      </c>
      <c r="Z209" s="75"/>
      <c r="AA209" s="75"/>
      <c r="AB209" s="75"/>
      <c r="AC209" s="75"/>
      <c r="AD209" s="75"/>
      <c r="AE209" s="592"/>
      <c r="AF209" s="350" t="s">
        <v>260</v>
      </c>
      <c r="AG209" s="510">
        <v>0</v>
      </c>
      <c r="AH209" s="370">
        <v>0</v>
      </c>
      <c r="AI209" s="75"/>
      <c r="AJ209" s="75"/>
      <c r="AK209" s="75"/>
      <c r="AL209" s="75"/>
      <c r="AM209" s="75"/>
      <c r="AN209" s="136" t="s">
        <v>39</v>
      </c>
      <c r="AO209" s="136"/>
      <c r="AP209" s="136"/>
      <c r="AQ209" s="414"/>
      <c r="AR209" s="136"/>
      <c r="AS209" s="477"/>
      <c r="AT209" s="136"/>
      <c r="AU209" s="646"/>
      <c r="AV209" s="433"/>
    </row>
    <row r="210" spans="1:48" ht="26.1" customHeight="1" outlineLevel="3" x14ac:dyDescent="0.25">
      <c r="A210" s="63" t="str">
        <f t="shared" si="1"/>
        <v>1.3.1.4.8.64</v>
      </c>
      <c r="B210" s="64">
        <v>1</v>
      </c>
      <c r="C210" s="64">
        <v>3</v>
      </c>
      <c r="D210" s="64">
        <v>1</v>
      </c>
      <c r="E210" s="64">
        <v>4</v>
      </c>
      <c r="F210" s="64">
        <v>8</v>
      </c>
      <c r="G210" s="64">
        <v>64</v>
      </c>
      <c r="H210" s="65"/>
      <c r="I210" s="65"/>
      <c r="J210" s="66"/>
      <c r="K210" s="65" t="s">
        <v>263</v>
      </c>
      <c r="L210" s="64" t="s">
        <v>264</v>
      </c>
      <c r="M210" s="64" t="s">
        <v>144</v>
      </c>
      <c r="N210" s="64" t="s">
        <v>265</v>
      </c>
      <c r="O210" s="64" t="s">
        <v>266</v>
      </c>
      <c r="P210" s="69">
        <v>44571</v>
      </c>
      <c r="Q210" s="69">
        <v>44925</v>
      </c>
      <c r="R210" s="124">
        <v>25</v>
      </c>
      <c r="S210" s="123" t="s">
        <v>258</v>
      </c>
      <c r="T210" s="124"/>
      <c r="U210" s="75"/>
      <c r="V210" s="674">
        <v>0</v>
      </c>
      <c r="W210" s="75"/>
      <c r="X210" s="75"/>
      <c r="Y210" s="834">
        <f t="shared" si="45"/>
        <v>0</v>
      </c>
      <c r="Z210" s="75"/>
      <c r="AA210" s="75"/>
      <c r="AB210" s="75"/>
      <c r="AC210" s="75"/>
      <c r="AD210" s="75">
        <f>+AH210</f>
        <v>228700</v>
      </c>
      <c r="AE210" s="592"/>
      <c r="AF210" s="349"/>
      <c r="AG210" s="510">
        <v>228700</v>
      </c>
      <c r="AH210" s="370">
        <f>+((2*500)+(23*450)*22)</f>
        <v>228700</v>
      </c>
      <c r="AI210" s="75"/>
      <c r="AJ210" s="75"/>
      <c r="AK210" s="75"/>
      <c r="AL210" s="75"/>
      <c r="AM210" s="75"/>
      <c r="AN210" s="136" t="s">
        <v>181</v>
      </c>
      <c r="AO210" s="136"/>
      <c r="AP210" s="136"/>
      <c r="AQ210" s="414"/>
      <c r="AR210" s="136"/>
      <c r="AS210" s="477"/>
      <c r="AT210" s="136"/>
      <c r="AU210" s="646"/>
      <c r="AV210" s="335" t="s">
        <v>268</v>
      </c>
    </row>
    <row r="211" spans="1:48" ht="29.45" customHeight="1" outlineLevel="3" x14ac:dyDescent="0.25">
      <c r="A211" s="63" t="str">
        <f t="shared" si="1"/>
        <v>1.3.1.4.9.64</v>
      </c>
      <c r="B211" s="64">
        <v>1</v>
      </c>
      <c r="C211" s="64">
        <v>3</v>
      </c>
      <c r="D211" s="64">
        <v>1</v>
      </c>
      <c r="E211" s="64">
        <v>4</v>
      </c>
      <c r="F211" s="64">
        <v>9</v>
      </c>
      <c r="G211" s="64">
        <v>64</v>
      </c>
      <c r="H211" s="65"/>
      <c r="I211" s="65"/>
      <c r="J211" s="66"/>
      <c r="K211" s="137" t="s">
        <v>320</v>
      </c>
      <c r="L211" s="64"/>
      <c r="M211" s="64" t="s">
        <v>240</v>
      </c>
      <c r="N211" s="64"/>
      <c r="O211" s="64"/>
      <c r="P211" s="69">
        <v>44571</v>
      </c>
      <c r="Q211" s="69">
        <v>44925</v>
      </c>
      <c r="R211" s="124"/>
      <c r="S211" s="123"/>
      <c r="T211" s="124"/>
      <c r="U211" s="75"/>
      <c r="V211" s="674">
        <v>0</v>
      </c>
      <c r="W211" s="75"/>
      <c r="X211" s="75"/>
      <c r="Y211" s="834">
        <f t="shared" si="45"/>
        <v>68014.95</v>
      </c>
      <c r="Z211" s="75"/>
      <c r="AA211" s="75"/>
      <c r="AB211" s="75"/>
      <c r="AC211" s="75"/>
      <c r="AD211" s="75"/>
      <c r="AE211" s="592"/>
      <c r="AF211" s="349"/>
      <c r="AG211" s="510">
        <v>0</v>
      </c>
      <c r="AH211" s="370">
        <v>0</v>
      </c>
      <c r="AI211" s="75"/>
      <c r="AJ211" s="75">
        <v>68014.95</v>
      </c>
      <c r="AK211" s="75"/>
      <c r="AL211" s="75"/>
      <c r="AM211" s="75"/>
      <c r="AN211" s="136" t="s">
        <v>39</v>
      </c>
      <c r="AO211" s="165" t="s">
        <v>1819</v>
      </c>
      <c r="AP211" s="165" t="s">
        <v>2190</v>
      </c>
      <c r="AQ211" s="413" t="s">
        <v>2191</v>
      </c>
      <c r="AR211" s="69">
        <v>44603</v>
      </c>
      <c r="AS211" s="562">
        <v>44631</v>
      </c>
      <c r="AT211" s="69">
        <v>44603</v>
      </c>
      <c r="AU211" s="879">
        <v>1163</v>
      </c>
      <c r="AV211" s="435"/>
    </row>
    <row r="212" spans="1:48" ht="14.45" customHeight="1" outlineLevel="3" x14ac:dyDescent="0.25">
      <c r="A212" s="63" t="str">
        <f t="shared" si="1"/>
        <v>1.3.1.4.10.64</v>
      </c>
      <c r="B212" s="64">
        <v>1</v>
      </c>
      <c r="C212" s="64">
        <v>3</v>
      </c>
      <c r="D212" s="64">
        <v>1</v>
      </c>
      <c r="E212" s="64">
        <v>4</v>
      </c>
      <c r="F212" s="64">
        <v>10</v>
      </c>
      <c r="G212" s="64">
        <v>64</v>
      </c>
      <c r="H212" s="65"/>
      <c r="I212" s="65"/>
      <c r="J212" s="66"/>
      <c r="K212" s="137" t="s">
        <v>321</v>
      </c>
      <c r="L212" s="64"/>
      <c r="M212" s="64"/>
      <c r="N212" s="64"/>
      <c r="O212" s="64"/>
      <c r="P212" s="69">
        <v>44571</v>
      </c>
      <c r="Q212" s="69">
        <v>44925</v>
      </c>
      <c r="R212" s="124"/>
      <c r="S212" s="123"/>
      <c r="T212" s="124"/>
      <c r="U212" s="75"/>
      <c r="V212" s="674">
        <v>0</v>
      </c>
      <c r="W212" s="75"/>
      <c r="X212" s="75"/>
      <c r="Y212" s="834">
        <f t="shared" si="45"/>
        <v>0</v>
      </c>
      <c r="Z212" s="75"/>
      <c r="AA212" s="75"/>
      <c r="AB212" s="75"/>
      <c r="AC212" s="75"/>
      <c r="AD212" s="75"/>
      <c r="AE212" s="592"/>
      <c r="AF212" s="349"/>
      <c r="AG212" s="510">
        <v>0</v>
      </c>
      <c r="AH212" s="370">
        <v>0</v>
      </c>
      <c r="AI212" s="75"/>
      <c r="AJ212" s="75"/>
      <c r="AK212" s="75"/>
      <c r="AL212" s="75"/>
      <c r="AM212" s="75"/>
      <c r="AN212" s="136" t="s">
        <v>39</v>
      </c>
      <c r="AO212" s="136"/>
      <c r="AP212" s="136"/>
      <c r="AQ212" s="136"/>
      <c r="AR212" s="136"/>
      <c r="AS212" s="136"/>
      <c r="AT212" s="136"/>
      <c r="AU212" s="646"/>
      <c r="AV212" s="434"/>
    </row>
    <row r="213" spans="1:48" ht="48" customHeight="1" outlineLevel="3" x14ac:dyDescent="0.25">
      <c r="A213" s="63" t="str">
        <f t="shared" si="1"/>
        <v>1.3.1.4.11.64</v>
      </c>
      <c r="B213" s="64">
        <v>1</v>
      </c>
      <c r="C213" s="64">
        <v>3</v>
      </c>
      <c r="D213" s="64">
        <v>1</v>
      </c>
      <c r="E213" s="64">
        <v>4</v>
      </c>
      <c r="F213" s="64">
        <v>11</v>
      </c>
      <c r="G213" s="64">
        <v>64</v>
      </c>
      <c r="H213" s="65"/>
      <c r="I213" s="65"/>
      <c r="J213" s="66"/>
      <c r="K213" s="67" t="s">
        <v>322</v>
      </c>
      <c r="L213" s="68" t="s">
        <v>270</v>
      </c>
      <c r="M213" s="64" t="s">
        <v>323</v>
      </c>
      <c r="N213" s="64"/>
      <c r="O213" s="64"/>
      <c r="P213" s="69">
        <v>44571</v>
      </c>
      <c r="Q213" s="69">
        <v>44925</v>
      </c>
      <c r="R213" s="124">
        <v>1</v>
      </c>
      <c r="S213" s="123"/>
      <c r="T213" s="124"/>
      <c r="U213" s="75">
        <v>0</v>
      </c>
      <c r="V213" s="674">
        <v>0</v>
      </c>
      <c r="W213" s="75"/>
      <c r="X213" s="75">
        <f>$AH$213/2</f>
        <v>218750</v>
      </c>
      <c r="Y213" s="834">
        <f t="shared" si="45"/>
        <v>0</v>
      </c>
      <c r="Z213" s="75"/>
      <c r="AA213" s="75">
        <f>$AH$213/2</f>
        <v>218750</v>
      </c>
      <c r="AB213" s="75"/>
      <c r="AC213" s="75"/>
      <c r="AD213" s="75">
        <v>0</v>
      </c>
      <c r="AE213" s="592"/>
      <c r="AF213" s="349" t="s">
        <v>272</v>
      </c>
      <c r="AG213" s="510">
        <v>437500</v>
      </c>
      <c r="AH213" s="370">
        <v>437500</v>
      </c>
      <c r="AI213" s="75"/>
      <c r="AJ213" s="75"/>
      <c r="AK213" s="75"/>
      <c r="AL213" s="75"/>
      <c r="AM213" s="75"/>
      <c r="AN213" s="136" t="s">
        <v>39</v>
      </c>
      <c r="AO213" s="136"/>
      <c r="AP213" s="136"/>
      <c r="AQ213" s="136"/>
      <c r="AR213" s="136"/>
      <c r="AS213" s="136"/>
      <c r="AT213" s="136"/>
      <c r="AU213" s="646"/>
      <c r="AV213" s="335" t="s">
        <v>273</v>
      </c>
    </row>
    <row r="214" spans="1:48" ht="66" customHeight="1" outlineLevel="3" x14ac:dyDescent="0.25">
      <c r="A214" s="63" t="str">
        <f t="shared" si="1"/>
        <v>1.3.1.4.13.64</v>
      </c>
      <c r="B214" s="64">
        <v>1</v>
      </c>
      <c r="C214" s="64">
        <v>3</v>
      </c>
      <c r="D214" s="64">
        <v>1</v>
      </c>
      <c r="E214" s="64">
        <v>4</v>
      </c>
      <c r="F214" s="64">
        <v>13</v>
      </c>
      <c r="G214" s="100">
        <v>64</v>
      </c>
      <c r="H214" s="65"/>
      <c r="I214" s="65"/>
      <c r="J214" s="66"/>
      <c r="K214" s="125" t="s">
        <v>324</v>
      </c>
      <c r="L214" s="64" t="s">
        <v>72</v>
      </c>
      <c r="M214" s="64" t="s">
        <v>267</v>
      </c>
      <c r="N214" s="64" t="s">
        <v>265</v>
      </c>
      <c r="O214" s="64" t="s">
        <v>275</v>
      </c>
      <c r="P214" s="69">
        <v>44571</v>
      </c>
      <c r="Q214" s="69">
        <v>44925</v>
      </c>
      <c r="R214" s="124">
        <v>12</v>
      </c>
      <c r="S214" s="123"/>
      <c r="T214" s="124">
        <v>3</v>
      </c>
      <c r="U214" s="75">
        <v>6272304.2999999998</v>
      </c>
      <c r="V214" s="674">
        <v>6427254</v>
      </c>
      <c r="W214" s="75">
        <v>3</v>
      </c>
      <c r="X214" s="78">
        <v>5296166.97</v>
      </c>
      <c r="Y214" s="834">
        <f t="shared" si="45"/>
        <v>6263158.1999999993</v>
      </c>
      <c r="Z214" s="75">
        <v>3</v>
      </c>
      <c r="AA214" s="78">
        <v>5031083.6399999997</v>
      </c>
      <c r="AB214" s="75"/>
      <c r="AC214" s="75">
        <v>3</v>
      </c>
      <c r="AD214" s="78">
        <v>5396166.9699999997</v>
      </c>
      <c r="AE214" s="592"/>
      <c r="AF214" s="349" t="s">
        <v>309</v>
      </c>
      <c r="AG214" s="510">
        <v>10590300</v>
      </c>
      <c r="AH214" s="370">
        <v>12642900</v>
      </c>
      <c r="AI214" s="75"/>
      <c r="AJ214" s="75">
        <f>138348+1932974.5+40351.5+2111674+40351.5+2163554.5+2163554.5+2049801.85+2049801.85</f>
        <v>12690412.199999999</v>
      </c>
      <c r="AK214" s="75"/>
      <c r="AL214" s="75"/>
      <c r="AM214" s="75"/>
      <c r="AN214" s="136" t="s">
        <v>39</v>
      </c>
      <c r="AO214" s="165" t="s">
        <v>144</v>
      </c>
      <c r="AP214" s="557" t="s">
        <v>649</v>
      </c>
      <c r="AQ214" s="557" t="s">
        <v>649</v>
      </c>
      <c r="AR214" s="558">
        <v>44562</v>
      </c>
      <c r="AS214" s="559">
        <v>44926</v>
      </c>
      <c r="AT214" s="533" t="s">
        <v>1814</v>
      </c>
      <c r="AU214" s="876" t="s">
        <v>2061</v>
      </c>
      <c r="AV214" s="539" t="s">
        <v>2062</v>
      </c>
    </row>
    <row r="215" spans="1:48" ht="14.45" customHeight="1" outlineLevel="3" x14ac:dyDescent="0.25">
      <c r="A215" s="63" t="str">
        <f t="shared" si="1"/>
        <v>1.3.1.4.16.64</v>
      </c>
      <c r="B215" s="64">
        <v>1</v>
      </c>
      <c r="C215" s="64">
        <v>3</v>
      </c>
      <c r="D215" s="64">
        <v>1</v>
      </c>
      <c r="E215" s="64">
        <v>4</v>
      </c>
      <c r="F215" s="64">
        <v>16</v>
      </c>
      <c r="G215" s="64">
        <v>64</v>
      </c>
      <c r="H215" s="65"/>
      <c r="I215" s="65"/>
      <c r="J215" s="66"/>
      <c r="K215" s="67" t="s">
        <v>276</v>
      </c>
      <c r="L215" s="64" t="s">
        <v>72</v>
      </c>
      <c r="M215" s="64" t="s">
        <v>271</v>
      </c>
      <c r="N215" s="64" t="s">
        <v>74</v>
      </c>
      <c r="O215" s="64" t="s">
        <v>281</v>
      </c>
      <c r="P215" s="69">
        <v>44571</v>
      </c>
      <c r="Q215" s="69">
        <v>44925</v>
      </c>
      <c r="R215" s="124">
        <v>1</v>
      </c>
      <c r="S215" s="123"/>
      <c r="T215" s="124"/>
      <c r="U215" s="75">
        <v>75000</v>
      </c>
      <c r="V215" s="674">
        <v>125904.92</v>
      </c>
      <c r="W215" s="75"/>
      <c r="X215" s="75">
        <v>75000</v>
      </c>
      <c r="Y215" s="834">
        <f t="shared" si="45"/>
        <v>82009.999999999985</v>
      </c>
      <c r="Z215" s="75"/>
      <c r="AA215" s="75">
        <v>50000</v>
      </c>
      <c r="AB215" s="75"/>
      <c r="AC215" s="75"/>
      <c r="AD215" s="75">
        <v>50000</v>
      </c>
      <c r="AE215" s="592"/>
      <c r="AF215" s="349" t="s">
        <v>278</v>
      </c>
      <c r="AG215" s="510">
        <v>250000</v>
      </c>
      <c r="AH215" s="375">
        <v>341000</v>
      </c>
      <c r="AI215" s="129"/>
      <c r="AJ215" s="129">
        <f>125904.92+82010</f>
        <v>207914.91999999998</v>
      </c>
      <c r="AK215" s="129"/>
      <c r="AL215" s="129"/>
      <c r="AM215" s="129"/>
      <c r="AN215" s="414" t="s">
        <v>39</v>
      </c>
      <c r="AO215" s="533" t="s">
        <v>1819</v>
      </c>
      <c r="AP215" s="538" t="s">
        <v>2184</v>
      </c>
      <c r="AQ215" s="538" t="s">
        <v>2185</v>
      </c>
      <c r="AR215" s="533"/>
      <c r="AS215" s="533"/>
      <c r="AT215" s="546" t="s">
        <v>2186</v>
      </c>
      <c r="AU215" s="888" t="s">
        <v>2052</v>
      </c>
      <c r="AV215" s="538" t="s">
        <v>1827</v>
      </c>
    </row>
    <row r="216" spans="1:48" ht="14.45" customHeight="1" outlineLevel="3" x14ac:dyDescent="0.25">
      <c r="A216" s="63" t="str">
        <f t="shared" si="1"/>
        <v>1.3.1.4.17.64</v>
      </c>
      <c r="B216" s="64">
        <v>1</v>
      </c>
      <c r="C216" s="64">
        <v>3</v>
      </c>
      <c r="D216" s="64">
        <v>1</v>
      </c>
      <c r="E216" s="64">
        <v>4</v>
      </c>
      <c r="F216" s="64">
        <v>17</v>
      </c>
      <c r="G216" s="64">
        <v>64</v>
      </c>
      <c r="H216" s="65"/>
      <c r="I216" s="65"/>
      <c r="J216" s="66"/>
      <c r="K216" s="67" t="s">
        <v>1892</v>
      </c>
      <c r="L216" s="64" t="s">
        <v>72</v>
      </c>
      <c r="M216" s="64" t="s">
        <v>279</v>
      </c>
      <c r="N216" s="64" t="s">
        <v>74</v>
      </c>
      <c r="O216" s="64" t="s">
        <v>281</v>
      </c>
      <c r="P216" s="69">
        <v>44571</v>
      </c>
      <c r="Q216" s="69">
        <v>44925</v>
      </c>
      <c r="R216" s="124">
        <v>1</v>
      </c>
      <c r="S216" s="123"/>
      <c r="T216" s="124"/>
      <c r="U216" s="75">
        <v>100000</v>
      </c>
      <c r="V216" s="674">
        <v>51202.130000000005</v>
      </c>
      <c r="W216" s="75"/>
      <c r="X216" s="75">
        <v>100000</v>
      </c>
      <c r="Y216" s="834">
        <f t="shared" si="45"/>
        <v>17646.199999999997</v>
      </c>
      <c r="Z216" s="75"/>
      <c r="AA216" s="75"/>
      <c r="AB216" s="75"/>
      <c r="AC216" s="75"/>
      <c r="AD216" s="75"/>
      <c r="AE216" s="592"/>
      <c r="AF216" s="349" t="s">
        <v>279</v>
      </c>
      <c r="AG216" s="510">
        <v>200000</v>
      </c>
      <c r="AH216" s="377">
        <v>200000</v>
      </c>
      <c r="AI216" s="132"/>
      <c r="AJ216" s="536">
        <f>8084.68+8344.29+7349.71+27423.45+17646.2</f>
        <v>68848.33</v>
      </c>
      <c r="AK216" s="132"/>
      <c r="AL216" s="132"/>
      <c r="AM216" s="132"/>
      <c r="AN216" s="414" t="s">
        <v>39</v>
      </c>
      <c r="AO216" s="136" t="s">
        <v>1819</v>
      </c>
      <c r="AP216" s="68" t="s">
        <v>2110</v>
      </c>
      <c r="AQ216" s="68" t="s">
        <v>2111</v>
      </c>
      <c r="AR216" s="544" t="s">
        <v>2108</v>
      </c>
      <c r="AS216" s="544" t="s">
        <v>2109</v>
      </c>
      <c r="AT216" s="535"/>
      <c r="AU216" s="891" t="s">
        <v>2248</v>
      </c>
      <c r="AV216" s="538" t="s">
        <v>2019</v>
      </c>
    </row>
    <row r="217" spans="1:48" ht="14.45" customHeight="1" outlineLevel="3" x14ac:dyDescent="0.25">
      <c r="A217" s="63" t="str">
        <f t="shared" si="1"/>
        <v>1.3.1.4.21.64</v>
      </c>
      <c r="B217" s="64">
        <v>1</v>
      </c>
      <c r="C217" s="64">
        <v>3</v>
      </c>
      <c r="D217" s="64">
        <v>1</v>
      </c>
      <c r="E217" s="64">
        <v>4</v>
      </c>
      <c r="F217" s="64">
        <v>21</v>
      </c>
      <c r="G217" s="64">
        <v>64</v>
      </c>
      <c r="H217" s="65"/>
      <c r="I217" s="65"/>
      <c r="J217" s="66"/>
      <c r="K217" s="65" t="s">
        <v>280</v>
      </c>
      <c r="L217" s="64" t="s">
        <v>72</v>
      </c>
      <c r="M217" s="64" t="s">
        <v>271</v>
      </c>
      <c r="N217" s="64" t="s">
        <v>74</v>
      </c>
      <c r="O217" s="64" t="s">
        <v>281</v>
      </c>
      <c r="P217" s="69">
        <v>44571</v>
      </c>
      <c r="Q217" s="69">
        <v>44925</v>
      </c>
      <c r="R217" s="124"/>
      <c r="S217" s="123"/>
      <c r="T217" s="124"/>
      <c r="U217" s="75">
        <v>30000</v>
      </c>
      <c r="V217" s="674">
        <v>0</v>
      </c>
      <c r="W217" s="75"/>
      <c r="X217" s="75"/>
      <c r="Y217" s="834">
        <f t="shared" si="45"/>
        <v>0</v>
      </c>
      <c r="Z217" s="75"/>
      <c r="AA217" s="75"/>
      <c r="AB217" s="75"/>
      <c r="AC217" s="75"/>
      <c r="AD217" s="75"/>
      <c r="AE217" s="592"/>
      <c r="AF217" s="349" t="s">
        <v>166</v>
      </c>
      <c r="AG217" s="510">
        <v>30000</v>
      </c>
      <c r="AH217" s="377">
        <v>30000</v>
      </c>
      <c r="AI217" s="132"/>
      <c r="AJ217" s="132"/>
      <c r="AK217" s="132"/>
      <c r="AL217" s="132"/>
      <c r="AM217" s="132"/>
      <c r="AN217" s="136" t="s">
        <v>39</v>
      </c>
      <c r="AO217" s="136"/>
      <c r="AP217" s="136"/>
      <c r="AQ217" s="136"/>
      <c r="AR217" s="534"/>
      <c r="AS217" s="136"/>
      <c r="AT217" s="136"/>
      <c r="AU217" s="646"/>
      <c r="AV217" s="434"/>
    </row>
    <row r="218" spans="1:48" ht="14.45" customHeight="1" outlineLevel="3" x14ac:dyDescent="0.25">
      <c r="A218" s="63" t="str">
        <f t="shared" si="1"/>
        <v>1.3.1.4.22.64</v>
      </c>
      <c r="B218" s="64">
        <v>1</v>
      </c>
      <c r="C218" s="64">
        <v>3</v>
      </c>
      <c r="D218" s="64">
        <v>1</v>
      </c>
      <c r="E218" s="64">
        <v>4</v>
      </c>
      <c r="F218" s="64">
        <v>22</v>
      </c>
      <c r="G218" s="64">
        <v>64</v>
      </c>
      <c r="H218" s="65"/>
      <c r="I218" s="65"/>
      <c r="J218" s="66"/>
      <c r="K218" s="65" t="s">
        <v>283</v>
      </c>
      <c r="L218" s="64" t="s">
        <v>72</v>
      </c>
      <c r="M218" s="64" t="s">
        <v>271</v>
      </c>
      <c r="N218" s="64" t="s">
        <v>74</v>
      </c>
      <c r="O218" s="64" t="s">
        <v>281</v>
      </c>
      <c r="P218" s="69">
        <v>44571</v>
      </c>
      <c r="Q218" s="69">
        <v>44925</v>
      </c>
      <c r="R218" s="124"/>
      <c r="S218" s="123"/>
      <c r="T218" s="124"/>
      <c r="U218" s="75">
        <v>10000</v>
      </c>
      <c r="V218" s="674">
        <v>0</v>
      </c>
      <c r="W218" s="75"/>
      <c r="X218" s="75"/>
      <c r="Y218" s="834">
        <f t="shared" si="45"/>
        <v>0</v>
      </c>
      <c r="Z218" s="75"/>
      <c r="AA218" s="75"/>
      <c r="AB218" s="75"/>
      <c r="AC218" s="75"/>
      <c r="AD218" s="75"/>
      <c r="AE218" s="592"/>
      <c r="AF218" s="349" t="s">
        <v>166</v>
      </c>
      <c r="AG218" s="510">
        <v>10000</v>
      </c>
      <c r="AH218" s="377">
        <v>10000</v>
      </c>
      <c r="AI218" s="132"/>
      <c r="AJ218" s="132"/>
      <c r="AK218" s="132"/>
      <c r="AL218" s="132"/>
      <c r="AM218" s="132"/>
      <c r="AN218" s="136" t="s">
        <v>39</v>
      </c>
      <c r="AO218" s="136"/>
      <c r="AP218" s="136"/>
      <c r="AQ218" s="136"/>
      <c r="AR218" s="136"/>
      <c r="AS218" s="136"/>
      <c r="AT218" s="136"/>
      <c r="AU218" s="646"/>
      <c r="AV218" s="434"/>
    </row>
    <row r="219" spans="1:48" ht="14.45" customHeight="1" outlineLevel="3" x14ac:dyDescent="0.25">
      <c r="A219" s="63" t="str">
        <f t="shared" si="1"/>
        <v>1.3.1.4.23.64</v>
      </c>
      <c r="B219" s="64">
        <v>1</v>
      </c>
      <c r="C219" s="64">
        <v>3</v>
      </c>
      <c r="D219" s="64">
        <v>1</v>
      </c>
      <c r="E219" s="64">
        <v>4</v>
      </c>
      <c r="F219" s="64">
        <v>23</v>
      </c>
      <c r="G219" s="64">
        <v>64</v>
      </c>
      <c r="H219" s="65"/>
      <c r="I219" s="65"/>
      <c r="J219" s="66"/>
      <c r="K219" s="65" t="s">
        <v>284</v>
      </c>
      <c r="L219" s="64" t="s">
        <v>72</v>
      </c>
      <c r="M219" s="64" t="s">
        <v>271</v>
      </c>
      <c r="N219" s="64" t="s">
        <v>74</v>
      </c>
      <c r="O219" s="64" t="s">
        <v>281</v>
      </c>
      <c r="P219" s="69">
        <v>44571</v>
      </c>
      <c r="Q219" s="131">
        <v>44925</v>
      </c>
      <c r="R219" s="124"/>
      <c r="S219" s="123"/>
      <c r="T219" s="124"/>
      <c r="U219" s="75">
        <v>30000</v>
      </c>
      <c r="V219" s="674">
        <v>0</v>
      </c>
      <c r="W219" s="75"/>
      <c r="X219" s="75"/>
      <c r="Y219" s="834">
        <f t="shared" si="45"/>
        <v>0</v>
      </c>
      <c r="Z219" s="75"/>
      <c r="AA219" s="75"/>
      <c r="AB219" s="75"/>
      <c r="AC219" s="75"/>
      <c r="AD219" s="75"/>
      <c r="AE219" s="592"/>
      <c r="AF219" s="349" t="s">
        <v>166</v>
      </c>
      <c r="AG219" s="510">
        <v>30000</v>
      </c>
      <c r="AH219" s="377">
        <v>115000</v>
      </c>
      <c r="AI219" s="132"/>
      <c r="AJ219" s="132"/>
      <c r="AK219" s="132"/>
      <c r="AL219" s="132"/>
      <c r="AM219" s="132"/>
      <c r="AN219" s="136" t="s">
        <v>39</v>
      </c>
      <c r="AO219" s="136"/>
      <c r="AP219" s="136"/>
      <c r="AQ219" s="136"/>
      <c r="AR219" s="136"/>
      <c r="AS219" s="136"/>
      <c r="AT219" s="136"/>
      <c r="AU219" s="646"/>
      <c r="AV219" s="434"/>
    </row>
    <row r="220" spans="1:48" ht="14.45" customHeight="1" outlineLevel="3" x14ac:dyDescent="0.25">
      <c r="A220" s="63" t="str">
        <f t="shared" si="1"/>
        <v>1.3.1.4.26.64</v>
      </c>
      <c r="B220" s="64">
        <v>1</v>
      </c>
      <c r="C220" s="64">
        <v>3</v>
      </c>
      <c r="D220" s="64">
        <v>1</v>
      </c>
      <c r="E220" s="64">
        <v>4</v>
      </c>
      <c r="F220" s="64">
        <v>26</v>
      </c>
      <c r="G220" s="64">
        <v>64</v>
      </c>
      <c r="H220" s="65"/>
      <c r="I220" s="65"/>
      <c r="J220" s="66"/>
      <c r="K220" s="65" t="s">
        <v>286</v>
      </c>
      <c r="L220" s="64" t="s">
        <v>72</v>
      </c>
      <c r="M220" s="64" t="s">
        <v>73</v>
      </c>
      <c r="N220" s="64" t="s">
        <v>74</v>
      </c>
      <c r="O220" s="64" t="s">
        <v>281</v>
      </c>
      <c r="P220" s="69">
        <v>44571</v>
      </c>
      <c r="Q220" s="69">
        <v>44925</v>
      </c>
      <c r="R220" s="124"/>
      <c r="S220" s="123"/>
      <c r="T220" s="124"/>
      <c r="U220" s="75"/>
      <c r="V220" s="674">
        <v>0</v>
      </c>
      <c r="W220" s="75"/>
      <c r="X220" s="75"/>
      <c r="Y220" s="834">
        <f t="shared" si="45"/>
        <v>0</v>
      </c>
      <c r="Z220" s="75"/>
      <c r="AA220" s="75"/>
      <c r="AB220" s="75"/>
      <c r="AC220" s="75"/>
      <c r="AD220" s="75"/>
      <c r="AE220" s="592"/>
      <c r="AF220" s="349" t="s">
        <v>73</v>
      </c>
      <c r="AG220" s="510">
        <v>0</v>
      </c>
      <c r="AH220" s="377">
        <v>0</v>
      </c>
      <c r="AI220" s="132"/>
      <c r="AJ220" s="132"/>
      <c r="AK220" s="132"/>
      <c r="AL220" s="132"/>
      <c r="AM220" s="132"/>
      <c r="AN220" s="136" t="s">
        <v>39</v>
      </c>
      <c r="AO220" s="136"/>
      <c r="AP220" s="136"/>
      <c r="AQ220" s="136"/>
      <c r="AR220" s="136"/>
      <c r="AS220" s="136"/>
      <c r="AT220" s="136"/>
      <c r="AU220" s="646"/>
      <c r="AV220" s="434"/>
    </row>
    <row r="221" spans="1:48" ht="14.45" customHeight="1" outlineLevel="3" x14ac:dyDescent="0.25">
      <c r="A221" s="63" t="str">
        <f t="shared" si="1"/>
        <v>1.3.1.4.27.64</v>
      </c>
      <c r="B221" s="64">
        <v>1</v>
      </c>
      <c r="C221" s="64">
        <v>3</v>
      </c>
      <c r="D221" s="64">
        <v>1</v>
      </c>
      <c r="E221" s="64">
        <v>4</v>
      </c>
      <c r="F221" s="64">
        <v>27</v>
      </c>
      <c r="G221" s="64">
        <v>64</v>
      </c>
      <c r="H221" s="65"/>
      <c r="I221" s="65"/>
      <c r="J221" s="66"/>
      <c r="K221" s="65" t="s">
        <v>287</v>
      </c>
      <c r="L221" s="64" t="s">
        <v>72</v>
      </c>
      <c r="M221" s="64" t="s">
        <v>73</v>
      </c>
      <c r="N221" s="64"/>
      <c r="O221" s="64"/>
      <c r="P221" s="69">
        <v>44571</v>
      </c>
      <c r="Q221" s="69">
        <v>44925</v>
      </c>
      <c r="R221" s="124">
        <v>1</v>
      </c>
      <c r="S221" s="123"/>
      <c r="T221" s="124"/>
      <c r="U221" s="75"/>
      <c r="V221" s="674">
        <v>0</v>
      </c>
      <c r="W221" s="75"/>
      <c r="X221" s="75"/>
      <c r="Y221" s="834">
        <f t="shared" si="45"/>
        <v>0</v>
      </c>
      <c r="Z221" s="75"/>
      <c r="AA221" s="75"/>
      <c r="AB221" s="75"/>
      <c r="AC221" s="75"/>
      <c r="AD221" s="75"/>
      <c r="AE221" s="592"/>
      <c r="AF221" s="349"/>
      <c r="AG221" s="510">
        <v>0</v>
      </c>
      <c r="AH221" s="377">
        <v>0</v>
      </c>
      <c r="AI221" s="132"/>
      <c r="AJ221" s="132"/>
      <c r="AK221" s="132"/>
      <c r="AL221" s="132"/>
      <c r="AM221" s="132"/>
      <c r="AN221" s="136" t="s">
        <v>39</v>
      </c>
      <c r="AO221" s="136"/>
      <c r="AP221" s="136"/>
      <c r="AQ221" s="136"/>
      <c r="AR221" s="136"/>
      <c r="AS221" s="136"/>
      <c r="AT221" s="136"/>
      <c r="AU221" s="646"/>
      <c r="AV221" s="434"/>
    </row>
    <row r="222" spans="1:48" ht="14.45" customHeight="1" outlineLevel="3" x14ac:dyDescent="0.25">
      <c r="A222" s="63" t="str">
        <f t="shared" si="1"/>
        <v>1.3.1.4.28.64</v>
      </c>
      <c r="B222" s="64">
        <v>1</v>
      </c>
      <c r="C222" s="64">
        <v>3</v>
      </c>
      <c r="D222" s="64">
        <v>1</v>
      </c>
      <c r="E222" s="64">
        <v>4</v>
      </c>
      <c r="F222" s="64">
        <v>28</v>
      </c>
      <c r="G222" s="64">
        <v>64</v>
      </c>
      <c r="H222" s="65"/>
      <c r="I222" s="65"/>
      <c r="J222" s="66"/>
      <c r="K222" s="67" t="s">
        <v>2206</v>
      </c>
      <c r="L222" s="64" t="s">
        <v>72</v>
      </c>
      <c r="M222" s="64" t="s">
        <v>279</v>
      </c>
      <c r="N222" s="64"/>
      <c r="O222" s="64"/>
      <c r="P222" s="69">
        <v>44571</v>
      </c>
      <c r="Q222" s="69">
        <v>44925</v>
      </c>
      <c r="R222" s="124">
        <v>2</v>
      </c>
      <c r="S222" s="123"/>
      <c r="T222" s="124"/>
      <c r="U222" s="75">
        <v>75000</v>
      </c>
      <c r="V222" s="674">
        <v>20474.05</v>
      </c>
      <c r="W222" s="75"/>
      <c r="X222" s="75">
        <v>75000</v>
      </c>
      <c r="Y222" s="834">
        <f t="shared" si="45"/>
        <v>12179</v>
      </c>
      <c r="Z222" s="75"/>
      <c r="AA222" s="75">
        <v>50000</v>
      </c>
      <c r="AB222" s="75"/>
      <c r="AC222" s="75"/>
      <c r="AD222" s="75"/>
      <c r="AE222" s="592"/>
      <c r="AF222" s="349"/>
      <c r="AG222" s="510">
        <v>200000</v>
      </c>
      <c r="AH222" s="370">
        <v>200000</v>
      </c>
      <c r="AI222" s="75"/>
      <c r="AJ222" s="536">
        <f>20474.05+8933.68+2178.81+1066.51</f>
        <v>32653.05</v>
      </c>
      <c r="AK222" s="75"/>
      <c r="AL222" s="75"/>
      <c r="AM222" s="75"/>
      <c r="AN222" s="136" t="s">
        <v>39</v>
      </c>
      <c r="AO222" s="533" t="s">
        <v>1819</v>
      </c>
      <c r="AP222" s="538" t="s">
        <v>2209</v>
      </c>
      <c r="AQ222" s="68" t="s">
        <v>2210</v>
      </c>
      <c r="AR222" s="533"/>
      <c r="AS222" s="533"/>
      <c r="AT222" s="546" t="s">
        <v>1823</v>
      </c>
      <c r="AU222" s="877" t="s">
        <v>2207</v>
      </c>
      <c r="AV222" s="434" t="s">
        <v>1820</v>
      </c>
    </row>
    <row r="223" spans="1:48" ht="14.45" customHeight="1" outlineLevel="3" x14ac:dyDescent="0.25">
      <c r="A223" s="63" t="str">
        <f t="shared" si="1"/>
        <v>1.3.1.4.29.64</v>
      </c>
      <c r="B223" s="64">
        <v>1</v>
      </c>
      <c r="C223" s="64">
        <v>3</v>
      </c>
      <c r="D223" s="64">
        <v>1</v>
      </c>
      <c r="E223" s="64">
        <v>4</v>
      </c>
      <c r="F223" s="64">
        <v>29</v>
      </c>
      <c r="G223" s="64">
        <v>64</v>
      </c>
      <c r="H223" s="65"/>
      <c r="I223" s="65"/>
      <c r="J223" s="66"/>
      <c r="K223" s="137" t="s">
        <v>325</v>
      </c>
      <c r="L223" s="64"/>
      <c r="M223" s="64"/>
      <c r="N223" s="64"/>
      <c r="O223" s="64"/>
      <c r="P223" s="69">
        <v>44571</v>
      </c>
      <c r="Q223" s="69">
        <v>44925</v>
      </c>
      <c r="R223" s="124"/>
      <c r="S223" s="123"/>
      <c r="T223" s="124"/>
      <c r="U223" s="75"/>
      <c r="V223" s="674">
        <v>0</v>
      </c>
      <c r="W223" s="75"/>
      <c r="X223" s="75"/>
      <c r="Y223" s="834">
        <f t="shared" si="45"/>
        <v>0</v>
      </c>
      <c r="Z223" s="75"/>
      <c r="AA223" s="75"/>
      <c r="AB223" s="75"/>
      <c r="AC223" s="75"/>
      <c r="AD223" s="75"/>
      <c r="AE223" s="592"/>
      <c r="AF223" s="349"/>
      <c r="AG223" s="510">
        <v>0</v>
      </c>
      <c r="AH223" s="377">
        <v>0</v>
      </c>
      <c r="AI223" s="132"/>
      <c r="AJ223" s="132"/>
      <c r="AK223" s="132"/>
      <c r="AL223" s="132"/>
      <c r="AM223" s="132"/>
      <c r="AN223" s="136" t="s">
        <v>39</v>
      </c>
      <c r="AO223" s="136"/>
      <c r="AP223" s="136"/>
      <c r="AQ223" s="136"/>
      <c r="AR223" s="136"/>
      <c r="AS223" s="136"/>
      <c r="AT223" s="136"/>
      <c r="AU223" s="646"/>
      <c r="AV223" s="434"/>
    </row>
    <row r="224" spans="1:48" ht="73.349999999999994" customHeight="1" outlineLevel="3" x14ac:dyDescent="0.25">
      <c r="A224" s="63" t="str">
        <f t="shared" si="1"/>
        <v>1.3.1.4.30.64</v>
      </c>
      <c r="B224" s="64">
        <v>1</v>
      </c>
      <c r="C224" s="64">
        <v>3</v>
      </c>
      <c r="D224" s="64">
        <v>1</v>
      </c>
      <c r="E224" s="64">
        <v>4</v>
      </c>
      <c r="F224" s="64">
        <v>30</v>
      </c>
      <c r="G224" s="100">
        <v>64</v>
      </c>
      <c r="H224" s="65"/>
      <c r="I224" s="65"/>
      <c r="J224" s="66"/>
      <c r="K224" s="67" t="s">
        <v>326</v>
      </c>
      <c r="L224" s="64" t="s">
        <v>72</v>
      </c>
      <c r="M224" s="64" t="s">
        <v>279</v>
      </c>
      <c r="N224" s="64"/>
      <c r="O224" s="64"/>
      <c r="P224" s="69">
        <v>44571</v>
      </c>
      <c r="Q224" s="69">
        <v>44925</v>
      </c>
      <c r="R224" s="124">
        <v>1</v>
      </c>
      <c r="S224" s="123"/>
      <c r="T224" s="124"/>
      <c r="U224" s="75">
        <v>0</v>
      </c>
      <c r="V224" s="674">
        <v>0</v>
      </c>
      <c r="W224" s="75"/>
      <c r="X224" s="75">
        <v>0</v>
      </c>
      <c r="Y224" s="834">
        <f t="shared" si="45"/>
        <v>0</v>
      </c>
      <c r="Z224" s="75"/>
      <c r="AA224" s="75">
        <v>0</v>
      </c>
      <c r="AB224" s="75"/>
      <c r="AC224" s="75"/>
      <c r="AD224" s="75">
        <v>0</v>
      </c>
      <c r="AE224" s="592"/>
      <c r="AF224" s="349" t="s">
        <v>272</v>
      </c>
      <c r="AG224" s="510">
        <v>1750000</v>
      </c>
      <c r="AH224" s="377">
        <v>0</v>
      </c>
      <c r="AI224" s="132"/>
      <c r="AJ224" s="132"/>
      <c r="AK224" s="132"/>
      <c r="AL224" s="132"/>
      <c r="AM224" s="132"/>
      <c r="AN224" s="136" t="s">
        <v>39</v>
      </c>
      <c r="AO224" s="136"/>
      <c r="AP224" s="136"/>
      <c r="AQ224" s="136"/>
      <c r="AR224" s="136"/>
      <c r="AS224" s="136"/>
      <c r="AT224" s="136"/>
      <c r="AU224" s="646"/>
      <c r="AV224" s="335" t="s">
        <v>295</v>
      </c>
    </row>
    <row r="225" spans="1:48" ht="14.45" customHeight="1" outlineLevel="3" x14ac:dyDescent="0.25">
      <c r="A225" s="63" t="str">
        <f t="shared" si="1"/>
        <v>1.3.1.4.31.64</v>
      </c>
      <c r="B225" s="64">
        <v>1</v>
      </c>
      <c r="C225" s="64">
        <v>3</v>
      </c>
      <c r="D225" s="64">
        <v>1</v>
      </c>
      <c r="E225" s="64">
        <v>4</v>
      </c>
      <c r="F225" s="64">
        <v>31</v>
      </c>
      <c r="G225" s="64">
        <v>64</v>
      </c>
      <c r="H225" s="65"/>
      <c r="I225" s="65"/>
      <c r="J225" s="66"/>
      <c r="K225" s="67" t="s">
        <v>296</v>
      </c>
      <c r="L225" s="64"/>
      <c r="M225" s="64"/>
      <c r="N225" s="64"/>
      <c r="O225" s="64"/>
      <c r="P225" s="69">
        <v>44571</v>
      </c>
      <c r="Q225" s="69">
        <v>44925</v>
      </c>
      <c r="R225" s="124"/>
      <c r="S225" s="123"/>
      <c r="T225" s="124"/>
      <c r="U225" s="75">
        <v>50000</v>
      </c>
      <c r="V225" s="674">
        <v>0</v>
      </c>
      <c r="W225" s="75"/>
      <c r="X225" s="75">
        <v>50000</v>
      </c>
      <c r="Y225" s="834">
        <f t="shared" si="45"/>
        <v>0</v>
      </c>
      <c r="Z225" s="75">
        <v>50000</v>
      </c>
      <c r="AA225" s="75">
        <v>50000</v>
      </c>
      <c r="AB225" s="75"/>
      <c r="AC225" s="75">
        <v>50000</v>
      </c>
      <c r="AD225" s="75">
        <v>50000</v>
      </c>
      <c r="AE225" s="592"/>
      <c r="AF225" s="349"/>
      <c r="AG225" s="510">
        <v>200000</v>
      </c>
      <c r="AH225" s="370">
        <v>200000</v>
      </c>
      <c r="AI225" s="75"/>
      <c r="AJ225" s="132"/>
      <c r="AK225" s="75"/>
      <c r="AL225" s="75"/>
      <c r="AM225" s="75"/>
      <c r="AN225" s="136" t="s">
        <v>39</v>
      </c>
      <c r="AO225" s="136"/>
      <c r="AP225" s="136"/>
      <c r="AQ225" s="68"/>
      <c r="AR225" s="136"/>
      <c r="AS225" s="136"/>
      <c r="AT225" s="136"/>
      <c r="AU225" s="860"/>
      <c r="AV225" s="68"/>
    </row>
    <row r="226" spans="1:48" ht="14.45" customHeight="1" outlineLevel="3" x14ac:dyDescent="0.25">
      <c r="A226" s="99" t="str">
        <f>CONCATENATE(B226,".",C226,".",D226,".",E226,".",F226,".",G226)</f>
        <v>1.3.1.4.33.64</v>
      </c>
      <c r="B226" s="100">
        <v>1</v>
      </c>
      <c r="C226" s="100">
        <v>3</v>
      </c>
      <c r="D226" s="100">
        <v>1</v>
      </c>
      <c r="E226" s="100">
        <v>4</v>
      </c>
      <c r="F226" s="100">
        <v>33</v>
      </c>
      <c r="G226" s="100">
        <v>64</v>
      </c>
      <c r="H226" s="65"/>
      <c r="I226" s="65"/>
      <c r="J226" s="66"/>
      <c r="K226" s="67" t="s">
        <v>298</v>
      </c>
      <c r="L226" s="64" t="s">
        <v>359</v>
      </c>
      <c r="M226" s="64" t="s">
        <v>299</v>
      </c>
      <c r="N226" s="64"/>
      <c r="O226" s="64"/>
      <c r="P226" s="69"/>
      <c r="Q226" s="69"/>
      <c r="R226" s="124"/>
      <c r="S226" s="123"/>
      <c r="T226" s="124"/>
      <c r="U226" s="75">
        <v>30000</v>
      </c>
      <c r="V226" s="674">
        <v>20000</v>
      </c>
      <c r="W226" s="75"/>
      <c r="X226" s="75">
        <v>30000</v>
      </c>
      <c r="Y226" s="834">
        <f t="shared" si="45"/>
        <v>10000</v>
      </c>
      <c r="Z226" s="75"/>
      <c r="AA226" s="75">
        <v>20000</v>
      </c>
      <c r="AB226" s="75"/>
      <c r="AC226" s="75"/>
      <c r="AD226" s="75"/>
      <c r="AE226" s="592"/>
      <c r="AF226" s="349"/>
      <c r="AG226" s="510">
        <v>0</v>
      </c>
      <c r="AH226" s="377">
        <v>80000</v>
      </c>
      <c r="AI226" s="75"/>
      <c r="AJ226" s="132">
        <f>20000+10000</f>
        <v>30000</v>
      </c>
      <c r="AK226" s="75"/>
      <c r="AL226" s="75"/>
      <c r="AM226" s="75"/>
      <c r="AN226" s="64" t="s">
        <v>282</v>
      </c>
      <c r="AO226" s="64" t="s">
        <v>1819</v>
      </c>
      <c r="AP226" s="64" t="s">
        <v>2025</v>
      </c>
      <c r="AQ226" s="64" t="s">
        <v>2026</v>
      </c>
      <c r="AR226" s="69">
        <v>44428</v>
      </c>
      <c r="AS226" s="69">
        <v>44977</v>
      </c>
      <c r="AT226" s="64" t="s">
        <v>1814</v>
      </c>
      <c r="AU226" s="877" t="s">
        <v>2094</v>
      </c>
      <c r="AV226" s="434" t="s">
        <v>2027</v>
      </c>
    </row>
    <row r="227" spans="1:48" ht="73.5" customHeight="1" outlineLevel="1" x14ac:dyDescent="0.25">
      <c r="A227" s="80" t="str">
        <f t="shared" si="1"/>
        <v>1.3.1.5.0.0</v>
      </c>
      <c r="B227" s="81">
        <v>1</v>
      </c>
      <c r="C227" s="81">
        <v>3</v>
      </c>
      <c r="D227" s="81">
        <v>1</v>
      </c>
      <c r="E227" s="81">
        <v>5</v>
      </c>
      <c r="F227" s="81">
        <v>0</v>
      </c>
      <c r="G227" s="81">
        <v>0</v>
      </c>
      <c r="H227" s="114"/>
      <c r="I227" s="114"/>
      <c r="J227" s="1346" t="s">
        <v>327</v>
      </c>
      <c r="K227" s="1346"/>
      <c r="L227" s="81" t="s">
        <v>236</v>
      </c>
      <c r="M227" s="81" t="s">
        <v>240</v>
      </c>
      <c r="N227" s="81" t="s">
        <v>226</v>
      </c>
      <c r="O227" s="81" t="s">
        <v>241</v>
      </c>
      <c r="P227" s="870">
        <v>44571</v>
      </c>
      <c r="Q227" s="870">
        <v>44925</v>
      </c>
      <c r="R227" s="119">
        <f>R237+R236+R235+R234+R233+R232+R231+R230+R229+R228</f>
        <v>2685754</v>
      </c>
      <c r="S227" s="114" t="s">
        <v>242</v>
      </c>
      <c r="T227" s="119">
        <f>+T228+T229+T230+T231</f>
        <v>335719.25</v>
      </c>
      <c r="U227" s="369">
        <f t="shared" ref="U227:AG227" si="47">SUM(U228:U254)</f>
        <v>6172688.5</v>
      </c>
      <c r="V227" s="677">
        <f t="shared" si="47"/>
        <v>6841016.0299999993</v>
      </c>
      <c r="W227" s="369">
        <f t="shared" si="47"/>
        <v>671441.5</v>
      </c>
      <c r="X227" s="369">
        <f t="shared" si="47"/>
        <v>7275905.3300000001</v>
      </c>
      <c r="Y227" s="840">
        <f t="shared" si="47"/>
        <v>7062517.5499999998</v>
      </c>
      <c r="Z227" s="369">
        <f t="shared" si="47"/>
        <v>3355991.5</v>
      </c>
      <c r="AA227" s="369">
        <f t="shared" si="47"/>
        <v>10122155.33</v>
      </c>
      <c r="AB227" s="369">
        <f t="shared" si="47"/>
        <v>2684550</v>
      </c>
      <c r="AC227" s="369">
        <f t="shared" si="47"/>
        <v>3355991.5</v>
      </c>
      <c r="AD227" s="369">
        <f t="shared" si="47"/>
        <v>10094655.33</v>
      </c>
      <c r="AE227" s="369">
        <f t="shared" si="47"/>
        <v>0</v>
      </c>
      <c r="AF227" s="369">
        <f t="shared" si="47"/>
        <v>345997611.40000004</v>
      </c>
      <c r="AG227" s="369">
        <f t="shared" si="47"/>
        <v>4771666.666666667</v>
      </c>
      <c r="AH227" s="369">
        <f>SUM(AH228:AH254)</f>
        <v>36431100</v>
      </c>
      <c r="AI227" s="369">
        <f t="shared" ref="AI227:AM227" si="48">SUM(AI228:AI254)</f>
        <v>0</v>
      </c>
      <c r="AJ227" s="369">
        <f>SUM(AJ228:AJ254)</f>
        <v>13971548.529999999</v>
      </c>
      <c r="AK227" s="369">
        <f t="shared" si="48"/>
        <v>0</v>
      </c>
      <c r="AL227" s="369">
        <f t="shared" si="48"/>
        <v>0</v>
      </c>
      <c r="AM227" s="369">
        <f t="shared" si="48"/>
        <v>0</v>
      </c>
      <c r="AN227" s="81" t="s">
        <v>243</v>
      </c>
      <c r="AO227" s="81"/>
      <c r="AP227" s="81"/>
      <c r="AQ227" s="412"/>
      <c r="AR227" s="81"/>
      <c r="AS227" s="474"/>
      <c r="AT227" s="81"/>
      <c r="AU227" s="663"/>
      <c r="AV227" s="433"/>
    </row>
    <row r="228" spans="1:48" ht="120" customHeight="1" outlineLevel="3" x14ac:dyDescent="0.25">
      <c r="A228" s="63" t="str">
        <f t="shared" si="1"/>
        <v>1.3.1.5.1.61</v>
      </c>
      <c r="B228" s="64">
        <v>1</v>
      </c>
      <c r="C228" s="64">
        <v>3</v>
      </c>
      <c r="D228" s="64">
        <v>1</v>
      </c>
      <c r="E228" s="64">
        <v>5</v>
      </c>
      <c r="F228" s="64">
        <v>1</v>
      </c>
      <c r="G228" s="64">
        <v>61</v>
      </c>
      <c r="H228" s="65"/>
      <c r="I228" s="65"/>
      <c r="J228" s="66"/>
      <c r="K228" s="65" t="s">
        <v>245</v>
      </c>
      <c r="L228" s="64" t="s">
        <v>246</v>
      </c>
      <c r="M228" s="64" t="s">
        <v>240</v>
      </c>
      <c r="N228" s="64" t="s">
        <v>247</v>
      </c>
      <c r="O228" s="64" t="s">
        <v>241</v>
      </c>
      <c r="P228" s="69"/>
      <c r="Q228" s="69"/>
      <c r="R228" s="126">
        <v>85055</v>
      </c>
      <c r="S228" s="123" t="s">
        <v>248</v>
      </c>
      <c r="T228" s="124">
        <f>+R228/4</f>
        <v>21263.75</v>
      </c>
      <c r="U228" s="75">
        <v>0</v>
      </c>
      <c r="V228" s="674">
        <v>0</v>
      </c>
      <c r="W228" s="75">
        <f>+R228/4</f>
        <v>21263.75</v>
      </c>
      <c r="X228" s="75">
        <v>0</v>
      </c>
      <c r="Y228" s="834">
        <f t="shared" ref="Y228:Y237" si="49">+AJ228-V228</f>
        <v>0</v>
      </c>
      <c r="Z228" s="75">
        <f>+R228/4</f>
        <v>21263.75</v>
      </c>
      <c r="AA228" s="75">
        <v>0</v>
      </c>
      <c r="AB228" s="75"/>
      <c r="AC228" s="75">
        <f>+R228/4</f>
        <v>21263.75</v>
      </c>
      <c r="AD228" s="75">
        <v>0</v>
      </c>
      <c r="AE228" s="592"/>
      <c r="AF228" s="347">
        <f>R228*19</f>
        <v>1616045</v>
      </c>
      <c r="AG228" s="75">
        <v>0</v>
      </c>
      <c r="AH228" s="370">
        <v>0</v>
      </c>
      <c r="AI228" s="75"/>
      <c r="AJ228" s="75"/>
      <c r="AK228" s="75"/>
      <c r="AL228" s="75"/>
      <c r="AM228" s="75"/>
      <c r="AN228" s="64" t="s">
        <v>39</v>
      </c>
      <c r="AO228" s="64"/>
      <c r="AP228" s="64"/>
      <c r="AQ228" s="189"/>
      <c r="AR228" s="64"/>
      <c r="AS228" s="476"/>
      <c r="AT228" s="64"/>
      <c r="AU228" s="646"/>
      <c r="AV228" s="335" t="s">
        <v>250</v>
      </c>
    </row>
    <row r="229" spans="1:48" ht="61.35" customHeight="1" outlineLevel="3" x14ac:dyDescent="0.25">
      <c r="A229" s="63" t="str">
        <f t="shared" si="1"/>
        <v>1.3.1.5.2.61</v>
      </c>
      <c r="B229" s="64">
        <v>1</v>
      </c>
      <c r="C229" s="64">
        <v>3</v>
      </c>
      <c r="D229" s="64">
        <v>1</v>
      </c>
      <c r="E229" s="64">
        <v>5</v>
      </c>
      <c r="F229" s="64">
        <v>2</v>
      </c>
      <c r="G229" s="64">
        <v>61</v>
      </c>
      <c r="H229" s="65"/>
      <c r="I229" s="65"/>
      <c r="J229" s="66"/>
      <c r="K229" s="65" t="s">
        <v>251</v>
      </c>
      <c r="L229" s="64" t="s">
        <v>246</v>
      </c>
      <c r="M229" s="64" t="s">
        <v>240</v>
      </c>
      <c r="N229" s="64" t="s">
        <v>252</v>
      </c>
      <c r="O229" s="64" t="s">
        <v>241</v>
      </c>
      <c r="P229" s="69"/>
      <c r="Q229" s="69"/>
      <c r="R229" s="126">
        <v>1240512</v>
      </c>
      <c r="S229" s="123" t="s">
        <v>248</v>
      </c>
      <c r="T229" s="124">
        <f>+R229/4</f>
        <v>310128</v>
      </c>
      <c r="U229" s="75">
        <v>0</v>
      </c>
      <c r="V229" s="674">
        <v>0</v>
      </c>
      <c r="W229" s="75">
        <f>+R229/4</f>
        <v>310128</v>
      </c>
      <c r="X229" s="75">
        <v>0</v>
      </c>
      <c r="Y229" s="834">
        <f t="shared" si="49"/>
        <v>0</v>
      </c>
      <c r="Z229" s="75">
        <f>+R229/4</f>
        <v>310128</v>
      </c>
      <c r="AA229" s="75">
        <v>0</v>
      </c>
      <c r="AB229" s="75"/>
      <c r="AC229" s="75">
        <f>+R229/4</f>
        <v>310128</v>
      </c>
      <c r="AD229" s="75">
        <v>0</v>
      </c>
      <c r="AE229" s="592"/>
      <c r="AF229" s="347">
        <f>+R229*252*1.1</f>
        <v>343869926.40000004</v>
      </c>
      <c r="AG229" s="75">
        <v>0</v>
      </c>
      <c r="AH229" s="370">
        <v>0</v>
      </c>
      <c r="AI229" s="75"/>
      <c r="AJ229" s="75"/>
      <c r="AK229" s="75"/>
      <c r="AL229" s="75"/>
      <c r="AM229" s="75"/>
      <c r="AN229" s="64" t="s">
        <v>39</v>
      </c>
      <c r="AO229" s="64"/>
      <c r="AP229" s="64"/>
      <c r="AQ229" s="189"/>
      <c r="AR229" s="64"/>
      <c r="AS229" s="476"/>
      <c r="AT229" s="64"/>
      <c r="AU229" s="646"/>
      <c r="AV229" s="335" t="s">
        <v>254</v>
      </c>
    </row>
    <row r="230" spans="1:48" ht="14.45" customHeight="1" outlineLevel="3" x14ac:dyDescent="0.25">
      <c r="A230" s="63" t="str">
        <f t="shared" si="1"/>
        <v>1.3.1.5.3.61</v>
      </c>
      <c r="B230" s="64">
        <v>1</v>
      </c>
      <c r="C230" s="64">
        <v>3</v>
      </c>
      <c r="D230" s="64">
        <v>1</v>
      </c>
      <c r="E230" s="64">
        <v>5</v>
      </c>
      <c r="F230" s="64">
        <v>3</v>
      </c>
      <c r="G230" s="64">
        <v>61</v>
      </c>
      <c r="H230" s="65"/>
      <c r="I230" s="65"/>
      <c r="J230" s="66"/>
      <c r="K230" s="65" t="s">
        <v>328</v>
      </c>
      <c r="L230" s="64" t="s">
        <v>246</v>
      </c>
      <c r="M230" s="64" t="s">
        <v>240</v>
      </c>
      <c r="N230" s="64" t="s">
        <v>329</v>
      </c>
      <c r="O230" s="64" t="s">
        <v>241</v>
      </c>
      <c r="P230" s="69"/>
      <c r="Q230" s="69"/>
      <c r="R230" s="126">
        <v>7310</v>
      </c>
      <c r="S230" s="123" t="s">
        <v>248</v>
      </c>
      <c r="T230" s="124">
        <f>+R230/4</f>
        <v>1827.5</v>
      </c>
      <c r="U230" s="75"/>
      <c r="V230" s="674">
        <v>0</v>
      </c>
      <c r="W230" s="75">
        <f>+R230/4</f>
        <v>1827.5</v>
      </c>
      <c r="X230" s="75"/>
      <c r="Y230" s="834">
        <f t="shared" si="49"/>
        <v>0</v>
      </c>
      <c r="Z230" s="75">
        <f>+R230/4</f>
        <v>1827.5</v>
      </c>
      <c r="AA230" s="75"/>
      <c r="AB230" s="75"/>
      <c r="AC230" s="75">
        <f>+R230/4</f>
        <v>1827.5</v>
      </c>
      <c r="AD230" s="75"/>
      <c r="AE230" s="592"/>
      <c r="AF230" s="347">
        <f>+(R230*40)*1.1</f>
        <v>321640</v>
      </c>
      <c r="AG230" s="75">
        <v>0</v>
      </c>
      <c r="AH230" s="370">
        <v>0</v>
      </c>
      <c r="AI230" s="75"/>
      <c r="AJ230" s="75"/>
      <c r="AK230" s="75"/>
      <c r="AL230" s="75"/>
      <c r="AM230" s="75"/>
      <c r="AN230" s="64" t="s">
        <v>39</v>
      </c>
      <c r="AO230" s="64"/>
      <c r="AP230" s="64"/>
      <c r="AQ230" s="189"/>
      <c r="AR230" s="64"/>
      <c r="AS230" s="476"/>
      <c r="AT230" s="64"/>
      <c r="AU230" s="646"/>
      <c r="AV230" s="433"/>
    </row>
    <row r="231" spans="1:48" ht="14.45" customHeight="1" outlineLevel="3" x14ac:dyDescent="0.25">
      <c r="A231" s="63" t="str">
        <f t="shared" si="1"/>
        <v>1.3.1.5.4.61</v>
      </c>
      <c r="B231" s="64">
        <v>1</v>
      </c>
      <c r="C231" s="64">
        <v>3</v>
      </c>
      <c r="D231" s="64">
        <v>1</v>
      </c>
      <c r="E231" s="64">
        <v>5</v>
      </c>
      <c r="F231" s="64">
        <v>4</v>
      </c>
      <c r="G231" s="64">
        <v>61</v>
      </c>
      <c r="H231" s="65"/>
      <c r="I231" s="65"/>
      <c r="J231" s="66"/>
      <c r="K231" s="65" t="s">
        <v>317</v>
      </c>
      <c r="L231" s="64" t="s">
        <v>246</v>
      </c>
      <c r="M231" s="64" t="s">
        <v>240</v>
      </c>
      <c r="N231" s="64" t="s">
        <v>257</v>
      </c>
      <c r="O231" s="64" t="s">
        <v>241</v>
      </c>
      <c r="P231" s="69"/>
      <c r="Q231" s="69"/>
      <c r="R231" s="126">
        <v>10000</v>
      </c>
      <c r="S231" s="123" t="s">
        <v>248</v>
      </c>
      <c r="T231" s="124">
        <f>+R231/4</f>
        <v>2500</v>
      </c>
      <c r="U231" s="75"/>
      <c r="V231" s="674">
        <v>0</v>
      </c>
      <c r="W231" s="75">
        <f>+R231/4</f>
        <v>2500</v>
      </c>
      <c r="X231" s="75"/>
      <c r="Y231" s="834">
        <f t="shared" si="49"/>
        <v>0</v>
      </c>
      <c r="Z231" s="75">
        <f>+R231/4</f>
        <v>2500</v>
      </c>
      <c r="AA231" s="75"/>
      <c r="AB231" s="75"/>
      <c r="AC231" s="75">
        <f>+R231/4</f>
        <v>2500</v>
      </c>
      <c r="AD231" s="75"/>
      <c r="AE231" s="592"/>
      <c r="AF231" s="347">
        <f>R231*19</f>
        <v>190000</v>
      </c>
      <c r="AG231" s="75">
        <v>0</v>
      </c>
      <c r="AH231" s="370">
        <v>0</v>
      </c>
      <c r="AI231" s="75"/>
      <c r="AJ231" s="75"/>
      <c r="AK231" s="75"/>
      <c r="AL231" s="75"/>
      <c r="AM231" s="75"/>
      <c r="AN231" s="64" t="s">
        <v>39</v>
      </c>
      <c r="AO231" s="64"/>
      <c r="AP231" s="64"/>
      <c r="AQ231" s="189"/>
      <c r="AR231" s="64"/>
      <c r="AS231" s="476"/>
      <c r="AT231" s="64"/>
      <c r="AU231" s="646"/>
      <c r="AV231" s="433"/>
    </row>
    <row r="232" spans="1:48" ht="14.45" customHeight="1" outlineLevel="3" x14ac:dyDescent="0.25">
      <c r="A232" s="63" t="str">
        <f t="shared" si="1"/>
        <v>1.3.1.5.5.61</v>
      </c>
      <c r="B232" s="64">
        <v>1</v>
      </c>
      <c r="C232" s="64">
        <v>3</v>
      </c>
      <c r="D232" s="64">
        <v>1</v>
      </c>
      <c r="E232" s="64">
        <v>5</v>
      </c>
      <c r="F232" s="64">
        <v>5</v>
      </c>
      <c r="G232" s="100">
        <v>61</v>
      </c>
      <c r="H232" s="65"/>
      <c r="I232" s="65"/>
      <c r="J232" s="66"/>
      <c r="K232" s="65" t="s">
        <v>1912</v>
      </c>
      <c r="L232" s="64" t="s">
        <v>246</v>
      </c>
      <c r="M232" s="64" t="s">
        <v>256</v>
      </c>
      <c r="N232" s="64" t="s">
        <v>257</v>
      </c>
      <c r="O232" s="64" t="s">
        <v>241</v>
      </c>
      <c r="P232" s="69"/>
      <c r="Q232" s="69"/>
      <c r="R232" s="126"/>
      <c r="S232" s="123" t="s">
        <v>330</v>
      </c>
      <c r="T232" s="124"/>
      <c r="U232" s="132">
        <v>1434550</v>
      </c>
      <c r="V232" s="674">
        <v>1264500</v>
      </c>
      <c r="W232" s="75"/>
      <c r="X232" s="132">
        <v>2684550</v>
      </c>
      <c r="Y232" s="834">
        <f t="shared" si="49"/>
        <v>1278450</v>
      </c>
      <c r="Z232" s="127">
        <v>2684550</v>
      </c>
      <c r="AA232" s="132">
        <f>+(AH232-U232-X232)/2</f>
        <v>4809550</v>
      </c>
      <c r="AB232" s="127">
        <v>2684550</v>
      </c>
      <c r="AC232" s="127">
        <v>2684550</v>
      </c>
      <c r="AD232" s="132">
        <f>+AH232-U232-X232-AA232</f>
        <v>4809550</v>
      </c>
      <c r="AE232" s="596"/>
      <c r="AF232" s="347" t="s">
        <v>331</v>
      </c>
      <c r="AG232" s="75">
        <v>1666666.6666666667</v>
      </c>
      <c r="AH232" s="370">
        <v>13738200</v>
      </c>
      <c r="AI232" s="75"/>
      <c r="AJ232" s="75">
        <f>413100+349200+248850+253350+476100+802350</f>
        <v>2542950</v>
      </c>
      <c r="AK232" s="75"/>
      <c r="AL232" s="75"/>
      <c r="AM232" s="75"/>
      <c r="AN232" s="64" t="s">
        <v>39</v>
      </c>
      <c r="AO232" s="64" t="s">
        <v>1839</v>
      </c>
      <c r="AP232" s="64" t="s">
        <v>649</v>
      </c>
      <c r="AQ232" s="533" t="s">
        <v>649</v>
      </c>
      <c r="AR232" s="554">
        <v>44562</v>
      </c>
      <c r="AS232" s="554">
        <v>44926</v>
      </c>
      <c r="AT232" s="64" t="s">
        <v>1814</v>
      </c>
      <c r="AU232" s="877" t="s">
        <v>2102</v>
      </c>
      <c r="AV232" s="561" t="s">
        <v>2103</v>
      </c>
    </row>
    <row r="233" spans="1:48" ht="29.1" customHeight="1" outlineLevel="3" x14ac:dyDescent="0.25">
      <c r="A233" s="63" t="str">
        <f t="shared" si="1"/>
        <v>1.3.1.5.6.61</v>
      </c>
      <c r="B233" s="64">
        <v>1</v>
      </c>
      <c r="C233" s="64">
        <v>3</v>
      </c>
      <c r="D233" s="64">
        <v>1</v>
      </c>
      <c r="E233" s="64">
        <v>5</v>
      </c>
      <c r="F233" s="64">
        <v>6</v>
      </c>
      <c r="G233" s="64">
        <v>61</v>
      </c>
      <c r="H233" s="65"/>
      <c r="I233" s="65"/>
      <c r="J233" s="66"/>
      <c r="K233" s="65" t="s">
        <v>304</v>
      </c>
      <c r="L233" s="64" t="s">
        <v>246</v>
      </c>
      <c r="M233" s="64" t="s">
        <v>240</v>
      </c>
      <c r="N233" s="64" t="s">
        <v>247</v>
      </c>
      <c r="O233" s="64" t="s">
        <v>241</v>
      </c>
      <c r="P233" s="69"/>
      <c r="Q233" s="69"/>
      <c r="R233" s="126">
        <v>85055</v>
      </c>
      <c r="S233" s="123" t="s">
        <v>248</v>
      </c>
      <c r="T233" s="124">
        <f t="shared" ref="T233:AC236" si="50">+$R233/4</f>
        <v>21263.75</v>
      </c>
      <c r="U233" s="75"/>
      <c r="V233" s="674">
        <v>0</v>
      </c>
      <c r="W233" s="75">
        <f t="shared" si="50"/>
        <v>21263.75</v>
      </c>
      <c r="X233" s="75"/>
      <c r="Y233" s="834">
        <f t="shared" si="49"/>
        <v>0</v>
      </c>
      <c r="Z233" s="75">
        <f t="shared" si="50"/>
        <v>21263.75</v>
      </c>
      <c r="AA233" s="75"/>
      <c r="AB233" s="75"/>
      <c r="AC233" s="75">
        <f t="shared" si="50"/>
        <v>21263.75</v>
      </c>
      <c r="AD233" s="75"/>
      <c r="AE233" s="592"/>
      <c r="AF233" s="348" t="s">
        <v>260</v>
      </c>
      <c r="AG233" s="129">
        <v>0</v>
      </c>
      <c r="AH233" s="370">
        <v>0</v>
      </c>
      <c r="AI233" s="75"/>
      <c r="AJ233" s="75"/>
      <c r="AK233" s="75"/>
      <c r="AL233" s="75"/>
      <c r="AM233" s="75"/>
      <c r="AN233" s="64" t="s">
        <v>39</v>
      </c>
      <c r="AO233" s="64"/>
      <c r="AP233" s="64"/>
      <c r="AQ233" s="189"/>
      <c r="AR233" s="64"/>
      <c r="AS233" s="476"/>
      <c r="AT233" s="64"/>
      <c r="AU233" s="646"/>
      <c r="AV233" s="335" t="s">
        <v>261</v>
      </c>
    </row>
    <row r="234" spans="1:48" ht="29.1" customHeight="1" outlineLevel="3" x14ac:dyDescent="0.25">
      <c r="A234" s="63" t="str">
        <f t="shared" si="1"/>
        <v>1.3.1.5.7.61</v>
      </c>
      <c r="B234" s="64">
        <v>1</v>
      </c>
      <c r="C234" s="64">
        <v>3</v>
      </c>
      <c r="D234" s="64">
        <v>1</v>
      </c>
      <c r="E234" s="64">
        <v>5</v>
      </c>
      <c r="F234" s="64">
        <v>7</v>
      </c>
      <c r="G234" s="64">
        <v>61</v>
      </c>
      <c r="H234" s="65"/>
      <c r="I234" s="65"/>
      <c r="J234" s="66"/>
      <c r="K234" s="65" t="s">
        <v>262</v>
      </c>
      <c r="L234" s="64" t="s">
        <v>246</v>
      </c>
      <c r="M234" s="64" t="s">
        <v>240</v>
      </c>
      <c r="N234" s="64" t="s">
        <v>252</v>
      </c>
      <c r="O234" s="64" t="s">
        <v>241</v>
      </c>
      <c r="P234" s="69"/>
      <c r="Q234" s="69"/>
      <c r="R234" s="126">
        <v>1240512</v>
      </c>
      <c r="S234" s="123" t="s">
        <v>248</v>
      </c>
      <c r="T234" s="124">
        <f t="shared" si="50"/>
        <v>310128</v>
      </c>
      <c r="U234" s="75"/>
      <c r="V234" s="674">
        <v>0</v>
      </c>
      <c r="W234" s="75">
        <f t="shared" si="50"/>
        <v>310128</v>
      </c>
      <c r="X234" s="75"/>
      <c r="Y234" s="834">
        <f t="shared" si="49"/>
        <v>0</v>
      </c>
      <c r="Z234" s="75">
        <f t="shared" si="50"/>
        <v>310128</v>
      </c>
      <c r="AA234" s="75"/>
      <c r="AB234" s="75"/>
      <c r="AC234" s="75">
        <f t="shared" si="50"/>
        <v>310128</v>
      </c>
      <c r="AD234" s="75"/>
      <c r="AE234" s="592"/>
      <c r="AF234" s="348" t="s">
        <v>260</v>
      </c>
      <c r="AG234" s="129">
        <v>0</v>
      </c>
      <c r="AH234" s="370">
        <v>0</v>
      </c>
      <c r="AI234" s="75"/>
      <c r="AJ234" s="75"/>
      <c r="AK234" s="75"/>
      <c r="AL234" s="75"/>
      <c r="AM234" s="75"/>
      <c r="AN234" s="64" t="s">
        <v>39</v>
      </c>
      <c r="AO234" s="64"/>
      <c r="AP234" s="64"/>
      <c r="AQ234" s="189"/>
      <c r="AR234" s="64"/>
      <c r="AS234" s="476"/>
      <c r="AT234" s="64"/>
      <c r="AU234" s="646"/>
      <c r="AV234" s="335" t="s">
        <v>261</v>
      </c>
    </row>
    <row r="235" spans="1:48" ht="29.1" customHeight="1" outlineLevel="3" x14ac:dyDescent="0.25">
      <c r="A235" s="63" t="str">
        <f t="shared" si="1"/>
        <v>1.3.1.5.8.61</v>
      </c>
      <c r="B235" s="64">
        <v>1</v>
      </c>
      <c r="C235" s="64">
        <v>3</v>
      </c>
      <c r="D235" s="64">
        <v>1</v>
      </c>
      <c r="E235" s="64">
        <v>5</v>
      </c>
      <c r="F235" s="64">
        <v>8</v>
      </c>
      <c r="G235" s="64">
        <v>61</v>
      </c>
      <c r="H235" s="65"/>
      <c r="I235" s="65"/>
      <c r="J235" s="66"/>
      <c r="K235" s="65" t="s">
        <v>332</v>
      </c>
      <c r="L235" s="64" t="s">
        <v>246</v>
      </c>
      <c r="M235" s="64" t="s">
        <v>240</v>
      </c>
      <c r="N235" s="64" t="s">
        <v>252</v>
      </c>
      <c r="O235" s="64" t="s">
        <v>330</v>
      </c>
      <c r="P235" s="69"/>
      <c r="Q235" s="69"/>
      <c r="R235" s="126">
        <v>7310</v>
      </c>
      <c r="S235" s="123" t="s">
        <v>248</v>
      </c>
      <c r="T235" s="124">
        <f t="shared" si="50"/>
        <v>1827.5</v>
      </c>
      <c r="U235" s="75"/>
      <c r="V235" s="674">
        <v>0</v>
      </c>
      <c r="W235" s="75">
        <f t="shared" si="50"/>
        <v>1827.5</v>
      </c>
      <c r="X235" s="75"/>
      <c r="Y235" s="834">
        <f t="shared" si="49"/>
        <v>0</v>
      </c>
      <c r="Z235" s="75">
        <f t="shared" si="50"/>
        <v>1827.5</v>
      </c>
      <c r="AA235" s="75"/>
      <c r="AB235" s="75"/>
      <c r="AC235" s="75">
        <f t="shared" si="50"/>
        <v>1827.5</v>
      </c>
      <c r="AD235" s="75"/>
      <c r="AE235" s="592"/>
      <c r="AF235" s="348" t="s">
        <v>260</v>
      </c>
      <c r="AG235" s="129">
        <v>0</v>
      </c>
      <c r="AH235" s="370">
        <v>0</v>
      </c>
      <c r="AI235" s="75"/>
      <c r="AJ235" s="75"/>
      <c r="AK235" s="75"/>
      <c r="AL235" s="75"/>
      <c r="AM235" s="75"/>
      <c r="AN235" s="64" t="s">
        <v>39</v>
      </c>
      <c r="AO235" s="64"/>
      <c r="AP235" s="64"/>
      <c r="AQ235" s="189"/>
      <c r="AR235" s="64"/>
      <c r="AS235" s="476"/>
      <c r="AT235" s="64"/>
      <c r="AU235" s="646"/>
      <c r="AV235" s="433"/>
    </row>
    <row r="236" spans="1:48" ht="29.1" customHeight="1" outlineLevel="3" x14ac:dyDescent="0.25">
      <c r="A236" s="63" t="str">
        <f t="shared" si="1"/>
        <v>1.3.1.5.9.61</v>
      </c>
      <c r="B236" s="64">
        <v>1</v>
      </c>
      <c r="C236" s="64">
        <v>3</v>
      </c>
      <c r="D236" s="64">
        <v>1</v>
      </c>
      <c r="E236" s="64">
        <v>5</v>
      </c>
      <c r="F236" s="64">
        <v>9</v>
      </c>
      <c r="G236" s="64">
        <v>61</v>
      </c>
      <c r="H236" s="65"/>
      <c r="I236" s="65"/>
      <c r="J236" s="66"/>
      <c r="K236" s="65" t="s">
        <v>333</v>
      </c>
      <c r="L236" s="64" t="s">
        <v>246</v>
      </c>
      <c r="M236" s="64" t="s">
        <v>240</v>
      </c>
      <c r="N236" s="64" t="s">
        <v>257</v>
      </c>
      <c r="O236" s="64" t="s">
        <v>241</v>
      </c>
      <c r="P236" s="69"/>
      <c r="Q236" s="69"/>
      <c r="R236" s="126">
        <v>10000</v>
      </c>
      <c r="S236" s="123" t="s">
        <v>248</v>
      </c>
      <c r="T236" s="124">
        <f t="shared" si="50"/>
        <v>2500</v>
      </c>
      <c r="U236" s="75"/>
      <c r="V236" s="674">
        <v>0</v>
      </c>
      <c r="W236" s="75">
        <f t="shared" si="50"/>
        <v>2500</v>
      </c>
      <c r="X236" s="75"/>
      <c r="Y236" s="834">
        <f t="shared" si="49"/>
        <v>0</v>
      </c>
      <c r="Z236" s="75">
        <f t="shared" si="50"/>
        <v>2500</v>
      </c>
      <c r="AA236" s="75"/>
      <c r="AB236" s="75"/>
      <c r="AC236" s="75">
        <f t="shared" si="50"/>
        <v>2500</v>
      </c>
      <c r="AD236" s="75"/>
      <c r="AE236" s="592"/>
      <c r="AF236" s="348" t="s">
        <v>260</v>
      </c>
      <c r="AG236" s="129">
        <v>0</v>
      </c>
      <c r="AH236" s="370">
        <v>0</v>
      </c>
      <c r="AI236" s="75"/>
      <c r="AJ236" s="75"/>
      <c r="AK236" s="75"/>
      <c r="AL236" s="75"/>
      <c r="AM236" s="75"/>
      <c r="AN236" s="64" t="s">
        <v>39</v>
      </c>
      <c r="AO236" s="64"/>
      <c r="AP236" s="64"/>
      <c r="AQ236" s="189"/>
      <c r="AR236" s="64"/>
      <c r="AS236" s="476"/>
      <c r="AT236" s="64"/>
      <c r="AU236" s="646"/>
      <c r="AV236" s="433"/>
    </row>
    <row r="237" spans="1:48" ht="24.6" customHeight="1" outlineLevel="3" x14ac:dyDescent="0.25">
      <c r="A237" s="63" t="str">
        <f t="shared" si="1"/>
        <v>1.3.1.5.10.61</v>
      </c>
      <c r="B237" s="64">
        <v>1</v>
      </c>
      <c r="C237" s="64">
        <v>3</v>
      </c>
      <c r="D237" s="64">
        <v>1</v>
      </c>
      <c r="E237" s="64">
        <v>5</v>
      </c>
      <c r="F237" s="64">
        <v>10</v>
      </c>
      <c r="G237" s="64">
        <v>61</v>
      </c>
      <c r="H237" s="65"/>
      <c r="I237" s="65"/>
      <c r="J237" s="66"/>
      <c r="K237" s="65" t="s">
        <v>263</v>
      </c>
      <c r="L237" s="64" t="s">
        <v>264</v>
      </c>
      <c r="M237" s="64" t="s">
        <v>76</v>
      </c>
      <c r="N237" s="64" t="s">
        <v>265</v>
      </c>
      <c r="O237" s="64" t="s">
        <v>266</v>
      </c>
      <c r="P237" s="69"/>
      <c r="Q237" s="131"/>
      <c r="R237" s="124"/>
      <c r="S237" s="123" t="s">
        <v>258</v>
      </c>
      <c r="T237" s="124"/>
      <c r="U237" s="75"/>
      <c r="V237" s="674">
        <v>0</v>
      </c>
      <c r="W237" s="75"/>
      <c r="X237" s="75"/>
      <c r="Y237" s="834">
        <f t="shared" si="49"/>
        <v>0</v>
      </c>
      <c r="Z237" s="75"/>
      <c r="AA237" s="75"/>
      <c r="AB237" s="75"/>
      <c r="AC237" s="75"/>
      <c r="AD237" s="75">
        <f>+AH237</f>
        <v>192500</v>
      </c>
      <c r="AE237" s="592"/>
      <c r="AF237" s="347" t="s">
        <v>144</v>
      </c>
      <c r="AG237" s="75">
        <v>192500</v>
      </c>
      <c r="AH237" s="370">
        <f>385000/2</f>
        <v>192500</v>
      </c>
      <c r="AI237" s="75"/>
      <c r="AJ237" s="75"/>
      <c r="AK237" s="75"/>
      <c r="AL237" s="75"/>
      <c r="AM237" s="75"/>
      <c r="AN237" s="64" t="s">
        <v>181</v>
      </c>
      <c r="AO237" s="165"/>
      <c r="AP237" s="165"/>
      <c r="AQ237" s="413"/>
      <c r="AR237" s="64"/>
      <c r="AS237" s="475"/>
      <c r="AT237" s="64"/>
      <c r="AU237" s="646"/>
      <c r="AV237" s="432" t="s">
        <v>268</v>
      </c>
    </row>
    <row r="238" spans="1:48" ht="24.6" customHeight="1" outlineLevel="3" x14ac:dyDescent="0.25">
      <c r="A238" s="63" t="str">
        <f t="shared" si="1"/>
        <v>1.3.1.5.11.61</v>
      </c>
      <c r="B238" s="64">
        <v>1</v>
      </c>
      <c r="C238" s="64">
        <v>3</v>
      </c>
      <c r="D238" s="64">
        <v>1</v>
      </c>
      <c r="E238" s="64">
        <v>5</v>
      </c>
      <c r="F238" s="64">
        <v>11</v>
      </c>
      <c r="G238" s="64">
        <v>61</v>
      </c>
      <c r="H238" s="65"/>
      <c r="I238" s="65"/>
      <c r="J238" s="66"/>
      <c r="K238" s="65" t="s">
        <v>2024</v>
      </c>
      <c r="L238" s="64"/>
      <c r="M238" s="64"/>
      <c r="N238" s="64"/>
      <c r="O238" s="64"/>
      <c r="P238" s="69"/>
      <c r="Q238" s="131"/>
      <c r="R238" s="124"/>
      <c r="S238" s="123"/>
      <c r="T238" s="124"/>
      <c r="U238" s="75"/>
      <c r="V238" s="674"/>
      <c r="W238" s="75"/>
      <c r="X238" s="75"/>
      <c r="Y238" s="834"/>
      <c r="Z238" s="75"/>
      <c r="AA238" s="75"/>
      <c r="AB238" s="75"/>
      <c r="AC238" s="75"/>
      <c r="AD238" s="75"/>
      <c r="AE238" s="592"/>
      <c r="AF238" s="347"/>
      <c r="AG238" s="75"/>
      <c r="AH238" s="370"/>
      <c r="AI238" s="75"/>
      <c r="AJ238" s="75">
        <v>68014.95</v>
      </c>
      <c r="AK238" s="75"/>
      <c r="AL238" s="75"/>
      <c r="AM238" s="75"/>
      <c r="AN238" s="136" t="s">
        <v>39</v>
      </c>
      <c r="AO238" s="165" t="s">
        <v>1819</v>
      </c>
      <c r="AP238" s="165" t="s">
        <v>2190</v>
      </c>
      <c r="AQ238" s="413" t="s">
        <v>2191</v>
      </c>
      <c r="AR238" s="69">
        <v>44603</v>
      </c>
      <c r="AS238" s="562">
        <v>44631</v>
      </c>
      <c r="AT238" s="69">
        <v>44603</v>
      </c>
      <c r="AU238" s="879">
        <v>1163</v>
      </c>
      <c r="AV238" s="432"/>
    </row>
    <row r="239" spans="1:48" ht="50.45" customHeight="1" outlineLevel="3" x14ac:dyDescent="0.25">
      <c r="A239" s="63" t="str">
        <f t="shared" si="1"/>
        <v>1.3.1.5.13.61</v>
      </c>
      <c r="B239" s="64">
        <v>1</v>
      </c>
      <c r="C239" s="64">
        <v>3</v>
      </c>
      <c r="D239" s="64">
        <v>1</v>
      </c>
      <c r="E239" s="64">
        <v>5</v>
      </c>
      <c r="F239" s="64">
        <v>13</v>
      </c>
      <c r="G239" s="64">
        <v>61</v>
      </c>
      <c r="H239" s="65"/>
      <c r="I239" s="65"/>
      <c r="J239" s="66"/>
      <c r="K239" s="67" t="s">
        <v>334</v>
      </c>
      <c r="L239" s="68" t="s">
        <v>270</v>
      </c>
      <c r="M239" s="64" t="s">
        <v>279</v>
      </c>
      <c r="N239" s="64"/>
      <c r="O239" s="64"/>
      <c r="P239" s="69"/>
      <c r="Q239" s="69"/>
      <c r="R239" s="124">
        <v>1</v>
      </c>
      <c r="S239" s="123"/>
      <c r="T239" s="124"/>
      <c r="U239" s="75">
        <f>$AH$239/2</f>
        <v>218750</v>
      </c>
      <c r="V239" s="674">
        <v>0</v>
      </c>
      <c r="W239" s="75"/>
      <c r="X239" s="75">
        <f>$AH$239/2</f>
        <v>218750</v>
      </c>
      <c r="Y239" s="834">
        <f t="shared" ref="Y239:Y254" si="51">+AJ239-V239</f>
        <v>0</v>
      </c>
      <c r="Z239" s="75"/>
      <c r="AA239" s="75">
        <v>0</v>
      </c>
      <c r="AB239" s="75"/>
      <c r="AC239" s="75"/>
      <c r="AD239" s="75">
        <v>0</v>
      </c>
      <c r="AE239" s="592"/>
      <c r="AF239" s="347" t="s">
        <v>272</v>
      </c>
      <c r="AG239" s="75">
        <v>437500</v>
      </c>
      <c r="AH239" s="370">
        <v>437500</v>
      </c>
      <c r="AI239" s="75"/>
      <c r="AJ239" s="75"/>
      <c r="AK239" s="75"/>
      <c r="AL239" s="75"/>
      <c r="AM239" s="75"/>
      <c r="AN239" s="64" t="s">
        <v>39</v>
      </c>
      <c r="AO239" s="64"/>
      <c r="AP239" s="64"/>
      <c r="AQ239" s="189"/>
      <c r="AR239" s="64"/>
      <c r="AS239" s="476"/>
      <c r="AT239" s="64"/>
      <c r="AU239" s="646"/>
      <c r="AV239" s="335" t="s">
        <v>273</v>
      </c>
    </row>
    <row r="240" spans="1:48" ht="34.5" customHeight="1" outlineLevel="3" x14ac:dyDescent="0.25">
      <c r="A240" s="63" t="str">
        <f t="shared" si="1"/>
        <v>1.3.1.5.15.61</v>
      </c>
      <c r="B240" s="64">
        <v>1</v>
      </c>
      <c r="C240" s="64">
        <v>3</v>
      </c>
      <c r="D240" s="64">
        <v>1</v>
      </c>
      <c r="E240" s="64">
        <v>5</v>
      </c>
      <c r="F240" s="64">
        <v>15</v>
      </c>
      <c r="G240" s="100">
        <v>61</v>
      </c>
      <c r="H240" s="65"/>
      <c r="I240" s="65"/>
      <c r="J240" s="66"/>
      <c r="K240" s="65" t="s">
        <v>335</v>
      </c>
      <c r="L240" s="64" t="s">
        <v>72</v>
      </c>
      <c r="M240" s="64" t="s">
        <v>267</v>
      </c>
      <c r="N240" s="64" t="s">
        <v>265</v>
      </c>
      <c r="O240" s="64" t="s">
        <v>275</v>
      </c>
      <c r="P240" s="69"/>
      <c r="Q240" s="69"/>
      <c r="R240" s="124">
        <v>12</v>
      </c>
      <c r="S240" s="123"/>
      <c r="T240" s="124">
        <v>3</v>
      </c>
      <c r="U240" s="75">
        <v>4214388.5</v>
      </c>
      <c r="V240" s="674">
        <v>5484839.8499999996</v>
      </c>
      <c r="W240" s="75">
        <v>3</v>
      </c>
      <c r="X240" s="78">
        <v>4092605.33</v>
      </c>
      <c r="Y240" s="834">
        <f t="shared" si="51"/>
        <v>5744242.3499999996</v>
      </c>
      <c r="Z240" s="75">
        <v>3</v>
      </c>
      <c r="AA240" s="78">
        <v>5092605.33</v>
      </c>
      <c r="AB240" s="75"/>
      <c r="AC240" s="75">
        <v>3</v>
      </c>
      <c r="AD240" s="78">
        <v>5092605.33</v>
      </c>
      <c r="AE240" s="592"/>
      <c r="AF240" s="259" t="s">
        <v>309</v>
      </c>
      <c r="AG240" s="75">
        <v>0</v>
      </c>
      <c r="AH240" s="370">
        <v>21042900</v>
      </c>
      <c r="AI240" s="75"/>
      <c r="AJ240" s="75">
        <f>138348+1543513.65+54186.3+1684167.45+190228.5+1874395.95+51880.5+1851337.95+1897453.95+1943569.95</f>
        <v>11229082.199999999</v>
      </c>
      <c r="AK240" s="75"/>
      <c r="AL240" s="75"/>
      <c r="AM240" s="75"/>
      <c r="AN240" s="64" t="s">
        <v>39</v>
      </c>
      <c r="AO240" s="165" t="s">
        <v>144</v>
      </c>
      <c r="AP240" s="533" t="s">
        <v>649</v>
      </c>
      <c r="AQ240" s="533" t="s">
        <v>649</v>
      </c>
      <c r="AR240" s="558">
        <v>44562</v>
      </c>
      <c r="AS240" s="554">
        <v>44926</v>
      </c>
      <c r="AT240" s="64" t="s">
        <v>1814</v>
      </c>
      <c r="AU240" s="875" t="s">
        <v>2063</v>
      </c>
      <c r="AV240" s="539" t="s">
        <v>2064</v>
      </c>
    </row>
    <row r="241" spans="1:60" ht="14.45" customHeight="1" outlineLevel="3" x14ac:dyDescent="0.25">
      <c r="A241" s="63" t="str">
        <f t="shared" si="1"/>
        <v>1.3.1.5.17.61</v>
      </c>
      <c r="B241" s="64">
        <v>1</v>
      </c>
      <c r="C241" s="64">
        <v>3</v>
      </c>
      <c r="D241" s="64">
        <v>1</v>
      </c>
      <c r="E241" s="64">
        <v>5</v>
      </c>
      <c r="F241" s="64">
        <v>17</v>
      </c>
      <c r="G241" s="64">
        <v>61</v>
      </c>
      <c r="H241" s="65"/>
      <c r="I241" s="65"/>
      <c r="J241" s="66"/>
      <c r="K241" s="65" t="s">
        <v>336</v>
      </c>
      <c r="L241" s="64" t="s">
        <v>72</v>
      </c>
      <c r="M241" s="64" t="s">
        <v>267</v>
      </c>
      <c r="N241" s="64" t="s">
        <v>337</v>
      </c>
      <c r="O241" s="64" t="s">
        <v>275</v>
      </c>
      <c r="P241" s="69"/>
      <c r="Q241" s="69"/>
      <c r="R241" s="124"/>
      <c r="S241" s="123"/>
      <c r="T241" s="124"/>
      <c r="U241" s="75"/>
      <c r="V241" s="674">
        <v>0</v>
      </c>
      <c r="W241" s="75"/>
      <c r="X241" s="75"/>
      <c r="Y241" s="834">
        <f t="shared" si="51"/>
        <v>0</v>
      </c>
      <c r="Z241" s="75"/>
      <c r="AA241" s="75"/>
      <c r="AB241" s="75"/>
      <c r="AC241" s="75"/>
      <c r="AD241" s="75"/>
      <c r="AE241" s="592"/>
      <c r="AF241" s="347" t="s">
        <v>73</v>
      </c>
      <c r="AG241" s="75">
        <v>0</v>
      </c>
      <c r="AH241" s="370">
        <v>0</v>
      </c>
      <c r="AI241" s="75"/>
      <c r="AJ241" s="75"/>
      <c r="AK241" s="75"/>
      <c r="AL241" s="75"/>
      <c r="AM241" s="75"/>
      <c r="AN241" s="64" t="s">
        <v>39</v>
      </c>
      <c r="AO241" s="64"/>
      <c r="AP241" s="64"/>
      <c r="AQ241" s="64"/>
      <c r="AR241" s="165"/>
      <c r="AS241" s="64"/>
      <c r="AT241" s="64"/>
      <c r="AU241" s="646"/>
      <c r="AV241" s="434"/>
    </row>
    <row r="242" spans="1:60" ht="14.45" customHeight="1" outlineLevel="3" x14ac:dyDescent="0.25">
      <c r="A242" s="63" t="str">
        <f t="shared" si="1"/>
        <v>1.3.1.5.18.61</v>
      </c>
      <c r="B242" s="64">
        <v>1</v>
      </c>
      <c r="C242" s="64">
        <v>3</v>
      </c>
      <c r="D242" s="64">
        <v>1</v>
      </c>
      <c r="E242" s="64">
        <v>5</v>
      </c>
      <c r="F242" s="64">
        <v>18</v>
      </c>
      <c r="G242" s="64">
        <v>61</v>
      </c>
      <c r="H242" s="65"/>
      <c r="I242" s="65"/>
      <c r="J242" s="66"/>
      <c r="K242" s="67" t="s">
        <v>276</v>
      </c>
      <c r="L242" s="64" t="s">
        <v>72</v>
      </c>
      <c r="M242" s="64" t="s">
        <v>271</v>
      </c>
      <c r="N242" s="64" t="s">
        <v>307</v>
      </c>
      <c r="O242" s="64" t="s">
        <v>277</v>
      </c>
      <c r="P242" s="69"/>
      <c r="Q242" s="69"/>
      <c r="R242" s="124"/>
      <c r="S242" s="123"/>
      <c r="T242" s="124"/>
      <c r="U242" s="75">
        <v>75000</v>
      </c>
      <c r="V242" s="674">
        <v>0</v>
      </c>
      <c r="W242" s="75"/>
      <c r="X242" s="75">
        <v>50000</v>
      </c>
      <c r="Y242" s="834">
        <f t="shared" si="51"/>
        <v>0</v>
      </c>
      <c r="Z242" s="75"/>
      <c r="AA242" s="75"/>
      <c r="AB242" s="75"/>
      <c r="AC242" s="75"/>
      <c r="AD242" s="75"/>
      <c r="AE242" s="592"/>
      <c r="AF242" s="347" t="s">
        <v>278</v>
      </c>
      <c r="AG242" s="75">
        <v>125000</v>
      </c>
      <c r="AH242" s="370">
        <v>225000</v>
      </c>
      <c r="AI242" s="75"/>
      <c r="AJ242" s="75"/>
      <c r="AK242" s="75"/>
      <c r="AL242" s="75"/>
      <c r="AM242" s="75"/>
      <c r="AN242" s="189" t="s">
        <v>39</v>
      </c>
      <c r="AO242" s="64"/>
      <c r="AP242" s="64"/>
      <c r="AQ242" s="64"/>
      <c r="AR242" s="64"/>
      <c r="AS242" s="64"/>
      <c r="AT242" s="64"/>
      <c r="AU242" s="646"/>
      <c r="AV242" s="434"/>
    </row>
    <row r="243" spans="1:60" ht="14.45" customHeight="1" outlineLevel="3" x14ac:dyDescent="0.25">
      <c r="A243" s="63" t="str">
        <f t="shared" si="1"/>
        <v>1.3.1.5.19.61</v>
      </c>
      <c r="B243" s="64">
        <v>1</v>
      </c>
      <c r="C243" s="64">
        <v>3</v>
      </c>
      <c r="D243" s="64">
        <v>1</v>
      </c>
      <c r="E243" s="64">
        <v>5</v>
      </c>
      <c r="F243" s="64">
        <v>19</v>
      </c>
      <c r="G243" s="64">
        <v>61</v>
      </c>
      <c r="H243" s="65"/>
      <c r="I243" s="65"/>
      <c r="J243" s="66"/>
      <c r="K243" s="67" t="s">
        <v>1893</v>
      </c>
      <c r="L243" s="64" t="s">
        <v>72</v>
      </c>
      <c r="M243" s="64" t="s">
        <v>279</v>
      </c>
      <c r="N243" s="64" t="s">
        <v>307</v>
      </c>
      <c r="O243" s="68" t="s">
        <v>277</v>
      </c>
      <c r="P243" s="69"/>
      <c r="Q243" s="69"/>
      <c r="R243" s="124"/>
      <c r="S243" s="123"/>
      <c r="T243" s="124"/>
      <c r="U243" s="75">
        <v>100000</v>
      </c>
      <c r="V243" s="674">
        <v>51202.130000000005</v>
      </c>
      <c r="W243" s="75"/>
      <c r="X243" s="75">
        <v>100000</v>
      </c>
      <c r="Y243" s="834">
        <f t="shared" si="51"/>
        <v>17646.190000000002</v>
      </c>
      <c r="Z243" s="75"/>
      <c r="AA243" s="75"/>
      <c r="AB243" s="75"/>
      <c r="AC243" s="75"/>
      <c r="AD243" s="75"/>
      <c r="AE243" s="592"/>
      <c r="AF243" s="259" t="s">
        <v>279</v>
      </c>
      <c r="AG243" s="75">
        <v>200000</v>
      </c>
      <c r="AH243" s="377">
        <v>200000</v>
      </c>
      <c r="AI243" s="132"/>
      <c r="AJ243" s="536">
        <f>8084.68+8344.29+7349.71+27423.45+17646.19</f>
        <v>68848.320000000007</v>
      </c>
      <c r="AK243" s="132"/>
      <c r="AL243" s="132"/>
      <c r="AM243" s="132"/>
      <c r="AN243" s="189" t="s">
        <v>39</v>
      </c>
      <c r="AO243" s="64" t="s">
        <v>1819</v>
      </c>
      <c r="AP243" s="68" t="s">
        <v>2110</v>
      </c>
      <c r="AQ243" s="68" t="s">
        <v>2111</v>
      </c>
      <c r="AR243" s="544" t="s">
        <v>2108</v>
      </c>
      <c r="AS243" s="544" t="s">
        <v>2109</v>
      </c>
      <c r="AT243" s="460"/>
      <c r="AU243" s="891" t="s">
        <v>2248</v>
      </c>
      <c r="AV243" s="538" t="s">
        <v>2019</v>
      </c>
    </row>
    <row r="244" spans="1:60" ht="14.45" customHeight="1" outlineLevel="3" x14ac:dyDescent="0.25">
      <c r="A244" s="63" t="str">
        <f t="shared" si="1"/>
        <v>1.3.1.5.25.61</v>
      </c>
      <c r="B244" s="64">
        <v>1</v>
      </c>
      <c r="C244" s="64">
        <v>3</v>
      </c>
      <c r="D244" s="64">
        <v>1</v>
      </c>
      <c r="E244" s="64">
        <v>5</v>
      </c>
      <c r="F244" s="64">
        <v>25</v>
      </c>
      <c r="G244" s="64">
        <v>61</v>
      </c>
      <c r="H244" s="65"/>
      <c r="I244" s="65"/>
      <c r="J244" s="66"/>
      <c r="K244" s="67" t="s">
        <v>338</v>
      </c>
      <c r="L244" s="64" t="s">
        <v>72</v>
      </c>
      <c r="M244" s="64" t="s">
        <v>271</v>
      </c>
      <c r="N244" s="64" t="s">
        <v>307</v>
      </c>
      <c r="O244" s="64" t="s">
        <v>281</v>
      </c>
      <c r="P244" s="69"/>
      <c r="Q244" s="69"/>
      <c r="R244" s="124"/>
      <c r="S244" s="123"/>
      <c r="T244" s="124"/>
      <c r="U244" s="75"/>
      <c r="V244" s="674">
        <v>0</v>
      </c>
      <c r="W244" s="75"/>
      <c r="X244" s="75"/>
      <c r="Y244" s="834">
        <f t="shared" si="51"/>
        <v>0</v>
      </c>
      <c r="Z244" s="75"/>
      <c r="AA244" s="75"/>
      <c r="AB244" s="75"/>
      <c r="AC244" s="75"/>
      <c r="AD244" s="75"/>
      <c r="AE244" s="592"/>
      <c r="AF244" s="347" t="s">
        <v>166</v>
      </c>
      <c r="AG244" s="75">
        <v>0</v>
      </c>
      <c r="AH244" s="377">
        <v>0</v>
      </c>
      <c r="AI244" s="132"/>
      <c r="AJ244" s="132"/>
      <c r="AK244" s="132"/>
      <c r="AL244" s="132"/>
      <c r="AM244" s="132"/>
      <c r="AN244" s="64" t="s">
        <v>39</v>
      </c>
      <c r="AO244" s="64"/>
      <c r="AP244" s="64"/>
      <c r="AQ244" s="64"/>
      <c r="AR244" s="245"/>
      <c r="AS244" s="64"/>
      <c r="AT244" s="64"/>
      <c r="AU244" s="646"/>
      <c r="AV244" s="434"/>
    </row>
    <row r="245" spans="1:60" ht="14.45" customHeight="1" outlineLevel="3" x14ac:dyDescent="0.25">
      <c r="A245" s="63" t="str">
        <f t="shared" si="1"/>
        <v>1.3.1.5.26.61</v>
      </c>
      <c r="B245" s="64">
        <v>1</v>
      </c>
      <c r="C245" s="64">
        <v>3</v>
      </c>
      <c r="D245" s="64">
        <v>1</v>
      </c>
      <c r="E245" s="64">
        <v>5</v>
      </c>
      <c r="F245" s="64">
        <v>26</v>
      </c>
      <c r="G245" s="64">
        <v>61</v>
      </c>
      <c r="H245" s="65"/>
      <c r="I245" s="65"/>
      <c r="J245" s="66"/>
      <c r="K245" s="65" t="s">
        <v>284</v>
      </c>
      <c r="L245" s="64" t="s">
        <v>72</v>
      </c>
      <c r="M245" s="64" t="s">
        <v>271</v>
      </c>
      <c r="N245" s="64" t="s">
        <v>307</v>
      </c>
      <c r="O245" s="64" t="s">
        <v>281</v>
      </c>
      <c r="P245" s="69"/>
      <c r="Q245" s="131"/>
      <c r="R245" s="124"/>
      <c r="S245" s="123"/>
      <c r="T245" s="124"/>
      <c r="U245" s="75"/>
      <c r="V245" s="674">
        <v>0</v>
      </c>
      <c r="W245" s="75"/>
      <c r="X245" s="75"/>
      <c r="Y245" s="834">
        <f t="shared" si="51"/>
        <v>0</v>
      </c>
      <c r="Z245" s="75"/>
      <c r="AA245" s="75"/>
      <c r="AB245" s="75"/>
      <c r="AC245" s="75"/>
      <c r="AD245" s="75"/>
      <c r="AE245" s="592"/>
      <c r="AF245" s="347" t="s">
        <v>166</v>
      </c>
      <c r="AG245" s="75">
        <v>0</v>
      </c>
      <c r="AH245" s="377">
        <v>115000</v>
      </c>
      <c r="AI245" s="132"/>
      <c r="AJ245" s="132"/>
      <c r="AK245" s="132"/>
      <c r="AL245" s="132"/>
      <c r="AM245" s="132"/>
      <c r="AN245" s="64" t="s">
        <v>39</v>
      </c>
      <c r="AO245" s="64"/>
      <c r="AP245" s="64"/>
      <c r="AQ245" s="64"/>
      <c r="AR245" s="64"/>
      <c r="AS245" s="64"/>
      <c r="AT245" s="64"/>
      <c r="AU245" s="646"/>
      <c r="AV245" s="434"/>
    </row>
    <row r="246" spans="1:60" ht="14.45" customHeight="1" outlineLevel="3" x14ac:dyDescent="0.25">
      <c r="A246" s="63" t="str">
        <f t="shared" si="1"/>
        <v>1.3.1.5.27.61</v>
      </c>
      <c r="B246" s="64">
        <v>1</v>
      </c>
      <c r="C246" s="64">
        <v>3</v>
      </c>
      <c r="D246" s="64">
        <v>1</v>
      </c>
      <c r="E246" s="64">
        <v>5</v>
      </c>
      <c r="F246" s="64">
        <v>27</v>
      </c>
      <c r="G246" s="64">
        <v>61</v>
      </c>
      <c r="H246" s="65"/>
      <c r="I246" s="65"/>
      <c r="J246" s="66"/>
      <c r="K246" s="65" t="s">
        <v>339</v>
      </c>
      <c r="L246" s="64" t="s">
        <v>72</v>
      </c>
      <c r="M246" s="64" t="s">
        <v>73</v>
      </c>
      <c r="N246" s="64" t="s">
        <v>307</v>
      </c>
      <c r="O246" s="64" t="s">
        <v>281</v>
      </c>
      <c r="P246" s="69"/>
      <c r="Q246" s="69"/>
      <c r="R246" s="124"/>
      <c r="S246" s="123"/>
      <c r="T246" s="124"/>
      <c r="U246" s="75"/>
      <c r="V246" s="674">
        <v>0</v>
      </c>
      <c r="W246" s="75"/>
      <c r="X246" s="75"/>
      <c r="Y246" s="834">
        <f t="shared" si="51"/>
        <v>0</v>
      </c>
      <c r="Z246" s="75"/>
      <c r="AA246" s="75"/>
      <c r="AB246" s="75"/>
      <c r="AC246" s="75"/>
      <c r="AD246" s="75"/>
      <c r="AE246" s="592"/>
      <c r="AF246" s="347" t="s">
        <v>166</v>
      </c>
      <c r="AG246" s="75">
        <v>0</v>
      </c>
      <c r="AH246" s="377">
        <v>0</v>
      </c>
      <c r="AI246" s="132"/>
      <c r="AJ246" s="132"/>
      <c r="AK246" s="132"/>
      <c r="AL246" s="132"/>
      <c r="AM246" s="132"/>
      <c r="AN246" s="64" t="s">
        <v>39</v>
      </c>
      <c r="AO246" s="64"/>
      <c r="AP246" s="64"/>
      <c r="AQ246" s="64"/>
      <c r="AR246" s="64"/>
      <c r="AS246" s="64"/>
      <c r="AT246" s="64"/>
      <c r="AU246" s="646"/>
      <c r="AV246" s="434"/>
    </row>
    <row r="247" spans="1:60" ht="14.45" customHeight="1" outlineLevel="3" x14ac:dyDescent="0.25">
      <c r="A247" s="63" t="str">
        <f t="shared" si="1"/>
        <v>1.3.1.5.28.61</v>
      </c>
      <c r="B247" s="64">
        <v>1</v>
      </c>
      <c r="C247" s="64">
        <v>3</v>
      </c>
      <c r="D247" s="64">
        <v>1</v>
      </c>
      <c r="E247" s="64">
        <v>5</v>
      </c>
      <c r="F247" s="64">
        <v>28</v>
      </c>
      <c r="G247" s="64">
        <v>61</v>
      </c>
      <c r="H247" s="65"/>
      <c r="I247" s="65"/>
      <c r="J247" s="66"/>
      <c r="K247" s="65" t="s">
        <v>285</v>
      </c>
      <c r="L247" s="64" t="s">
        <v>72</v>
      </c>
      <c r="M247" s="64" t="s">
        <v>279</v>
      </c>
      <c r="N247" s="64" t="s">
        <v>307</v>
      </c>
      <c r="O247" s="64" t="s">
        <v>281</v>
      </c>
      <c r="P247" s="69"/>
      <c r="Q247" s="69"/>
      <c r="R247" s="124"/>
      <c r="S247" s="123"/>
      <c r="T247" s="124"/>
      <c r="U247" s="75"/>
      <c r="V247" s="674">
        <v>0</v>
      </c>
      <c r="W247" s="75"/>
      <c r="X247" s="75"/>
      <c r="Y247" s="834">
        <f t="shared" si="51"/>
        <v>0</v>
      </c>
      <c r="Z247" s="75"/>
      <c r="AA247" s="75"/>
      <c r="AB247" s="75"/>
      <c r="AC247" s="75"/>
      <c r="AD247" s="75"/>
      <c r="AE247" s="592"/>
      <c r="AF247" s="259" t="s">
        <v>279</v>
      </c>
      <c r="AG247" s="75">
        <v>0</v>
      </c>
      <c r="AH247" s="377">
        <v>0</v>
      </c>
      <c r="AI247" s="132"/>
      <c r="AJ247" s="132"/>
      <c r="AK247" s="132"/>
      <c r="AL247" s="132"/>
      <c r="AM247" s="132"/>
      <c r="AN247" s="64" t="s">
        <v>39</v>
      </c>
      <c r="AO247" s="64"/>
      <c r="AP247" s="64"/>
      <c r="AQ247" s="64"/>
      <c r="AR247" s="64"/>
      <c r="AS247" s="64"/>
      <c r="AT247" s="64"/>
      <c r="AU247" s="646"/>
      <c r="AV247" s="434"/>
    </row>
    <row r="248" spans="1:60" ht="14.45" customHeight="1" outlineLevel="3" x14ac:dyDescent="0.25">
      <c r="A248" s="63" t="str">
        <f t="shared" si="1"/>
        <v>1.3.1.5.29.61</v>
      </c>
      <c r="B248" s="64">
        <v>1</v>
      </c>
      <c r="C248" s="64">
        <v>3</v>
      </c>
      <c r="D248" s="64">
        <v>1</v>
      </c>
      <c r="E248" s="64">
        <v>5</v>
      </c>
      <c r="F248" s="64">
        <v>29</v>
      </c>
      <c r="G248" s="64">
        <v>61</v>
      </c>
      <c r="H248" s="65"/>
      <c r="I248" s="65"/>
      <c r="J248" s="66"/>
      <c r="K248" s="65" t="s">
        <v>286</v>
      </c>
      <c r="L248" s="64" t="s">
        <v>72</v>
      </c>
      <c r="M248" s="64" t="s">
        <v>73</v>
      </c>
      <c r="N248" s="64" t="s">
        <v>307</v>
      </c>
      <c r="O248" s="64" t="s">
        <v>281</v>
      </c>
      <c r="P248" s="69"/>
      <c r="Q248" s="69"/>
      <c r="R248" s="124"/>
      <c r="S248" s="123"/>
      <c r="T248" s="124"/>
      <c r="U248" s="75"/>
      <c r="V248" s="674">
        <v>0</v>
      </c>
      <c r="W248" s="75"/>
      <c r="X248" s="75"/>
      <c r="Y248" s="834">
        <f t="shared" si="51"/>
        <v>0</v>
      </c>
      <c r="Z248" s="75"/>
      <c r="AA248" s="75"/>
      <c r="AB248" s="75"/>
      <c r="AC248" s="75"/>
      <c r="AD248" s="75"/>
      <c r="AE248" s="592"/>
      <c r="AF248" s="347" t="s">
        <v>73</v>
      </c>
      <c r="AG248" s="75">
        <v>0</v>
      </c>
      <c r="AH248" s="377">
        <v>0</v>
      </c>
      <c r="AI248" s="132"/>
      <c r="AJ248" s="132"/>
      <c r="AK248" s="132"/>
      <c r="AL248" s="132"/>
      <c r="AM248" s="132"/>
      <c r="AN248" s="64" t="s">
        <v>39</v>
      </c>
      <c r="AO248" s="64"/>
      <c r="AP248" s="64"/>
      <c r="AQ248" s="64"/>
      <c r="AR248" s="64"/>
      <c r="AS248" s="64"/>
      <c r="AT248" s="64"/>
      <c r="AU248" s="646"/>
      <c r="AV248" s="434"/>
    </row>
    <row r="249" spans="1:60" ht="14.45" customHeight="1" outlineLevel="3" x14ac:dyDescent="0.25">
      <c r="A249" s="63" t="str">
        <f t="shared" si="1"/>
        <v>1.3.1.5.30.61</v>
      </c>
      <c r="B249" s="64">
        <v>1</v>
      </c>
      <c r="C249" s="64">
        <v>3</v>
      </c>
      <c r="D249" s="64">
        <v>1</v>
      </c>
      <c r="E249" s="64">
        <v>5</v>
      </c>
      <c r="F249" s="64">
        <v>30</v>
      </c>
      <c r="G249" s="64">
        <v>61</v>
      </c>
      <c r="H249" s="65"/>
      <c r="I249" s="65"/>
      <c r="J249" s="66"/>
      <c r="K249" s="65" t="s">
        <v>287</v>
      </c>
      <c r="L249" s="64" t="s">
        <v>72</v>
      </c>
      <c r="M249" s="64" t="s">
        <v>73</v>
      </c>
      <c r="N249" s="64"/>
      <c r="O249" s="64"/>
      <c r="P249" s="69"/>
      <c r="Q249" s="69"/>
      <c r="R249" s="124">
        <v>1</v>
      </c>
      <c r="S249" s="123"/>
      <c r="T249" s="124"/>
      <c r="U249" s="75"/>
      <c r="V249" s="674">
        <v>0</v>
      </c>
      <c r="W249" s="75"/>
      <c r="X249" s="75"/>
      <c r="Y249" s="834">
        <f t="shared" si="51"/>
        <v>0</v>
      </c>
      <c r="Z249" s="75"/>
      <c r="AA249" s="75"/>
      <c r="AB249" s="75"/>
      <c r="AC249" s="75"/>
      <c r="AD249" s="75"/>
      <c r="AE249" s="592"/>
      <c r="AF249" s="347" t="s">
        <v>73</v>
      </c>
      <c r="AG249" s="75">
        <v>0</v>
      </c>
      <c r="AH249" s="377">
        <v>0</v>
      </c>
      <c r="AI249" s="132"/>
      <c r="AJ249" s="132"/>
      <c r="AK249" s="132"/>
      <c r="AL249" s="132"/>
      <c r="AM249" s="132"/>
      <c r="AN249" s="64" t="s">
        <v>39</v>
      </c>
      <c r="AO249" s="64"/>
      <c r="AP249" s="64"/>
      <c r="AQ249" s="64"/>
      <c r="AR249" s="64"/>
      <c r="AS249" s="64"/>
      <c r="AT249" s="64"/>
      <c r="AU249" s="646"/>
      <c r="AV249" s="434"/>
    </row>
    <row r="250" spans="1:60" ht="14.45" customHeight="1" outlineLevel="3" x14ac:dyDescent="0.25">
      <c r="A250" s="63" t="str">
        <f t="shared" si="1"/>
        <v>1.3.1.5.31.61</v>
      </c>
      <c r="B250" s="64">
        <v>1</v>
      </c>
      <c r="C250" s="64">
        <v>3</v>
      </c>
      <c r="D250" s="64">
        <v>1</v>
      </c>
      <c r="E250" s="64">
        <v>5</v>
      </c>
      <c r="F250" s="64">
        <v>31</v>
      </c>
      <c r="G250" s="64">
        <v>61</v>
      </c>
      <c r="H250" s="65"/>
      <c r="I250" s="65"/>
      <c r="J250" s="66"/>
      <c r="K250" s="67" t="s">
        <v>2206</v>
      </c>
      <c r="L250" s="64" t="s">
        <v>72</v>
      </c>
      <c r="M250" s="64" t="s">
        <v>279</v>
      </c>
      <c r="N250" s="64"/>
      <c r="O250" s="64"/>
      <c r="P250" s="69"/>
      <c r="Q250" s="69"/>
      <c r="R250" s="124"/>
      <c r="S250" s="123"/>
      <c r="T250" s="124"/>
      <c r="U250" s="75">
        <v>50000</v>
      </c>
      <c r="V250" s="674">
        <v>20474.05</v>
      </c>
      <c r="W250" s="75"/>
      <c r="X250" s="75">
        <v>50000</v>
      </c>
      <c r="Y250" s="834">
        <f t="shared" si="51"/>
        <v>12179.010000000002</v>
      </c>
      <c r="Z250" s="75"/>
      <c r="AA250" s="75">
        <v>100000</v>
      </c>
      <c r="AB250" s="75"/>
      <c r="AC250" s="75"/>
      <c r="AD250" s="75"/>
      <c r="AE250" s="592"/>
      <c r="AF250" s="347" t="s">
        <v>73</v>
      </c>
      <c r="AG250" s="75">
        <v>200000</v>
      </c>
      <c r="AH250" s="370">
        <v>200000</v>
      </c>
      <c r="AI250" s="75"/>
      <c r="AJ250" s="536">
        <f>20474.05+8933.68+2178.81+1066.52</f>
        <v>32653.06</v>
      </c>
      <c r="AK250" s="75"/>
      <c r="AL250" s="75"/>
      <c r="AM250" s="75"/>
      <c r="AN250" s="64" t="s">
        <v>39</v>
      </c>
      <c r="AO250" s="64" t="s">
        <v>1819</v>
      </c>
      <c r="AP250" s="538" t="s">
        <v>2209</v>
      </c>
      <c r="AQ250" s="68" t="s">
        <v>2210</v>
      </c>
      <c r="AR250" s="64"/>
      <c r="AS250" s="64"/>
      <c r="AT250" s="546" t="s">
        <v>1823</v>
      </c>
      <c r="AU250" s="877" t="s">
        <v>2207</v>
      </c>
      <c r="AV250" s="434" t="s">
        <v>1820</v>
      </c>
    </row>
    <row r="251" spans="1:60" ht="14.45" customHeight="1" outlineLevel="3" x14ac:dyDescent="0.25">
      <c r="A251" s="63" t="str">
        <f t="shared" ref="A251:A317" si="52">CONCATENATE(B251,".",C251,".",D251,".",E251,".",F251,".",G251)</f>
        <v>1.3.1.5.32.61</v>
      </c>
      <c r="B251" s="64">
        <v>1</v>
      </c>
      <c r="C251" s="64">
        <v>3</v>
      </c>
      <c r="D251" s="64">
        <v>1</v>
      </c>
      <c r="E251" s="64">
        <v>5</v>
      </c>
      <c r="F251" s="64">
        <v>32</v>
      </c>
      <c r="G251" s="64">
        <v>61</v>
      </c>
      <c r="H251" s="65"/>
      <c r="I251" s="65"/>
      <c r="J251" s="66"/>
      <c r="K251" s="137" t="s">
        <v>325</v>
      </c>
      <c r="L251" s="64"/>
      <c r="M251" s="64"/>
      <c r="N251" s="64"/>
      <c r="O251" s="64"/>
      <c r="P251" s="69"/>
      <c r="Q251" s="69"/>
      <c r="R251" s="124"/>
      <c r="S251" s="123"/>
      <c r="T251" s="124"/>
      <c r="U251" s="75"/>
      <c r="V251" s="674">
        <v>0</v>
      </c>
      <c r="W251" s="75"/>
      <c r="X251" s="75"/>
      <c r="Y251" s="834">
        <f t="shared" si="51"/>
        <v>0</v>
      </c>
      <c r="Z251" s="75"/>
      <c r="AA251" s="75"/>
      <c r="AB251" s="75"/>
      <c r="AC251" s="75"/>
      <c r="AD251" s="75"/>
      <c r="AE251" s="592"/>
      <c r="AF251" s="347" t="s">
        <v>73</v>
      </c>
      <c r="AG251" s="75">
        <v>0</v>
      </c>
      <c r="AH251" s="377">
        <v>0</v>
      </c>
      <c r="AI251" s="132"/>
      <c r="AJ251" s="132"/>
      <c r="AK251" s="132"/>
      <c r="AL251" s="132"/>
      <c r="AM251" s="132"/>
      <c r="AN251" s="64" t="s">
        <v>39</v>
      </c>
      <c r="AO251" s="64"/>
      <c r="AP251" s="64"/>
      <c r="AQ251" s="64"/>
      <c r="AR251" s="64"/>
      <c r="AS251" s="64"/>
      <c r="AT251" s="64"/>
      <c r="AU251" s="646"/>
      <c r="AV251" s="434"/>
    </row>
    <row r="252" spans="1:60" ht="69.599999999999994" customHeight="1" outlineLevel="3" x14ac:dyDescent="0.25">
      <c r="A252" s="63" t="str">
        <f t="shared" si="52"/>
        <v>1.3.1.5.33.61</v>
      </c>
      <c r="B252" s="64">
        <v>1</v>
      </c>
      <c r="C252" s="64">
        <v>3</v>
      </c>
      <c r="D252" s="64">
        <v>1</v>
      </c>
      <c r="E252" s="64">
        <v>5</v>
      </c>
      <c r="F252" s="64">
        <v>33</v>
      </c>
      <c r="G252" s="100">
        <v>61</v>
      </c>
      <c r="H252" s="65"/>
      <c r="I252" s="65"/>
      <c r="J252" s="66"/>
      <c r="K252" s="67" t="s">
        <v>326</v>
      </c>
      <c r="L252" s="64" t="s">
        <v>72</v>
      </c>
      <c r="M252" s="64" t="s">
        <v>279</v>
      </c>
      <c r="N252" s="64"/>
      <c r="O252" s="64"/>
      <c r="P252" s="69"/>
      <c r="Q252" s="69"/>
      <c r="R252" s="124"/>
      <c r="S252" s="123"/>
      <c r="T252" s="124"/>
      <c r="U252" s="75">
        <v>0</v>
      </c>
      <c r="V252" s="674">
        <v>0</v>
      </c>
      <c r="W252" s="75"/>
      <c r="X252" s="75">
        <v>0</v>
      </c>
      <c r="Y252" s="834">
        <f t="shared" si="51"/>
        <v>0</v>
      </c>
      <c r="Z252" s="75"/>
      <c r="AA252" s="75">
        <v>0</v>
      </c>
      <c r="AB252" s="75"/>
      <c r="AC252" s="75"/>
      <c r="AD252" s="75">
        <v>0</v>
      </c>
      <c r="AE252" s="592"/>
      <c r="AF252" s="347" t="s">
        <v>73</v>
      </c>
      <c r="AG252" s="75">
        <v>1750000</v>
      </c>
      <c r="AH252" s="377">
        <v>0</v>
      </c>
      <c r="AI252" s="132"/>
      <c r="AJ252" s="132"/>
      <c r="AK252" s="132"/>
      <c r="AL252" s="132"/>
      <c r="AM252" s="132"/>
      <c r="AN252" s="64" t="s">
        <v>39</v>
      </c>
      <c r="AO252" s="64"/>
      <c r="AP252" s="64"/>
      <c r="AQ252" s="64"/>
      <c r="AR252" s="64"/>
      <c r="AS252" s="64"/>
      <c r="AT252" s="64"/>
      <c r="AU252" s="646"/>
      <c r="AV252" s="335" t="s">
        <v>295</v>
      </c>
    </row>
    <row r="253" spans="1:60" ht="14.45" customHeight="1" outlineLevel="3" x14ac:dyDescent="0.25">
      <c r="A253" s="63" t="str">
        <f t="shared" si="52"/>
        <v>1.3.1.5.34.61</v>
      </c>
      <c r="B253" s="64">
        <v>1</v>
      </c>
      <c r="C253" s="64">
        <v>3</v>
      </c>
      <c r="D253" s="64">
        <v>1</v>
      </c>
      <c r="E253" s="64">
        <v>5</v>
      </c>
      <c r="F253" s="64">
        <v>34</v>
      </c>
      <c r="G253" s="64">
        <v>61</v>
      </c>
      <c r="H253" s="65"/>
      <c r="I253" s="65"/>
      <c r="J253" s="66"/>
      <c r="K253" s="67" t="s">
        <v>296</v>
      </c>
      <c r="L253" s="64"/>
      <c r="M253" s="64"/>
      <c r="N253" s="64"/>
      <c r="O253" s="64"/>
      <c r="P253" s="69"/>
      <c r="Q253" s="69"/>
      <c r="R253" s="124"/>
      <c r="S253" s="123"/>
      <c r="T253" s="124"/>
      <c r="U253" s="75">
        <v>50000</v>
      </c>
      <c r="V253" s="674">
        <v>0</v>
      </c>
      <c r="W253" s="75"/>
      <c r="X253" s="75">
        <v>50000</v>
      </c>
      <c r="Y253" s="834">
        <f t="shared" si="51"/>
        <v>0</v>
      </c>
      <c r="Z253" s="75"/>
      <c r="AA253" s="75">
        <v>100000</v>
      </c>
      <c r="AB253" s="75"/>
      <c r="AC253" s="75"/>
      <c r="AD253" s="75"/>
      <c r="AE253" s="592"/>
      <c r="AF253" s="347" t="s">
        <v>73</v>
      </c>
      <c r="AG253" s="75">
        <v>200000</v>
      </c>
      <c r="AH253" s="370">
        <v>200000</v>
      </c>
      <c r="AI253" s="75"/>
      <c r="AJ253" s="132"/>
      <c r="AK253" s="75"/>
      <c r="AL253" s="75"/>
      <c r="AM253" s="75"/>
      <c r="AN253" s="64" t="s">
        <v>39</v>
      </c>
      <c r="AO253" s="64"/>
      <c r="AP253" s="64"/>
      <c r="AQ253" s="68"/>
      <c r="AR253" s="64"/>
      <c r="AS253" s="64"/>
      <c r="AT253" s="64"/>
      <c r="AU253" s="860"/>
      <c r="AV253" s="68"/>
    </row>
    <row r="254" spans="1:60" ht="14.45" customHeight="1" outlineLevel="3" x14ac:dyDescent="0.25">
      <c r="A254" s="99" t="str">
        <f>CONCATENATE(B254,".",C254,".",D254,".",E254,".",F254,".",G254)</f>
        <v>1.3.1.5.36.61</v>
      </c>
      <c r="B254" s="100">
        <v>1</v>
      </c>
      <c r="C254" s="100">
        <v>3</v>
      </c>
      <c r="D254" s="100">
        <v>1</v>
      </c>
      <c r="E254" s="100">
        <v>5</v>
      </c>
      <c r="F254" s="100">
        <v>36</v>
      </c>
      <c r="G254" s="100">
        <v>61</v>
      </c>
      <c r="H254" s="65"/>
      <c r="I254" s="65"/>
      <c r="J254" s="66"/>
      <c r="K254" s="67" t="s">
        <v>298</v>
      </c>
      <c r="L254" s="64" t="s">
        <v>359</v>
      </c>
      <c r="M254" s="64" t="s">
        <v>299</v>
      </c>
      <c r="N254" s="64"/>
      <c r="O254" s="64"/>
      <c r="P254" s="69"/>
      <c r="Q254" s="69"/>
      <c r="R254" s="124"/>
      <c r="S254" s="123"/>
      <c r="T254" s="124"/>
      <c r="U254" s="75">
        <v>30000</v>
      </c>
      <c r="V254" s="674">
        <v>20000</v>
      </c>
      <c r="W254" s="75"/>
      <c r="X254" s="75">
        <v>30000</v>
      </c>
      <c r="Y254" s="834">
        <f t="shared" si="51"/>
        <v>10000</v>
      </c>
      <c r="Z254" s="75"/>
      <c r="AA254" s="75">
        <v>20000</v>
      </c>
      <c r="AB254" s="75"/>
      <c r="AC254" s="75"/>
      <c r="AD254" s="75"/>
      <c r="AE254" s="592"/>
      <c r="AF254" s="347"/>
      <c r="AG254" s="377">
        <v>0</v>
      </c>
      <c r="AH254" s="377">
        <v>80000</v>
      </c>
      <c r="AI254" s="75"/>
      <c r="AJ254" s="132">
        <f>20000+10000</f>
        <v>30000</v>
      </c>
      <c r="AK254" s="75"/>
      <c r="AL254" s="75"/>
      <c r="AM254" s="75"/>
      <c r="AN254" s="64" t="s">
        <v>282</v>
      </c>
      <c r="AO254" s="64" t="s">
        <v>1819</v>
      </c>
      <c r="AP254" s="64" t="s">
        <v>2025</v>
      </c>
      <c r="AQ254" s="64" t="s">
        <v>2026</v>
      </c>
      <c r="AR254" s="69">
        <v>44428</v>
      </c>
      <c r="AS254" s="69">
        <v>44977</v>
      </c>
      <c r="AT254" s="64" t="s">
        <v>1814</v>
      </c>
      <c r="AU254" s="877" t="s">
        <v>2094</v>
      </c>
      <c r="AV254" s="434" t="s">
        <v>2027</v>
      </c>
    </row>
    <row r="255" spans="1:60" s="107" customFormat="1" ht="69.75" customHeight="1" outlineLevel="1" x14ac:dyDescent="0.25">
      <c r="A255" s="80" t="str">
        <f t="shared" si="52"/>
        <v>1.3.1.6.0.0</v>
      </c>
      <c r="B255" s="81">
        <v>1</v>
      </c>
      <c r="C255" s="81">
        <v>3</v>
      </c>
      <c r="D255" s="81">
        <v>1</v>
      </c>
      <c r="E255" s="81">
        <v>6</v>
      </c>
      <c r="F255" s="81">
        <v>0</v>
      </c>
      <c r="G255" s="81">
        <v>0</v>
      </c>
      <c r="H255" s="114"/>
      <c r="I255" s="114"/>
      <c r="J255" s="1346" t="s">
        <v>340</v>
      </c>
      <c r="K255" s="1346"/>
      <c r="L255" s="81" t="s">
        <v>236</v>
      </c>
      <c r="M255" s="81" t="s">
        <v>240</v>
      </c>
      <c r="N255" s="81" t="s">
        <v>226</v>
      </c>
      <c r="O255" s="81" t="s">
        <v>241</v>
      </c>
      <c r="P255" s="870">
        <v>44571</v>
      </c>
      <c r="Q255" s="870">
        <v>44925</v>
      </c>
      <c r="R255" s="119">
        <v>0</v>
      </c>
      <c r="S255" s="114" t="s">
        <v>242</v>
      </c>
      <c r="T255" s="119">
        <f>+T256+T257</f>
        <v>429250</v>
      </c>
      <c r="U255" s="378">
        <f t="shared" ref="U255:AG255" si="53">SUM(U256:U283)</f>
        <v>7165891.4400000004</v>
      </c>
      <c r="V255" s="705">
        <f t="shared" si="53"/>
        <v>6328978.7599999998</v>
      </c>
      <c r="W255" s="378">
        <f t="shared" si="53"/>
        <v>858503</v>
      </c>
      <c r="X255" s="378">
        <f t="shared" si="53"/>
        <v>8175455.2199999997</v>
      </c>
      <c r="Y255" s="842">
        <f t="shared" si="53"/>
        <v>7185136.1900000004</v>
      </c>
      <c r="Z255" s="378">
        <f t="shared" si="53"/>
        <v>3750153</v>
      </c>
      <c r="AA255" s="378">
        <f t="shared" si="53"/>
        <v>9411788.5500000007</v>
      </c>
      <c r="AB255" s="378">
        <f t="shared" si="53"/>
        <v>2891650</v>
      </c>
      <c r="AC255" s="378">
        <f t="shared" si="53"/>
        <v>3750153</v>
      </c>
      <c r="AD255" s="378">
        <f t="shared" si="53"/>
        <v>9767538.5500000007</v>
      </c>
      <c r="AE255" s="378">
        <f t="shared" si="53"/>
        <v>0</v>
      </c>
      <c r="AF255" s="378">
        <f t="shared" si="53"/>
        <v>443935600.00000006</v>
      </c>
      <c r="AG255" s="378">
        <f t="shared" si="53"/>
        <v>12611486.666666666</v>
      </c>
      <c r="AH255" s="378">
        <f>SUM(AH256:AH283)</f>
        <v>31007750</v>
      </c>
      <c r="AI255" s="378">
        <f t="shared" ref="AI255" si="54">SUM(AI256:AI283)</f>
        <v>0</v>
      </c>
      <c r="AJ255" s="378">
        <f>SUM(AJ256:AJ283)</f>
        <v>13582129.9</v>
      </c>
      <c r="AK255" s="139"/>
      <c r="AL255" s="139"/>
      <c r="AM255" s="139"/>
      <c r="AN255" s="81" t="s">
        <v>243</v>
      </c>
      <c r="AO255" s="81"/>
      <c r="AP255" s="81"/>
      <c r="AQ255" s="412"/>
      <c r="AR255" s="81"/>
      <c r="AS255" s="474"/>
      <c r="AT255" s="81"/>
      <c r="AU255" s="663"/>
      <c r="AV255" s="436"/>
    </row>
    <row r="256" spans="1:60" ht="131.44999999999999" customHeight="1" outlineLevel="3" x14ac:dyDescent="0.25">
      <c r="A256" s="63" t="str">
        <f t="shared" si="52"/>
        <v>1.3.1.6.1.62</v>
      </c>
      <c r="B256" s="64">
        <v>1</v>
      </c>
      <c r="C256" s="64">
        <v>3</v>
      </c>
      <c r="D256" s="64">
        <v>1</v>
      </c>
      <c r="E256" s="64">
        <v>6</v>
      </c>
      <c r="F256" s="64">
        <v>1</v>
      </c>
      <c r="G256" s="64">
        <v>62</v>
      </c>
      <c r="H256" s="65"/>
      <c r="I256" s="65"/>
      <c r="J256" s="66"/>
      <c r="K256" s="65" t="s">
        <v>245</v>
      </c>
      <c r="L256" s="64" t="s">
        <v>246</v>
      </c>
      <c r="M256" s="64" t="s">
        <v>240</v>
      </c>
      <c r="N256" s="64" t="s">
        <v>247</v>
      </c>
      <c r="O256" s="64" t="s">
        <v>341</v>
      </c>
      <c r="P256" s="69"/>
      <c r="Q256" s="69"/>
      <c r="R256" s="126">
        <v>124000</v>
      </c>
      <c r="S256" s="123" t="s">
        <v>248</v>
      </c>
      <c r="T256" s="124">
        <f>+R256/4</f>
        <v>31000</v>
      </c>
      <c r="U256" s="75">
        <v>0</v>
      </c>
      <c r="V256" s="674">
        <v>0</v>
      </c>
      <c r="W256" s="75">
        <f>+R256/4</f>
        <v>31000</v>
      </c>
      <c r="X256" s="75">
        <v>0</v>
      </c>
      <c r="Y256" s="834">
        <f t="shared" ref="Y256:Y261" si="55">+AJ256-V256</f>
        <v>0</v>
      </c>
      <c r="Z256" s="75">
        <f>+R256/4</f>
        <v>31000</v>
      </c>
      <c r="AA256" s="75">
        <v>0</v>
      </c>
      <c r="AB256" s="75"/>
      <c r="AC256" s="75">
        <f>+R256/4</f>
        <v>31000</v>
      </c>
      <c r="AD256" s="75">
        <v>0</v>
      </c>
      <c r="AE256" s="592"/>
      <c r="AF256" s="347">
        <f>R256*19</f>
        <v>2356000</v>
      </c>
      <c r="AG256" s="75">
        <v>0</v>
      </c>
      <c r="AH256" s="370">
        <v>0</v>
      </c>
      <c r="AI256" s="75"/>
      <c r="AJ256" s="75"/>
      <c r="AK256" s="75"/>
      <c r="AL256" s="75"/>
      <c r="AM256" s="75"/>
      <c r="AN256" s="124" t="s">
        <v>39</v>
      </c>
      <c r="AO256" s="124"/>
      <c r="AP256" s="124"/>
      <c r="AQ256" s="415"/>
      <c r="AR256" s="124"/>
      <c r="AS256" s="479"/>
      <c r="AT256" s="124"/>
      <c r="AU256" s="664"/>
      <c r="AV256" s="335" t="s">
        <v>250</v>
      </c>
      <c r="AW256" s="140">
        <v>1500</v>
      </c>
      <c r="AX256" s="141"/>
      <c r="AY256" s="141"/>
      <c r="AZ256" s="142">
        <v>1500</v>
      </c>
      <c r="BA256" s="141"/>
      <c r="BB256" s="141"/>
      <c r="BC256" s="141"/>
      <c r="BD256" s="141"/>
      <c r="BE256" s="141"/>
      <c r="BF256" s="143"/>
      <c r="BG256" s="142">
        <f>AH256*19</f>
        <v>0</v>
      </c>
      <c r="BH256" s="144">
        <f>+((78*1500)+(68*1500)+(64*1500))</f>
        <v>315000</v>
      </c>
    </row>
    <row r="257" spans="1:48" ht="59.45" customHeight="1" outlineLevel="3" x14ac:dyDescent="0.25">
      <c r="A257" s="63" t="str">
        <f t="shared" si="52"/>
        <v>1.3.1.6.2.62</v>
      </c>
      <c r="B257" s="64">
        <v>1</v>
      </c>
      <c r="C257" s="64">
        <v>3</v>
      </c>
      <c r="D257" s="64">
        <v>1</v>
      </c>
      <c r="E257" s="64">
        <v>6</v>
      </c>
      <c r="F257" s="64">
        <v>2</v>
      </c>
      <c r="G257" s="64">
        <v>62</v>
      </c>
      <c r="H257" s="65"/>
      <c r="I257" s="65"/>
      <c r="J257" s="66"/>
      <c r="K257" s="65" t="s">
        <v>251</v>
      </c>
      <c r="L257" s="64" t="s">
        <v>246</v>
      </c>
      <c r="M257" s="64" t="s">
        <v>240</v>
      </c>
      <c r="N257" s="64" t="s">
        <v>252</v>
      </c>
      <c r="O257" s="64" t="s">
        <v>341</v>
      </c>
      <c r="P257" s="69"/>
      <c r="Q257" s="69"/>
      <c r="R257" s="126">
        <v>1593000</v>
      </c>
      <c r="S257" s="123" t="s">
        <v>248</v>
      </c>
      <c r="T257" s="124">
        <f>+R257/4</f>
        <v>398250</v>
      </c>
      <c r="U257" s="75">
        <v>0</v>
      </c>
      <c r="V257" s="674">
        <v>0</v>
      </c>
      <c r="W257" s="75">
        <f>+R257/4</f>
        <v>398250</v>
      </c>
      <c r="X257" s="75">
        <v>0</v>
      </c>
      <c r="Y257" s="834">
        <f t="shared" si="55"/>
        <v>0</v>
      </c>
      <c r="Z257" s="75">
        <f>+R257/4</f>
        <v>398250</v>
      </c>
      <c r="AA257" s="75">
        <v>0</v>
      </c>
      <c r="AB257" s="75"/>
      <c r="AC257" s="75">
        <f>+R257/4</f>
        <v>398250</v>
      </c>
      <c r="AD257" s="75">
        <v>0</v>
      </c>
      <c r="AE257" s="592"/>
      <c r="AF257" s="347">
        <f>+R257*252*1.1</f>
        <v>441579600.00000006</v>
      </c>
      <c r="AG257" s="75">
        <v>0</v>
      </c>
      <c r="AH257" s="370">
        <v>0</v>
      </c>
      <c r="AI257" s="75"/>
      <c r="AJ257" s="75"/>
      <c r="AK257" s="75"/>
      <c r="AL257" s="75"/>
      <c r="AM257" s="75"/>
      <c r="AN257" s="64" t="s">
        <v>39</v>
      </c>
      <c r="AO257" s="64"/>
      <c r="AP257" s="64"/>
      <c r="AQ257" s="189"/>
      <c r="AR257" s="64"/>
      <c r="AS257" s="476"/>
      <c r="AT257" s="64"/>
      <c r="AU257" s="646"/>
      <c r="AV257" s="335" t="s">
        <v>254</v>
      </c>
    </row>
    <row r="258" spans="1:48" ht="14.45" customHeight="1" outlineLevel="3" x14ac:dyDescent="0.25">
      <c r="A258" s="63" t="str">
        <f>CONCATENATE(B258,".",C258,".",D258,".",E258,".",F258,".",G258)</f>
        <v>1.3.1.6.3.62</v>
      </c>
      <c r="B258" s="64">
        <v>1</v>
      </c>
      <c r="C258" s="64">
        <v>3</v>
      </c>
      <c r="D258" s="64">
        <v>1</v>
      </c>
      <c r="E258" s="64">
        <v>6</v>
      </c>
      <c r="F258" s="64">
        <v>3</v>
      </c>
      <c r="G258" s="100">
        <v>62</v>
      </c>
      <c r="H258" s="65"/>
      <c r="I258" s="65"/>
      <c r="J258" s="66"/>
      <c r="K258" s="65" t="s">
        <v>1913</v>
      </c>
      <c r="L258" s="64" t="s">
        <v>246</v>
      </c>
      <c r="M258" s="64" t="s">
        <v>256</v>
      </c>
      <c r="N258" s="64" t="s">
        <v>257</v>
      </c>
      <c r="O258" s="64" t="s">
        <v>341</v>
      </c>
      <c r="P258" s="69"/>
      <c r="Q258" s="131"/>
      <c r="R258" s="126"/>
      <c r="S258" s="123" t="s">
        <v>258</v>
      </c>
      <c r="T258" s="124"/>
      <c r="U258" s="132">
        <v>1491650</v>
      </c>
      <c r="V258" s="674">
        <v>730600</v>
      </c>
      <c r="W258" s="75"/>
      <c r="X258" s="132">
        <v>2891650</v>
      </c>
      <c r="Y258" s="834">
        <f t="shared" si="55"/>
        <v>1874500</v>
      </c>
      <c r="Z258" s="79">
        <v>2891650</v>
      </c>
      <c r="AA258" s="132">
        <f>+(AH258-U258-X258)/2</f>
        <v>4591650</v>
      </c>
      <c r="AB258" s="79">
        <v>2891650</v>
      </c>
      <c r="AC258" s="127">
        <v>2891650</v>
      </c>
      <c r="AD258" s="132">
        <f>+AH258-U258-X258-AA258</f>
        <v>4591650</v>
      </c>
      <c r="AE258" s="596"/>
      <c r="AF258" s="347" t="s">
        <v>342</v>
      </c>
      <c r="AG258" s="75">
        <v>1233666.6666666667</v>
      </c>
      <c r="AH258" s="370">
        <v>13566600</v>
      </c>
      <c r="AI258" s="75"/>
      <c r="AJ258" s="75">
        <f>235900+136800+155900+202000+527500+648700+698300</f>
        <v>2605100</v>
      </c>
      <c r="AK258" s="75"/>
      <c r="AL258" s="75"/>
      <c r="AM258" s="75"/>
      <c r="AN258" s="64" t="s">
        <v>39</v>
      </c>
      <c r="AO258" s="64" t="s">
        <v>1839</v>
      </c>
      <c r="AP258" s="64" t="s">
        <v>649</v>
      </c>
      <c r="AQ258" s="533" t="s">
        <v>649</v>
      </c>
      <c r="AR258" s="554">
        <v>44562</v>
      </c>
      <c r="AS258" s="554">
        <v>44926</v>
      </c>
      <c r="AT258" s="64" t="s">
        <v>1814</v>
      </c>
      <c r="AU258" s="877" t="s">
        <v>2104</v>
      </c>
      <c r="AV258" s="561" t="s">
        <v>2095</v>
      </c>
    </row>
    <row r="259" spans="1:48" ht="29.1" customHeight="1" outlineLevel="3" x14ac:dyDescent="0.25">
      <c r="A259" s="63" t="str">
        <f t="shared" si="52"/>
        <v>1.3.1.6.5.62</v>
      </c>
      <c r="B259" s="64">
        <v>1</v>
      </c>
      <c r="C259" s="64">
        <v>3</v>
      </c>
      <c r="D259" s="64">
        <v>1</v>
      </c>
      <c r="E259" s="64">
        <v>6</v>
      </c>
      <c r="F259" s="64">
        <v>5</v>
      </c>
      <c r="G259" s="64">
        <v>62</v>
      </c>
      <c r="H259" s="65"/>
      <c r="I259" s="65"/>
      <c r="J259" s="66"/>
      <c r="K259" s="65" t="s">
        <v>259</v>
      </c>
      <c r="L259" s="64" t="s">
        <v>246</v>
      </c>
      <c r="M259" s="64" t="s">
        <v>240</v>
      </c>
      <c r="N259" s="64" t="s">
        <v>247</v>
      </c>
      <c r="O259" s="64" t="s">
        <v>341</v>
      </c>
      <c r="P259" s="69"/>
      <c r="Q259" s="69"/>
      <c r="R259" s="126">
        <v>124000</v>
      </c>
      <c r="S259" s="123" t="s">
        <v>343</v>
      </c>
      <c r="T259" s="124">
        <f t="shared" ref="T259:AC260" si="56">+$R259/4</f>
        <v>31000</v>
      </c>
      <c r="U259" s="75"/>
      <c r="V259" s="674">
        <v>0</v>
      </c>
      <c r="W259" s="75">
        <f t="shared" si="56"/>
        <v>31000</v>
      </c>
      <c r="X259" s="75"/>
      <c r="Y259" s="834">
        <f t="shared" si="55"/>
        <v>0</v>
      </c>
      <c r="Z259" s="75">
        <f t="shared" si="56"/>
        <v>31000</v>
      </c>
      <c r="AA259" s="75"/>
      <c r="AB259" s="75"/>
      <c r="AC259" s="75">
        <f t="shared" si="56"/>
        <v>31000</v>
      </c>
      <c r="AD259" s="75"/>
      <c r="AE259" s="592"/>
      <c r="AF259" s="348" t="s">
        <v>260</v>
      </c>
      <c r="AG259" s="129">
        <v>0</v>
      </c>
      <c r="AH259" s="377">
        <v>0</v>
      </c>
      <c r="AI259" s="132"/>
      <c r="AJ259" s="132"/>
      <c r="AK259" s="132"/>
      <c r="AL259" s="132"/>
      <c r="AM259" s="132"/>
      <c r="AN259" s="64" t="s">
        <v>39</v>
      </c>
      <c r="AO259" s="64"/>
      <c r="AP259" s="64"/>
      <c r="AQ259" s="189"/>
      <c r="AR259" s="64"/>
      <c r="AS259" s="476"/>
      <c r="AT259" s="64"/>
      <c r="AU259" s="646"/>
      <c r="AV259" s="335" t="s">
        <v>261</v>
      </c>
    </row>
    <row r="260" spans="1:48" ht="33" customHeight="1" outlineLevel="3" x14ac:dyDescent="0.25">
      <c r="A260" s="63" t="str">
        <f t="shared" si="52"/>
        <v>1.3.1.6.6.62</v>
      </c>
      <c r="B260" s="64">
        <v>1</v>
      </c>
      <c r="C260" s="64">
        <v>3</v>
      </c>
      <c r="D260" s="64">
        <v>1</v>
      </c>
      <c r="E260" s="64">
        <v>6</v>
      </c>
      <c r="F260" s="64">
        <v>6</v>
      </c>
      <c r="G260" s="64">
        <v>62</v>
      </c>
      <c r="H260" s="65"/>
      <c r="I260" s="65"/>
      <c r="J260" s="66"/>
      <c r="K260" s="65" t="s">
        <v>305</v>
      </c>
      <c r="L260" s="64" t="s">
        <v>246</v>
      </c>
      <c r="M260" s="64" t="s">
        <v>240</v>
      </c>
      <c r="N260" s="64" t="s">
        <v>257</v>
      </c>
      <c r="O260" s="64" t="s">
        <v>341</v>
      </c>
      <c r="P260" s="69"/>
      <c r="Q260" s="69"/>
      <c r="R260" s="126">
        <v>1593000</v>
      </c>
      <c r="S260" s="123" t="s">
        <v>248</v>
      </c>
      <c r="T260" s="124">
        <f t="shared" si="56"/>
        <v>398250</v>
      </c>
      <c r="U260" s="75"/>
      <c r="V260" s="674">
        <v>0</v>
      </c>
      <c r="W260" s="75">
        <f t="shared" si="56"/>
        <v>398250</v>
      </c>
      <c r="X260" s="75"/>
      <c r="Y260" s="834">
        <f t="shared" si="55"/>
        <v>0</v>
      </c>
      <c r="Z260" s="75">
        <f t="shared" si="56"/>
        <v>398250</v>
      </c>
      <c r="AA260" s="75"/>
      <c r="AB260" s="75"/>
      <c r="AC260" s="75">
        <f t="shared" si="56"/>
        <v>398250</v>
      </c>
      <c r="AD260" s="75"/>
      <c r="AE260" s="592"/>
      <c r="AF260" s="348" t="s">
        <v>260</v>
      </c>
      <c r="AG260" s="129">
        <v>0</v>
      </c>
      <c r="AH260" s="377">
        <v>0</v>
      </c>
      <c r="AI260" s="132"/>
      <c r="AJ260" s="132"/>
      <c r="AK260" s="132"/>
      <c r="AL260" s="132"/>
      <c r="AM260" s="132"/>
      <c r="AN260" s="64" t="s">
        <v>39</v>
      </c>
      <c r="AO260" s="64"/>
      <c r="AP260" s="64"/>
      <c r="AQ260" s="189"/>
      <c r="AR260" s="64"/>
      <c r="AS260" s="476"/>
      <c r="AT260" s="64"/>
      <c r="AU260" s="646"/>
      <c r="AV260" s="335" t="s">
        <v>261</v>
      </c>
    </row>
    <row r="261" spans="1:48" ht="27" customHeight="1" outlineLevel="3" x14ac:dyDescent="0.25">
      <c r="A261" s="63" t="str">
        <f t="shared" si="52"/>
        <v>1.3.1.6.7.62</v>
      </c>
      <c r="B261" s="64">
        <v>1</v>
      </c>
      <c r="C261" s="64">
        <v>3</v>
      </c>
      <c r="D261" s="64">
        <v>1</v>
      </c>
      <c r="E261" s="64">
        <v>6</v>
      </c>
      <c r="F261" s="64">
        <v>7</v>
      </c>
      <c r="G261" s="64">
        <v>62</v>
      </c>
      <c r="H261" s="65"/>
      <c r="I261" s="65"/>
      <c r="J261" s="66"/>
      <c r="K261" s="65" t="s">
        <v>263</v>
      </c>
      <c r="L261" s="64" t="s">
        <v>264</v>
      </c>
      <c r="M261" s="64" t="s">
        <v>76</v>
      </c>
      <c r="N261" s="64" t="s">
        <v>265</v>
      </c>
      <c r="O261" s="64" t="s">
        <v>266</v>
      </c>
      <c r="P261" s="69"/>
      <c r="Q261" s="69"/>
      <c r="R261" s="124"/>
      <c r="S261" s="123"/>
      <c r="T261" s="124"/>
      <c r="U261" s="75"/>
      <c r="V261" s="674">
        <v>0</v>
      </c>
      <c r="W261" s="75"/>
      <c r="X261" s="75"/>
      <c r="Y261" s="834">
        <f t="shared" si="55"/>
        <v>0</v>
      </c>
      <c r="Z261" s="75"/>
      <c r="AA261" s="75"/>
      <c r="AB261" s="75"/>
      <c r="AC261" s="75"/>
      <c r="AD261" s="75">
        <f>+AH261</f>
        <v>175750</v>
      </c>
      <c r="AE261" s="592"/>
      <c r="AF261" s="347" t="s">
        <v>144</v>
      </c>
      <c r="AG261" s="75">
        <v>175750</v>
      </c>
      <c r="AH261" s="377">
        <f>+((10*500)+(35*450)*22)/2</f>
        <v>175750</v>
      </c>
      <c r="AI261" s="132"/>
      <c r="AJ261" s="132"/>
      <c r="AK261" s="132"/>
      <c r="AL261" s="132"/>
      <c r="AM261" s="132"/>
      <c r="AN261" s="64" t="s">
        <v>181</v>
      </c>
      <c r="AO261" s="165"/>
      <c r="AP261" s="165"/>
      <c r="AQ261" s="413"/>
      <c r="AR261" s="64"/>
      <c r="AS261" s="475"/>
      <c r="AT261" s="64"/>
      <c r="AU261" s="646"/>
      <c r="AV261" s="432" t="s">
        <v>268</v>
      </c>
    </row>
    <row r="262" spans="1:48" ht="27" customHeight="1" outlineLevel="3" x14ac:dyDescent="0.25">
      <c r="A262" s="63" t="str">
        <f t="shared" si="52"/>
        <v>1.3.1.6.8.62</v>
      </c>
      <c r="B262" s="64">
        <v>1</v>
      </c>
      <c r="C262" s="64">
        <v>3</v>
      </c>
      <c r="D262" s="64">
        <v>1</v>
      </c>
      <c r="E262" s="64">
        <v>6</v>
      </c>
      <c r="F262" s="64">
        <v>8</v>
      </c>
      <c r="G262" s="64">
        <v>62</v>
      </c>
      <c r="H262" s="65"/>
      <c r="I262" s="65"/>
      <c r="J262" s="66"/>
      <c r="K262" s="65" t="s">
        <v>2024</v>
      </c>
      <c r="L262" s="64"/>
      <c r="M262" s="64"/>
      <c r="N262" s="64"/>
      <c r="O262" s="64"/>
      <c r="P262" s="69"/>
      <c r="Q262" s="69"/>
      <c r="R262" s="124"/>
      <c r="S262" s="123"/>
      <c r="T262" s="124"/>
      <c r="U262" s="75"/>
      <c r="V262" s="674"/>
      <c r="W262" s="75"/>
      <c r="X262" s="75"/>
      <c r="Y262" s="834"/>
      <c r="Z262" s="75"/>
      <c r="AA262" s="75"/>
      <c r="AB262" s="75"/>
      <c r="AC262" s="75"/>
      <c r="AD262" s="75"/>
      <c r="AE262" s="592"/>
      <c r="AF262" s="347"/>
      <c r="AG262" s="75"/>
      <c r="AH262" s="377"/>
      <c r="AI262" s="132"/>
      <c r="AJ262" s="75">
        <v>68014.95</v>
      </c>
      <c r="AK262" s="132"/>
      <c r="AL262" s="132"/>
      <c r="AM262" s="132"/>
      <c r="AN262" s="136" t="s">
        <v>39</v>
      </c>
      <c r="AO262" s="165" t="s">
        <v>1819</v>
      </c>
      <c r="AP262" s="165" t="s">
        <v>2190</v>
      </c>
      <c r="AQ262" s="413" t="s">
        <v>2191</v>
      </c>
      <c r="AR262" s="69">
        <v>44603</v>
      </c>
      <c r="AS262" s="562">
        <v>44631</v>
      </c>
      <c r="AT262" s="69">
        <v>44603</v>
      </c>
      <c r="AU262" s="879">
        <v>1163</v>
      </c>
      <c r="AV262" s="432"/>
    </row>
    <row r="263" spans="1:48" ht="51.6" customHeight="1" outlineLevel="3" x14ac:dyDescent="0.25">
      <c r="A263" s="63" t="str">
        <f t="shared" si="52"/>
        <v>1.3.1.6.10.62</v>
      </c>
      <c r="B263" s="64">
        <v>1</v>
      </c>
      <c r="C263" s="64">
        <v>3</v>
      </c>
      <c r="D263" s="64">
        <v>1</v>
      </c>
      <c r="E263" s="64">
        <v>6</v>
      </c>
      <c r="F263" s="64">
        <v>10</v>
      </c>
      <c r="G263" s="64">
        <v>62</v>
      </c>
      <c r="H263" s="65"/>
      <c r="I263" s="65"/>
      <c r="J263" s="66"/>
      <c r="K263" s="67" t="s">
        <v>1722</v>
      </c>
      <c r="L263" s="68" t="s">
        <v>270</v>
      </c>
      <c r="M263" s="64" t="s">
        <v>279</v>
      </c>
      <c r="N263" s="64"/>
      <c r="O263" s="64"/>
      <c r="P263" s="69"/>
      <c r="Q263" s="69"/>
      <c r="R263" s="124"/>
      <c r="S263" s="123"/>
      <c r="T263" s="124"/>
      <c r="U263" s="75">
        <f>+AH263/2</f>
        <v>218750</v>
      </c>
      <c r="V263" s="674">
        <v>0</v>
      </c>
      <c r="W263" s="75"/>
      <c r="X263" s="75">
        <f>+AH263/2</f>
        <v>218750</v>
      </c>
      <c r="Y263" s="834">
        <f t="shared" ref="Y263:Y283" si="57">+AJ263-V263</f>
        <v>0</v>
      </c>
      <c r="Z263" s="75"/>
      <c r="AA263" s="75">
        <v>0</v>
      </c>
      <c r="AB263" s="75"/>
      <c r="AC263" s="75"/>
      <c r="AD263" s="75">
        <v>0</v>
      </c>
      <c r="AE263" s="592"/>
      <c r="AF263" s="347" t="s">
        <v>272</v>
      </c>
      <c r="AG263" s="75">
        <v>437500</v>
      </c>
      <c r="AH263" s="370">
        <v>437500</v>
      </c>
      <c r="AI263" s="75"/>
      <c r="AJ263" s="75"/>
      <c r="AK263" s="75"/>
      <c r="AL263" s="75"/>
      <c r="AM263" s="75"/>
      <c r="AN263" s="64" t="s">
        <v>39</v>
      </c>
      <c r="AO263" s="64"/>
      <c r="AP263" s="64"/>
      <c r="AQ263" s="189"/>
      <c r="AR263" s="64"/>
      <c r="AS263" s="476"/>
      <c r="AT263" s="64"/>
      <c r="AU263" s="646"/>
      <c r="AV263" s="335" t="s">
        <v>273</v>
      </c>
    </row>
    <row r="264" spans="1:48" ht="14.45" customHeight="1" outlineLevel="3" x14ac:dyDescent="0.25">
      <c r="A264" s="63" t="str">
        <f t="shared" si="52"/>
        <v>1.3.1.6.11.62</v>
      </c>
      <c r="B264" s="64">
        <v>1</v>
      </c>
      <c r="C264" s="64">
        <v>3</v>
      </c>
      <c r="D264" s="64">
        <v>1</v>
      </c>
      <c r="E264" s="64">
        <v>6</v>
      </c>
      <c r="F264" s="64">
        <v>11</v>
      </c>
      <c r="G264" s="64">
        <v>62</v>
      </c>
      <c r="H264" s="65"/>
      <c r="I264" s="65"/>
      <c r="J264" s="66"/>
      <c r="K264" s="556" t="s">
        <v>344</v>
      </c>
      <c r="L264" s="64"/>
      <c r="M264" s="64"/>
      <c r="N264" s="64"/>
      <c r="O264" s="64"/>
      <c r="P264" s="69"/>
      <c r="Q264" s="69"/>
      <c r="R264" s="124"/>
      <c r="S264" s="123"/>
      <c r="T264" s="124"/>
      <c r="U264" s="75"/>
      <c r="V264" s="674">
        <v>0</v>
      </c>
      <c r="W264" s="75"/>
      <c r="X264" s="75"/>
      <c r="Y264" s="834">
        <f t="shared" si="57"/>
        <v>0</v>
      </c>
      <c r="Z264" s="75"/>
      <c r="AA264" s="75"/>
      <c r="AB264" s="75"/>
      <c r="AC264" s="75"/>
      <c r="AD264" s="75"/>
      <c r="AE264" s="592"/>
      <c r="AF264" s="347" t="s">
        <v>345</v>
      </c>
      <c r="AG264" s="75">
        <v>0</v>
      </c>
      <c r="AH264" s="377">
        <v>0</v>
      </c>
      <c r="AI264" s="132"/>
      <c r="AJ264" s="132"/>
      <c r="AK264" s="132"/>
      <c r="AL264" s="132"/>
      <c r="AM264" s="132"/>
      <c r="AN264" s="64" t="s">
        <v>39</v>
      </c>
      <c r="AO264" s="64"/>
      <c r="AP264" s="64"/>
      <c r="AQ264" s="189"/>
      <c r="AR264" s="64"/>
      <c r="AS264" s="476"/>
      <c r="AT264" s="64"/>
      <c r="AU264" s="646"/>
      <c r="AV264" s="433"/>
    </row>
    <row r="265" spans="1:48" ht="14.45" customHeight="1" outlineLevel="3" x14ac:dyDescent="0.25">
      <c r="A265" s="63" t="str">
        <f t="shared" si="52"/>
        <v>1.3.1.6.12.62</v>
      </c>
      <c r="B265" s="64">
        <v>1</v>
      </c>
      <c r="C265" s="64">
        <v>3</v>
      </c>
      <c r="D265" s="64">
        <v>1</v>
      </c>
      <c r="E265" s="64">
        <v>6</v>
      </c>
      <c r="F265" s="64">
        <v>12</v>
      </c>
      <c r="G265" s="100">
        <v>62</v>
      </c>
      <c r="H265" s="65"/>
      <c r="I265" s="65"/>
      <c r="J265" s="66"/>
      <c r="K265" s="86" t="s">
        <v>1723</v>
      </c>
      <c r="L265" s="64" t="s">
        <v>72</v>
      </c>
      <c r="M265" s="64" t="s">
        <v>267</v>
      </c>
      <c r="N265" s="64" t="s">
        <v>265</v>
      </c>
      <c r="O265" s="64" t="s">
        <v>275</v>
      </c>
      <c r="P265" s="69"/>
      <c r="Q265" s="69"/>
      <c r="R265" s="124">
        <v>12</v>
      </c>
      <c r="S265" s="123"/>
      <c r="T265" s="124">
        <v>3</v>
      </c>
      <c r="U265" s="75">
        <v>5030491.4400000004</v>
      </c>
      <c r="V265" s="674">
        <v>5380797.6600000001</v>
      </c>
      <c r="W265" s="75">
        <v>3</v>
      </c>
      <c r="X265" s="78">
        <v>4710055.22</v>
      </c>
      <c r="Y265" s="834">
        <f t="shared" si="57"/>
        <v>5270811</v>
      </c>
      <c r="Z265" s="75">
        <v>3</v>
      </c>
      <c r="AA265" s="78">
        <v>4700138.55</v>
      </c>
      <c r="AB265" s="75"/>
      <c r="AC265" s="75">
        <v>3</v>
      </c>
      <c r="AD265" s="78">
        <v>4900138.55</v>
      </c>
      <c r="AE265" s="592"/>
      <c r="AF265" s="259" t="s">
        <v>309</v>
      </c>
      <c r="AG265" s="75">
        <v>8094570</v>
      </c>
      <c r="AH265" s="377">
        <v>15642900</v>
      </c>
      <c r="AI265" s="132"/>
      <c r="AJ265" s="132">
        <f>138348+1661323.16+1771540.4+27669.6+1781916.5+1701213.5+1744447.25+1825150.25</f>
        <v>10651608.66</v>
      </c>
      <c r="AK265" s="132"/>
      <c r="AL265" s="132"/>
      <c r="AM265" s="132"/>
      <c r="AN265" s="64" t="s">
        <v>39</v>
      </c>
      <c r="AO265" s="165" t="s">
        <v>144</v>
      </c>
      <c r="AP265" s="557" t="s">
        <v>649</v>
      </c>
      <c r="AQ265" s="557" t="s">
        <v>649</v>
      </c>
      <c r="AR265" s="558">
        <v>44562</v>
      </c>
      <c r="AS265" s="559">
        <v>44926</v>
      </c>
      <c r="AT265" s="64" t="s">
        <v>1814</v>
      </c>
      <c r="AU265" s="877" t="s">
        <v>2065</v>
      </c>
      <c r="AV265" s="539" t="s">
        <v>2066</v>
      </c>
    </row>
    <row r="266" spans="1:48" ht="14.45" customHeight="1" outlineLevel="3" x14ac:dyDescent="0.25">
      <c r="A266" s="63" t="str">
        <f t="shared" si="52"/>
        <v>1.3.1.6.14.62</v>
      </c>
      <c r="B266" s="64">
        <v>1</v>
      </c>
      <c r="C266" s="64">
        <v>3</v>
      </c>
      <c r="D266" s="64">
        <v>1</v>
      </c>
      <c r="E266" s="64">
        <v>6</v>
      </c>
      <c r="F266" s="64">
        <v>14</v>
      </c>
      <c r="G266" s="64">
        <v>62</v>
      </c>
      <c r="H266" s="65"/>
      <c r="I266" s="65"/>
      <c r="J266" s="66"/>
      <c r="K266" s="86" t="s">
        <v>346</v>
      </c>
      <c r="L266" s="64" t="s">
        <v>72</v>
      </c>
      <c r="M266" s="64" t="s">
        <v>267</v>
      </c>
      <c r="N266" s="64" t="s">
        <v>337</v>
      </c>
      <c r="O266" s="64" t="s">
        <v>275</v>
      </c>
      <c r="P266" s="69"/>
      <c r="Q266" s="69"/>
      <c r="R266" s="124"/>
      <c r="S266" s="123"/>
      <c r="T266" s="124"/>
      <c r="U266" s="75"/>
      <c r="V266" s="674">
        <v>0</v>
      </c>
      <c r="W266" s="75"/>
      <c r="X266" s="75"/>
      <c r="Y266" s="834">
        <f t="shared" si="57"/>
        <v>0</v>
      </c>
      <c r="Z266" s="75"/>
      <c r="AA266" s="75"/>
      <c r="AB266" s="75"/>
      <c r="AC266" s="75"/>
      <c r="AD266" s="75"/>
      <c r="AE266" s="592"/>
      <c r="AF266" s="347" t="s">
        <v>73</v>
      </c>
      <c r="AG266" s="75">
        <v>0</v>
      </c>
      <c r="AH266" s="377">
        <v>0</v>
      </c>
      <c r="AI266" s="132"/>
      <c r="AJ266" s="132"/>
      <c r="AK266" s="132"/>
      <c r="AL266" s="132"/>
      <c r="AM266" s="132"/>
      <c r="AN266" s="64" t="s">
        <v>39</v>
      </c>
      <c r="AO266" s="165"/>
      <c r="AP266" s="64"/>
      <c r="AQ266" s="189"/>
      <c r="AR266" s="64"/>
      <c r="AS266" s="476"/>
      <c r="AT266" s="64"/>
      <c r="AU266" s="646"/>
      <c r="AV266" s="433"/>
    </row>
    <row r="267" spans="1:48" ht="14.25" customHeight="1" outlineLevel="3" x14ac:dyDescent="0.25">
      <c r="A267" s="63" t="str">
        <f t="shared" si="52"/>
        <v>1.3.1.6.15.62</v>
      </c>
      <c r="B267" s="64">
        <v>1</v>
      </c>
      <c r="C267" s="64">
        <v>3</v>
      </c>
      <c r="D267" s="64">
        <v>1</v>
      </c>
      <c r="E267" s="64">
        <v>6</v>
      </c>
      <c r="F267" s="64">
        <v>15</v>
      </c>
      <c r="G267" s="64">
        <v>62</v>
      </c>
      <c r="H267" s="65"/>
      <c r="I267" s="65"/>
      <c r="J267" s="66"/>
      <c r="K267" s="86" t="s">
        <v>276</v>
      </c>
      <c r="L267" s="64" t="s">
        <v>72</v>
      </c>
      <c r="M267" s="64" t="s">
        <v>271</v>
      </c>
      <c r="N267" s="64" t="s">
        <v>307</v>
      </c>
      <c r="O267" s="64" t="s">
        <v>277</v>
      </c>
      <c r="P267" s="69"/>
      <c r="Q267" s="69"/>
      <c r="R267" s="124"/>
      <c r="S267" s="123"/>
      <c r="T267" s="124"/>
      <c r="U267" s="75">
        <v>125000</v>
      </c>
      <c r="V267" s="674">
        <v>125904.92</v>
      </c>
      <c r="W267" s="75"/>
      <c r="X267" s="75">
        <v>125000</v>
      </c>
      <c r="Y267" s="834">
        <f t="shared" si="57"/>
        <v>0</v>
      </c>
      <c r="Z267" s="75"/>
      <c r="AA267" s="75"/>
      <c r="AB267" s="75"/>
      <c r="AC267" s="75"/>
      <c r="AD267" s="75"/>
      <c r="AE267" s="592"/>
      <c r="AF267" s="347" t="s">
        <v>278</v>
      </c>
      <c r="AG267" s="75">
        <v>250000</v>
      </c>
      <c r="AH267" s="375">
        <v>350000</v>
      </c>
      <c r="AI267" s="129"/>
      <c r="AJ267" s="129">
        <v>125904.92</v>
      </c>
      <c r="AK267" s="129"/>
      <c r="AL267" s="129"/>
      <c r="AM267" s="129"/>
      <c r="AN267" s="189" t="s">
        <v>39</v>
      </c>
      <c r="AO267" s="533" t="s">
        <v>1819</v>
      </c>
      <c r="AP267" s="533" t="s">
        <v>1831</v>
      </c>
      <c r="AQ267" s="538" t="s">
        <v>1830</v>
      </c>
      <c r="AR267" s="533"/>
      <c r="AS267" s="533"/>
      <c r="AT267" s="546" t="s">
        <v>1832</v>
      </c>
      <c r="AU267" s="646">
        <v>125</v>
      </c>
      <c r="AV267" s="538" t="s">
        <v>1827</v>
      </c>
    </row>
    <row r="268" spans="1:48" ht="14.45" customHeight="1" outlineLevel="3" x14ac:dyDescent="0.25">
      <c r="A268" s="63" t="str">
        <f t="shared" si="52"/>
        <v>1.3.1.6.16.62</v>
      </c>
      <c r="B268" s="64">
        <v>1</v>
      </c>
      <c r="C268" s="64">
        <v>3</v>
      </c>
      <c r="D268" s="64">
        <v>1</v>
      </c>
      <c r="E268" s="64">
        <v>6</v>
      </c>
      <c r="F268" s="64">
        <v>16</v>
      </c>
      <c r="G268" s="64">
        <v>62</v>
      </c>
      <c r="H268" s="65"/>
      <c r="I268" s="65"/>
      <c r="J268" s="66"/>
      <c r="K268" s="86" t="s">
        <v>1894</v>
      </c>
      <c r="L268" s="64" t="s">
        <v>72</v>
      </c>
      <c r="M268" s="64" t="s">
        <v>279</v>
      </c>
      <c r="N268" s="64" t="s">
        <v>307</v>
      </c>
      <c r="O268" s="68" t="s">
        <v>277</v>
      </c>
      <c r="P268" s="69"/>
      <c r="Q268" s="69"/>
      <c r="R268" s="124"/>
      <c r="S268" s="123"/>
      <c r="T268" s="124"/>
      <c r="U268" s="75">
        <v>100000</v>
      </c>
      <c r="V268" s="674">
        <v>51202.130000000005</v>
      </c>
      <c r="W268" s="75"/>
      <c r="X268" s="75">
        <v>100000</v>
      </c>
      <c r="Y268" s="834">
        <f t="shared" si="57"/>
        <v>17646.190000000002</v>
      </c>
      <c r="Z268" s="75"/>
      <c r="AA268" s="75"/>
      <c r="AB268" s="75"/>
      <c r="AC268" s="75"/>
      <c r="AD268" s="75"/>
      <c r="AE268" s="592"/>
      <c r="AF268" s="259" t="s">
        <v>279</v>
      </c>
      <c r="AG268" s="75">
        <v>200000</v>
      </c>
      <c r="AH268" s="377">
        <v>200000</v>
      </c>
      <c r="AI268" s="132"/>
      <c r="AJ268" s="536">
        <f>8084.68+8344.29+7349.71+27423.45+17646.19</f>
        <v>68848.320000000007</v>
      </c>
      <c r="AK268" s="132"/>
      <c r="AL268" s="132"/>
      <c r="AM268" s="132"/>
      <c r="AN268" s="64" t="s">
        <v>39</v>
      </c>
      <c r="AO268" s="64" t="s">
        <v>1819</v>
      </c>
      <c r="AP268" s="68" t="s">
        <v>2110</v>
      </c>
      <c r="AQ268" s="68" t="s">
        <v>2111</v>
      </c>
      <c r="AR268" s="544" t="s">
        <v>2108</v>
      </c>
      <c r="AS268" s="544" t="s">
        <v>2109</v>
      </c>
      <c r="AT268" s="460"/>
      <c r="AU268" s="891" t="s">
        <v>2248</v>
      </c>
      <c r="AV268" s="538" t="s">
        <v>2019</v>
      </c>
    </row>
    <row r="269" spans="1:48" ht="14.45" customHeight="1" outlineLevel="3" x14ac:dyDescent="0.25">
      <c r="A269" s="63" t="str">
        <f t="shared" si="52"/>
        <v>1.3.1.6.17.62</v>
      </c>
      <c r="B269" s="64">
        <v>1</v>
      </c>
      <c r="C269" s="64">
        <v>3</v>
      </c>
      <c r="D269" s="64">
        <v>1</v>
      </c>
      <c r="E269" s="64">
        <v>6</v>
      </c>
      <c r="F269" s="64">
        <v>17</v>
      </c>
      <c r="G269" s="64">
        <v>62</v>
      </c>
      <c r="H269" s="65"/>
      <c r="I269" s="65"/>
      <c r="J269" s="66"/>
      <c r="K269" s="86" t="s">
        <v>347</v>
      </c>
      <c r="L269" s="64" t="s">
        <v>72</v>
      </c>
      <c r="M269" s="64" t="s">
        <v>271</v>
      </c>
      <c r="N269" s="64" t="s">
        <v>307</v>
      </c>
      <c r="O269" s="64" t="s">
        <v>281</v>
      </c>
      <c r="P269" s="69"/>
      <c r="Q269" s="69"/>
      <c r="R269" s="124"/>
      <c r="S269" s="123"/>
      <c r="T269" s="124"/>
      <c r="U269" s="75"/>
      <c r="V269" s="674">
        <v>0</v>
      </c>
      <c r="W269" s="75"/>
      <c r="X269" s="75"/>
      <c r="Y269" s="834">
        <f t="shared" si="57"/>
        <v>0</v>
      </c>
      <c r="Z269" s="75"/>
      <c r="AA269" s="75"/>
      <c r="AB269" s="75"/>
      <c r="AC269" s="75"/>
      <c r="AD269" s="75"/>
      <c r="AE269" s="592"/>
      <c r="AF269" s="347" t="s">
        <v>166</v>
      </c>
      <c r="AG269" s="75">
        <v>0</v>
      </c>
      <c r="AH269" s="377">
        <v>0</v>
      </c>
      <c r="AI269" s="132"/>
      <c r="AJ269" s="132"/>
      <c r="AK269" s="132"/>
      <c r="AL269" s="132"/>
      <c r="AM269" s="132"/>
      <c r="AN269" s="64" t="s">
        <v>39</v>
      </c>
      <c r="AO269" s="64"/>
      <c r="AP269" s="64"/>
      <c r="AQ269" s="416"/>
      <c r="AR269" s="245"/>
      <c r="AS269" s="480"/>
      <c r="AT269" s="64"/>
      <c r="AU269" s="646"/>
      <c r="AV269" s="541"/>
    </row>
    <row r="270" spans="1:48" ht="29.1" customHeight="1" outlineLevel="3" x14ac:dyDescent="0.25">
      <c r="A270" s="63" t="str">
        <f t="shared" si="52"/>
        <v>1.3.1.6.18.62</v>
      </c>
      <c r="B270" s="64">
        <v>1</v>
      </c>
      <c r="C270" s="64">
        <v>3</v>
      </c>
      <c r="D270" s="64">
        <v>1</v>
      </c>
      <c r="E270" s="64">
        <v>6</v>
      </c>
      <c r="F270" s="64">
        <v>18</v>
      </c>
      <c r="G270" s="64">
        <v>62</v>
      </c>
      <c r="H270" s="65"/>
      <c r="I270" s="65"/>
      <c r="J270" s="66"/>
      <c r="K270" s="86" t="s">
        <v>348</v>
      </c>
      <c r="L270" s="64" t="s">
        <v>72</v>
      </c>
      <c r="M270" s="64" t="s">
        <v>271</v>
      </c>
      <c r="N270" s="64" t="s">
        <v>307</v>
      </c>
      <c r="O270" s="64" t="s">
        <v>281</v>
      </c>
      <c r="P270" s="69"/>
      <c r="Q270" s="69"/>
      <c r="R270" s="124"/>
      <c r="S270" s="123"/>
      <c r="T270" s="124"/>
      <c r="U270" s="75"/>
      <c r="V270" s="674">
        <v>0</v>
      </c>
      <c r="W270" s="75"/>
      <c r="X270" s="75"/>
      <c r="Y270" s="834">
        <f t="shared" si="57"/>
        <v>0</v>
      </c>
      <c r="Z270" s="75"/>
      <c r="AA270" s="75"/>
      <c r="AB270" s="75"/>
      <c r="AC270" s="75"/>
      <c r="AD270" s="75"/>
      <c r="AE270" s="592"/>
      <c r="AF270" s="347" t="s">
        <v>166</v>
      </c>
      <c r="AG270" s="75">
        <v>0</v>
      </c>
      <c r="AH270" s="377">
        <v>0</v>
      </c>
      <c r="AI270" s="132"/>
      <c r="AJ270" s="132"/>
      <c r="AK270" s="132"/>
      <c r="AL270" s="132"/>
      <c r="AM270" s="132"/>
      <c r="AN270" s="64" t="s">
        <v>39</v>
      </c>
      <c r="AO270" s="64"/>
      <c r="AP270" s="64"/>
      <c r="AQ270" s="189"/>
      <c r="AR270" s="64"/>
      <c r="AS270" s="476"/>
      <c r="AT270" s="64"/>
      <c r="AU270" s="646"/>
      <c r="AV270" s="433"/>
    </row>
    <row r="271" spans="1:48" ht="14.45" customHeight="1" outlineLevel="3" x14ac:dyDescent="0.25">
      <c r="A271" s="63" t="str">
        <f t="shared" si="52"/>
        <v>1.3.1.6.19.62</v>
      </c>
      <c r="B271" s="64">
        <v>1</v>
      </c>
      <c r="C271" s="64">
        <v>3</v>
      </c>
      <c r="D271" s="64">
        <v>1</v>
      </c>
      <c r="E271" s="64">
        <v>6</v>
      </c>
      <c r="F271" s="64">
        <v>19</v>
      </c>
      <c r="G271" s="64">
        <v>62</v>
      </c>
      <c r="H271" s="65"/>
      <c r="I271" s="65"/>
      <c r="J271" s="66"/>
      <c r="K271" s="86" t="s">
        <v>349</v>
      </c>
      <c r="L271" s="64" t="s">
        <v>72</v>
      </c>
      <c r="M271" s="64" t="s">
        <v>271</v>
      </c>
      <c r="N271" s="64" t="s">
        <v>307</v>
      </c>
      <c r="O271" s="64" t="s">
        <v>281</v>
      </c>
      <c r="P271" s="69"/>
      <c r="Q271" s="69"/>
      <c r="R271" s="124"/>
      <c r="S271" s="123"/>
      <c r="T271" s="124"/>
      <c r="U271" s="75"/>
      <c r="V271" s="674">
        <v>0</v>
      </c>
      <c r="W271" s="75"/>
      <c r="X271" s="75"/>
      <c r="Y271" s="834">
        <f t="shared" si="57"/>
        <v>0</v>
      </c>
      <c r="Z271" s="75"/>
      <c r="AA271" s="75"/>
      <c r="AB271" s="75"/>
      <c r="AC271" s="75"/>
      <c r="AD271" s="75"/>
      <c r="AE271" s="592"/>
      <c r="AF271" s="347" t="s">
        <v>166</v>
      </c>
      <c r="AG271" s="75">
        <v>0</v>
      </c>
      <c r="AH271" s="377">
        <v>0</v>
      </c>
      <c r="AI271" s="132"/>
      <c r="AJ271" s="132"/>
      <c r="AK271" s="132"/>
      <c r="AL271" s="132"/>
      <c r="AM271" s="132"/>
      <c r="AN271" s="64" t="s">
        <v>39</v>
      </c>
      <c r="AO271" s="64"/>
      <c r="AP271" s="64"/>
      <c r="AQ271" s="189"/>
      <c r="AR271" s="64"/>
      <c r="AS271" s="476"/>
      <c r="AT271" s="64"/>
      <c r="AU271" s="646"/>
      <c r="AV271" s="433"/>
    </row>
    <row r="272" spans="1:48" ht="14.45" customHeight="1" outlineLevel="3" x14ac:dyDescent="0.25">
      <c r="A272" s="63" t="str">
        <f t="shared" si="52"/>
        <v>1.3.1.6.20.62</v>
      </c>
      <c r="B272" s="64">
        <v>1</v>
      </c>
      <c r="C272" s="64">
        <v>3</v>
      </c>
      <c r="D272" s="64">
        <v>1</v>
      </c>
      <c r="E272" s="64">
        <v>6</v>
      </c>
      <c r="F272" s="64">
        <v>20</v>
      </c>
      <c r="G272" s="64">
        <v>62</v>
      </c>
      <c r="H272" s="65"/>
      <c r="I272" s="65"/>
      <c r="J272" s="66"/>
      <c r="K272" s="86" t="s">
        <v>280</v>
      </c>
      <c r="L272" s="64" t="s">
        <v>72</v>
      </c>
      <c r="M272" s="64" t="s">
        <v>271</v>
      </c>
      <c r="N272" s="64" t="s">
        <v>307</v>
      </c>
      <c r="O272" s="64" t="s">
        <v>281</v>
      </c>
      <c r="P272" s="69"/>
      <c r="Q272" s="69"/>
      <c r="R272" s="124"/>
      <c r="S272" s="123"/>
      <c r="T272" s="124"/>
      <c r="U272" s="75">
        <v>30000</v>
      </c>
      <c r="V272" s="674">
        <v>0</v>
      </c>
      <c r="W272" s="75"/>
      <c r="X272" s="75"/>
      <c r="Y272" s="834">
        <f t="shared" si="57"/>
        <v>0</v>
      </c>
      <c r="Z272" s="75"/>
      <c r="AA272" s="75"/>
      <c r="AB272" s="75"/>
      <c r="AC272" s="75"/>
      <c r="AD272" s="75"/>
      <c r="AE272" s="592"/>
      <c r="AF272" s="347" t="s">
        <v>166</v>
      </c>
      <c r="AG272" s="75">
        <v>30000</v>
      </c>
      <c r="AH272" s="377">
        <v>30000</v>
      </c>
      <c r="AI272" s="132"/>
      <c r="AJ272" s="132"/>
      <c r="AK272" s="132"/>
      <c r="AL272" s="132"/>
      <c r="AM272" s="132"/>
      <c r="AN272" s="64" t="s">
        <v>39</v>
      </c>
      <c r="AO272" s="64"/>
      <c r="AP272" s="64"/>
      <c r="AQ272" s="189"/>
      <c r="AR272" s="64"/>
      <c r="AS272" s="476"/>
      <c r="AT272" s="64"/>
      <c r="AU272" s="646"/>
      <c r="AV272" s="433"/>
    </row>
    <row r="273" spans="1:48" ht="14.45" customHeight="1" outlineLevel="3" x14ac:dyDescent="0.25">
      <c r="A273" s="63" t="str">
        <f t="shared" si="52"/>
        <v>1.3.1.6.21.62</v>
      </c>
      <c r="B273" s="64">
        <v>1</v>
      </c>
      <c r="C273" s="64">
        <v>3</v>
      </c>
      <c r="D273" s="64">
        <v>1</v>
      </c>
      <c r="E273" s="64">
        <v>6</v>
      </c>
      <c r="F273" s="64">
        <v>21</v>
      </c>
      <c r="G273" s="64">
        <v>62</v>
      </c>
      <c r="H273" s="65"/>
      <c r="I273" s="65"/>
      <c r="J273" s="66"/>
      <c r="K273" s="86" t="s">
        <v>283</v>
      </c>
      <c r="L273" s="64" t="s">
        <v>72</v>
      </c>
      <c r="M273" s="64" t="s">
        <v>271</v>
      </c>
      <c r="N273" s="64" t="s">
        <v>307</v>
      </c>
      <c r="O273" s="64" t="s">
        <v>281</v>
      </c>
      <c r="P273" s="69"/>
      <c r="Q273" s="69"/>
      <c r="R273" s="124"/>
      <c r="S273" s="123"/>
      <c r="T273" s="124"/>
      <c r="U273" s="75">
        <v>10000</v>
      </c>
      <c r="V273" s="674">
        <v>0</v>
      </c>
      <c r="W273" s="75"/>
      <c r="X273" s="75"/>
      <c r="Y273" s="834">
        <f t="shared" si="57"/>
        <v>0</v>
      </c>
      <c r="Z273" s="75"/>
      <c r="AA273" s="75"/>
      <c r="AB273" s="75"/>
      <c r="AC273" s="75"/>
      <c r="AD273" s="75"/>
      <c r="AE273" s="592"/>
      <c r="AF273" s="347" t="s">
        <v>166</v>
      </c>
      <c r="AG273" s="75">
        <v>10000</v>
      </c>
      <c r="AH273" s="377">
        <v>10000</v>
      </c>
      <c r="AI273" s="132"/>
      <c r="AJ273" s="132"/>
      <c r="AK273" s="132"/>
      <c r="AL273" s="132"/>
      <c r="AM273" s="132"/>
      <c r="AN273" s="64" t="s">
        <v>39</v>
      </c>
      <c r="AO273" s="64"/>
      <c r="AP273" s="64"/>
      <c r="AQ273" s="189"/>
      <c r="AR273" s="64"/>
      <c r="AS273" s="476"/>
      <c r="AT273" s="64"/>
      <c r="AU273" s="646"/>
      <c r="AV273" s="433"/>
    </row>
    <row r="274" spans="1:48" ht="14.45" customHeight="1" outlineLevel="3" x14ac:dyDescent="0.25">
      <c r="A274" s="63" t="str">
        <f t="shared" si="52"/>
        <v>1.3.1.6.22.62</v>
      </c>
      <c r="B274" s="64">
        <v>1</v>
      </c>
      <c r="C274" s="64">
        <v>3</v>
      </c>
      <c r="D274" s="64">
        <v>1</v>
      </c>
      <c r="E274" s="64">
        <v>6</v>
      </c>
      <c r="F274" s="64">
        <v>22</v>
      </c>
      <c r="G274" s="64">
        <v>62</v>
      </c>
      <c r="H274" s="65"/>
      <c r="I274" s="65"/>
      <c r="J274" s="66"/>
      <c r="K274" s="86" t="s">
        <v>284</v>
      </c>
      <c r="L274" s="64" t="s">
        <v>72</v>
      </c>
      <c r="M274" s="64" t="s">
        <v>271</v>
      </c>
      <c r="N274" s="64" t="s">
        <v>307</v>
      </c>
      <c r="O274" s="64" t="s">
        <v>281</v>
      </c>
      <c r="P274" s="69"/>
      <c r="Q274" s="131"/>
      <c r="R274" s="124"/>
      <c r="S274" s="123"/>
      <c r="T274" s="124"/>
      <c r="U274" s="75">
        <v>30000</v>
      </c>
      <c r="V274" s="674">
        <v>0</v>
      </c>
      <c r="W274" s="75"/>
      <c r="X274" s="75"/>
      <c r="Y274" s="834">
        <f t="shared" si="57"/>
        <v>0</v>
      </c>
      <c r="Z274" s="75"/>
      <c r="AA274" s="75"/>
      <c r="AB274" s="75"/>
      <c r="AC274" s="75"/>
      <c r="AD274" s="75"/>
      <c r="AE274" s="592"/>
      <c r="AF274" s="347" t="s">
        <v>166</v>
      </c>
      <c r="AG274" s="75">
        <v>30000</v>
      </c>
      <c r="AH274" s="377">
        <v>115000</v>
      </c>
      <c r="AI274" s="132"/>
      <c r="AJ274" s="132"/>
      <c r="AK274" s="132"/>
      <c r="AL274" s="132"/>
      <c r="AM274" s="132"/>
      <c r="AN274" s="64" t="s">
        <v>39</v>
      </c>
      <c r="AO274" s="64"/>
      <c r="AP274" s="64"/>
      <c r="AQ274" s="189"/>
      <c r="AR274" s="64"/>
      <c r="AS274" s="476"/>
      <c r="AT274" s="64"/>
      <c r="AU274" s="646"/>
      <c r="AV274" s="433"/>
    </row>
    <row r="275" spans="1:48" ht="14.45" customHeight="1" outlineLevel="3" x14ac:dyDescent="0.25">
      <c r="A275" s="63" t="str">
        <f t="shared" si="52"/>
        <v>1.3.1.6.23.62</v>
      </c>
      <c r="B275" s="64">
        <v>1</v>
      </c>
      <c r="C275" s="64">
        <v>3</v>
      </c>
      <c r="D275" s="64">
        <v>1</v>
      </c>
      <c r="E275" s="64">
        <v>6</v>
      </c>
      <c r="F275" s="64">
        <v>23</v>
      </c>
      <c r="G275" s="64">
        <v>62</v>
      </c>
      <c r="H275" s="65"/>
      <c r="I275" s="65"/>
      <c r="J275" s="66"/>
      <c r="K275" s="86" t="s">
        <v>350</v>
      </c>
      <c r="L275" s="64" t="s">
        <v>72</v>
      </c>
      <c r="M275" s="64" t="s">
        <v>73</v>
      </c>
      <c r="N275" s="64" t="s">
        <v>307</v>
      </c>
      <c r="O275" s="64" t="s">
        <v>281</v>
      </c>
      <c r="P275" s="69"/>
      <c r="Q275" s="69"/>
      <c r="R275" s="124"/>
      <c r="S275" s="123"/>
      <c r="T275" s="124"/>
      <c r="U275" s="75"/>
      <c r="V275" s="674">
        <v>0</v>
      </c>
      <c r="W275" s="75"/>
      <c r="X275" s="75"/>
      <c r="Y275" s="834">
        <f t="shared" si="57"/>
        <v>0</v>
      </c>
      <c r="Z275" s="75"/>
      <c r="AA275" s="75"/>
      <c r="AB275" s="75"/>
      <c r="AC275" s="75"/>
      <c r="AD275" s="75"/>
      <c r="AE275" s="592"/>
      <c r="AF275" s="347" t="s">
        <v>166</v>
      </c>
      <c r="AG275" s="75">
        <v>0</v>
      </c>
      <c r="AH275" s="377">
        <v>0</v>
      </c>
      <c r="AI275" s="132"/>
      <c r="AJ275" s="132"/>
      <c r="AK275" s="132"/>
      <c r="AL275" s="132"/>
      <c r="AM275" s="132"/>
      <c r="AN275" s="64" t="s">
        <v>39</v>
      </c>
      <c r="AO275" s="64"/>
      <c r="AP275" s="64"/>
      <c r="AQ275" s="189"/>
      <c r="AR275" s="64"/>
      <c r="AS275" s="476"/>
      <c r="AT275" s="64"/>
      <c r="AU275" s="646"/>
      <c r="AV275" s="433"/>
    </row>
    <row r="276" spans="1:48" ht="14.25" customHeight="1" outlineLevel="3" x14ac:dyDescent="0.25">
      <c r="A276" s="63" t="str">
        <f t="shared" si="52"/>
        <v>1.3.1.6.24.62</v>
      </c>
      <c r="B276" s="64">
        <v>1</v>
      </c>
      <c r="C276" s="64">
        <v>3</v>
      </c>
      <c r="D276" s="64">
        <v>1</v>
      </c>
      <c r="E276" s="64">
        <v>6</v>
      </c>
      <c r="F276" s="64">
        <v>24</v>
      </c>
      <c r="G276" s="64">
        <v>62</v>
      </c>
      <c r="H276" s="65"/>
      <c r="I276" s="65"/>
      <c r="J276" s="66"/>
      <c r="K276" s="86" t="s">
        <v>351</v>
      </c>
      <c r="L276" s="64" t="s">
        <v>72</v>
      </c>
      <c r="M276" s="64" t="s">
        <v>279</v>
      </c>
      <c r="N276" s="64" t="s">
        <v>307</v>
      </c>
      <c r="O276" s="64" t="s">
        <v>281</v>
      </c>
      <c r="P276" s="69"/>
      <c r="Q276" s="69"/>
      <c r="R276" s="124"/>
      <c r="S276" s="123"/>
      <c r="T276" s="124"/>
      <c r="U276" s="75"/>
      <c r="V276" s="674">
        <v>0</v>
      </c>
      <c r="W276" s="75"/>
      <c r="X276" s="75"/>
      <c r="Y276" s="834">
        <f t="shared" si="57"/>
        <v>0</v>
      </c>
      <c r="Z276" s="75"/>
      <c r="AA276" s="75"/>
      <c r="AB276" s="75"/>
      <c r="AC276" s="75"/>
      <c r="AD276" s="75"/>
      <c r="AE276" s="592"/>
      <c r="AF276" s="259" t="s">
        <v>279</v>
      </c>
      <c r="AG276" s="75">
        <v>0</v>
      </c>
      <c r="AH276" s="377">
        <v>0</v>
      </c>
      <c r="AI276" s="132"/>
      <c r="AJ276" s="132"/>
      <c r="AK276" s="132"/>
      <c r="AL276" s="132"/>
      <c r="AM276" s="132"/>
      <c r="AN276" s="64" t="s">
        <v>39</v>
      </c>
      <c r="AO276" s="64"/>
      <c r="AP276" s="64"/>
      <c r="AQ276" s="189"/>
      <c r="AR276" s="64"/>
      <c r="AS276" s="476"/>
      <c r="AT276" s="64"/>
      <c r="AU276" s="646"/>
      <c r="AV276" s="433"/>
    </row>
    <row r="277" spans="1:48" ht="14.45" customHeight="1" outlineLevel="3" x14ac:dyDescent="0.25">
      <c r="A277" s="63" t="str">
        <f t="shared" si="52"/>
        <v>1.3.1.6.25.62</v>
      </c>
      <c r="B277" s="64">
        <v>1</v>
      </c>
      <c r="C277" s="64">
        <v>3</v>
      </c>
      <c r="D277" s="64">
        <v>1</v>
      </c>
      <c r="E277" s="64">
        <v>6</v>
      </c>
      <c r="F277" s="64">
        <v>25</v>
      </c>
      <c r="G277" s="64">
        <v>62</v>
      </c>
      <c r="H277" s="65"/>
      <c r="I277" s="65"/>
      <c r="J277" s="66"/>
      <c r="K277" s="86" t="s">
        <v>286</v>
      </c>
      <c r="L277" s="64" t="s">
        <v>72</v>
      </c>
      <c r="M277" s="64" t="s">
        <v>73</v>
      </c>
      <c r="N277" s="64" t="s">
        <v>307</v>
      </c>
      <c r="O277" s="64" t="s">
        <v>281</v>
      </c>
      <c r="P277" s="69"/>
      <c r="Q277" s="69"/>
      <c r="R277" s="124"/>
      <c r="S277" s="123"/>
      <c r="T277" s="124"/>
      <c r="U277" s="75"/>
      <c r="V277" s="674">
        <v>0</v>
      </c>
      <c r="W277" s="75"/>
      <c r="X277" s="75"/>
      <c r="Y277" s="834">
        <f t="shared" si="57"/>
        <v>0</v>
      </c>
      <c r="Z277" s="75"/>
      <c r="AA277" s="75"/>
      <c r="AB277" s="75"/>
      <c r="AC277" s="75"/>
      <c r="AD277" s="75"/>
      <c r="AE277" s="592"/>
      <c r="AF277" s="347" t="s">
        <v>73</v>
      </c>
      <c r="AG277" s="75">
        <v>0</v>
      </c>
      <c r="AH277" s="377">
        <v>0</v>
      </c>
      <c r="AI277" s="132"/>
      <c r="AJ277" s="132"/>
      <c r="AK277" s="132"/>
      <c r="AL277" s="132"/>
      <c r="AM277" s="132"/>
      <c r="AN277" s="64" t="s">
        <v>39</v>
      </c>
      <c r="AO277" s="64"/>
      <c r="AP277" s="64"/>
      <c r="AQ277" s="189"/>
      <c r="AR277" s="64"/>
      <c r="AS277" s="476"/>
      <c r="AT277" s="64"/>
      <c r="AU277" s="646"/>
      <c r="AV277" s="433"/>
    </row>
    <row r="278" spans="1:48" ht="14.45" customHeight="1" outlineLevel="3" x14ac:dyDescent="0.25">
      <c r="A278" s="63" t="str">
        <f t="shared" si="52"/>
        <v>1.3.1.6.26.62</v>
      </c>
      <c r="B278" s="64">
        <v>1</v>
      </c>
      <c r="C278" s="64">
        <v>3</v>
      </c>
      <c r="D278" s="64">
        <v>1</v>
      </c>
      <c r="E278" s="64">
        <v>6</v>
      </c>
      <c r="F278" s="64">
        <v>26</v>
      </c>
      <c r="G278" s="64">
        <v>62</v>
      </c>
      <c r="H278" s="65"/>
      <c r="I278" s="65"/>
      <c r="J278" s="66"/>
      <c r="K278" s="86" t="s">
        <v>287</v>
      </c>
      <c r="L278" s="64" t="s">
        <v>72</v>
      </c>
      <c r="M278" s="64" t="s">
        <v>73</v>
      </c>
      <c r="N278" s="64"/>
      <c r="O278" s="64"/>
      <c r="P278" s="69"/>
      <c r="Q278" s="69"/>
      <c r="R278" s="124">
        <v>1</v>
      </c>
      <c r="S278" s="123"/>
      <c r="T278" s="124"/>
      <c r="U278" s="75"/>
      <c r="V278" s="674">
        <v>0</v>
      </c>
      <c r="W278" s="75"/>
      <c r="X278" s="75"/>
      <c r="Y278" s="834">
        <f t="shared" si="57"/>
        <v>0</v>
      </c>
      <c r="Z278" s="75"/>
      <c r="AA278" s="75"/>
      <c r="AB278" s="75"/>
      <c r="AC278" s="75"/>
      <c r="AD278" s="75"/>
      <c r="AE278" s="592"/>
      <c r="AF278" s="347" t="s">
        <v>73</v>
      </c>
      <c r="AG278" s="75">
        <v>0</v>
      </c>
      <c r="AH278" s="377">
        <v>0</v>
      </c>
      <c r="AI278" s="132"/>
      <c r="AJ278" s="132"/>
      <c r="AK278" s="132"/>
      <c r="AL278" s="132"/>
      <c r="AM278" s="132"/>
      <c r="AN278" s="64" t="s">
        <v>181</v>
      </c>
      <c r="AO278" s="64"/>
      <c r="AP278" s="64"/>
      <c r="AQ278" s="189"/>
      <c r="AR278" s="64"/>
      <c r="AS278" s="476"/>
      <c r="AT278" s="64"/>
      <c r="AU278" s="646"/>
      <c r="AV278" s="433"/>
    </row>
    <row r="279" spans="1:48" ht="14.45" customHeight="1" outlineLevel="3" x14ac:dyDescent="0.25">
      <c r="A279" s="63" t="str">
        <f t="shared" si="52"/>
        <v>1.3.1.6.27.62</v>
      </c>
      <c r="B279" s="64">
        <v>1</v>
      </c>
      <c r="C279" s="64">
        <v>3</v>
      </c>
      <c r="D279" s="64">
        <v>1</v>
      </c>
      <c r="E279" s="64">
        <v>6</v>
      </c>
      <c r="F279" s="64">
        <v>27</v>
      </c>
      <c r="G279" s="64">
        <v>62</v>
      </c>
      <c r="H279" s="65"/>
      <c r="I279" s="65"/>
      <c r="J279" s="66"/>
      <c r="K279" s="67" t="s">
        <v>2206</v>
      </c>
      <c r="L279" s="64" t="s">
        <v>72</v>
      </c>
      <c r="M279" s="64" t="s">
        <v>279</v>
      </c>
      <c r="N279" s="64"/>
      <c r="O279" s="64"/>
      <c r="P279" s="69"/>
      <c r="Q279" s="69"/>
      <c r="R279" s="124"/>
      <c r="S279" s="123"/>
      <c r="T279" s="124"/>
      <c r="U279" s="75">
        <v>50000</v>
      </c>
      <c r="V279" s="674">
        <v>20474.05</v>
      </c>
      <c r="W279" s="75"/>
      <c r="X279" s="75">
        <v>50000</v>
      </c>
      <c r="Y279" s="834">
        <f t="shared" si="57"/>
        <v>12179</v>
      </c>
      <c r="Z279" s="75"/>
      <c r="AA279" s="75">
        <v>50000</v>
      </c>
      <c r="AB279" s="75"/>
      <c r="AC279" s="75"/>
      <c r="AD279" s="75">
        <v>50000</v>
      </c>
      <c r="AE279" s="592"/>
      <c r="AF279" s="347" t="s">
        <v>73</v>
      </c>
      <c r="AG279" s="75">
        <v>200000</v>
      </c>
      <c r="AH279" s="370">
        <v>200000</v>
      </c>
      <c r="AI279" s="75"/>
      <c r="AJ279" s="536">
        <f>20474.05+8933.68+2178.81+1066.51</f>
        <v>32653.05</v>
      </c>
      <c r="AK279" s="75"/>
      <c r="AL279" s="75"/>
      <c r="AM279" s="75"/>
      <c r="AN279" s="64" t="s">
        <v>39</v>
      </c>
      <c r="AO279" s="547" t="s">
        <v>1819</v>
      </c>
      <c r="AP279" s="538" t="s">
        <v>2209</v>
      </c>
      <c r="AQ279" s="68" t="s">
        <v>2210</v>
      </c>
      <c r="AR279" s="64"/>
      <c r="AS279" s="548"/>
      <c r="AT279" s="546" t="s">
        <v>1823</v>
      </c>
      <c r="AU279" s="877" t="s">
        <v>2207</v>
      </c>
      <c r="AV279" s="537" t="s">
        <v>1820</v>
      </c>
    </row>
    <row r="280" spans="1:48" ht="14.45" customHeight="1" outlineLevel="3" x14ac:dyDescent="0.25">
      <c r="A280" s="63" t="str">
        <f t="shared" si="52"/>
        <v>1.3.1.6.28.62</v>
      </c>
      <c r="B280" s="64">
        <v>1</v>
      </c>
      <c r="C280" s="64">
        <v>3</v>
      </c>
      <c r="D280" s="64">
        <v>1</v>
      </c>
      <c r="E280" s="64">
        <v>6</v>
      </c>
      <c r="F280" s="64">
        <v>28</v>
      </c>
      <c r="G280" s="64">
        <v>62</v>
      </c>
      <c r="H280" s="65"/>
      <c r="I280" s="65"/>
      <c r="J280" s="66"/>
      <c r="K280" s="556" t="s">
        <v>352</v>
      </c>
      <c r="L280" s="64"/>
      <c r="M280" s="64"/>
      <c r="N280" s="64"/>
      <c r="O280" s="64"/>
      <c r="P280" s="69"/>
      <c r="Q280" s="69"/>
      <c r="R280" s="124"/>
      <c r="S280" s="123"/>
      <c r="T280" s="124"/>
      <c r="U280" s="75"/>
      <c r="V280" s="674">
        <v>0</v>
      </c>
      <c r="W280" s="75"/>
      <c r="X280" s="75"/>
      <c r="Y280" s="834">
        <f t="shared" si="57"/>
        <v>0</v>
      </c>
      <c r="Z280" s="75"/>
      <c r="AA280" s="75"/>
      <c r="AB280" s="75"/>
      <c r="AC280" s="75"/>
      <c r="AD280" s="75"/>
      <c r="AE280" s="592"/>
      <c r="AF280" s="347" t="s">
        <v>73</v>
      </c>
      <c r="AG280" s="75"/>
      <c r="AH280" s="377"/>
      <c r="AI280" s="132"/>
      <c r="AJ280" s="132"/>
      <c r="AK280" s="132"/>
      <c r="AL280" s="132"/>
      <c r="AM280" s="132"/>
      <c r="AN280" s="64" t="s">
        <v>39</v>
      </c>
      <c r="AO280" s="165"/>
      <c r="AP280" s="165"/>
      <c r="AQ280" s="413"/>
      <c r="AR280" s="64"/>
      <c r="AS280" s="475"/>
      <c r="AT280" s="64"/>
      <c r="AU280" s="646"/>
      <c r="AV280" s="438"/>
    </row>
    <row r="281" spans="1:48" ht="69.599999999999994" customHeight="1" outlineLevel="3" x14ac:dyDescent="0.25">
      <c r="A281" s="63" t="str">
        <f t="shared" si="52"/>
        <v>1.3.1.6.29.62</v>
      </c>
      <c r="B281" s="64">
        <v>1</v>
      </c>
      <c r="C281" s="64">
        <v>3</v>
      </c>
      <c r="D281" s="64">
        <v>1</v>
      </c>
      <c r="E281" s="64">
        <v>6</v>
      </c>
      <c r="F281" s="64">
        <v>29</v>
      </c>
      <c r="G281" s="100">
        <v>62</v>
      </c>
      <c r="H281" s="65"/>
      <c r="I281" s="65"/>
      <c r="J281" s="66"/>
      <c r="K281" s="67" t="s">
        <v>326</v>
      </c>
      <c r="L281" s="64" t="s">
        <v>72</v>
      </c>
      <c r="M281" s="64" t="s">
        <v>279</v>
      </c>
      <c r="N281" s="64"/>
      <c r="O281" s="64"/>
      <c r="P281" s="69"/>
      <c r="Q281" s="69"/>
      <c r="R281" s="124"/>
      <c r="S281" s="123"/>
      <c r="T281" s="124"/>
      <c r="U281" s="75">
        <v>0</v>
      </c>
      <c r="V281" s="674">
        <v>0</v>
      </c>
      <c r="W281" s="75"/>
      <c r="X281" s="75">
        <v>0</v>
      </c>
      <c r="Y281" s="834">
        <f t="shared" si="57"/>
        <v>0</v>
      </c>
      <c r="Z281" s="75"/>
      <c r="AA281" s="75">
        <v>0</v>
      </c>
      <c r="AB281" s="75"/>
      <c r="AC281" s="75"/>
      <c r="AD281" s="75">
        <v>0</v>
      </c>
      <c r="AE281" s="592"/>
      <c r="AF281" s="347" t="s">
        <v>73</v>
      </c>
      <c r="AG281" s="75">
        <v>1750000</v>
      </c>
      <c r="AH281" s="377">
        <v>0</v>
      </c>
      <c r="AI281" s="132"/>
      <c r="AJ281" s="132"/>
      <c r="AK281" s="132"/>
      <c r="AL281" s="132"/>
      <c r="AM281" s="132"/>
      <c r="AN281" s="64" t="s">
        <v>39</v>
      </c>
      <c r="AO281" s="64"/>
      <c r="AP281" s="64"/>
      <c r="AQ281" s="64"/>
      <c r="AR281" s="64"/>
      <c r="AS281" s="64"/>
      <c r="AT281" s="64"/>
      <c r="AU281" s="646"/>
      <c r="AV281" s="335" t="s">
        <v>295</v>
      </c>
    </row>
    <row r="282" spans="1:48" ht="14.45" customHeight="1" outlineLevel="3" x14ac:dyDescent="0.25">
      <c r="A282" s="63" t="str">
        <f t="shared" si="52"/>
        <v>1.3.1.6.30.62</v>
      </c>
      <c r="B282" s="64">
        <v>1</v>
      </c>
      <c r="C282" s="64">
        <v>3</v>
      </c>
      <c r="D282" s="64">
        <v>1</v>
      </c>
      <c r="E282" s="64">
        <v>6</v>
      </c>
      <c r="F282" s="64">
        <v>30</v>
      </c>
      <c r="G282" s="64">
        <v>62</v>
      </c>
      <c r="H282" s="65"/>
      <c r="I282" s="65"/>
      <c r="J282" s="66"/>
      <c r="K282" s="67" t="s">
        <v>296</v>
      </c>
      <c r="L282" s="64"/>
      <c r="M282" s="64"/>
      <c r="N282" s="64"/>
      <c r="O282" s="64"/>
      <c r="P282" s="69"/>
      <c r="Q282" s="69"/>
      <c r="R282" s="124"/>
      <c r="S282" s="123"/>
      <c r="T282" s="124"/>
      <c r="U282" s="75">
        <v>50000</v>
      </c>
      <c r="V282" s="674">
        <v>0</v>
      </c>
      <c r="W282" s="75"/>
      <c r="X282" s="75">
        <v>50000</v>
      </c>
      <c r="Y282" s="834">
        <f t="shared" si="57"/>
        <v>0</v>
      </c>
      <c r="Z282" s="75"/>
      <c r="AA282" s="75">
        <v>50000</v>
      </c>
      <c r="AB282" s="75"/>
      <c r="AC282" s="75"/>
      <c r="AD282" s="75">
        <v>50000</v>
      </c>
      <c r="AE282" s="592"/>
      <c r="AF282" s="347" t="s">
        <v>73</v>
      </c>
      <c r="AG282" s="75">
        <v>200000</v>
      </c>
      <c r="AH282" s="377">
        <v>200000</v>
      </c>
      <c r="AI282" s="132"/>
      <c r="AJ282" s="132"/>
      <c r="AK282" s="132"/>
      <c r="AL282" s="132"/>
      <c r="AM282" s="132"/>
      <c r="AN282" s="64" t="s">
        <v>39</v>
      </c>
      <c r="AO282" s="64"/>
      <c r="AP282" s="64"/>
      <c r="AQ282" s="68"/>
      <c r="AR282" s="64"/>
      <c r="AS282" s="64"/>
      <c r="AT282" s="64"/>
      <c r="AU282" s="860"/>
      <c r="AV282" s="68"/>
    </row>
    <row r="283" spans="1:48" ht="14.45" customHeight="1" outlineLevel="3" x14ac:dyDescent="0.25">
      <c r="A283" s="63" t="str">
        <f>CONCATENATE(B283,".",C283,".",D283,".",E283,".",F283,".",G283)</f>
        <v>1.3.1.6.32.62</v>
      </c>
      <c r="B283" s="64">
        <v>1</v>
      </c>
      <c r="C283" s="64">
        <v>3</v>
      </c>
      <c r="D283" s="64">
        <v>1</v>
      </c>
      <c r="E283" s="64">
        <v>6</v>
      </c>
      <c r="F283" s="64">
        <v>32</v>
      </c>
      <c r="G283" s="64">
        <v>62</v>
      </c>
      <c r="H283" s="65"/>
      <c r="I283" s="65"/>
      <c r="J283" s="66"/>
      <c r="K283" s="67" t="s">
        <v>298</v>
      </c>
      <c r="L283" s="64" t="s">
        <v>359</v>
      </c>
      <c r="M283" s="64" t="s">
        <v>299</v>
      </c>
      <c r="N283" s="64"/>
      <c r="O283" s="64"/>
      <c r="P283" s="69"/>
      <c r="Q283" s="69"/>
      <c r="R283" s="124"/>
      <c r="S283" s="123"/>
      <c r="T283" s="124"/>
      <c r="U283" s="75">
        <v>30000</v>
      </c>
      <c r="V283" s="674">
        <v>20000</v>
      </c>
      <c r="W283" s="75"/>
      <c r="X283" s="75">
        <v>30000</v>
      </c>
      <c r="Y283" s="834">
        <f t="shared" si="57"/>
        <v>10000</v>
      </c>
      <c r="Z283" s="75"/>
      <c r="AA283" s="75">
        <v>20000</v>
      </c>
      <c r="AB283" s="75"/>
      <c r="AC283" s="75"/>
      <c r="AD283" s="75"/>
      <c r="AE283" s="592"/>
      <c r="AF283" s="347"/>
      <c r="AG283" s="377">
        <v>0</v>
      </c>
      <c r="AH283" s="377">
        <v>80000</v>
      </c>
      <c r="AI283" s="132"/>
      <c r="AJ283" s="132">
        <f>20000+10000</f>
        <v>30000</v>
      </c>
      <c r="AK283" s="132"/>
      <c r="AL283" s="132"/>
      <c r="AM283" s="132"/>
      <c r="AN283" s="64" t="s">
        <v>282</v>
      </c>
      <c r="AO283" s="64" t="s">
        <v>1819</v>
      </c>
      <c r="AP283" s="64" t="s">
        <v>2025</v>
      </c>
      <c r="AQ283" s="64" t="s">
        <v>2026</v>
      </c>
      <c r="AR283" s="69">
        <v>44428</v>
      </c>
      <c r="AS283" s="69">
        <v>44977</v>
      </c>
      <c r="AT283" s="64" t="s">
        <v>1814</v>
      </c>
      <c r="AU283" s="877" t="s">
        <v>2094</v>
      </c>
      <c r="AV283" s="434" t="s">
        <v>2027</v>
      </c>
    </row>
    <row r="284" spans="1:48" s="107" customFormat="1" ht="78" customHeight="1" outlineLevel="1" x14ac:dyDescent="0.25">
      <c r="A284" s="80" t="str">
        <f t="shared" si="52"/>
        <v>1.3.1.7.0.0</v>
      </c>
      <c r="B284" s="81">
        <v>1</v>
      </c>
      <c r="C284" s="81">
        <v>3</v>
      </c>
      <c r="D284" s="81">
        <v>1</v>
      </c>
      <c r="E284" s="81">
        <v>7</v>
      </c>
      <c r="F284" s="81">
        <v>0</v>
      </c>
      <c r="G284" s="81">
        <v>0</v>
      </c>
      <c r="H284" s="114"/>
      <c r="I284" s="114"/>
      <c r="J284" s="1346" t="s">
        <v>353</v>
      </c>
      <c r="K284" s="1346"/>
      <c r="L284" s="81" t="s">
        <v>236</v>
      </c>
      <c r="M284" s="81" t="s">
        <v>240</v>
      </c>
      <c r="N284" s="81" t="s">
        <v>226</v>
      </c>
      <c r="O284" s="81" t="s">
        <v>241</v>
      </c>
      <c r="P284" s="115">
        <v>44571</v>
      </c>
      <c r="Q284" s="115">
        <v>44925</v>
      </c>
      <c r="R284" s="119">
        <v>0</v>
      </c>
      <c r="S284" s="114" t="s">
        <v>242</v>
      </c>
      <c r="T284" s="119">
        <f>+T285+T286+T287</f>
        <v>266250</v>
      </c>
      <c r="U284" s="369">
        <f t="shared" ref="U284:AG284" si="58">SUM(U285:U307)</f>
        <v>7885007.2000000002</v>
      </c>
      <c r="V284" s="677">
        <f t="shared" si="58"/>
        <v>8306901.21</v>
      </c>
      <c r="W284" s="369">
        <f t="shared" si="58"/>
        <v>532503</v>
      </c>
      <c r="X284" s="369">
        <f t="shared" si="58"/>
        <v>8133476.9800000004</v>
      </c>
      <c r="Y284" s="840">
        <f t="shared" si="58"/>
        <v>9206170.6199999992</v>
      </c>
      <c r="Z284" s="369">
        <f t="shared" si="58"/>
        <v>3255203</v>
      </c>
      <c r="AA284" s="369">
        <f t="shared" si="58"/>
        <v>8070076.9800000004</v>
      </c>
      <c r="AB284" s="369">
        <f t="shared" si="58"/>
        <v>2722700</v>
      </c>
      <c r="AC284" s="369">
        <f t="shared" si="58"/>
        <v>3255203</v>
      </c>
      <c r="AD284" s="369">
        <f t="shared" si="58"/>
        <v>8766676.9800000004</v>
      </c>
      <c r="AE284" s="369">
        <f t="shared" si="58"/>
        <v>0</v>
      </c>
      <c r="AF284" s="369">
        <f t="shared" si="58"/>
        <v>316610000</v>
      </c>
      <c r="AG284" s="369">
        <f t="shared" si="58"/>
        <v>18145816.666666668</v>
      </c>
      <c r="AH284" s="369">
        <f>SUM(AH285:AH307)</f>
        <v>28597800</v>
      </c>
      <c r="AI284" s="369">
        <f t="shared" ref="AI284" si="59">SUM(AI285:AI307)</f>
        <v>0</v>
      </c>
      <c r="AJ284" s="369">
        <f>SUM(AJ285:AJ307)</f>
        <v>17581086.780000001</v>
      </c>
      <c r="AK284" s="61"/>
      <c r="AL284" s="61"/>
      <c r="AM284" s="61"/>
      <c r="AN284" s="81" t="s">
        <v>243</v>
      </c>
      <c r="AO284" s="318"/>
      <c r="AP284" s="318"/>
      <c r="AQ284" s="318"/>
      <c r="AR284" s="81"/>
      <c r="AS284" s="331"/>
      <c r="AT284" s="81"/>
      <c r="AU284" s="663"/>
      <c r="AV284" s="439"/>
    </row>
    <row r="285" spans="1:48" ht="127.35" customHeight="1" outlineLevel="4" x14ac:dyDescent="0.25">
      <c r="A285" s="63" t="str">
        <f t="shared" si="52"/>
        <v>1.3.1.7.1.60</v>
      </c>
      <c r="B285" s="64">
        <v>1</v>
      </c>
      <c r="C285" s="64">
        <v>3</v>
      </c>
      <c r="D285" s="64">
        <v>1</v>
      </c>
      <c r="E285" s="64">
        <v>7</v>
      </c>
      <c r="F285" s="64">
        <v>1</v>
      </c>
      <c r="G285" s="64">
        <v>60</v>
      </c>
      <c r="H285" s="65"/>
      <c r="I285" s="65"/>
      <c r="J285" s="66"/>
      <c r="K285" s="65" t="s">
        <v>245</v>
      </c>
      <c r="L285" s="64" t="s">
        <v>246</v>
      </c>
      <c r="M285" s="64" t="s">
        <v>240</v>
      </c>
      <c r="N285" s="64" t="s">
        <v>247</v>
      </c>
      <c r="O285" s="64" t="s">
        <v>241</v>
      </c>
      <c r="P285" s="69"/>
      <c r="Q285" s="69"/>
      <c r="R285" s="126">
        <v>50000</v>
      </c>
      <c r="S285" s="123" t="s">
        <v>248</v>
      </c>
      <c r="T285" s="124">
        <f>+R285/4</f>
        <v>12500</v>
      </c>
      <c r="U285" s="75">
        <v>0</v>
      </c>
      <c r="V285" s="674">
        <v>0</v>
      </c>
      <c r="W285" s="75">
        <f>+R285/4</f>
        <v>12500</v>
      </c>
      <c r="X285" s="75">
        <v>0</v>
      </c>
      <c r="Y285" s="834">
        <f t="shared" ref="Y285:Y292" si="60">+AJ285-V285</f>
        <v>0</v>
      </c>
      <c r="Z285" s="75">
        <f>+R285/4</f>
        <v>12500</v>
      </c>
      <c r="AA285" s="75">
        <v>0</v>
      </c>
      <c r="AB285" s="75"/>
      <c r="AC285" s="75">
        <f>+R285/4</f>
        <v>12500</v>
      </c>
      <c r="AD285" s="75">
        <v>0</v>
      </c>
      <c r="AE285" s="592"/>
      <c r="AF285" s="347">
        <f>R285*19</f>
        <v>950000</v>
      </c>
      <c r="AG285" s="75">
        <v>0</v>
      </c>
      <c r="AH285" s="370">
        <v>0</v>
      </c>
      <c r="AI285" s="75"/>
      <c r="AJ285" s="75"/>
      <c r="AK285" s="75"/>
      <c r="AL285" s="75"/>
      <c r="AM285" s="75"/>
      <c r="AN285" s="64" t="s">
        <v>39</v>
      </c>
      <c r="AO285" s="64"/>
      <c r="AP285" s="64"/>
      <c r="AQ285" s="189"/>
      <c r="AR285" s="64"/>
      <c r="AS285" s="476"/>
      <c r="AT285" s="64"/>
      <c r="AU285" s="646"/>
      <c r="AV285" s="335" t="s">
        <v>250</v>
      </c>
    </row>
    <row r="286" spans="1:48" ht="63.6" customHeight="1" outlineLevel="4" x14ac:dyDescent="0.25">
      <c r="A286" s="63" t="str">
        <f t="shared" si="52"/>
        <v>1.3.1.7.2.60</v>
      </c>
      <c r="B286" s="64">
        <v>1</v>
      </c>
      <c r="C286" s="64">
        <v>3</v>
      </c>
      <c r="D286" s="64">
        <v>1</v>
      </c>
      <c r="E286" s="64">
        <v>7</v>
      </c>
      <c r="F286" s="64">
        <v>2</v>
      </c>
      <c r="G286" s="64">
        <v>60</v>
      </c>
      <c r="H286" s="65"/>
      <c r="I286" s="65"/>
      <c r="J286" s="66"/>
      <c r="K286" s="65" t="s">
        <v>251</v>
      </c>
      <c r="L286" s="64" t="s">
        <v>246</v>
      </c>
      <c r="M286" s="64" t="s">
        <v>240</v>
      </c>
      <c r="N286" s="64" t="s">
        <v>252</v>
      </c>
      <c r="O286" s="64" t="s">
        <v>241</v>
      </c>
      <c r="P286" s="69"/>
      <c r="Q286" s="69"/>
      <c r="R286" s="126">
        <v>1000000</v>
      </c>
      <c r="S286" s="123" t="s">
        <v>248</v>
      </c>
      <c r="T286" s="124">
        <f>+R286/4</f>
        <v>250000</v>
      </c>
      <c r="U286" s="75">
        <v>0</v>
      </c>
      <c r="V286" s="674">
        <v>0</v>
      </c>
      <c r="W286" s="75">
        <f>+R286/4</f>
        <v>250000</v>
      </c>
      <c r="X286" s="75">
        <v>0</v>
      </c>
      <c r="Y286" s="834">
        <f t="shared" si="60"/>
        <v>0</v>
      </c>
      <c r="Z286" s="75">
        <f>+R286/4</f>
        <v>250000</v>
      </c>
      <c r="AA286" s="75">
        <v>0</v>
      </c>
      <c r="AB286" s="75"/>
      <c r="AC286" s="75">
        <f>+R286/4</f>
        <v>250000</v>
      </c>
      <c r="AD286" s="75">
        <v>0</v>
      </c>
      <c r="AE286" s="592"/>
      <c r="AF286" s="347">
        <f>+R286*210*(1.5)</f>
        <v>315000000</v>
      </c>
      <c r="AG286" s="75">
        <v>0</v>
      </c>
      <c r="AH286" s="370">
        <v>0</v>
      </c>
      <c r="AI286" s="75"/>
      <c r="AJ286" s="75"/>
      <c r="AK286" s="75"/>
      <c r="AL286" s="75"/>
      <c r="AM286" s="75"/>
      <c r="AN286" s="64" t="s">
        <v>39</v>
      </c>
      <c r="AO286" s="64"/>
      <c r="AP286" s="64"/>
      <c r="AQ286" s="189"/>
      <c r="AR286" s="64"/>
      <c r="AS286" s="476"/>
      <c r="AT286" s="64"/>
      <c r="AU286" s="646"/>
      <c r="AV286" s="335" t="s">
        <v>254</v>
      </c>
    </row>
    <row r="287" spans="1:48" ht="14.25" customHeight="1" outlineLevel="4" x14ac:dyDescent="0.25">
      <c r="A287" s="63" t="str">
        <f t="shared" si="52"/>
        <v>1.3.1.7.3.60</v>
      </c>
      <c r="B287" s="64">
        <v>1</v>
      </c>
      <c r="C287" s="64">
        <v>3</v>
      </c>
      <c r="D287" s="64">
        <v>1</v>
      </c>
      <c r="E287" s="64">
        <v>7</v>
      </c>
      <c r="F287" s="64">
        <v>3</v>
      </c>
      <c r="G287" s="64">
        <v>60</v>
      </c>
      <c r="H287" s="65"/>
      <c r="I287" s="65"/>
      <c r="J287" s="66"/>
      <c r="K287" s="65" t="s">
        <v>328</v>
      </c>
      <c r="L287" s="64" t="s">
        <v>246</v>
      </c>
      <c r="M287" s="64" t="s">
        <v>240</v>
      </c>
      <c r="N287" s="64" t="s">
        <v>329</v>
      </c>
      <c r="O287" s="64" t="s">
        <v>241</v>
      </c>
      <c r="P287" s="69"/>
      <c r="Q287" s="69"/>
      <c r="R287" s="126">
        <v>15000</v>
      </c>
      <c r="S287" s="123" t="s">
        <v>248</v>
      </c>
      <c r="T287" s="124">
        <f>+R287/4</f>
        <v>3750</v>
      </c>
      <c r="U287" s="75"/>
      <c r="V287" s="674">
        <v>0</v>
      </c>
      <c r="W287" s="75">
        <f>+R287/4</f>
        <v>3750</v>
      </c>
      <c r="X287" s="75"/>
      <c r="Y287" s="834">
        <f t="shared" si="60"/>
        <v>0</v>
      </c>
      <c r="Z287" s="75">
        <f>+R287/4</f>
        <v>3750</v>
      </c>
      <c r="AA287" s="75"/>
      <c r="AB287" s="75"/>
      <c r="AC287" s="75">
        <f>+R287/4</f>
        <v>3750</v>
      </c>
      <c r="AD287" s="75"/>
      <c r="AE287" s="592"/>
      <c r="AF287" s="347">
        <f>+(R287*40)*1.1</f>
        <v>660000</v>
      </c>
      <c r="AG287" s="75">
        <v>0</v>
      </c>
      <c r="AH287" s="370">
        <v>0</v>
      </c>
      <c r="AI287" s="75"/>
      <c r="AJ287" s="75"/>
      <c r="AK287" s="75"/>
      <c r="AL287" s="75"/>
      <c r="AM287" s="75"/>
      <c r="AN287" s="64" t="s">
        <v>2573</v>
      </c>
      <c r="AO287" s="64"/>
      <c r="AP287" s="64"/>
      <c r="AQ287" s="189"/>
      <c r="AR287" s="64"/>
      <c r="AS287" s="476"/>
      <c r="AT287" s="64"/>
      <c r="AU287" s="646"/>
      <c r="AV287" s="433"/>
    </row>
    <row r="288" spans="1:48" ht="12.75" customHeight="1" outlineLevel="4" x14ac:dyDescent="0.25">
      <c r="A288" s="63" t="str">
        <f t="shared" si="52"/>
        <v>1.3.1.7.4.60</v>
      </c>
      <c r="B288" s="64">
        <v>1</v>
      </c>
      <c r="C288" s="64">
        <v>3</v>
      </c>
      <c r="D288" s="64">
        <v>1</v>
      </c>
      <c r="E288" s="64">
        <v>7</v>
      </c>
      <c r="F288" s="64">
        <v>4</v>
      </c>
      <c r="G288" s="100">
        <v>60</v>
      </c>
      <c r="H288" s="65"/>
      <c r="I288" s="65"/>
      <c r="J288" s="66"/>
      <c r="K288" s="65" t="s">
        <v>1914</v>
      </c>
      <c r="L288" s="64" t="s">
        <v>246</v>
      </c>
      <c r="M288" s="64" t="s">
        <v>256</v>
      </c>
      <c r="N288" s="64" t="s">
        <v>257</v>
      </c>
      <c r="O288" s="64" t="s">
        <v>241</v>
      </c>
      <c r="P288" s="69"/>
      <c r="Q288" s="69"/>
      <c r="R288" s="126"/>
      <c r="S288" s="123" t="s">
        <v>258</v>
      </c>
      <c r="T288" s="124"/>
      <c r="U288" s="132">
        <v>1422000</v>
      </c>
      <c r="V288" s="674">
        <v>2149900</v>
      </c>
      <c r="W288" s="75"/>
      <c r="X288" s="132">
        <v>2722700</v>
      </c>
      <c r="Y288" s="834">
        <f t="shared" si="60"/>
        <v>3160300</v>
      </c>
      <c r="Z288" s="79">
        <v>2722700</v>
      </c>
      <c r="AA288" s="132">
        <f>+(AH288-U288-X288)/2</f>
        <v>3273050</v>
      </c>
      <c r="AB288" s="79">
        <v>2722700</v>
      </c>
      <c r="AC288" s="127">
        <v>2722700</v>
      </c>
      <c r="AD288" s="132">
        <f>+AH288-U288-X288-AA288</f>
        <v>3273050</v>
      </c>
      <c r="AE288" s="596"/>
      <c r="AF288" s="347" t="s">
        <v>342</v>
      </c>
      <c r="AG288" s="75">
        <v>6575266.666666667</v>
      </c>
      <c r="AH288" s="370">
        <v>10690800</v>
      </c>
      <c r="AI288" s="75"/>
      <c r="AJ288" s="75">
        <f>873650+466400+451300+358550+1098350+990200+1071750</f>
        <v>5310200</v>
      </c>
      <c r="AK288" s="75"/>
      <c r="AL288" s="75"/>
      <c r="AM288" s="75"/>
      <c r="AN288" s="64" t="s">
        <v>39</v>
      </c>
      <c r="AO288" s="64" t="s">
        <v>1839</v>
      </c>
      <c r="AP288" s="64" t="s">
        <v>649</v>
      </c>
      <c r="AQ288" s="533" t="s">
        <v>649</v>
      </c>
      <c r="AR288" s="554">
        <v>44562</v>
      </c>
      <c r="AS288" s="554">
        <v>44926</v>
      </c>
      <c r="AT288" s="64" t="s">
        <v>1814</v>
      </c>
      <c r="AU288" s="877" t="s">
        <v>2105</v>
      </c>
      <c r="AV288" s="561" t="s">
        <v>2106</v>
      </c>
    </row>
    <row r="289" spans="1:48" ht="30" outlineLevel="4" x14ac:dyDescent="0.25">
      <c r="A289" s="63" t="str">
        <f t="shared" si="52"/>
        <v>1.3.1.7.5.60</v>
      </c>
      <c r="B289" s="64">
        <v>1</v>
      </c>
      <c r="C289" s="64">
        <v>3</v>
      </c>
      <c r="D289" s="64">
        <v>1</v>
      </c>
      <c r="E289" s="64">
        <v>7</v>
      </c>
      <c r="F289" s="64">
        <v>5</v>
      </c>
      <c r="G289" s="64">
        <v>60</v>
      </c>
      <c r="H289" s="65"/>
      <c r="I289" s="65"/>
      <c r="J289" s="66"/>
      <c r="K289" s="65" t="s">
        <v>304</v>
      </c>
      <c r="L289" s="64" t="s">
        <v>246</v>
      </c>
      <c r="M289" s="64" t="s">
        <v>240</v>
      </c>
      <c r="N289" s="64" t="s">
        <v>247</v>
      </c>
      <c r="O289" s="64" t="s">
        <v>241</v>
      </c>
      <c r="P289" s="69"/>
      <c r="Q289" s="69"/>
      <c r="R289" s="126">
        <v>50000</v>
      </c>
      <c r="S289" s="123" t="s">
        <v>248</v>
      </c>
      <c r="T289" s="124">
        <f t="shared" ref="T289:AC291" si="61">+$R289/4</f>
        <v>12500</v>
      </c>
      <c r="U289" s="75"/>
      <c r="V289" s="674">
        <v>0</v>
      </c>
      <c r="W289" s="75">
        <f t="shared" si="61"/>
        <v>12500</v>
      </c>
      <c r="X289" s="75"/>
      <c r="Y289" s="834">
        <f t="shared" si="60"/>
        <v>0</v>
      </c>
      <c r="Z289" s="75">
        <f t="shared" si="61"/>
        <v>12500</v>
      </c>
      <c r="AA289" s="75"/>
      <c r="AB289" s="75"/>
      <c r="AC289" s="75">
        <f t="shared" si="61"/>
        <v>12500</v>
      </c>
      <c r="AD289" s="75"/>
      <c r="AE289" s="592"/>
      <c r="AF289" s="348" t="s">
        <v>260</v>
      </c>
      <c r="AG289" s="129">
        <v>0</v>
      </c>
      <c r="AH289" s="370">
        <v>0</v>
      </c>
      <c r="AI289" s="75"/>
      <c r="AJ289" s="75"/>
      <c r="AK289" s="75"/>
      <c r="AL289" s="75"/>
      <c r="AM289" s="75"/>
      <c r="AN289" s="64" t="s">
        <v>39</v>
      </c>
      <c r="AO289" s="64"/>
      <c r="AP289" s="64"/>
      <c r="AQ289" s="189"/>
      <c r="AR289" s="64"/>
      <c r="AS289" s="476"/>
      <c r="AT289" s="64"/>
      <c r="AU289" s="646"/>
      <c r="AV289" s="335" t="s">
        <v>261</v>
      </c>
    </row>
    <row r="290" spans="1:48" ht="30" outlineLevel="4" x14ac:dyDescent="0.25">
      <c r="A290" s="63" t="str">
        <f t="shared" si="52"/>
        <v>1.3.1.7.6.60</v>
      </c>
      <c r="B290" s="64">
        <v>1</v>
      </c>
      <c r="C290" s="64">
        <v>3</v>
      </c>
      <c r="D290" s="64">
        <v>1</v>
      </c>
      <c r="E290" s="64">
        <v>7</v>
      </c>
      <c r="F290" s="64">
        <v>6</v>
      </c>
      <c r="G290" s="64">
        <v>60</v>
      </c>
      <c r="H290" s="65"/>
      <c r="I290" s="65"/>
      <c r="J290" s="66"/>
      <c r="K290" s="65" t="s">
        <v>305</v>
      </c>
      <c r="L290" s="64" t="s">
        <v>246</v>
      </c>
      <c r="M290" s="64" t="s">
        <v>240</v>
      </c>
      <c r="N290" s="64" t="s">
        <v>354</v>
      </c>
      <c r="O290" s="64" t="s">
        <v>241</v>
      </c>
      <c r="P290" s="69"/>
      <c r="Q290" s="69"/>
      <c r="R290" s="126">
        <v>1000000</v>
      </c>
      <c r="S290" s="123" t="s">
        <v>248</v>
      </c>
      <c r="T290" s="124">
        <f t="shared" si="61"/>
        <v>250000</v>
      </c>
      <c r="U290" s="75"/>
      <c r="V290" s="674">
        <v>0</v>
      </c>
      <c r="W290" s="75">
        <f t="shared" si="61"/>
        <v>250000</v>
      </c>
      <c r="X290" s="75"/>
      <c r="Y290" s="834">
        <f t="shared" si="60"/>
        <v>0</v>
      </c>
      <c r="Z290" s="75">
        <f t="shared" si="61"/>
        <v>250000</v>
      </c>
      <c r="AA290" s="75"/>
      <c r="AB290" s="75"/>
      <c r="AC290" s="75">
        <f t="shared" si="61"/>
        <v>250000</v>
      </c>
      <c r="AD290" s="75"/>
      <c r="AE290" s="592"/>
      <c r="AF290" s="348" t="s">
        <v>260</v>
      </c>
      <c r="AG290" s="129">
        <v>0</v>
      </c>
      <c r="AH290" s="370">
        <v>0</v>
      </c>
      <c r="AI290" s="75"/>
      <c r="AJ290" s="75"/>
      <c r="AK290" s="75"/>
      <c r="AL290" s="75"/>
      <c r="AM290" s="75"/>
      <c r="AN290" s="64" t="s">
        <v>39</v>
      </c>
      <c r="AO290" s="64"/>
      <c r="AP290" s="64"/>
      <c r="AQ290" s="189"/>
      <c r="AR290" s="64"/>
      <c r="AS290" s="476"/>
      <c r="AT290" s="64"/>
      <c r="AU290" s="646"/>
      <c r="AV290" s="335" t="s">
        <v>261</v>
      </c>
    </row>
    <row r="291" spans="1:48" outlineLevel="4" x14ac:dyDescent="0.25">
      <c r="A291" s="63" t="str">
        <f t="shared" si="52"/>
        <v>1.3.1.7.7.60</v>
      </c>
      <c r="B291" s="64">
        <v>1</v>
      </c>
      <c r="C291" s="64">
        <v>3</v>
      </c>
      <c r="D291" s="64">
        <v>1</v>
      </c>
      <c r="E291" s="64">
        <v>7</v>
      </c>
      <c r="F291" s="64">
        <v>7</v>
      </c>
      <c r="G291" s="64">
        <v>60</v>
      </c>
      <c r="H291" s="65"/>
      <c r="I291" s="65"/>
      <c r="J291" s="66"/>
      <c r="K291" s="65" t="s">
        <v>332</v>
      </c>
      <c r="L291" s="64" t="s">
        <v>246</v>
      </c>
      <c r="M291" s="64" t="s">
        <v>240</v>
      </c>
      <c r="N291" s="64" t="s">
        <v>329</v>
      </c>
      <c r="O291" s="64" t="s">
        <v>241</v>
      </c>
      <c r="P291" s="69"/>
      <c r="Q291" s="69"/>
      <c r="R291" s="126">
        <v>15000</v>
      </c>
      <c r="S291" s="123" t="s">
        <v>248</v>
      </c>
      <c r="T291" s="124">
        <f t="shared" si="61"/>
        <v>3750</v>
      </c>
      <c r="U291" s="75"/>
      <c r="V291" s="674">
        <v>0</v>
      </c>
      <c r="W291" s="75">
        <f t="shared" si="61"/>
        <v>3750</v>
      </c>
      <c r="X291" s="75"/>
      <c r="Y291" s="834">
        <f t="shared" si="60"/>
        <v>0</v>
      </c>
      <c r="Z291" s="75">
        <f t="shared" si="61"/>
        <v>3750</v>
      </c>
      <c r="AA291" s="75"/>
      <c r="AB291" s="75"/>
      <c r="AC291" s="75">
        <f t="shared" si="61"/>
        <v>3750</v>
      </c>
      <c r="AD291" s="75"/>
      <c r="AE291" s="592"/>
      <c r="AF291" s="348" t="s">
        <v>260</v>
      </c>
      <c r="AG291" s="129">
        <v>0</v>
      </c>
      <c r="AH291" s="370">
        <v>0</v>
      </c>
      <c r="AI291" s="75"/>
      <c r="AJ291" s="75"/>
      <c r="AK291" s="75"/>
      <c r="AL291" s="75"/>
      <c r="AM291" s="75"/>
      <c r="AN291" s="64" t="s">
        <v>39</v>
      </c>
      <c r="AO291" s="64"/>
      <c r="AP291" s="64"/>
      <c r="AQ291" s="189"/>
      <c r="AR291" s="64"/>
      <c r="AS291" s="476"/>
      <c r="AT291" s="64"/>
      <c r="AU291" s="646"/>
      <c r="AV291" s="185"/>
    </row>
    <row r="292" spans="1:48" ht="22.35" customHeight="1" outlineLevel="4" x14ac:dyDescent="0.25">
      <c r="A292" s="63" t="str">
        <f t="shared" si="52"/>
        <v>1.3.1.7.8.60</v>
      </c>
      <c r="B292" s="64">
        <v>1</v>
      </c>
      <c r="C292" s="64">
        <v>3</v>
      </c>
      <c r="D292" s="64">
        <v>1</v>
      </c>
      <c r="E292" s="64">
        <v>7</v>
      </c>
      <c r="F292" s="64">
        <v>8</v>
      </c>
      <c r="G292" s="64">
        <v>60</v>
      </c>
      <c r="H292" s="65"/>
      <c r="I292" s="65"/>
      <c r="J292" s="66"/>
      <c r="K292" s="65" t="s">
        <v>263</v>
      </c>
      <c r="L292" s="64" t="s">
        <v>264</v>
      </c>
      <c r="M292" s="64" t="s">
        <v>76</v>
      </c>
      <c r="N292" s="64" t="s">
        <v>265</v>
      </c>
      <c r="O292" s="64" t="s">
        <v>266</v>
      </c>
      <c r="P292" s="69"/>
      <c r="Q292" s="69"/>
      <c r="R292" s="124"/>
      <c r="S292" s="123" t="s">
        <v>258</v>
      </c>
      <c r="T292" s="124"/>
      <c r="U292" s="75"/>
      <c r="V292" s="674">
        <v>0</v>
      </c>
      <c r="W292" s="75"/>
      <c r="X292" s="75"/>
      <c r="Y292" s="834">
        <f t="shared" si="60"/>
        <v>0</v>
      </c>
      <c r="Z292" s="75"/>
      <c r="AA292" s="75"/>
      <c r="AB292" s="75"/>
      <c r="AC292" s="75"/>
      <c r="AD292" s="75">
        <f>+AH292</f>
        <v>641600</v>
      </c>
      <c r="AE292" s="592"/>
      <c r="AF292" s="347" t="s">
        <v>144</v>
      </c>
      <c r="AG292" s="75">
        <v>641600</v>
      </c>
      <c r="AH292" s="370">
        <f>+((10*500)+(166*350)*22)/2</f>
        <v>641600</v>
      </c>
      <c r="AI292" s="75"/>
      <c r="AJ292" s="75"/>
      <c r="AK292" s="75"/>
      <c r="AL292" s="75"/>
      <c r="AM292" s="75"/>
      <c r="AN292" s="64" t="s">
        <v>181</v>
      </c>
      <c r="AO292" s="165"/>
      <c r="AP292" s="165"/>
      <c r="AQ292" s="413"/>
      <c r="AR292" s="64"/>
      <c r="AS292" s="475"/>
      <c r="AT292" s="64"/>
      <c r="AU292" s="646"/>
      <c r="AV292" s="432" t="s">
        <v>268</v>
      </c>
    </row>
    <row r="293" spans="1:48" ht="22.35" customHeight="1" outlineLevel="4" x14ac:dyDescent="0.25">
      <c r="A293" s="63" t="str">
        <f t="shared" si="52"/>
        <v>1.3.1.7.9.60</v>
      </c>
      <c r="B293" s="64">
        <v>1</v>
      </c>
      <c r="C293" s="64">
        <v>3</v>
      </c>
      <c r="D293" s="64">
        <v>1</v>
      </c>
      <c r="E293" s="64">
        <v>7</v>
      </c>
      <c r="F293" s="64">
        <v>9</v>
      </c>
      <c r="G293" s="64">
        <v>60</v>
      </c>
      <c r="H293" s="65"/>
      <c r="I293" s="65"/>
      <c r="J293" s="66"/>
      <c r="K293" s="65" t="s">
        <v>2024</v>
      </c>
      <c r="L293" s="64"/>
      <c r="M293" s="64"/>
      <c r="N293" s="64"/>
      <c r="O293" s="64"/>
      <c r="P293" s="69"/>
      <c r="Q293" s="69"/>
      <c r="R293" s="124"/>
      <c r="S293" s="123"/>
      <c r="T293" s="124"/>
      <c r="U293" s="75"/>
      <c r="V293" s="674"/>
      <c r="W293" s="75"/>
      <c r="X293" s="75"/>
      <c r="Y293" s="834"/>
      <c r="Z293" s="75"/>
      <c r="AA293" s="75"/>
      <c r="AB293" s="75"/>
      <c r="AC293" s="75"/>
      <c r="AD293" s="75"/>
      <c r="AE293" s="592"/>
      <c r="AF293" s="347"/>
      <c r="AG293" s="75"/>
      <c r="AH293" s="370"/>
      <c r="AI293" s="75"/>
      <c r="AJ293" s="75">
        <v>68014.95</v>
      </c>
      <c r="AK293" s="75"/>
      <c r="AL293" s="75"/>
      <c r="AM293" s="75"/>
      <c r="AN293" s="136" t="s">
        <v>39</v>
      </c>
      <c r="AO293" s="165" t="s">
        <v>1819</v>
      </c>
      <c r="AP293" s="165" t="s">
        <v>2190</v>
      </c>
      <c r="AQ293" s="413" t="s">
        <v>2191</v>
      </c>
      <c r="AR293" s="69">
        <v>44603</v>
      </c>
      <c r="AS293" s="562">
        <v>44631</v>
      </c>
      <c r="AT293" s="69">
        <v>44603</v>
      </c>
      <c r="AU293" s="879">
        <v>1163</v>
      </c>
      <c r="AV293" s="432"/>
    </row>
    <row r="294" spans="1:48" ht="46.35" customHeight="1" outlineLevel="4" x14ac:dyDescent="0.25">
      <c r="A294" s="63" t="str">
        <f t="shared" si="52"/>
        <v>1.3.1.7.11.60</v>
      </c>
      <c r="B294" s="64">
        <v>1</v>
      </c>
      <c r="C294" s="64">
        <v>3</v>
      </c>
      <c r="D294" s="64">
        <v>1</v>
      </c>
      <c r="E294" s="64">
        <v>7</v>
      </c>
      <c r="F294" s="64">
        <v>11</v>
      </c>
      <c r="G294" s="64">
        <v>60</v>
      </c>
      <c r="H294" s="65"/>
      <c r="I294" s="65"/>
      <c r="J294" s="66"/>
      <c r="K294" s="67" t="s">
        <v>355</v>
      </c>
      <c r="L294" s="68" t="s">
        <v>270</v>
      </c>
      <c r="M294" s="64" t="s">
        <v>279</v>
      </c>
      <c r="N294" s="64"/>
      <c r="O294" s="64"/>
      <c r="P294" s="69"/>
      <c r="Q294" s="69"/>
      <c r="R294" s="124"/>
      <c r="S294" s="123"/>
      <c r="T294" s="124"/>
      <c r="U294" s="75">
        <f>+AH294/2</f>
        <v>218750</v>
      </c>
      <c r="V294" s="674">
        <v>0</v>
      </c>
      <c r="W294" s="75"/>
      <c r="X294" s="75">
        <f>+AH294/2</f>
        <v>218750</v>
      </c>
      <c r="Y294" s="834">
        <f t="shared" ref="Y294:Y307" si="62">+AJ294-V294</f>
        <v>0</v>
      </c>
      <c r="Z294" s="75"/>
      <c r="AA294" s="75">
        <v>0</v>
      </c>
      <c r="AB294" s="75"/>
      <c r="AC294" s="75"/>
      <c r="AD294" s="75">
        <v>0</v>
      </c>
      <c r="AE294" s="592"/>
      <c r="AF294" s="347" t="s">
        <v>272</v>
      </c>
      <c r="AG294" s="75">
        <v>437500</v>
      </c>
      <c r="AH294" s="370">
        <v>437500</v>
      </c>
      <c r="AI294" s="75"/>
      <c r="AJ294" s="75"/>
      <c r="AK294" s="75"/>
      <c r="AL294" s="75"/>
      <c r="AM294" s="75"/>
      <c r="AN294" s="64" t="s">
        <v>39</v>
      </c>
      <c r="AO294" s="64"/>
      <c r="AP294" s="64"/>
      <c r="AQ294" s="189"/>
      <c r="AR294" s="64"/>
      <c r="AS294" s="476"/>
      <c r="AT294" s="64"/>
      <c r="AU294" s="646"/>
      <c r="AV294" s="335" t="s">
        <v>273</v>
      </c>
    </row>
    <row r="295" spans="1:48" ht="45" outlineLevel="4" x14ac:dyDescent="0.25">
      <c r="A295" s="63" t="str">
        <f t="shared" si="52"/>
        <v>1.3.1.7.13.60</v>
      </c>
      <c r="B295" s="64">
        <v>1</v>
      </c>
      <c r="C295" s="64">
        <v>3</v>
      </c>
      <c r="D295" s="64">
        <v>1</v>
      </c>
      <c r="E295" s="64">
        <v>7</v>
      </c>
      <c r="F295" s="64">
        <v>13</v>
      </c>
      <c r="G295" s="100">
        <v>60</v>
      </c>
      <c r="H295" s="65"/>
      <c r="I295" s="65"/>
      <c r="J295" s="66"/>
      <c r="K295" s="67" t="s">
        <v>356</v>
      </c>
      <c r="L295" s="64" t="s">
        <v>72</v>
      </c>
      <c r="M295" s="64" t="s">
        <v>267</v>
      </c>
      <c r="N295" s="64" t="s">
        <v>265</v>
      </c>
      <c r="O295" s="64" t="s">
        <v>275</v>
      </c>
      <c r="P295" s="69"/>
      <c r="Q295" s="69"/>
      <c r="R295" s="124">
        <v>12</v>
      </c>
      <c r="S295" s="123"/>
      <c r="T295" s="124">
        <v>3</v>
      </c>
      <c r="U295" s="75">
        <v>5829257.2000000002</v>
      </c>
      <c r="V295" s="674">
        <v>6065325</v>
      </c>
      <c r="W295" s="75">
        <v>3</v>
      </c>
      <c r="X295" s="78">
        <v>4852026.9800000004</v>
      </c>
      <c r="Y295" s="834">
        <f t="shared" si="62"/>
        <v>5997111.7400000002</v>
      </c>
      <c r="Z295" s="75">
        <v>3</v>
      </c>
      <c r="AA295" s="78">
        <v>4552026.9800000004</v>
      </c>
      <c r="AB295" s="75"/>
      <c r="AC295" s="75">
        <v>3</v>
      </c>
      <c r="AD295" s="78">
        <v>4852026.9800000004</v>
      </c>
      <c r="AE295" s="592"/>
      <c r="AF295" s="259" t="s">
        <v>309</v>
      </c>
      <c r="AG295" s="75">
        <v>7821450</v>
      </c>
      <c r="AH295" s="370">
        <f>15642900</f>
        <v>15642900</v>
      </c>
      <c r="AI295" s="75"/>
      <c r="AJ295" s="75">
        <f>134889.3+1707801.9+117595.8+1960287+92232+2052519+1966627.95+1985458.64+2045025.15</f>
        <v>12062436.74</v>
      </c>
      <c r="AK295" s="75"/>
      <c r="AL295" s="75"/>
      <c r="AM295" s="75"/>
      <c r="AN295" s="64" t="s">
        <v>39</v>
      </c>
      <c r="AO295" s="165" t="s">
        <v>144</v>
      </c>
      <c r="AP295" s="557" t="s">
        <v>649</v>
      </c>
      <c r="AQ295" s="557" t="s">
        <v>649</v>
      </c>
      <c r="AR295" s="558">
        <v>44562</v>
      </c>
      <c r="AS295" s="559">
        <v>44926</v>
      </c>
      <c r="AT295" s="64" t="s">
        <v>1814</v>
      </c>
      <c r="AU295" s="875" t="s">
        <v>2067</v>
      </c>
      <c r="AV295" s="539" t="s">
        <v>2068</v>
      </c>
    </row>
    <row r="296" spans="1:48" ht="30" outlineLevel="4" x14ac:dyDescent="0.25">
      <c r="A296" s="63" t="str">
        <f t="shared" si="52"/>
        <v>1.3.1.7.16.60</v>
      </c>
      <c r="B296" s="64">
        <v>1</v>
      </c>
      <c r="C296" s="64">
        <v>3</v>
      </c>
      <c r="D296" s="64">
        <v>1</v>
      </c>
      <c r="E296" s="64">
        <v>7</v>
      </c>
      <c r="F296" s="64">
        <v>16</v>
      </c>
      <c r="G296" s="64">
        <v>60</v>
      </c>
      <c r="H296" s="65"/>
      <c r="I296" s="65"/>
      <c r="J296" s="66"/>
      <c r="K296" s="67" t="s">
        <v>357</v>
      </c>
      <c r="L296" s="64" t="s">
        <v>72</v>
      </c>
      <c r="M296" s="64" t="s">
        <v>271</v>
      </c>
      <c r="N296" s="64" t="s">
        <v>307</v>
      </c>
      <c r="O296" s="64" t="s">
        <v>277</v>
      </c>
      <c r="P296" s="69"/>
      <c r="Q296" s="69"/>
      <c r="R296" s="124"/>
      <c r="S296" s="123"/>
      <c r="T296" s="124"/>
      <c r="U296" s="75">
        <v>100000</v>
      </c>
      <c r="V296" s="674">
        <v>0</v>
      </c>
      <c r="W296" s="75"/>
      <c r="X296" s="75">
        <v>75000</v>
      </c>
      <c r="Y296" s="834">
        <f t="shared" si="62"/>
        <v>0</v>
      </c>
      <c r="Z296" s="75"/>
      <c r="AA296" s="75">
        <v>75000</v>
      </c>
      <c r="AB296" s="75"/>
      <c r="AC296" s="75"/>
      <c r="AD296" s="75"/>
      <c r="AE296" s="592"/>
      <c r="AF296" s="347" t="s">
        <v>278</v>
      </c>
      <c r="AG296" s="75">
        <v>250000</v>
      </c>
      <c r="AH296" s="370">
        <v>350000</v>
      </c>
      <c r="AI296" s="75"/>
      <c r="AJ296" s="75"/>
      <c r="AK296" s="75"/>
      <c r="AL296" s="75"/>
      <c r="AM296" s="75"/>
      <c r="AN296" s="64" t="s">
        <v>39</v>
      </c>
      <c r="AO296" s="64"/>
      <c r="AP296" s="64"/>
      <c r="AQ296" s="413"/>
      <c r="AR296" s="165"/>
      <c r="AS296" s="475"/>
      <c r="AT296" s="64"/>
      <c r="AU296" s="646"/>
      <c r="AV296" s="540"/>
    </row>
    <row r="297" spans="1:48" ht="57" customHeight="1" outlineLevel="4" x14ac:dyDescent="0.25">
      <c r="A297" s="63" t="str">
        <f t="shared" si="52"/>
        <v>1.3.1.7.17.60</v>
      </c>
      <c r="B297" s="64">
        <v>1</v>
      </c>
      <c r="C297" s="64">
        <v>3</v>
      </c>
      <c r="D297" s="64">
        <v>1</v>
      </c>
      <c r="E297" s="64">
        <v>7</v>
      </c>
      <c r="F297" s="64">
        <v>17</v>
      </c>
      <c r="G297" s="64">
        <v>60</v>
      </c>
      <c r="H297" s="65"/>
      <c r="I297" s="65"/>
      <c r="J297" s="66"/>
      <c r="K297" s="67" t="s">
        <v>1895</v>
      </c>
      <c r="L297" s="64" t="s">
        <v>72</v>
      </c>
      <c r="M297" s="64" t="s">
        <v>279</v>
      </c>
      <c r="N297" s="64" t="s">
        <v>307</v>
      </c>
      <c r="O297" s="68" t="s">
        <v>277</v>
      </c>
      <c r="P297" s="69"/>
      <c r="Q297" s="69"/>
      <c r="R297" s="124"/>
      <c r="S297" s="123"/>
      <c r="T297" s="124"/>
      <c r="U297" s="75">
        <v>75000</v>
      </c>
      <c r="V297" s="674">
        <v>51202.16</v>
      </c>
      <c r="W297" s="75"/>
      <c r="X297" s="75">
        <v>75000</v>
      </c>
      <c r="Y297" s="834">
        <f t="shared" si="62"/>
        <v>17646.190000000002</v>
      </c>
      <c r="Z297" s="75"/>
      <c r="AA297" s="75">
        <v>50000</v>
      </c>
      <c r="AB297" s="75"/>
      <c r="AC297" s="75"/>
      <c r="AD297" s="75"/>
      <c r="AE297" s="592"/>
      <c r="AF297" s="259" t="s">
        <v>279</v>
      </c>
      <c r="AG297" s="75">
        <v>200000</v>
      </c>
      <c r="AH297" s="370">
        <v>200000</v>
      </c>
      <c r="AI297" s="75"/>
      <c r="AJ297" s="536">
        <f>8084.68+8344.29+7349.74+27423.45+17646.19</f>
        <v>68848.350000000006</v>
      </c>
      <c r="AK297" s="75"/>
      <c r="AL297" s="75"/>
      <c r="AM297" s="75"/>
      <c r="AN297" s="64" t="s">
        <v>39</v>
      </c>
      <c r="AO297" s="64" t="s">
        <v>1819</v>
      </c>
      <c r="AP297" s="68" t="s">
        <v>2110</v>
      </c>
      <c r="AQ297" s="68" t="s">
        <v>2111</v>
      </c>
      <c r="AR297" s="544" t="s">
        <v>2108</v>
      </c>
      <c r="AS297" s="544" t="s">
        <v>2109</v>
      </c>
      <c r="AT297" s="460"/>
      <c r="AU297" s="891" t="s">
        <v>2248</v>
      </c>
      <c r="AV297" s="538" t="s">
        <v>2019</v>
      </c>
    </row>
    <row r="298" spans="1:48" outlineLevel="4" x14ac:dyDescent="0.25">
      <c r="A298" s="63" t="str">
        <f t="shared" si="52"/>
        <v>1.3.1.7.21.60</v>
      </c>
      <c r="B298" s="64">
        <v>1</v>
      </c>
      <c r="C298" s="64">
        <v>3</v>
      </c>
      <c r="D298" s="64">
        <v>1</v>
      </c>
      <c r="E298" s="64">
        <v>7</v>
      </c>
      <c r="F298" s="64">
        <v>21</v>
      </c>
      <c r="G298" s="64">
        <v>60</v>
      </c>
      <c r="H298" s="65"/>
      <c r="I298" s="65"/>
      <c r="J298" s="66"/>
      <c r="K298" s="67" t="s">
        <v>280</v>
      </c>
      <c r="L298" s="64" t="s">
        <v>72</v>
      </c>
      <c r="M298" s="64" t="s">
        <v>271</v>
      </c>
      <c r="N298" s="64" t="s">
        <v>307</v>
      </c>
      <c r="O298" s="64" t="s">
        <v>281</v>
      </c>
      <c r="P298" s="69"/>
      <c r="Q298" s="69"/>
      <c r="R298" s="124"/>
      <c r="S298" s="123"/>
      <c r="T298" s="124"/>
      <c r="U298" s="75">
        <v>30000</v>
      </c>
      <c r="V298" s="674">
        <v>0</v>
      </c>
      <c r="W298" s="75"/>
      <c r="X298" s="75"/>
      <c r="Y298" s="834">
        <f t="shared" si="62"/>
        <v>0</v>
      </c>
      <c r="Z298" s="75"/>
      <c r="AA298" s="75"/>
      <c r="AB298" s="75"/>
      <c r="AC298" s="75"/>
      <c r="AD298" s="75"/>
      <c r="AE298" s="592"/>
      <c r="AF298" s="347" t="s">
        <v>166</v>
      </c>
      <c r="AG298" s="75">
        <v>30000</v>
      </c>
      <c r="AH298" s="370">
        <v>30000</v>
      </c>
      <c r="AI298" s="75"/>
      <c r="AJ298" s="75"/>
      <c r="AK298" s="75"/>
      <c r="AL298" s="75"/>
      <c r="AM298" s="75"/>
      <c r="AN298" s="64" t="s">
        <v>39</v>
      </c>
      <c r="AO298" s="64"/>
      <c r="AP298" s="64"/>
      <c r="AQ298" s="416"/>
      <c r="AR298" s="245"/>
      <c r="AS298" s="480"/>
      <c r="AT298" s="64"/>
      <c r="AU298" s="646"/>
      <c r="AV298" s="542" t="s">
        <v>358</v>
      </c>
    </row>
    <row r="299" spans="1:48" outlineLevel="4" x14ac:dyDescent="0.25">
      <c r="A299" s="63" t="str">
        <f t="shared" si="52"/>
        <v>1.3.1.7.22.60</v>
      </c>
      <c r="B299" s="64">
        <v>1</v>
      </c>
      <c r="C299" s="64">
        <v>3</v>
      </c>
      <c r="D299" s="64">
        <v>1</v>
      </c>
      <c r="E299" s="64">
        <v>7</v>
      </c>
      <c r="F299" s="64">
        <v>22</v>
      </c>
      <c r="G299" s="64">
        <v>60</v>
      </c>
      <c r="H299" s="65"/>
      <c r="I299" s="65"/>
      <c r="J299" s="66"/>
      <c r="K299" s="67" t="s">
        <v>283</v>
      </c>
      <c r="L299" s="64" t="s">
        <v>72</v>
      </c>
      <c r="M299" s="64" t="s">
        <v>271</v>
      </c>
      <c r="N299" s="64" t="s">
        <v>307</v>
      </c>
      <c r="O299" s="64" t="s">
        <v>281</v>
      </c>
      <c r="P299" s="69"/>
      <c r="Q299" s="69"/>
      <c r="R299" s="124"/>
      <c r="S299" s="123"/>
      <c r="T299" s="124"/>
      <c r="U299" s="75"/>
      <c r="V299" s="674">
        <v>0</v>
      </c>
      <c r="W299" s="75"/>
      <c r="X299" s="75">
        <v>10000</v>
      </c>
      <c r="Y299" s="834">
        <f t="shared" si="62"/>
        <v>0</v>
      </c>
      <c r="Z299" s="75"/>
      <c r="AA299" s="75"/>
      <c r="AB299" s="75"/>
      <c r="AC299" s="75"/>
      <c r="AD299" s="75"/>
      <c r="AE299" s="592"/>
      <c r="AF299" s="347" t="s">
        <v>166</v>
      </c>
      <c r="AG299" s="75">
        <v>10000</v>
      </c>
      <c r="AH299" s="370">
        <v>10000</v>
      </c>
      <c r="AI299" s="75"/>
      <c r="AJ299" s="75"/>
      <c r="AK299" s="75"/>
      <c r="AL299" s="75"/>
      <c r="AM299" s="75"/>
      <c r="AN299" s="64" t="s">
        <v>39</v>
      </c>
      <c r="AO299" s="64"/>
      <c r="AP299" s="64"/>
      <c r="AQ299" s="189"/>
      <c r="AR299" s="64"/>
      <c r="AS299" s="476"/>
      <c r="AT299" s="64"/>
      <c r="AU299" s="646"/>
      <c r="AV299" s="185"/>
    </row>
    <row r="300" spans="1:48" outlineLevel="4" x14ac:dyDescent="0.25">
      <c r="A300" s="63" t="str">
        <f t="shared" si="52"/>
        <v>1.3.1.7.23.60</v>
      </c>
      <c r="B300" s="64">
        <v>1</v>
      </c>
      <c r="C300" s="64">
        <v>3</v>
      </c>
      <c r="D300" s="64">
        <v>1</v>
      </c>
      <c r="E300" s="64">
        <v>7</v>
      </c>
      <c r="F300" s="64">
        <v>23</v>
      </c>
      <c r="G300" s="64">
        <v>60</v>
      </c>
      <c r="H300" s="65"/>
      <c r="I300" s="65"/>
      <c r="J300" s="66"/>
      <c r="K300" s="67" t="s">
        <v>284</v>
      </c>
      <c r="L300" s="64" t="s">
        <v>72</v>
      </c>
      <c r="M300" s="64" t="s">
        <v>271</v>
      </c>
      <c r="N300" s="64" t="s">
        <v>307</v>
      </c>
      <c r="O300" s="64" t="s">
        <v>281</v>
      </c>
      <c r="P300" s="69"/>
      <c r="Q300" s="131"/>
      <c r="R300" s="124"/>
      <c r="S300" s="123"/>
      <c r="T300" s="124"/>
      <c r="U300" s="75">
        <v>30000</v>
      </c>
      <c r="V300" s="674">
        <v>0</v>
      </c>
      <c r="W300" s="75"/>
      <c r="X300" s="75"/>
      <c r="Y300" s="834">
        <f t="shared" si="62"/>
        <v>0</v>
      </c>
      <c r="Z300" s="75"/>
      <c r="AA300" s="75"/>
      <c r="AB300" s="75"/>
      <c r="AC300" s="75"/>
      <c r="AD300" s="75"/>
      <c r="AE300" s="592"/>
      <c r="AF300" s="347" t="s">
        <v>166</v>
      </c>
      <c r="AG300" s="75">
        <v>30000</v>
      </c>
      <c r="AH300" s="370">
        <v>115000</v>
      </c>
      <c r="AI300" s="75"/>
      <c r="AJ300" s="75"/>
      <c r="AK300" s="75"/>
      <c r="AL300" s="75"/>
      <c r="AM300" s="75"/>
      <c r="AN300" s="64" t="s">
        <v>39</v>
      </c>
      <c r="AO300" s="64"/>
      <c r="AP300" s="64"/>
      <c r="AQ300" s="189"/>
      <c r="AR300" s="64"/>
      <c r="AS300" s="476"/>
      <c r="AT300" s="64"/>
      <c r="AU300" s="646"/>
      <c r="AV300" s="185"/>
    </row>
    <row r="301" spans="1:48" outlineLevel="4" x14ac:dyDescent="0.25">
      <c r="A301" s="63" t="str">
        <f t="shared" si="52"/>
        <v>1.3.1.7.26.60</v>
      </c>
      <c r="B301" s="64">
        <v>1</v>
      </c>
      <c r="C301" s="64">
        <v>3</v>
      </c>
      <c r="D301" s="64">
        <v>1</v>
      </c>
      <c r="E301" s="64">
        <v>7</v>
      </c>
      <c r="F301" s="64">
        <v>26</v>
      </c>
      <c r="G301" s="64">
        <v>60</v>
      </c>
      <c r="H301" s="65"/>
      <c r="I301" s="65"/>
      <c r="J301" s="66"/>
      <c r="K301" s="67" t="s">
        <v>286</v>
      </c>
      <c r="L301" s="64" t="s">
        <v>72</v>
      </c>
      <c r="M301" s="64" t="s">
        <v>73</v>
      </c>
      <c r="N301" s="64" t="s">
        <v>307</v>
      </c>
      <c r="O301" s="64" t="s">
        <v>281</v>
      </c>
      <c r="P301" s="69"/>
      <c r="Q301" s="69"/>
      <c r="R301" s="124"/>
      <c r="S301" s="123"/>
      <c r="T301" s="124"/>
      <c r="U301" s="75"/>
      <c r="V301" s="674">
        <v>0</v>
      </c>
      <c r="W301" s="75"/>
      <c r="X301" s="75"/>
      <c r="Y301" s="834">
        <f t="shared" si="62"/>
        <v>0</v>
      </c>
      <c r="Z301" s="75"/>
      <c r="AA301" s="75"/>
      <c r="AB301" s="75"/>
      <c r="AC301" s="75"/>
      <c r="AD301" s="75"/>
      <c r="AE301" s="592"/>
      <c r="AF301" s="347" t="s">
        <v>73</v>
      </c>
      <c r="AG301" s="75">
        <v>0</v>
      </c>
      <c r="AH301" s="370">
        <v>0</v>
      </c>
      <c r="AI301" s="75"/>
      <c r="AJ301" s="75"/>
      <c r="AK301" s="75"/>
      <c r="AL301" s="75"/>
      <c r="AM301" s="75"/>
      <c r="AN301" s="64" t="s">
        <v>39</v>
      </c>
      <c r="AO301" s="64"/>
      <c r="AP301" s="64"/>
      <c r="AQ301" s="189"/>
      <c r="AR301" s="64"/>
      <c r="AS301" s="476"/>
      <c r="AT301" s="64"/>
      <c r="AU301" s="646"/>
      <c r="AV301" s="185"/>
    </row>
    <row r="302" spans="1:48" outlineLevel="4" x14ac:dyDescent="0.25">
      <c r="A302" s="63" t="str">
        <f t="shared" si="52"/>
        <v>1.3.1.7.27.60</v>
      </c>
      <c r="B302" s="64">
        <v>1</v>
      </c>
      <c r="C302" s="64">
        <v>3</v>
      </c>
      <c r="D302" s="64">
        <v>1</v>
      </c>
      <c r="E302" s="64">
        <v>7</v>
      </c>
      <c r="F302" s="64">
        <v>27</v>
      </c>
      <c r="G302" s="64">
        <v>60</v>
      </c>
      <c r="H302" s="65"/>
      <c r="I302" s="65"/>
      <c r="J302" s="66"/>
      <c r="K302" s="67" t="s">
        <v>287</v>
      </c>
      <c r="L302" s="64" t="s">
        <v>72</v>
      </c>
      <c r="M302" s="64" t="s">
        <v>73</v>
      </c>
      <c r="N302" s="64"/>
      <c r="O302" s="64"/>
      <c r="P302" s="69"/>
      <c r="Q302" s="69"/>
      <c r="R302" s="124"/>
      <c r="S302" s="123"/>
      <c r="T302" s="124"/>
      <c r="U302" s="75"/>
      <c r="V302" s="674">
        <v>0</v>
      </c>
      <c r="W302" s="75"/>
      <c r="X302" s="75"/>
      <c r="Y302" s="834">
        <f t="shared" si="62"/>
        <v>0</v>
      </c>
      <c r="Z302" s="75"/>
      <c r="AA302" s="75"/>
      <c r="AB302" s="75"/>
      <c r="AC302" s="75"/>
      <c r="AD302" s="75"/>
      <c r="AE302" s="592"/>
      <c r="AF302" s="347" t="s">
        <v>73</v>
      </c>
      <c r="AG302" s="75">
        <v>0</v>
      </c>
      <c r="AH302" s="370">
        <v>0</v>
      </c>
      <c r="AI302" s="75"/>
      <c r="AJ302" s="75"/>
      <c r="AK302" s="75"/>
      <c r="AL302" s="75"/>
      <c r="AM302" s="75"/>
      <c r="AN302" s="64" t="s">
        <v>181</v>
      </c>
      <c r="AO302" s="64"/>
      <c r="AP302" s="64"/>
      <c r="AQ302" s="189"/>
      <c r="AR302" s="64"/>
      <c r="AS302" s="476"/>
      <c r="AT302" s="64"/>
      <c r="AU302" s="646"/>
      <c r="AV302" s="185" t="s">
        <v>127</v>
      </c>
    </row>
    <row r="303" spans="1:48" ht="75" outlineLevel="4" x14ac:dyDescent="0.25">
      <c r="A303" s="63" t="str">
        <f t="shared" si="52"/>
        <v>1.3.1.7.28.60</v>
      </c>
      <c r="B303" s="64">
        <v>1</v>
      </c>
      <c r="C303" s="64">
        <v>3</v>
      </c>
      <c r="D303" s="64">
        <v>1</v>
      </c>
      <c r="E303" s="64">
        <v>7</v>
      </c>
      <c r="F303" s="64">
        <v>28</v>
      </c>
      <c r="G303" s="64">
        <v>60</v>
      </c>
      <c r="H303" s="65"/>
      <c r="I303" s="65"/>
      <c r="J303" s="66"/>
      <c r="K303" s="67" t="s">
        <v>2206</v>
      </c>
      <c r="L303" s="64" t="s">
        <v>72</v>
      </c>
      <c r="M303" s="64" t="s">
        <v>279</v>
      </c>
      <c r="N303" s="64"/>
      <c r="O303" s="64"/>
      <c r="P303" s="69"/>
      <c r="Q303" s="69"/>
      <c r="R303" s="124"/>
      <c r="S303" s="123"/>
      <c r="T303" s="124"/>
      <c r="U303" s="75">
        <v>75000</v>
      </c>
      <c r="V303" s="674">
        <v>20474.05</v>
      </c>
      <c r="W303" s="75"/>
      <c r="X303" s="75">
        <v>75000</v>
      </c>
      <c r="Y303" s="834">
        <f t="shared" si="62"/>
        <v>21112.69</v>
      </c>
      <c r="Z303" s="75"/>
      <c r="AA303" s="75">
        <v>50000</v>
      </c>
      <c r="AB303" s="75"/>
      <c r="AC303" s="75"/>
      <c r="AD303" s="75"/>
      <c r="AE303" s="592"/>
      <c r="AF303" s="347" t="s">
        <v>73</v>
      </c>
      <c r="AG303" s="75">
        <v>200000</v>
      </c>
      <c r="AH303" s="370">
        <v>200000</v>
      </c>
      <c r="AI303" s="75"/>
      <c r="AJ303" s="536">
        <f>20474.05+17867.36+2178.81+1066.52</f>
        <v>41586.74</v>
      </c>
      <c r="AK303" s="75"/>
      <c r="AL303" s="75"/>
      <c r="AM303" s="75"/>
      <c r="AN303" s="64" t="s">
        <v>39</v>
      </c>
      <c r="AO303" s="547" t="s">
        <v>1819</v>
      </c>
      <c r="AP303" s="538" t="s">
        <v>2209</v>
      </c>
      <c r="AQ303" s="68" t="s">
        <v>2210</v>
      </c>
      <c r="AR303" s="64"/>
      <c r="AS303" s="548"/>
      <c r="AT303" s="546" t="s">
        <v>1823</v>
      </c>
      <c r="AU303" s="877" t="s">
        <v>2207</v>
      </c>
      <c r="AV303" s="791" t="s">
        <v>1820</v>
      </c>
    </row>
    <row r="304" spans="1:48" outlineLevel="4" x14ac:dyDescent="0.25">
      <c r="A304" s="63" t="str">
        <f t="shared" si="52"/>
        <v>1.3.1.7.29.60</v>
      </c>
      <c r="B304" s="64">
        <v>1</v>
      </c>
      <c r="C304" s="64">
        <v>3</v>
      </c>
      <c r="D304" s="64">
        <v>1</v>
      </c>
      <c r="E304" s="64">
        <v>7</v>
      </c>
      <c r="F304" s="64">
        <v>29</v>
      </c>
      <c r="G304" s="64">
        <v>60</v>
      </c>
      <c r="H304" s="65"/>
      <c r="I304" s="65"/>
      <c r="J304" s="66"/>
      <c r="K304" s="137" t="s">
        <v>352</v>
      </c>
      <c r="L304" s="64"/>
      <c r="M304" s="64"/>
      <c r="N304" s="64"/>
      <c r="O304" s="64"/>
      <c r="P304" s="69"/>
      <c r="Q304" s="69"/>
      <c r="R304" s="124"/>
      <c r="S304" s="123"/>
      <c r="T304" s="124"/>
      <c r="U304" s="75"/>
      <c r="V304" s="674">
        <v>0</v>
      </c>
      <c r="W304" s="75"/>
      <c r="X304" s="75"/>
      <c r="Y304" s="834">
        <f t="shared" si="62"/>
        <v>0</v>
      </c>
      <c r="Z304" s="75"/>
      <c r="AA304" s="75"/>
      <c r="AB304" s="75"/>
      <c r="AC304" s="75"/>
      <c r="AD304" s="75"/>
      <c r="AE304" s="592"/>
      <c r="AF304" s="347" t="s">
        <v>73</v>
      </c>
      <c r="AG304" s="75">
        <v>0</v>
      </c>
      <c r="AH304" s="370">
        <v>0</v>
      </c>
      <c r="AI304" s="75"/>
      <c r="AJ304" s="75"/>
      <c r="AK304" s="75"/>
      <c r="AL304" s="75"/>
      <c r="AM304" s="75"/>
      <c r="AN304" s="64" t="s">
        <v>39</v>
      </c>
      <c r="AO304" s="64"/>
      <c r="AP304" s="64"/>
      <c r="AQ304" s="189"/>
      <c r="AR304" s="64"/>
      <c r="AS304" s="476"/>
      <c r="AT304" s="64"/>
      <c r="AU304" s="646"/>
      <c r="AV304" s="185"/>
    </row>
    <row r="305" spans="1:48" ht="69.599999999999994" customHeight="1" outlineLevel="4" x14ac:dyDescent="0.25">
      <c r="A305" s="63" t="str">
        <f t="shared" si="52"/>
        <v>1.3.1.7.30.60</v>
      </c>
      <c r="B305" s="64">
        <v>1</v>
      </c>
      <c r="C305" s="64">
        <v>3</v>
      </c>
      <c r="D305" s="64">
        <v>1</v>
      </c>
      <c r="E305" s="64">
        <v>7</v>
      </c>
      <c r="F305" s="64">
        <v>30</v>
      </c>
      <c r="G305" s="100">
        <v>60</v>
      </c>
      <c r="H305" s="65"/>
      <c r="I305" s="65"/>
      <c r="J305" s="66"/>
      <c r="K305" s="67" t="s">
        <v>326</v>
      </c>
      <c r="L305" s="64" t="s">
        <v>72</v>
      </c>
      <c r="M305" s="64" t="s">
        <v>279</v>
      </c>
      <c r="N305" s="64"/>
      <c r="O305" s="64"/>
      <c r="P305" s="69"/>
      <c r="Q305" s="69"/>
      <c r="R305" s="124"/>
      <c r="S305" s="123"/>
      <c r="T305" s="124"/>
      <c r="U305" s="75">
        <v>0</v>
      </c>
      <c r="V305" s="674">
        <v>0</v>
      </c>
      <c r="W305" s="75"/>
      <c r="X305" s="75">
        <v>0</v>
      </c>
      <c r="Y305" s="834">
        <f t="shared" si="62"/>
        <v>0</v>
      </c>
      <c r="Z305" s="75"/>
      <c r="AA305" s="75">
        <v>0</v>
      </c>
      <c r="AB305" s="75"/>
      <c r="AC305" s="75"/>
      <c r="AD305" s="75">
        <v>0</v>
      </c>
      <c r="AE305" s="592"/>
      <c r="AF305" s="347" t="s">
        <v>272</v>
      </c>
      <c r="AG305" s="75">
        <v>1750000</v>
      </c>
      <c r="AH305" s="370">
        <v>0</v>
      </c>
      <c r="AI305" s="75"/>
      <c r="AJ305" s="75"/>
      <c r="AK305" s="75"/>
      <c r="AL305" s="75"/>
      <c r="AM305" s="75"/>
      <c r="AN305" s="64" t="s">
        <v>39</v>
      </c>
      <c r="AO305" s="64"/>
      <c r="AP305" s="64"/>
      <c r="AQ305" s="189"/>
      <c r="AR305" s="64"/>
      <c r="AS305" s="476"/>
      <c r="AT305" s="64"/>
      <c r="AU305" s="646"/>
      <c r="AV305" s="335" t="s">
        <v>295</v>
      </c>
    </row>
    <row r="306" spans="1:48" outlineLevel="4" x14ac:dyDescent="0.25">
      <c r="A306" s="63" t="str">
        <f t="shared" si="52"/>
        <v>1.3.1.7.31.60</v>
      </c>
      <c r="B306" s="64">
        <v>1</v>
      </c>
      <c r="C306" s="64">
        <v>3</v>
      </c>
      <c r="D306" s="64">
        <v>1</v>
      </c>
      <c r="E306" s="64">
        <v>7</v>
      </c>
      <c r="F306" s="64">
        <v>31</v>
      </c>
      <c r="G306" s="64">
        <v>60</v>
      </c>
      <c r="H306" s="65"/>
      <c r="I306" s="65"/>
      <c r="J306" s="66"/>
      <c r="K306" s="67" t="s">
        <v>296</v>
      </c>
      <c r="L306" s="64" t="s">
        <v>359</v>
      </c>
      <c r="M306" s="64" t="s">
        <v>272</v>
      </c>
      <c r="N306" s="64" t="s">
        <v>360</v>
      </c>
      <c r="O306" s="64" t="s">
        <v>361</v>
      </c>
      <c r="P306" s="147"/>
      <c r="Q306" s="147"/>
      <c r="R306" s="124"/>
      <c r="S306" s="123"/>
      <c r="T306" s="124"/>
      <c r="U306" s="75">
        <v>75000</v>
      </c>
      <c r="V306" s="674">
        <v>0</v>
      </c>
      <c r="W306" s="75"/>
      <c r="X306" s="75">
        <v>75000</v>
      </c>
      <c r="Y306" s="859">
        <f t="shared" si="62"/>
        <v>0</v>
      </c>
      <c r="Z306" s="75"/>
      <c r="AA306" s="75">
        <v>50000</v>
      </c>
      <c r="AB306" s="75"/>
      <c r="AC306" s="75"/>
      <c r="AD306" s="75"/>
      <c r="AE306" s="592"/>
      <c r="AF306" s="348" t="s">
        <v>362</v>
      </c>
      <c r="AG306" s="129">
        <v>200000</v>
      </c>
      <c r="AH306" s="370">
        <v>200000</v>
      </c>
      <c r="AI306" s="75"/>
      <c r="AJ306" s="132"/>
      <c r="AK306" s="75"/>
      <c r="AL306" s="75"/>
      <c r="AM306" s="75"/>
      <c r="AN306" s="64" t="s">
        <v>39</v>
      </c>
      <c r="AO306" s="64"/>
      <c r="AP306" s="64"/>
      <c r="AQ306" s="68"/>
      <c r="AR306" s="64"/>
      <c r="AS306" s="476"/>
      <c r="AT306" s="64"/>
      <c r="AU306" s="860"/>
      <c r="AV306" s="68"/>
    </row>
    <row r="307" spans="1:48" outlineLevel="4" x14ac:dyDescent="0.25">
      <c r="A307" s="63" t="str">
        <f>CONCATENATE(B307,".",C307,".",D307,".",E307,".",F307,".",G307)</f>
        <v>1.3.1.7.33.60</v>
      </c>
      <c r="B307" s="64">
        <v>1</v>
      </c>
      <c r="C307" s="64">
        <v>3</v>
      </c>
      <c r="D307" s="64">
        <v>1</v>
      </c>
      <c r="E307" s="64">
        <v>7</v>
      </c>
      <c r="F307" s="64">
        <v>33</v>
      </c>
      <c r="G307" s="64">
        <v>60</v>
      </c>
      <c r="H307" s="65"/>
      <c r="I307" s="65"/>
      <c r="J307" s="66"/>
      <c r="K307" s="67" t="s">
        <v>298</v>
      </c>
      <c r="L307" s="64" t="s">
        <v>359</v>
      </c>
      <c r="M307" s="64" t="s">
        <v>299</v>
      </c>
      <c r="N307" s="64"/>
      <c r="O307" s="64"/>
      <c r="P307" s="147"/>
      <c r="Q307" s="147"/>
      <c r="R307" s="124"/>
      <c r="S307" s="123"/>
      <c r="T307" s="124"/>
      <c r="U307" s="75">
        <v>30000</v>
      </c>
      <c r="V307" s="674">
        <v>20000</v>
      </c>
      <c r="W307" s="75"/>
      <c r="X307" s="75">
        <v>30000</v>
      </c>
      <c r="Y307" s="858">
        <f t="shared" si="62"/>
        <v>10000</v>
      </c>
      <c r="Z307" s="75"/>
      <c r="AA307" s="75">
        <v>20000</v>
      </c>
      <c r="AB307" s="75"/>
      <c r="AC307" s="75"/>
      <c r="AD307" s="75"/>
      <c r="AE307" s="592"/>
      <c r="AF307" s="348"/>
      <c r="AG307" s="370">
        <v>0</v>
      </c>
      <c r="AH307" s="377">
        <v>80000</v>
      </c>
      <c r="AI307" s="75"/>
      <c r="AJ307" s="132">
        <f>20000+10000</f>
        <v>30000</v>
      </c>
      <c r="AK307" s="75"/>
      <c r="AL307" s="75"/>
      <c r="AM307" s="75"/>
      <c r="AN307" s="64" t="s">
        <v>282</v>
      </c>
      <c r="AO307" s="64" t="s">
        <v>1819</v>
      </c>
      <c r="AP307" s="64" t="s">
        <v>2025</v>
      </c>
      <c r="AQ307" s="64" t="s">
        <v>2026</v>
      </c>
      <c r="AR307" s="69">
        <v>44428</v>
      </c>
      <c r="AS307" s="69">
        <v>44977</v>
      </c>
      <c r="AT307" s="64" t="s">
        <v>1814</v>
      </c>
      <c r="AU307" s="877" t="s">
        <v>2094</v>
      </c>
      <c r="AV307" s="434" t="s">
        <v>2027</v>
      </c>
    </row>
    <row r="308" spans="1:48" s="153" customFormat="1" ht="26.25" customHeight="1" outlineLevel="1" x14ac:dyDescent="0.25">
      <c r="A308" s="148" t="str">
        <f t="shared" si="52"/>
        <v>1.3.1.8.0.0</v>
      </c>
      <c r="B308" s="82">
        <v>1</v>
      </c>
      <c r="C308" s="82">
        <v>3</v>
      </c>
      <c r="D308" s="82">
        <v>1</v>
      </c>
      <c r="E308" s="82">
        <v>8</v>
      </c>
      <c r="F308" s="82">
        <v>0</v>
      </c>
      <c r="G308" s="82">
        <v>0</v>
      </c>
      <c r="H308" s="149"/>
      <c r="I308" s="149"/>
      <c r="J308" s="1260" t="s">
        <v>363</v>
      </c>
      <c r="K308" s="1260"/>
      <c r="L308" s="82" t="s">
        <v>236</v>
      </c>
      <c r="M308" s="82" t="s">
        <v>240</v>
      </c>
      <c r="N308" s="82" t="s">
        <v>226</v>
      </c>
      <c r="O308" s="82">
        <v>0</v>
      </c>
      <c r="P308" s="82"/>
      <c r="Q308" s="82"/>
      <c r="R308" s="369">
        <f t="shared" ref="R308:AG308" si="63">SUM(R309)</f>
        <v>0</v>
      </c>
      <c r="S308" s="369">
        <f t="shared" si="63"/>
        <v>0</v>
      </c>
      <c r="T308" s="369">
        <f t="shared" si="63"/>
        <v>0</v>
      </c>
      <c r="U308" s="369">
        <f t="shared" si="63"/>
        <v>0</v>
      </c>
      <c r="V308" s="677">
        <f t="shared" si="63"/>
        <v>0</v>
      </c>
      <c r="W308" s="369">
        <f t="shared" si="63"/>
        <v>0</v>
      </c>
      <c r="X308" s="369">
        <f t="shared" si="63"/>
        <v>0</v>
      </c>
      <c r="Y308" s="840">
        <f t="shared" si="63"/>
        <v>0</v>
      </c>
      <c r="Z308" s="369">
        <f t="shared" si="63"/>
        <v>0</v>
      </c>
      <c r="AA308" s="369">
        <f t="shared" si="63"/>
        <v>0</v>
      </c>
      <c r="AB308" s="369">
        <f t="shared" si="63"/>
        <v>0</v>
      </c>
      <c r="AC308" s="369">
        <f t="shared" si="63"/>
        <v>0</v>
      </c>
      <c r="AD308" s="369">
        <f t="shared" si="63"/>
        <v>0</v>
      </c>
      <c r="AE308" s="369">
        <f t="shared" si="63"/>
        <v>0</v>
      </c>
      <c r="AF308" s="369">
        <f t="shared" si="63"/>
        <v>0</v>
      </c>
      <c r="AG308" s="369">
        <f t="shared" si="63"/>
        <v>0</v>
      </c>
      <c r="AH308" s="369">
        <f>SUM(AH309)</f>
        <v>0</v>
      </c>
      <c r="AI308" s="369">
        <f>SUM(AI309)</f>
        <v>0</v>
      </c>
      <c r="AJ308" s="369">
        <f>SUM(AJ309)</f>
        <v>0</v>
      </c>
      <c r="AK308" s="61"/>
      <c r="AL308" s="61"/>
      <c r="AM308" s="61"/>
      <c r="AN308" s="81" t="s">
        <v>181</v>
      </c>
      <c r="AO308" s="81"/>
      <c r="AP308" s="81"/>
      <c r="AQ308" s="412"/>
      <c r="AR308" s="81"/>
      <c r="AS308" s="474"/>
      <c r="AT308" s="81"/>
      <c r="AU308" s="663"/>
      <c r="AV308" s="427"/>
    </row>
    <row r="309" spans="1:48" ht="25.5" customHeight="1" outlineLevel="2" x14ac:dyDescent="0.25">
      <c r="A309" s="63" t="str">
        <f t="shared" si="52"/>
        <v>1.3.1.8.1.07</v>
      </c>
      <c r="B309" s="64">
        <v>1</v>
      </c>
      <c r="C309" s="64">
        <v>3</v>
      </c>
      <c r="D309" s="64">
        <v>1</v>
      </c>
      <c r="E309" s="64">
        <v>8</v>
      </c>
      <c r="F309" s="64">
        <v>1</v>
      </c>
      <c r="G309" s="206" t="s">
        <v>723</v>
      </c>
      <c r="H309" s="65"/>
      <c r="I309" s="65"/>
      <c r="J309" s="66"/>
      <c r="K309" s="65" t="s">
        <v>364</v>
      </c>
      <c r="L309" s="64" t="s">
        <v>246</v>
      </c>
      <c r="M309" s="64" t="s">
        <v>365</v>
      </c>
      <c r="N309" s="64" t="s">
        <v>247</v>
      </c>
      <c r="O309" s="64" t="s">
        <v>241</v>
      </c>
      <c r="P309" s="64"/>
      <c r="Q309" s="64"/>
      <c r="R309" s="124"/>
      <c r="S309" s="123"/>
      <c r="T309" s="124"/>
      <c r="U309" s="75"/>
      <c r="V309" s="821">
        <v>0</v>
      </c>
      <c r="W309" s="75"/>
      <c r="X309" s="75"/>
      <c r="Y309" s="834">
        <f>+AJ309-V309</f>
        <v>0</v>
      </c>
      <c r="Z309" s="75"/>
      <c r="AA309" s="75"/>
      <c r="AB309" s="75"/>
      <c r="AC309" s="75"/>
      <c r="AD309" s="75"/>
      <c r="AE309" s="592"/>
      <c r="AF309" s="347"/>
      <c r="AG309" s="370">
        <v>0</v>
      </c>
      <c r="AH309" s="370">
        <v>0</v>
      </c>
      <c r="AI309" s="154"/>
      <c r="AJ309" s="154"/>
      <c r="AK309" s="154"/>
      <c r="AL309" s="154"/>
      <c r="AM309" s="154"/>
      <c r="AN309" s="98" t="s">
        <v>181</v>
      </c>
      <c r="AO309" s="98"/>
      <c r="AP309" s="98"/>
      <c r="AQ309" s="184"/>
      <c r="AR309" s="98"/>
      <c r="AS309" s="481"/>
      <c r="AT309" s="98"/>
      <c r="AU309" s="646"/>
      <c r="AV309" s="440"/>
    </row>
    <row r="310" spans="1:48" s="153" customFormat="1" ht="69" customHeight="1" outlineLevel="1" x14ac:dyDescent="0.25">
      <c r="A310" s="148" t="str">
        <f t="shared" si="52"/>
        <v>1.3.1.9.0.0</v>
      </c>
      <c r="B310" s="82">
        <v>1</v>
      </c>
      <c r="C310" s="82">
        <v>3</v>
      </c>
      <c r="D310" s="82">
        <v>1</v>
      </c>
      <c r="E310" s="82">
        <v>9</v>
      </c>
      <c r="F310" s="82">
        <v>0</v>
      </c>
      <c r="G310" s="82">
        <v>0</v>
      </c>
      <c r="H310" s="149"/>
      <c r="I310" s="149"/>
      <c r="J310" s="1260" t="s">
        <v>366</v>
      </c>
      <c r="K310" s="1260"/>
      <c r="L310" s="82" t="s">
        <v>72</v>
      </c>
      <c r="M310" s="82" t="s">
        <v>73</v>
      </c>
      <c r="N310" s="82" t="s">
        <v>74</v>
      </c>
      <c r="O310" s="82" t="s">
        <v>367</v>
      </c>
      <c r="P310" s="82"/>
      <c r="Q310" s="82"/>
      <c r="R310" s="150">
        <v>0</v>
      </c>
      <c r="S310" s="151"/>
      <c r="T310" s="150" t="e">
        <f>T495+#REF!+T481+#REF!+T467+#REF!+T465+T458+T451+T444+T437+T430+T423+T416+T409+#REF!+T395+T388+T381+T374+T367+T360+T353+T346+T332+T325+T325</f>
        <v>#REF!</v>
      </c>
      <c r="U310" s="369">
        <f t="shared" ref="U310:AG310" si="64">SUM(U311:U565)</f>
        <v>74235714.270571366</v>
      </c>
      <c r="V310" s="677">
        <f t="shared" si="64"/>
        <v>130530113.63000004</v>
      </c>
      <c r="W310" s="369">
        <f t="shared" si="64"/>
        <v>43079</v>
      </c>
      <c r="X310" s="369">
        <f t="shared" si="64"/>
        <v>211719642.9575713</v>
      </c>
      <c r="Y310" s="840">
        <f t="shared" si="64"/>
        <v>215861681.46099994</v>
      </c>
      <c r="Z310" s="369">
        <f t="shared" si="64"/>
        <v>16606676</v>
      </c>
      <c r="AA310" s="369">
        <f t="shared" si="64"/>
        <v>205494642.12757134</v>
      </c>
      <c r="AB310" s="369">
        <f t="shared" si="64"/>
        <v>0</v>
      </c>
      <c r="AC310" s="369">
        <f t="shared" si="64"/>
        <v>92489</v>
      </c>
      <c r="AD310" s="369">
        <f t="shared" si="64"/>
        <v>17475000.000857152</v>
      </c>
      <c r="AE310" s="369">
        <f t="shared" si="64"/>
        <v>0</v>
      </c>
      <c r="AF310" s="369" t="e">
        <f t="shared" si="64"/>
        <v>#VALUE!</v>
      </c>
      <c r="AG310" s="369">
        <f t="shared" si="64"/>
        <v>364135786.22999978</v>
      </c>
      <c r="AH310" s="369">
        <f>SUM(AH311:AH565)</f>
        <v>508924999.95857126</v>
      </c>
      <c r="AI310" s="369">
        <f t="shared" ref="AI310:AM310" si="65">SUM(AI311:AI565)</f>
        <v>0</v>
      </c>
      <c r="AJ310" s="369">
        <f>SUM(AJ311:AJ565)</f>
        <v>346391795.09099996</v>
      </c>
      <c r="AK310" s="369">
        <f t="shared" si="65"/>
        <v>0</v>
      </c>
      <c r="AL310" s="369">
        <f t="shared" si="65"/>
        <v>0</v>
      </c>
      <c r="AM310" s="369">
        <f t="shared" si="65"/>
        <v>0</v>
      </c>
      <c r="AN310" s="81" t="s">
        <v>39</v>
      </c>
      <c r="AO310" s="81"/>
      <c r="AP310" s="81"/>
      <c r="AQ310" s="412"/>
      <c r="AR310" s="81"/>
      <c r="AS310" s="474"/>
      <c r="AT310" s="81"/>
      <c r="AU310" s="663"/>
      <c r="AV310" s="428" t="s">
        <v>368</v>
      </c>
    </row>
    <row r="311" spans="1:48" outlineLevel="4" x14ac:dyDescent="0.25">
      <c r="A311" s="63" t="str">
        <f t="shared" si="52"/>
        <v>1.3.1.9.1.58</v>
      </c>
      <c r="B311" s="64">
        <v>1</v>
      </c>
      <c r="C311" s="64">
        <v>3</v>
      </c>
      <c r="D311" s="64">
        <v>1</v>
      </c>
      <c r="E311" s="64">
        <v>9</v>
      </c>
      <c r="F311" s="64">
        <v>1</v>
      </c>
      <c r="G311" s="64">
        <v>58</v>
      </c>
      <c r="H311" s="65"/>
      <c r="I311" s="65"/>
      <c r="J311" s="66"/>
      <c r="K311" s="67" t="s">
        <v>369</v>
      </c>
      <c r="L311" s="64" t="s">
        <v>72</v>
      </c>
      <c r="M311" s="64" t="s">
        <v>73</v>
      </c>
      <c r="N311" s="64" t="s">
        <v>74</v>
      </c>
      <c r="O311" s="64" t="s">
        <v>367</v>
      </c>
      <c r="P311" s="64"/>
      <c r="Q311" s="64"/>
      <c r="R311" s="124"/>
      <c r="S311" s="123"/>
      <c r="T311" s="124"/>
      <c r="U311" s="75"/>
      <c r="V311" s="674">
        <v>0</v>
      </c>
      <c r="W311" s="75"/>
      <c r="X311" s="75"/>
      <c r="Y311" s="834">
        <f t="shared" ref="Y311:Y374" si="66">+AJ311-V311</f>
        <v>0</v>
      </c>
      <c r="Z311" s="75"/>
      <c r="AA311" s="75"/>
      <c r="AB311" s="75"/>
      <c r="AC311" s="75"/>
      <c r="AD311" s="75"/>
      <c r="AE311" s="592"/>
      <c r="AF311" s="348"/>
      <c r="AG311" s="129">
        <v>0</v>
      </c>
      <c r="AH311" s="370">
        <v>0</v>
      </c>
      <c r="AI311" s="75"/>
      <c r="AJ311" s="75"/>
      <c r="AK311" s="75"/>
      <c r="AL311" s="75"/>
      <c r="AM311" s="75"/>
      <c r="AN311" s="64" t="s">
        <v>39</v>
      </c>
      <c r="AO311" s="64"/>
      <c r="AP311" s="64"/>
      <c r="AQ311" s="189"/>
      <c r="AR311" s="64"/>
      <c r="AS311" s="476"/>
      <c r="AT311" s="64"/>
      <c r="AU311" s="646"/>
      <c r="AV311" s="335"/>
    </row>
    <row r="312" spans="1:48" outlineLevel="4" x14ac:dyDescent="0.25">
      <c r="A312" s="63" t="str">
        <f t="shared" si="52"/>
        <v>1.3.1.9.1.59</v>
      </c>
      <c r="B312" s="64">
        <v>1</v>
      </c>
      <c r="C312" s="64">
        <v>3</v>
      </c>
      <c r="D312" s="64">
        <v>1</v>
      </c>
      <c r="E312" s="64">
        <v>9</v>
      </c>
      <c r="F312" s="64">
        <v>1</v>
      </c>
      <c r="G312" s="64">
        <v>59</v>
      </c>
      <c r="H312" s="65"/>
      <c r="I312" s="65"/>
      <c r="J312" s="66"/>
      <c r="K312" s="67" t="s">
        <v>369</v>
      </c>
      <c r="L312" s="64"/>
      <c r="M312" s="64"/>
      <c r="N312" s="64"/>
      <c r="O312" s="64"/>
      <c r="P312" s="64"/>
      <c r="Q312" s="64"/>
      <c r="R312" s="124"/>
      <c r="S312" s="123"/>
      <c r="T312" s="124"/>
      <c r="U312" s="75"/>
      <c r="V312" s="674">
        <v>0</v>
      </c>
      <c r="W312" s="75"/>
      <c r="X312" s="75"/>
      <c r="Y312" s="834">
        <f t="shared" si="66"/>
        <v>0</v>
      </c>
      <c r="Z312" s="75"/>
      <c r="AA312" s="75"/>
      <c r="AB312" s="75"/>
      <c r="AC312" s="75"/>
      <c r="AD312" s="75"/>
      <c r="AE312" s="592"/>
      <c r="AF312" s="348"/>
      <c r="AG312" s="129">
        <v>0</v>
      </c>
      <c r="AH312" s="370">
        <v>0</v>
      </c>
      <c r="AI312" s="75"/>
      <c r="AJ312" s="75"/>
      <c r="AK312" s="75"/>
      <c r="AL312" s="75"/>
      <c r="AM312" s="75"/>
      <c r="AN312" s="64" t="s">
        <v>39</v>
      </c>
      <c r="AO312" s="64"/>
      <c r="AP312" s="64"/>
      <c r="AQ312" s="189"/>
      <c r="AR312" s="64"/>
      <c r="AS312" s="476"/>
      <c r="AT312" s="64"/>
      <c r="AU312" s="646"/>
      <c r="AV312" s="335"/>
    </row>
    <row r="313" spans="1:48" outlineLevel="4" x14ac:dyDescent="0.25">
      <c r="A313" s="63" t="str">
        <f t="shared" si="52"/>
        <v>1.3.1.9.1.60</v>
      </c>
      <c r="B313" s="64">
        <v>1</v>
      </c>
      <c r="C313" s="64">
        <v>3</v>
      </c>
      <c r="D313" s="64">
        <v>1</v>
      </c>
      <c r="E313" s="64">
        <v>9</v>
      </c>
      <c r="F313" s="64">
        <v>1</v>
      </c>
      <c r="G313" s="64">
        <v>60</v>
      </c>
      <c r="H313" s="65"/>
      <c r="I313" s="65"/>
      <c r="J313" s="66"/>
      <c r="K313" s="67" t="s">
        <v>369</v>
      </c>
      <c r="L313" s="64"/>
      <c r="M313" s="64"/>
      <c r="N313" s="64"/>
      <c r="O313" s="64"/>
      <c r="P313" s="64"/>
      <c r="Q313" s="64"/>
      <c r="R313" s="124"/>
      <c r="S313" s="123"/>
      <c r="T313" s="124"/>
      <c r="U313" s="75"/>
      <c r="V313" s="674">
        <v>0</v>
      </c>
      <c r="W313" s="75"/>
      <c r="X313" s="75"/>
      <c r="Y313" s="834">
        <f t="shared" si="66"/>
        <v>0</v>
      </c>
      <c r="Z313" s="75"/>
      <c r="AA313" s="75"/>
      <c r="AB313" s="75"/>
      <c r="AC313" s="75"/>
      <c r="AD313" s="75"/>
      <c r="AE313" s="592"/>
      <c r="AF313" s="348"/>
      <c r="AG313" s="129">
        <v>0</v>
      </c>
      <c r="AH313" s="370">
        <v>0</v>
      </c>
      <c r="AI313" s="75"/>
      <c r="AJ313" s="75"/>
      <c r="AK313" s="75"/>
      <c r="AL313" s="75"/>
      <c r="AM313" s="75"/>
      <c r="AN313" s="64" t="s">
        <v>39</v>
      </c>
      <c r="AO313" s="64"/>
      <c r="AP313" s="64"/>
      <c r="AQ313" s="189"/>
      <c r="AR313" s="64"/>
      <c r="AS313" s="476"/>
      <c r="AT313" s="64"/>
      <c r="AU313" s="646"/>
      <c r="AV313" s="335"/>
    </row>
    <row r="314" spans="1:48" outlineLevel="4" x14ac:dyDescent="0.25">
      <c r="A314" s="63" t="str">
        <f t="shared" si="52"/>
        <v>1.3.1.9.1.61</v>
      </c>
      <c r="B314" s="64">
        <v>1</v>
      </c>
      <c r="C314" s="64">
        <v>3</v>
      </c>
      <c r="D314" s="64">
        <v>1</v>
      </c>
      <c r="E314" s="64">
        <v>9</v>
      </c>
      <c r="F314" s="64">
        <v>1</v>
      </c>
      <c r="G314" s="64">
        <v>61</v>
      </c>
      <c r="H314" s="65"/>
      <c r="I314" s="65"/>
      <c r="J314" s="66"/>
      <c r="K314" s="67" t="s">
        <v>369</v>
      </c>
      <c r="L314" s="64"/>
      <c r="M314" s="64"/>
      <c r="N314" s="64"/>
      <c r="O314" s="64"/>
      <c r="P314" s="64"/>
      <c r="Q314" s="64"/>
      <c r="R314" s="124"/>
      <c r="S314" s="123"/>
      <c r="T314" s="124"/>
      <c r="U314" s="75"/>
      <c r="V314" s="674">
        <v>0</v>
      </c>
      <c r="W314" s="75"/>
      <c r="X314" s="75"/>
      <c r="Y314" s="834">
        <f t="shared" si="66"/>
        <v>0</v>
      </c>
      <c r="Z314" s="75"/>
      <c r="AA314" s="75"/>
      <c r="AB314" s="75"/>
      <c r="AC314" s="75"/>
      <c r="AD314" s="75"/>
      <c r="AE314" s="592"/>
      <c r="AF314" s="348"/>
      <c r="AG314" s="129">
        <v>0</v>
      </c>
      <c r="AH314" s="370">
        <v>0</v>
      </c>
      <c r="AI314" s="75"/>
      <c r="AJ314" s="75"/>
      <c r="AK314" s="75"/>
      <c r="AL314" s="75"/>
      <c r="AM314" s="75"/>
      <c r="AN314" s="64" t="s">
        <v>39</v>
      </c>
      <c r="AO314" s="64"/>
      <c r="AP314" s="64"/>
      <c r="AQ314" s="189"/>
      <c r="AR314" s="64"/>
      <c r="AS314" s="476"/>
      <c r="AT314" s="64"/>
      <c r="AU314" s="646"/>
      <c r="AV314" s="335"/>
    </row>
    <row r="315" spans="1:48" outlineLevel="4" x14ac:dyDescent="0.25">
      <c r="A315" s="63" t="str">
        <f t="shared" si="52"/>
        <v>1.3.1.9.1.62</v>
      </c>
      <c r="B315" s="64">
        <v>1</v>
      </c>
      <c r="C315" s="64">
        <v>3</v>
      </c>
      <c r="D315" s="64">
        <v>1</v>
      </c>
      <c r="E315" s="64">
        <v>9</v>
      </c>
      <c r="F315" s="64">
        <v>1</v>
      </c>
      <c r="G315" s="64">
        <v>62</v>
      </c>
      <c r="H315" s="65"/>
      <c r="I315" s="65"/>
      <c r="J315" s="66"/>
      <c r="K315" s="67" t="s">
        <v>369</v>
      </c>
      <c r="L315" s="64"/>
      <c r="M315" s="64"/>
      <c r="N315" s="64"/>
      <c r="O315" s="64"/>
      <c r="P315" s="64"/>
      <c r="Q315" s="64"/>
      <c r="R315" s="124"/>
      <c r="S315" s="123"/>
      <c r="T315" s="124"/>
      <c r="U315" s="75"/>
      <c r="V315" s="674">
        <v>0</v>
      </c>
      <c r="W315" s="75"/>
      <c r="X315" s="75"/>
      <c r="Y315" s="834">
        <f t="shared" si="66"/>
        <v>0</v>
      </c>
      <c r="Z315" s="75"/>
      <c r="AA315" s="75"/>
      <c r="AB315" s="75"/>
      <c r="AC315" s="75"/>
      <c r="AD315" s="75"/>
      <c r="AE315" s="592"/>
      <c r="AF315" s="348"/>
      <c r="AG315" s="129">
        <v>0</v>
      </c>
      <c r="AH315" s="370">
        <v>0</v>
      </c>
      <c r="AI315" s="75"/>
      <c r="AJ315" s="75"/>
      <c r="AK315" s="75"/>
      <c r="AL315" s="75"/>
      <c r="AM315" s="75"/>
      <c r="AN315" s="64" t="s">
        <v>39</v>
      </c>
      <c r="AO315" s="64"/>
      <c r="AP315" s="64"/>
      <c r="AQ315" s="189"/>
      <c r="AR315" s="64"/>
      <c r="AS315" s="476"/>
      <c r="AT315" s="64"/>
      <c r="AU315" s="646"/>
      <c r="AV315" s="335"/>
    </row>
    <row r="316" spans="1:48" outlineLevel="4" x14ac:dyDescent="0.25">
      <c r="A316" s="63" t="str">
        <f t="shared" si="52"/>
        <v>1.3.1.9.1.63</v>
      </c>
      <c r="B316" s="64">
        <v>1</v>
      </c>
      <c r="C316" s="64">
        <v>3</v>
      </c>
      <c r="D316" s="64">
        <v>1</v>
      </c>
      <c r="E316" s="64">
        <v>9</v>
      </c>
      <c r="F316" s="64">
        <v>1</v>
      </c>
      <c r="G316" s="64">
        <v>63</v>
      </c>
      <c r="H316" s="65"/>
      <c r="I316" s="65"/>
      <c r="J316" s="66"/>
      <c r="K316" s="67" t="s">
        <v>369</v>
      </c>
      <c r="L316" s="64"/>
      <c r="M316" s="64"/>
      <c r="N316" s="64"/>
      <c r="O316" s="64"/>
      <c r="P316" s="64"/>
      <c r="Q316" s="64"/>
      <c r="R316" s="124"/>
      <c r="S316" s="123"/>
      <c r="T316" s="124"/>
      <c r="U316" s="75"/>
      <c r="V316" s="674">
        <v>0</v>
      </c>
      <c r="W316" s="75"/>
      <c r="X316" s="75"/>
      <c r="Y316" s="834">
        <f t="shared" si="66"/>
        <v>0</v>
      </c>
      <c r="Z316" s="75"/>
      <c r="AA316" s="75"/>
      <c r="AB316" s="75"/>
      <c r="AC316" s="75"/>
      <c r="AD316" s="75"/>
      <c r="AE316" s="592"/>
      <c r="AF316" s="348"/>
      <c r="AG316" s="129">
        <v>0</v>
      </c>
      <c r="AH316" s="370">
        <v>0</v>
      </c>
      <c r="AI316" s="75"/>
      <c r="AJ316" s="75"/>
      <c r="AK316" s="75"/>
      <c r="AL316" s="75"/>
      <c r="AM316" s="75"/>
      <c r="AN316" s="64" t="s">
        <v>39</v>
      </c>
      <c r="AO316" s="64"/>
      <c r="AP316" s="64"/>
      <c r="AQ316" s="189"/>
      <c r="AR316" s="64"/>
      <c r="AS316" s="476"/>
      <c r="AT316" s="64"/>
      <c r="AU316" s="646"/>
      <c r="AV316" s="335"/>
    </row>
    <row r="317" spans="1:48" outlineLevel="4" x14ac:dyDescent="0.25">
      <c r="A317" s="63" t="str">
        <f t="shared" si="52"/>
        <v>1.3.1.9.1.64</v>
      </c>
      <c r="B317" s="64">
        <v>1</v>
      </c>
      <c r="C317" s="64">
        <v>3</v>
      </c>
      <c r="D317" s="64">
        <v>1</v>
      </c>
      <c r="E317" s="64">
        <v>9</v>
      </c>
      <c r="F317" s="64">
        <v>1</v>
      </c>
      <c r="G317" s="64">
        <v>64</v>
      </c>
      <c r="H317" s="65"/>
      <c r="I317" s="65"/>
      <c r="J317" s="66"/>
      <c r="K317" s="67" t="s">
        <v>369</v>
      </c>
      <c r="L317" s="64"/>
      <c r="M317" s="64"/>
      <c r="N317" s="64"/>
      <c r="O317" s="64"/>
      <c r="P317" s="64"/>
      <c r="Q317" s="64"/>
      <c r="R317" s="124"/>
      <c r="S317" s="123"/>
      <c r="T317" s="124"/>
      <c r="U317" s="75"/>
      <c r="V317" s="674">
        <v>0</v>
      </c>
      <c r="W317" s="75"/>
      <c r="X317" s="75"/>
      <c r="Y317" s="834">
        <f t="shared" si="66"/>
        <v>0</v>
      </c>
      <c r="Z317" s="75"/>
      <c r="AA317" s="75"/>
      <c r="AB317" s="75"/>
      <c r="AC317" s="75"/>
      <c r="AD317" s="75"/>
      <c r="AE317" s="592"/>
      <c r="AF317" s="348"/>
      <c r="AG317" s="129">
        <v>0</v>
      </c>
      <c r="AH317" s="370">
        <v>0</v>
      </c>
      <c r="AI317" s="75"/>
      <c r="AJ317" s="75"/>
      <c r="AK317" s="75"/>
      <c r="AL317" s="75"/>
      <c r="AM317" s="75"/>
      <c r="AN317" s="64" t="s">
        <v>39</v>
      </c>
      <c r="AO317" s="64"/>
      <c r="AP317" s="64"/>
      <c r="AQ317" s="189"/>
      <c r="AR317" s="64"/>
      <c r="AS317" s="476"/>
      <c r="AT317" s="64"/>
      <c r="AU317" s="646"/>
      <c r="AV317" s="335"/>
    </row>
    <row r="318" spans="1:48" outlineLevel="4" x14ac:dyDescent="0.25">
      <c r="A318" s="63" t="str">
        <f t="shared" ref="A318:A515" si="67">CONCATENATE(B318,".",C318,".",D318,".",E318,".",F318,".",G318)</f>
        <v>1.3.1.9.2.58</v>
      </c>
      <c r="B318" s="64">
        <v>1</v>
      </c>
      <c r="C318" s="64">
        <v>3</v>
      </c>
      <c r="D318" s="64">
        <v>1</v>
      </c>
      <c r="E318" s="64">
        <v>9</v>
      </c>
      <c r="F318" s="64">
        <v>2</v>
      </c>
      <c r="G318" s="64">
        <v>58</v>
      </c>
      <c r="H318" s="65"/>
      <c r="I318" s="65"/>
      <c r="J318" s="66"/>
      <c r="K318" s="65" t="s">
        <v>371</v>
      </c>
      <c r="L318" s="64" t="s">
        <v>72</v>
      </c>
      <c r="M318" s="64" t="s">
        <v>73</v>
      </c>
      <c r="N318" s="64" t="s">
        <v>74</v>
      </c>
      <c r="O318" s="64" t="s">
        <v>367</v>
      </c>
      <c r="P318" s="69">
        <v>44200</v>
      </c>
      <c r="Q318" s="69">
        <v>44561</v>
      </c>
      <c r="R318" s="124">
        <v>100</v>
      </c>
      <c r="S318" s="123" t="s">
        <v>372</v>
      </c>
      <c r="T318" s="124">
        <v>100</v>
      </c>
      <c r="U318" s="75"/>
      <c r="V318" s="674">
        <v>0</v>
      </c>
      <c r="W318" s="75">
        <v>0</v>
      </c>
      <c r="X318" s="75"/>
      <c r="Y318" s="834">
        <f t="shared" si="66"/>
        <v>0</v>
      </c>
      <c r="Z318" s="75">
        <v>0</v>
      </c>
      <c r="AA318" s="75"/>
      <c r="AB318" s="75"/>
      <c r="AC318" s="75"/>
      <c r="AD318" s="75"/>
      <c r="AE318" s="592"/>
      <c r="AF318" s="352">
        <v>100</v>
      </c>
      <c r="AG318" s="75">
        <v>0</v>
      </c>
      <c r="AH318" s="370">
        <v>0</v>
      </c>
      <c r="AI318" s="75"/>
      <c r="AJ318" s="75"/>
      <c r="AK318" s="75"/>
      <c r="AL318" s="75"/>
      <c r="AM318" s="75"/>
      <c r="AN318" s="64" t="s">
        <v>39</v>
      </c>
      <c r="AO318" s="64"/>
      <c r="AP318" s="64"/>
      <c r="AQ318" s="189"/>
      <c r="AR318" s="64"/>
      <c r="AS318" s="476"/>
      <c r="AT318" s="64"/>
      <c r="AU318" s="646"/>
      <c r="AV318" s="185"/>
    </row>
    <row r="319" spans="1:48" outlineLevel="4" x14ac:dyDescent="0.25">
      <c r="A319" s="63" t="str">
        <f t="shared" si="67"/>
        <v>1.3.1.9.2.59</v>
      </c>
      <c r="B319" s="64">
        <v>1</v>
      </c>
      <c r="C319" s="64">
        <v>3</v>
      </c>
      <c r="D319" s="64">
        <v>1</v>
      </c>
      <c r="E319" s="64">
        <v>9</v>
      </c>
      <c r="F319" s="64">
        <v>2</v>
      </c>
      <c r="G319" s="64">
        <v>59</v>
      </c>
      <c r="H319" s="65"/>
      <c r="I319" s="65"/>
      <c r="J319" s="66"/>
      <c r="K319" s="65" t="s">
        <v>371</v>
      </c>
      <c r="L319" s="64"/>
      <c r="M319" s="64"/>
      <c r="N319" s="64"/>
      <c r="O319" s="64"/>
      <c r="P319" s="69">
        <v>44200</v>
      </c>
      <c r="Q319" s="69">
        <v>44561</v>
      </c>
      <c r="R319" s="124"/>
      <c r="S319" s="123"/>
      <c r="T319" s="124"/>
      <c r="U319" s="75"/>
      <c r="V319" s="674">
        <v>0</v>
      </c>
      <c r="W319" s="75"/>
      <c r="X319" s="75"/>
      <c r="Y319" s="834">
        <f t="shared" si="66"/>
        <v>3772000</v>
      </c>
      <c r="Z319" s="75"/>
      <c r="AA319" s="75"/>
      <c r="AB319" s="75"/>
      <c r="AC319" s="75"/>
      <c r="AD319" s="75"/>
      <c r="AE319" s="592"/>
      <c r="AF319" s="347"/>
      <c r="AG319" s="75">
        <v>0</v>
      </c>
      <c r="AH319" s="370">
        <v>0</v>
      </c>
      <c r="AI319" s="75"/>
      <c r="AJ319" s="75">
        <f>2888800+883200</f>
        <v>3772000</v>
      </c>
      <c r="AK319" s="75"/>
      <c r="AL319" s="75"/>
      <c r="AM319" s="75"/>
      <c r="AN319" s="64" t="s">
        <v>39</v>
      </c>
      <c r="AO319" s="64" t="s">
        <v>1819</v>
      </c>
      <c r="AP319" s="68" t="s">
        <v>2020</v>
      </c>
      <c r="AQ319" s="189" t="s">
        <v>2130</v>
      </c>
      <c r="AR319" s="64"/>
      <c r="AS319" s="476"/>
      <c r="AT319" s="64"/>
      <c r="AU319" s="879" t="s">
        <v>2128</v>
      </c>
      <c r="AV319" s="185" t="s">
        <v>2129</v>
      </c>
    </row>
    <row r="320" spans="1:48" outlineLevel="4" x14ac:dyDescent="0.25">
      <c r="A320" s="63" t="str">
        <f t="shared" si="67"/>
        <v>1.3.1.9.2.60</v>
      </c>
      <c r="B320" s="64">
        <v>1</v>
      </c>
      <c r="C320" s="64">
        <v>3</v>
      </c>
      <c r="D320" s="64">
        <v>1</v>
      </c>
      <c r="E320" s="64">
        <v>9</v>
      </c>
      <c r="F320" s="64">
        <v>2</v>
      </c>
      <c r="G320" s="64">
        <v>60</v>
      </c>
      <c r="H320" s="65"/>
      <c r="I320" s="65"/>
      <c r="J320" s="66"/>
      <c r="K320" s="65" t="s">
        <v>371</v>
      </c>
      <c r="L320" s="64"/>
      <c r="M320" s="64"/>
      <c r="N320" s="64"/>
      <c r="O320" s="64"/>
      <c r="P320" s="69">
        <v>44200</v>
      </c>
      <c r="Q320" s="69">
        <v>44561</v>
      </c>
      <c r="R320" s="124"/>
      <c r="S320" s="123"/>
      <c r="T320" s="124"/>
      <c r="U320" s="75"/>
      <c r="V320" s="674">
        <v>0</v>
      </c>
      <c r="W320" s="75"/>
      <c r="X320" s="75"/>
      <c r="Y320" s="834">
        <f t="shared" si="66"/>
        <v>0</v>
      </c>
      <c r="Z320" s="75"/>
      <c r="AA320" s="75"/>
      <c r="AB320" s="75"/>
      <c r="AC320" s="75"/>
      <c r="AD320" s="75"/>
      <c r="AE320" s="592"/>
      <c r="AF320" s="347"/>
      <c r="AG320" s="75">
        <v>0</v>
      </c>
      <c r="AH320" s="370">
        <v>0</v>
      </c>
      <c r="AI320" s="75"/>
      <c r="AJ320" s="75"/>
      <c r="AK320" s="75"/>
      <c r="AL320" s="75"/>
      <c r="AM320" s="75"/>
      <c r="AN320" s="64" t="s">
        <v>39</v>
      </c>
      <c r="AO320" s="64"/>
      <c r="AP320" s="64"/>
      <c r="AQ320" s="189"/>
      <c r="AR320" s="64"/>
      <c r="AS320" s="476"/>
      <c r="AT320" s="64"/>
      <c r="AU320" s="646"/>
      <c r="AV320" s="185"/>
    </row>
    <row r="321" spans="1:48" outlineLevel="4" x14ac:dyDescent="0.25">
      <c r="A321" s="63" t="str">
        <f t="shared" si="67"/>
        <v>1.3.1.9.2.61</v>
      </c>
      <c r="B321" s="64">
        <v>1</v>
      </c>
      <c r="C321" s="64">
        <v>3</v>
      </c>
      <c r="D321" s="64">
        <v>1</v>
      </c>
      <c r="E321" s="64">
        <v>9</v>
      </c>
      <c r="F321" s="64">
        <v>2</v>
      </c>
      <c r="G321" s="64">
        <v>61</v>
      </c>
      <c r="H321" s="65"/>
      <c r="I321" s="65"/>
      <c r="J321" s="66"/>
      <c r="K321" s="65" t="s">
        <v>371</v>
      </c>
      <c r="L321" s="64"/>
      <c r="M321" s="64"/>
      <c r="N321" s="64"/>
      <c r="O321" s="64"/>
      <c r="P321" s="69">
        <v>44200</v>
      </c>
      <c r="Q321" s="69">
        <v>44561</v>
      </c>
      <c r="R321" s="124"/>
      <c r="S321" s="123"/>
      <c r="T321" s="124"/>
      <c r="U321" s="75"/>
      <c r="V321" s="674">
        <v>0</v>
      </c>
      <c r="W321" s="75"/>
      <c r="X321" s="75"/>
      <c r="Y321" s="834">
        <f t="shared" si="66"/>
        <v>0</v>
      </c>
      <c r="Z321" s="75"/>
      <c r="AA321" s="75"/>
      <c r="AB321" s="75"/>
      <c r="AC321" s="75"/>
      <c r="AD321" s="75"/>
      <c r="AE321" s="592"/>
      <c r="AF321" s="347"/>
      <c r="AG321" s="75">
        <v>0</v>
      </c>
      <c r="AH321" s="370">
        <v>0</v>
      </c>
      <c r="AI321" s="75"/>
      <c r="AJ321" s="75"/>
      <c r="AK321" s="75"/>
      <c r="AL321" s="75"/>
      <c r="AM321" s="75"/>
      <c r="AN321" s="64" t="s">
        <v>39</v>
      </c>
      <c r="AO321" s="64"/>
      <c r="AP321" s="64"/>
      <c r="AQ321" s="189"/>
      <c r="AR321" s="64"/>
      <c r="AS321" s="476"/>
      <c r="AT321" s="64"/>
      <c r="AU321" s="646"/>
      <c r="AV321" s="185"/>
    </row>
    <row r="322" spans="1:48" outlineLevel="4" x14ac:dyDescent="0.25">
      <c r="A322" s="63" t="str">
        <f t="shared" si="67"/>
        <v>1.3.1.9.2.62</v>
      </c>
      <c r="B322" s="64">
        <v>1</v>
      </c>
      <c r="C322" s="64">
        <v>3</v>
      </c>
      <c r="D322" s="64">
        <v>1</v>
      </c>
      <c r="E322" s="64">
        <v>9</v>
      </c>
      <c r="F322" s="64">
        <v>2</v>
      </c>
      <c r="G322" s="64">
        <v>62</v>
      </c>
      <c r="H322" s="65"/>
      <c r="I322" s="65"/>
      <c r="J322" s="66"/>
      <c r="K322" s="65" t="s">
        <v>371</v>
      </c>
      <c r="L322" s="64"/>
      <c r="M322" s="64"/>
      <c r="N322" s="64"/>
      <c r="O322" s="64"/>
      <c r="P322" s="69">
        <v>44200</v>
      </c>
      <c r="Q322" s="69">
        <v>44561</v>
      </c>
      <c r="R322" s="124"/>
      <c r="S322" s="123"/>
      <c r="T322" s="124"/>
      <c r="U322" s="75"/>
      <c r="V322" s="674">
        <v>0</v>
      </c>
      <c r="W322" s="75"/>
      <c r="X322" s="75"/>
      <c r="Y322" s="834">
        <f t="shared" si="66"/>
        <v>0</v>
      </c>
      <c r="Z322" s="75"/>
      <c r="AA322" s="75"/>
      <c r="AB322" s="75"/>
      <c r="AC322" s="75"/>
      <c r="AD322" s="75"/>
      <c r="AE322" s="592"/>
      <c r="AF322" s="347"/>
      <c r="AG322" s="75">
        <v>0</v>
      </c>
      <c r="AH322" s="370">
        <v>0</v>
      </c>
      <c r="AI322" s="75"/>
      <c r="AJ322" s="75"/>
      <c r="AK322" s="75"/>
      <c r="AL322" s="75"/>
      <c r="AM322" s="75"/>
      <c r="AN322" s="64" t="s">
        <v>39</v>
      </c>
      <c r="AO322" s="64"/>
      <c r="AP322" s="64"/>
      <c r="AQ322" s="189"/>
      <c r="AR322" s="64"/>
      <c r="AS322" s="476"/>
      <c r="AT322" s="64"/>
      <c r="AU322" s="646"/>
      <c r="AV322" s="185"/>
    </row>
    <row r="323" spans="1:48" outlineLevel="4" x14ac:dyDescent="0.25">
      <c r="A323" s="63" t="str">
        <f t="shared" si="67"/>
        <v>1.3.1.9.2.63</v>
      </c>
      <c r="B323" s="64">
        <v>1</v>
      </c>
      <c r="C323" s="64">
        <v>3</v>
      </c>
      <c r="D323" s="64">
        <v>1</v>
      </c>
      <c r="E323" s="64">
        <v>9</v>
      </c>
      <c r="F323" s="64">
        <v>2</v>
      </c>
      <c r="G323" s="64">
        <v>63</v>
      </c>
      <c r="H323" s="65"/>
      <c r="I323" s="65"/>
      <c r="J323" s="66"/>
      <c r="K323" s="65" t="s">
        <v>371</v>
      </c>
      <c r="L323" s="64"/>
      <c r="M323" s="64"/>
      <c r="N323" s="64"/>
      <c r="O323" s="64"/>
      <c r="P323" s="69">
        <v>44200</v>
      </c>
      <c r="Q323" s="69">
        <v>44561</v>
      </c>
      <c r="R323" s="124"/>
      <c r="S323" s="123"/>
      <c r="T323" s="124"/>
      <c r="U323" s="75"/>
      <c r="V323" s="674">
        <v>0</v>
      </c>
      <c r="W323" s="75"/>
      <c r="X323" s="75"/>
      <c r="Y323" s="834">
        <f t="shared" si="66"/>
        <v>0</v>
      </c>
      <c r="Z323" s="75"/>
      <c r="AA323" s="75"/>
      <c r="AB323" s="75"/>
      <c r="AC323" s="75"/>
      <c r="AD323" s="75"/>
      <c r="AE323" s="592"/>
      <c r="AF323" s="347"/>
      <c r="AG323" s="75">
        <v>0</v>
      </c>
      <c r="AH323" s="370">
        <v>0</v>
      </c>
      <c r="AI323" s="75"/>
      <c r="AJ323" s="75"/>
      <c r="AK323" s="75"/>
      <c r="AL323" s="75"/>
      <c r="AM323" s="75"/>
      <c r="AN323" s="64" t="s">
        <v>39</v>
      </c>
      <c r="AO323" s="64"/>
      <c r="AP323" s="64"/>
      <c r="AQ323" s="189"/>
      <c r="AR323" s="64"/>
      <c r="AS323" s="476"/>
      <c r="AT323" s="64"/>
      <c r="AU323" s="646"/>
      <c r="AV323" s="185"/>
    </row>
    <row r="324" spans="1:48" outlineLevel="4" x14ac:dyDescent="0.25">
      <c r="A324" s="63" t="str">
        <f t="shared" si="67"/>
        <v>1.3.1.9.2.64</v>
      </c>
      <c r="B324" s="64">
        <v>1</v>
      </c>
      <c r="C324" s="64">
        <v>3</v>
      </c>
      <c r="D324" s="64">
        <v>1</v>
      </c>
      <c r="E324" s="64">
        <v>9</v>
      </c>
      <c r="F324" s="64">
        <v>2</v>
      </c>
      <c r="G324" s="64">
        <v>64</v>
      </c>
      <c r="H324" s="65"/>
      <c r="I324" s="65"/>
      <c r="J324" s="66"/>
      <c r="K324" s="65" t="s">
        <v>371</v>
      </c>
      <c r="L324" s="64"/>
      <c r="M324" s="64"/>
      <c r="N324" s="64"/>
      <c r="O324" s="64"/>
      <c r="P324" s="69">
        <v>44200</v>
      </c>
      <c r="Q324" s="69">
        <v>44561</v>
      </c>
      <c r="R324" s="124"/>
      <c r="S324" s="123"/>
      <c r="T324" s="124"/>
      <c r="U324" s="75"/>
      <c r="V324" s="674">
        <v>0</v>
      </c>
      <c r="W324" s="75"/>
      <c r="X324" s="75"/>
      <c r="Y324" s="834">
        <f t="shared" si="66"/>
        <v>0</v>
      </c>
      <c r="Z324" s="75"/>
      <c r="AA324" s="75"/>
      <c r="AB324" s="75"/>
      <c r="AC324" s="75"/>
      <c r="AD324" s="75"/>
      <c r="AE324" s="592"/>
      <c r="AF324" s="347"/>
      <c r="AG324" s="75">
        <v>0</v>
      </c>
      <c r="AH324" s="370">
        <v>0</v>
      </c>
      <c r="AI324" s="75"/>
      <c r="AJ324" s="75"/>
      <c r="AK324" s="75"/>
      <c r="AL324" s="75"/>
      <c r="AM324" s="75"/>
      <c r="AN324" s="64" t="s">
        <v>39</v>
      </c>
      <c r="AO324" s="64"/>
      <c r="AP324" s="64"/>
      <c r="AQ324" s="189"/>
      <c r="AR324" s="64"/>
      <c r="AS324" s="476"/>
      <c r="AT324" s="64"/>
      <c r="AU324" s="646"/>
      <c r="AV324" s="185"/>
    </row>
    <row r="325" spans="1:48" outlineLevel="4" x14ac:dyDescent="0.25">
      <c r="A325" s="63" t="str">
        <f t="shared" si="67"/>
        <v>1.3.1.9.3.58</v>
      </c>
      <c r="B325" s="64">
        <v>1</v>
      </c>
      <c r="C325" s="64">
        <v>3</v>
      </c>
      <c r="D325" s="64">
        <v>1</v>
      </c>
      <c r="E325" s="64">
        <v>9</v>
      </c>
      <c r="F325" s="64">
        <v>3</v>
      </c>
      <c r="G325" s="64">
        <v>58</v>
      </c>
      <c r="H325" s="65"/>
      <c r="I325" s="65"/>
      <c r="J325" s="66"/>
      <c r="K325" s="125" t="s">
        <v>373</v>
      </c>
      <c r="L325" s="64" t="s">
        <v>72</v>
      </c>
      <c r="M325" s="64" t="s">
        <v>73</v>
      </c>
      <c r="N325" s="64" t="s">
        <v>74</v>
      </c>
      <c r="O325" s="64" t="s">
        <v>367</v>
      </c>
      <c r="P325" s="64"/>
      <c r="Q325" s="64"/>
      <c r="R325" s="124"/>
      <c r="S325" s="123"/>
      <c r="T325" s="124"/>
      <c r="U325" s="75"/>
      <c r="V325" s="674">
        <v>0</v>
      </c>
      <c r="W325" s="75"/>
      <c r="X325" s="75"/>
      <c r="Y325" s="834">
        <f t="shared" si="66"/>
        <v>0</v>
      </c>
      <c r="Z325" s="75"/>
      <c r="AA325" s="75"/>
      <c r="AB325" s="75"/>
      <c r="AC325" s="75"/>
      <c r="AD325" s="75"/>
      <c r="AE325" s="592"/>
      <c r="AF325" s="347"/>
      <c r="AG325" s="75">
        <v>0</v>
      </c>
      <c r="AH325" s="370">
        <v>0</v>
      </c>
      <c r="AI325" s="75"/>
      <c r="AJ325" s="75"/>
      <c r="AK325" s="75"/>
      <c r="AL325" s="75"/>
      <c r="AM325" s="75"/>
      <c r="AN325" s="64" t="s">
        <v>39</v>
      </c>
      <c r="AO325" s="64"/>
      <c r="AP325" s="64"/>
      <c r="AQ325" s="189"/>
      <c r="AR325" s="64"/>
      <c r="AS325" s="476"/>
      <c r="AT325" s="64"/>
      <c r="AU325" s="646"/>
      <c r="AV325" s="185"/>
    </row>
    <row r="326" spans="1:48" outlineLevel="4" x14ac:dyDescent="0.25">
      <c r="A326" s="63" t="str">
        <f t="shared" si="67"/>
        <v>1.3.1.9.3.59</v>
      </c>
      <c r="B326" s="64">
        <v>1</v>
      </c>
      <c r="C326" s="64">
        <v>3</v>
      </c>
      <c r="D326" s="64">
        <v>1</v>
      </c>
      <c r="E326" s="64">
        <v>9</v>
      </c>
      <c r="F326" s="64">
        <v>3</v>
      </c>
      <c r="G326" s="64">
        <v>59</v>
      </c>
      <c r="H326" s="65"/>
      <c r="I326" s="65"/>
      <c r="J326" s="66"/>
      <c r="K326" s="125" t="s">
        <v>373</v>
      </c>
      <c r="L326" s="64"/>
      <c r="M326" s="64"/>
      <c r="N326" s="64"/>
      <c r="O326" s="64"/>
      <c r="P326" s="64"/>
      <c r="Q326" s="64"/>
      <c r="R326" s="124"/>
      <c r="S326" s="123"/>
      <c r="T326" s="124"/>
      <c r="U326" s="75"/>
      <c r="V326" s="674">
        <v>0</v>
      </c>
      <c r="W326" s="75"/>
      <c r="X326" s="75"/>
      <c r="Y326" s="834">
        <f t="shared" si="66"/>
        <v>0</v>
      </c>
      <c r="Z326" s="75"/>
      <c r="AA326" s="75"/>
      <c r="AB326" s="75"/>
      <c r="AC326" s="75"/>
      <c r="AD326" s="75"/>
      <c r="AE326" s="592"/>
      <c r="AF326" s="347"/>
      <c r="AG326" s="75">
        <v>0</v>
      </c>
      <c r="AH326" s="370">
        <v>0</v>
      </c>
      <c r="AI326" s="75"/>
      <c r="AJ326" s="75"/>
      <c r="AK326" s="75"/>
      <c r="AL326" s="75"/>
      <c r="AM326" s="75"/>
      <c r="AN326" s="64" t="s">
        <v>39</v>
      </c>
      <c r="AO326" s="64"/>
      <c r="AP326" s="64"/>
      <c r="AQ326" s="189"/>
      <c r="AR326" s="64"/>
      <c r="AS326" s="476"/>
      <c r="AT326" s="64"/>
      <c r="AU326" s="646"/>
      <c r="AV326" s="185"/>
    </row>
    <row r="327" spans="1:48" outlineLevel="4" x14ac:dyDescent="0.25">
      <c r="A327" s="63" t="str">
        <f t="shared" si="67"/>
        <v>1.3.1.9.3.60</v>
      </c>
      <c r="B327" s="64">
        <v>1</v>
      </c>
      <c r="C327" s="64">
        <v>3</v>
      </c>
      <c r="D327" s="64">
        <v>1</v>
      </c>
      <c r="E327" s="64">
        <v>9</v>
      </c>
      <c r="F327" s="64">
        <v>3</v>
      </c>
      <c r="G327" s="64">
        <v>60</v>
      </c>
      <c r="H327" s="65"/>
      <c r="I327" s="65"/>
      <c r="J327" s="66"/>
      <c r="K327" s="125" t="s">
        <v>373</v>
      </c>
      <c r="L327" s="64"/>
      <c r="M327" s="64"/>
      <c r="N327" s="64"/>
      <c r="O327" s="64"/>
      <c r="P327" s="64"/>
      <c r="Q327" s="64"/>
      <c r="R327" s="124"/>
      <c r="S327" s="123"/>
      <c r="T327" s="124"/>
      <c r="U327" s="75"/>
      <c r="V327" s="674">
        <v>0</v>
      </c>
      <c r="W327" s="75"/>
      <c r="X327" s="75"/>
      <c r="Y327" s="834">
        <f t="shared" si="66"/>
        <v>0</v>
      </c>
      <c r="Z327" s="75"/>
      <c r="AA327" s="75"/>
      <c r="AB327" s="75"/>
      <c r="AC327" s="75"/>
      <c r="AD327" s="75"/>
      <c r="AE327" s="592"/>
      <c r="AF327" s="347"/>
      <c r="AG327" s="75">
        <v>0</v>
      </c>
      <c r="AH327" s="370">
        <v>0</v>
      </c>
      <c r="AI327" s="75"/>
      <c r="AJ327" s="75"/>
      <c r="AK327" s="75"/>
      <c r="AL327" s="75"/>
      <c r="AM327" s="75"/>
      <c r="AN327" s="64" t="s">
        <v>39</v>
      </c>
      <c r="AO327" s="64"/>
      <c r="AP327" s="64"/>
      <c r="AQ327" s="189"/>
      <c r="AR327" s="64"/>
      <c r="AS327" s="476"/>
      <c r="AT327" s="64"/>
      <c r="AU327" s="646"/>
      <c r="AV327" s="185"/>
    </row>
    <row r="328" spans="1:48" outlineLevel="4" x14ac:dyDescent="0.25">
      <c r="A328" s="63" t="str">
        <f t="shared" si="67"/>
        <v>1.3.1.9.3.61</v>
      </c>
      <c r="B328" s="64">
        <v>1</v>
      </c>
      <c r="C328" s="64">
        <v>3</v>
      </c>
      <c r="D328" s="64">
        <v>1</v>
      </c>
      <c r="E328" s="64">
        <v>9</v>
      </c>
      <c r="F328" s="64">
        <v>3</v>
      </c>
      <c r="G328" s="64">
        <v>61</v>
      </c>
      <c r="H328" s="65"/>
      <c r="I328" s="65"/>
      <c r="J328" s="66"/>
      <c r="K328" s="125" t="s">
        <v>373</v>
      </c>
      <c r="L328" s="64"/>
      <c r="M328" s="64"/>
      <c r="N328" s="64"/>
      <c r="O328" s="64"/>
      <c r="P328" s="64"/>
      <c r="Q328" s="64"/>
      <c r="R328" s="124"/>
      <c r="S328" s="123"/>
      <c r="T328" s="124"/>
      <c r="U328" s="75"/>
      <c r="V328" s="674">
        <v>0</v>
      </c>
      <c r="W328" s="75"/>
      <c r="X328" s="75"/>
      <c r="Y328" s="834">
        <f t="shared" si="66"/>
        <v>0</v>
      </c>
      <c r="Z328" s="75"/>
      <c r="AA328" s="75"/>
      <c r="AB328" s="75"/>
      <c r="AC328" s="75"/>
      <c r="AD328" s="75"/>
      <c r="AE328" s="592"/>
      <c r="AF328" s="347"/>
      <c r="AG328" s="75">
        <v>0</v>
      </c>
      <c r="AH328" s="370">
        <v>0</v>
      </c>
      <c r="AI328" s="75"/>
      <c r="AJ328" s="75"/>
      <c r="AK328" s="75"/>
      <c r="AL328" s="75"/>
      <c r="AM328" s="75"/>
      <c r="AN328" s="64" t="s">
        <v>39</v>
      </c>
      <c r="AO328" s="64"/>
      <c r="AP328" s="64"/>
      <c r="AQ328" s="189"/>
      <c r="AR328" s="64"/>
      <c r="AS328" s="476"/>
      <c r="AT328" s="64"/>
      <c r="AU328" s="646"/>
      <c r="AV328" s="185"/>
    </row>
    <row r="329" spans="1:48" outlineLevel="4" x14ac:dyDescent="0.25">
      <c r="A329" s="63" t="str">
        <f t="shared" si="67"/>
        <v>1.3.1.9.3.62</v>
      </c>
      <c r="B329" s="64">
        <v>1</v>
      </c>
      <c r="C329" s="64">
        <v>3</v>
      </c>
      <c r="D329" s="64">
        <v>1</v>
      </c>
      <c r="E329" s="64">
        <v>9</v>
      </c>
      <c r="F329" s="64">
        <v>3</v>
      </c>
      <c r="G329" s="64">
        <v>62</v>
      </c>
      <c r="H329" s="65"/>
      <c r="I329" s="65"/>
      <c r="J329" s="66"/>
      <c r="K329" s="125" t="s">
        <v>373</v>
      </c>
      <c r="L329" s="64"/>
      <c r="M329" s="64"/>
      <c r="N329" s="64"/>
      <c r="O329" s="64"/>
      <c r="P329" s="64"/>
      <c r="Q329" s="64"/>
      <c r="R329" s="124"/>
      <c r="S329" s="123"/>
      <c r="T329" s="124"/>
      <c r="U329" s="75"/>
      <c r="V329" s="674">
        <v>0</v>
      </c>
      <c r="W329" s="75"/>
      <c r="X329" s="75"/>
      <c r="Y329" s="834">
        <f t="shared" si="66"/>
        <v>0</v>
      </c>
      <c r="Z329" s="75"/>
      <c r="AA329" s="75"/>
      <c r="AB329" s="75"/>
      <c r="AC329" s="75"/>
      <c r="AD329" s="75"/>
      <c r="AE329" s="592"/>
      <c r="AF329" s="347"/>
      <c r="AG329" s="75">
        <v>0</v>
      </c>
      <c r="AH329" s="370">
        <v>0</v>
      </c>
      <c r="AI329" s="75"/>
      <c r="AJ329" s="75"/>
      <c r="AK329" s="75"/>
      <c r="AL329" s="75"/>
      <c r="AM329" s="75"/>
      <c r="AN329" s="64" t="s">
        <v>39</v>
      </c>
      <c r="AO329" s="64"/>
      <c r="AP329" s="64"/>
      <c r="AQ329" s="189"/>
      <c r="AR329" s="64"/>
      <c r="AS329" s="476"/>
      <c r="AT329" s="64"/>
      <c r="AU329" s="646"/>
      <c r="AV329" s="185"/>
    </row>
    <row r="330" spans="1:48" outlineLevel="4" x14ac:dyDescent="0.25">
      <c r="A330" s="63" t="str">
        <f t="shared" si="67"/>
        <v>1.3.1.9.3.63</v>
      </c>
      <c r="B330" s="64">
        <v>1</v>
      </c>
      <c r="C330" s="64">
        <v>3</v>
      </c>
      <c r="D330" s="64">
        <v>1</v>
      </c>
      <c r="E330" s="64">
        <v>9</v>
      </c>
      <c r="F330" s="64">
        <v>3</v>
      </c>
      <c r="G330" s="64">
        <v>63</v>
      </c>
      <c r="H330" s="65"/>
      <c r="I330" s="65"/>
      <c r="J330" s="66"/>
      <c r="K330" s="125" t="s">
        <v>373</v>
      </c>
      <c r="L330" s="64"/>
      <c r="M330" s="64"/>
      <c r="N330" s="64"/>
      <c r="O330" s="64"/>
      <c r="P330" s="64"/>
      <c r="Q330" s="64"/>
      <c r="R330" s="124"/>
      <c r="S330" s="123"/>
      <c r="T330" s="124"/>
      <c r="U330" s="75"/>
      <c r="V330" s="674">
        <v>0</v>
      </c>
      <c r="W330" s="75"/>
      <c r="X330" s="75"/>
      <c r="Y330" s="834">
        <f t="shared" si="66"/>
        <v>0</v>
      </c>
      <c r="Z330" s="75"/>
      <c r="AA330" s="75"/>
      <c r="AB330" s="75"/>
      <c r="AC330" s="75"/>
      <c r="AD330" s="75"/>
      <c r="AE330" s="592"/>
      <c r="AF330" s="347"/>
      <c r="AG330" s="75">
        <v>0</v>
      </c>
      <c r="AH330" s="370">
        <v>0</v>
      </c>
      <c r="AI330" s="75"/>
      <c r="AJ330" s="75"/>
      <c r="AK330" s="75"/>
      <c r="AL330" s="75"/>
      <c r="AM330" s="75"/>
      <c r="AN330" s="64" t="s">
        <v>39</v>
      </c>
      <c r="AO330" s="64"/>
      <c r="AP330" s="64"/>
      <c r="AQ330" s="189"/>
      <c r="AR330" s="64"/>
      <c r="AS330" s="476"/>
      <c r="AT330" s="64"/>
      <c r="AU330" s="646"/>
      <c r="AV330" s="185"/>
    </row>
    <row r="331" spans="1:48" outlineLevel="4" x14ac:dyDescent="0.25">
      <c r="A331" s="63" t="str">
        <f t="shared" si="67"/>
        <v>1.3.1.9.3.64</v>
      </c>
      <c r="B331" s="64">
        <v>1</v>
      </c>
      <c r="C331" s="64">
        <v>3</v>
      </c>
      <c r="D331" s="64">
        <v>1</v>
      </c>
      <c r="E331" s="64">
        <v>9</v>
      </c>
      <c r="F331" s="64">
        <v>3</v>
      </c>
      <c r="G331" s="64">
        <v>64</v>
      </c>
      <c r="H331" s="65"/>
      <c r="I331" s="65"/>
      <c r="J331" s="66"/>
      <c r="K331" s="125" t="s">
        <v>373</v>
      </c>
      <c r="L331" s="64"/>
      <c r="M331" s="64"/>
      <c r="N331" s="64"/>
      <c r="O331" s="64"/>
      <c r="P331" s="64"/>
      <c r="Q331" s="64"/>
      <c r="R331" s="124"/>
      <c r="S331" s="123"/>
      <c r="T331" s="124"/>
      <c r="U331" s="75"/>
      <c r="V331" s="674">
        <v>0</v>
      </c>
      <c r="W331" s="75"/>
      <c r="X331" s="75"/>
      <c r="Y331" s="834">
        <f t="shared" si="66"/>
        <v>0</v>
      </c>
      <c r="Z331" s="75"/>
      <c r="AA331" s="75"/>
      <c r="AB331" s="75"/>
      <c r="AC331" s="75"/>
      <c r="AD331" s="75"/>
      <c r="AE331" s="592"/>
      <c r="AF331" s="347"/>
      <c r="AG331" s="75">
        <v>0</v>
      </c>
      <c r="AH331" s="370">
        <v>0</v>
      </c>
      <c r="AI331" s="75"/>
      <c r="AJ331" s="75"/>
      <c r="AK331" s="75"/>
      <c r="AL331" s="75"/>
      <c r="AM331" s="75"/>
      <c r="AN331" s="64" t="s">
        <v>39</v>
      </c>
      <c r="AO331" s="64"/>
      <c r="AP331" s="64"/>
      <c r="AQ331" s="189"/>
      <c r="AR331" s="64"/>
      <c r="AS331" s="476"/>
      <c r="AT331" s="64"/>
      <c r="AU331" s="646"/>
      <c r="AV331" s="185"/>
    </row>
    <row r="332" spans="1:48" outlineLevel="4" x14ac:dyDescent="0.25">
      <c r="A332" s="63" t="str">
        <f t="shared" si="67"/>
        <v>1.3.1.9.4.58</v>
      </c>
      <c r="B332" s="64">
        <v>1</v>
      </c>
      <c r="C332" s="64">
        <v>3</v>
      </c>
      <c r="D332" s="64">
        <v>1</v>
      </c>
      <c r="E332" s="64">
        <v>9</v>
      </c>
      <c r="F332" s="64">
        <v>4</v>
      </c>
      <c r="G332" s="64">
        <v>58</v>
      </c>
      <c r="H332" s="65"/>
      <c r="I332" s="65"/>
      <c r="J332" s="66"/>
      <c r="K332" s="125" t="s">
        <v>374</v>
      </c>
      <c r="L332" s="64" t="s">
        <v>72</v>
      </c>
      <c r="M332" s="64" t="s">
        <v>73</v>
      </c>
      <c r="N332" s="64" t="s">
        <v>74</v>
      </c>
      <c r="O332" s="64" t="s">
        <v>367</v>
      </c>
      <c r="P332" s="64"/>
      <c r="Q332" s="64"/>
      <c r="R332" s="124"/>
      <c r="S332" s="123"/>
      <c r="T332" s="124"/>
      <c r="U332" s="75"/>
      <c r="V332" s="674">
        <v>0</v>
      </c>
      <c r="W332" s="75"/>
      <c r="X332" s="75"/>
      <c r="Y332" s="834">
        <f t="shared" si="66"/>
        <v>0</v>
      </c>
      <c r="Z332" s="75"/>
      <c r="AA332" s="75"/>
      <c r="AB332" s="75"/>
      <c r="AC332" s="75"/>
      <c r="AD332" s="75"/>
      <c r="AE332" s="592"/>
      <c r="AF332" s="347"/>
      <c r="AG332" s="75">
        <v>0</v>
      </c>
      <c r="AH332" s="370">
        <v>0</v>
      </c>
      <c r="AI332" s="75"/>
      <c r="AJ332" s="75"/>
      <c r="AK332" s="75"/>
      <c r="AL332" s="75"/>
      <c r="AM332" s="75"/>
      <c r="AN332" s="64" t="s">
        <v>39</v>
      </c>
      <c r="AO332" s="64"/>
      <c r="AP332" s="64"/>
      <c r="AQ332" s="189"/>
      <c r="AR332" s="64"/>
      <c r="AS332" s="476"/>
      <c r="AT332" s="64"/>
      <c r="AU332" s="646"/>
      <c r="AV332" s="185"/>
    </row>
    <row r="333" spans="1:48" outlineLevel="4" x14ac:dyDescent="0.25">
      <c r="A333" s="63" t="str">
        <f t="shared" si="67"/>
        <v>1.3.1.9.4.59</v>
      </c>
      <c r="B333" s="64">
        <v>1</v>
      </c>
      <c r="C333" s="64">
        <v>3</v>
      </c>
      <c r="D333" s="64">
        <v>1</v>
      </c>
      <c r="E333" s="64">
        <v>9</v>
      </c>
      <c r="F333" s="64">
        <v>4</v>
      </c>
      <c r="G333" s="64">
        <v>59</v>
      </c>
      <c r="H333" s="65"/>
      <c r="I333" s="65"/>
      <c r="J333" s="66"/>
      <c r="K333" s="125" t="s">
        <v>375</v>
      </c>
      <c r="L333" s="64"/>
      <c r="M333" s="64"/>
      <c r="N333" s="64"/>
      <c r="O333" s="64"/>
      <c r="P333" s="64"/>
      <c r="Q333" s="64"/>
      <c r="R333" s="124"/>
      <c r="S333" s="123"/>
      <c r="T333" s="124"/>
      <c r="U333" s="75"/>
      <c r="V333" s="674">
        <v>0</v>
      </c>
      <c r="W333" s="75"/>
      <c r="X333" s="75"/>
      <c r="Y333" s="834">
        <f t="shared" si="66"/>
        <v>0</v>
      </c>
      <c r="Z333" s="75"/>
      <c r="AA333" s="75"/>
      <c r="AB333" s="75"/>
      <c r="AC333" s="75"/>
      <c r="AD333" s="75"/>
      <c r="AE333" s="592"/>
      <c r="AF333" s="347"/>
      <c r="AG333" s="75">
        <v>0</v>
      </c>
      <c r="AH333" s="370">
        <v>0</v>
      </c>
      <c r="AI333" s="75"/>
      <c r="AJ333" s="75"/>
      <c r="AK333" s="75"/>
      <c r="AL333" s="75"/>
      <c r="AM333" s="75"/>
      <c r="AN333" s="64" t="s">
        <v>39</v>
      </c>
      <c r="AO333" s="64"/>
      <c r="AP333" s="64"/>
      <c r="AQ333" s="189"/>
      <c r="AR333" s="64"/>
      <c r="AS333" s="476"/>
      <c r="AT333" s="64"/>
      <c r="AU333" s="646"/>
      <c r="AV333" s="185"/>
    </row>
    <row r="334" spans="1:48" outlineLevel="4" x14ac:dyDescent="0.25">
      <c r="A334" s="63" t="str">
        <f t="shared" si="67"/>
        <v>1.3.1.9.4.60</v>
      </c>
      <c r="B334" s="64">
        <v>1</v>
      </c>
      <c r="C334" s="64">
        <v>3</v>
      </c>
      <c r="D334" s="64">
        <v>1</v>
      </c>
      <c r="E334" s="64">
        <v>9</v>
      </c>
      <c r="F334" s="64">
        <v>4</v>
      </c>
      <c r="G334" s="64">
        <v>60</v>
      </c>
      <c r="H334" s="65"/>
      <c r="I334" s="65"/>
      <c r="J334" s="66"/>
      <c r="K334" s="125" t="s">
        <v>376</v>
      </c>
      <c r="L334" s="64"/>
      <c r="M334" s="64"/>
      <c r="N334" s="64"/>
      <c r="O334" s="64"/>
      <c r="P334" s="64"/>
      <c r="Q334" s="64"/>
      <c r="R334" s="124"/>
      <c r="S334" s="123"/>
      <c r="T334" s="124"/>
      <c r="U334" s="75"/>
      <c r="V334" s="674">
        <v>0</v>
      </c>
      <c r="W334" s="75"/>
      <c r="X334" s="75"/>
      <c r="Y334" s="834">
        <f t="shared" si="66"/>
        <v>0</v>
      </c>
      <c r="Z334" s="75"/>
      <c r="AA334" s="75"/>
      <c r="AB334" s="75"/>
      <c r="AC334" s="75"/>
      <c r="AD334" s="75"/>
      <c r="AE334" s="592"/>
      <c r="AF334" s="347"/>
      <c r="AG334" s="75">
        <v>0</v>
      </c>
      <c r="AH334" s="370">
        <v>0</v>
      </c>
      <c r="AI334" s="75"/>
      <c r="AJ334" s="75"/>
      <c r="AK334" s="75"/>
      <c r="AL334" s="75"/>
      <c r="AM334" s="75"/>
      <c r="AN334" s="64" t="s">
        <v>39</v>
      </c>
      <c r="AO334" s="64"/>
      <c r="AP334" s="64"/>
      <c r="AQ334" s="189"/>
      <c r="AR334" s="64"/>
      <c r="AS334" s="476"/>
      <c r="AT334" s="64"/>
      <c r="AU334" s="646"/>
      <c r="AV334" s="185"/>
    </row>
    <row r="335" spans="1:48" outlineLevel="4" x14ac:dyDescent="0.25">
      <c r="A335" s="63" t="str">
        <f t="shared" si="67"/>
        <v>1.3.1.9.4.61</v>
      </c>
      <c r="B335" s="64">
        <v>1</v>
      </c>
      <c r="C335" s="64">
        <v>3</v>
      </c>
      <c r="D335" s="64">
        <v>1</v>
      </c>
      <c r="E335" s="64">
        <v>9</v>
      </c>
      <c r="F335" s="64">
        <v>4</v>
      </c>
      <c r="G335" s="64">
        <v>61</v>
      </c>
      <c r="H335" s="65"/>
      <c r="I335" s="65"/>
      <c r="J335" s="66"/>
      <c r="K335" s="125" t="s">
        <v>377</v>
      </c>
      <c r="L335" s="64"/>
      <c r="M335" s="64"/>
      <c r="N335" s="64"/>
      <c r="O335" s="64"/>
      <c r="P335" s="64"/>
      <c r="Q335" s="64"/>
      <c r="R335" s="124"/>
      <c r="S335" s="123"/>
      <c r="T335" s="124"/>
      <c r="U335" s="75"/>
      <c r="V335" s="674">
        <v>0</v>
      </c>
      <c r="W335" s="75"/>
      <c r="X335" s="75"/>
      <c r="Y335" s="834">
        <f t="shared" si="66"/>
        <v>0</v>
      </c>
      <c r="Z335" s="75"/>
      <c r="AA335" s="75"/>
      <c r="AB335" s="75"/>
      <c r="AC335" s="75"/>
      <c r="AD335" s="75"/>
      <c r="AE335" s="592"/>
      <c r="AF335" s="347"/>
      <c r="AG335" s="75">
        <v>0</v>
      </c>
      <c r="AH335" s="370">
        <v>0</v>
      </c>
      <c r="AI335" s="75"/>
      <c r="AJ335" s="75"/>
      <c r="AK335" s="75"/>
      <c r="AL335" s="75"/>
      <c r="AM335" s="75"/>
      <c r="AN335" s="64" t="s">
        <v>39</v>
      </c>
      <c r="AO335" s="64"/>
      <c r="AP335" s="64"/>
      <c r="AQ335" s="189"/>
      <c r="AR335" s="64"/>
      <c r="AS335" s="476"/>
      <c r="AT335" s="64"/>
      <c r="AU335" s="646"/>
      <c r="AV335" s="185"/>
    </row>
    <row r="336" spans="1:48" outlineLevel="4" x14ac:dyDescent="0.25">
      <c r="A336" s="63" t="str">
        <f t="shared" si="67"/>
        <v>1.3.1.9.4.62</v>
      </c>
      <c r="B336" s="64">
        <v>1</v>
      </c>
      <c r="C336" s="64">
        <v>3</v>
      </c>
      <c r="D336" s="64">
        <v>1</v>
      </c>
      <c r="E336" s="64">
        <v>9</v>
      </c>
      <c r="F336" s="64">
        <v>4</v>
      </c>
      <c r="G336" s="64">
        <v>62</v>
      </c>
      <c r="H336" s="65"/>
      <c r="I336" s="65"/>
      <c r="J336" s="66"/>
      <c r="K336" s="125" t="s">
        <v>1724</v>
      </c>
      <c r="L336" s="64"/>
      <c r="M336" s="64"/>
      <c r="N336" s="64"/>
      <c r="O336" s="64"/>
      <c r="P336" s="64"/>
      <c r="Q336" s="64"/>
      <c r="R336" s="124"/>
      <c r="S336" s="123"/>
      <c r="T336" s="124"/>
      <c r="U336" s="75"/>
      <c r="V336" s="674">
        <v>0</v>
      </c>
      <c r="W336" s="75"/>
      <c r="X336" s="75"/>
      <c r="Y336" s="834">
        <f t="shared" si="66"/>
        <v>0</v>
      </c>
      <c r="Z336" s="75"/>
      <c r="AA336" s="75"/>
      <c r="AB336" s="75"/>
      <c r="AC336" s="75"/>
      <c r="AD336" s="75"/>
      <c r="AE336" s="592"/>
      <c r="AF336" s="347"/>
      <c r="AG336" s="75">
        <v>0</v>
      </c>
      <c r="AH336" s="370">
        <v>0</v>
      </c>
      <c r="AI336" s="75"/>
      <c r="AJ336" s="75"/>
      <c r="AK336" s="75"/>
      <c r="AL336" s="75"/>
      <c r="AM336" s="75"/>
      <c r="AN336" s="64" t="s">
        <v>39</v>
      </c>
      <c r="AO336" s="64"/>
      <c r="AP336" s="64"/>
      <c r="AQ336" s="189"/>
      <c r="AR336" s="64"/>
      <c r="AS336" s="476"/>
      <c r="AT336" s="64"/>
      <c r="AU336" s="646"/>
      <c r="AV336" s="185"/>
    </row>
    <row r="337" spans="1:49" outlineLevel="4" x14ac:dyDescent="0.25">
      <c r="A337" s="63" t="str">
        <f t="shared" si="67"/>
        <v>1.3.1.9.4.63</v>
      </c>
      <c r="B337" s="64">
        <v>1</v>
      </c>
      <c r="C337" s="64">
        <v>3</v>
      </c>
      <c r="D337" s="64">
        <v>1</v>
      </c>
      <c r="E337" s="64">
        <v>9</v>
      </c>
      <c r="F337" s="64">
        <v>4</v>
      </c>
      <c r="G337" s="64">
        <v>63</v>
      </c>
      <c r="H337" s="65"/>
      <c r="I337" s="65"/>
      <c r="J337" s="66"/>
      <c r="K337" s="125" t="s">
        <v>378</v>
      </c>
      <c r="L337" s="64"/>
      <c r="M337" s="64"/>
      <c r="N337" s="64"/>
      <c r="O337" s="64"/>
      <c r="P337" s="64"/>
      <c r="Q337" s="64"/>
      <c r="R337" s="124"/>
      <c r="S337" s="123"/>
      <c r="T337" s="124"/>
      <c r="U337" s="75"/>
      <c r="V337" s="674">
        <v>0</v>
      </c>
      <c r="W337" s="75"/>
      <c r="X337" s="75"/>
      <c r="Y337" s="834">
        <f t="shared" si="66"/>
        <v>0</v>
      </c>
      <c r="Z337" s="75"/>
      <c r="AA337" s="75"/>
      <c r="AB337" s="75"/>
      <c r="AC337" s="75"/>
      <c r="AD337" s="75"/>
      <c r="AE337" s="592"/>
      <c r="AF337" s="347"/>
      <c r="AG337" s="75">
        <v>0</v>
      </c>
      <c r="AH337" s="370">
        <v>0</v>
      </c>
      <c r="AI337" s="75"/>
      <c r="AJ337" s="75"/>
      <c r="AK337" s="75"/>
      <c r="AL337" s="75"/>
      <c r="AM337" s="75"/>
      <c r="AN337" s="64" t="s">
        <v>39</v>
      </c>
      <c r="AO337" s="64"/>
      <c r="AP337" s="64"/>
      <c r="AQ337" s="189"/>
      <c r="AR337" s="64"/>
      <c r="AS337" s="476"/>
      <c r="AT337" s="64"/>
      <c r="AU337" s="646"/>
      <c r="AV337" s="185"/>
    </row>
    <row r="338" spans="1:49" outlineLevel="4" x14ac:dyDescent="0.25">
      <c r="A338" s="63" t="str">
        <f t="shared" si="67"/>
        <v>1.3.1.9.4.64</v>
      </c>
      <c r="B338" s="64">
        <v>1</v>
      </c>
      <c r="C338" s="64">
        <v>3</v>
      </c>
      <c r="D338" s="64">
        <v>1</v>
      </c>
      <c r="E338" s="64">
        <v>9</v>
      </c>
      <c r="F338" s="64">
        <v>4</v>
      </c>
      <c r="G338" s="64">
        <v>64</v>
      </c>
      <c r="H338" s="65"/>
      <c r="I338" s="65"/>
      <c r="J338" s="66"/>
      <c r="K338" s="125" t="s">
        <v>379</v>
      </c>
      <c r="L338" s="64"/>
      <c r="M338" s="64"/>
      <c r="N338" s="64"/>
      <c r="O338" s="64"/>
      <c r="P338" s="64"/>
      <c r="Q338" s="64"/>
      <c r="R338" s="124"/>
      <c r="S338" s="123"/>
      <c r="T338" s="124"/>
      <c r="U338" s="75"/>
      <c r="V338" s="674">
        <v>0</v>
      </c>
      <c r="W338" s="75"/>
      <c r="X338" s="75"/>
      <c r="Y338" s="834">
        <f t="shared" si="66"/>
        <v>0</v>
      </c>
      <c r="Z338" s="75"/>
      <c r="AA338" s="75"/>
      <c r="AB338" s="75"/>
      <c r="AC338" s="75"/>
      <c r="AD338" s="75"/>
      <c r="AE338" s="592"/>
      <c r="AF338" s="347"/>
      <c r="AG338" s="75">
        <v>0</v>
      </c>
      <c r="AH338" s="370">
        <v>0</v>
      </c>
      <c r="AI338" s="75"/>
      <c r="AJ338" s="75"/>
      <c r="AK338" s="75"/>
      <c r="AL338" s="75"/>
      <c r="AM338" s="75"/>
      <c r="AN338" s="64" t="s">
        <v>39</v>
      </c>
      <c r="AO338" s="64"/>
      <c r="AP338" s="64"/>
      <c r="AQ338" s="189"/>
      <c r="AR338" s="64"/>
      <c r="AS338" s="476"/>
      <c r="AT338" s="64"/>
      <c r="AU338" s="646"/>
      <c r="AV338" s="185"/>
    </row>
    <row r="339" spans="1:49" outlineLevel="4" x14ac:dyDescent="0.25">
      <c r="A339" s="63" t="str">
        <f t="shared" si="67"/>
        <v>1.3.1.9.5.58</v>
      </c>
      <c r="B339" s="64">
        <v>1</v>
      </c>
      <c r="C339" s="64">
        <v>3</v>
      </c>
      <c r="D339" s="64">
        <v>1</v>
      </c>
      <c r="E339" s="64">
        <v>9</v>
      </c>
      <c r="F339" s="64">
        <v>5</v>
      </c>
      <c r="G339" s="64">
        <v>58</v>
      </c>
      <c r="H339" s="65"/>
      <c r="I339" s="65"/>
      <c r="J339" s="66"/>
      <c r="K339" s="65" t="s">
        <v>380</v>
      </c>
      <c r="L339" s="64" t="s">
        <v>341</v>
      </c>
      <c r="M339" s="128" t="s">
        <v>381</v>
      </c>
      <c r="N339" s="64" t="s">
        <v>265</v>
      </c>
      <c r="O339" s="64" t="s">
        <v>367</v>
      </c>
      <c r="P339" s="69">
        <v>44470</v>
      </c>
      <c r="Q339" s="69">
        <v>44835</v>
      </c>
      <c r="R339" s="124">
        <v>325000</v>
      </c>
      <c r="S339" s="123" t="s">
        <v>383</v>
      </c>
      <c r="T339" s="124">
        <v>325000</v>
      </c>
      <c r="U339" s="75">
        <f>+AH339*40%</f>
        <v>400000</v>
      </c>
      <c r="V339" s="674">
        <v>0</v>
      </c>
      <c r="W339" s="75">
        <v>0</v>
      </c>
      <c r="X339" s="75">
        <f>+AH339*20%</f>
        <v>200000</v>
      </c>
      <c r="Y339" s="834">
        <f t="shared" si="66"/>
        <v>111890.66</v>
      </c>
      <c r="Z339" s="75">
        <v>325000</v>
      </c>
      <c r="AA339" s="75">
        <f>+AH339*40%</f>
        <v>400000</v>
      </c>
      <c r="AB339" s="75"/>
      <c r="AC339" s="75">
        <v>0</v>
      </c>
      <c r="AD339" s="75"/>
      <c r="AE339" s="592"/>
      <c r="AF339" s="347" t="s">
        <v>384</v>
      </c>
      <c r="AG339" s="75">
        <v>202500</v>
      </c>
      <c r="AH339" s="370">
        <v>1000000</v>
      </c>
      <c r="AI339" s="75"/>
      <c r="AJ339" s="75">
        <v>111890.66</v>
      </c>
      <c r="AK339" s="75"/>
      <c r="AL339" s="75"/>
      <c r="AM339" s="75"/>
      <c r="AN339" s="64" t="s">
        <v>39</v>
      </c>
      <c r="AO339" s="165" t="s">
        <v>144</v>
      </c>
      <c r="AP339" s="165"/>
      <c r="AQ339" s="413"/>
      <c r="AR339" s="69">
        <v>44562</v>
      </c>
      <c r="AS339" s="562">
        <v>44835</v>
      </c>
      <c r="AT339" s="64" t="s">
        <v>1814</v>
      </c>
      <c r="AU339" s="879">
        <v>974</v>
      </c>
      <c r="AV339" s="1274" t="s">
        <v>2033</v>
      </c>
      <c r="AW339" s="2" t="s">
        <v>386</v>
      </c>
    </row>
    <row r="340" spans="1:49" outlineLevel="4" x14ac:dyDescent="0.25">
      <c r="A340" s="63" t="str">
        <f t="shared" si="67"/>
        <v>1.3.1.9.5.59</v>
      </c>
      <c r="B340" s="64">
        <v>1</v>
      </c>
      <c r="C340" s="64">
        <v>3</v>
      </c>
      <c r="D340" s="64">
        <v>1</v>
      </c>
      <c r="E340" s="64">
        <v>9</v>
      </c>
      <c r="F340" s="64">
        <v>5</v>
      </c>
      <c r="G340" s="64">
        <v>59</v>
      </c>
      <c r="H340" s="65"/>
      <c r="I340" s="65"/>
      <c r="J340" s="66"/>
      <c r="K340" s="65" t="s">
        <v>387</v>
      </c>
      <c r="L340" s="64" t="s">
        <v>341</v>
      </c>
      <c r="M340" s="128" t="s">
        <v>381</v>
      </c>
      <c r="N340" s="64" t="s">
        <v>265</v>
      </c>
      <c r="O340" s="64" t="s">
        <v>367</v>
      </c>
      <c r="P340" s="69"/>
      <c r="Q340" s="69"/>
      <c r="R340" s="124"/>
      <c r="S340" s="123"/>
      <c r="T340" s="124"/>
      <c r="U340" s="75">
        <f t="shared" ref="U340:U345" si="68">+AH340*40%</f>
        <v>400000</v>
      </c>
      <c r="V340" s="674">
        <v>0</v>
      </c>
      <c r="W340" s="75"/>
      <c r="X340" s="75">
        <f t="shared" ref="X340:X345" si="69">+AH340*20%</f>
        <v>200000</v>
      </c>
      <c r="Y340" s="834">
        <f t="shared" si="66"/>
        <v>53818.1</v>
      </c>
      <c r="Z340" s="75"/>
      <c r="AA340" s="75">
        <f t="shared" ref="AA340:AA345" si="70">+AH340*40%</f>
        <v>400000</v>
      </c>
      <c r="AB340" s="75"/>
      <c r="AC340" s="75"/>
      <c r="AD340" s="75"/>
      <c r="AE340" s="592"/>
      <c r="AF340" s="347"/>
      <c r="AG340" s="75">
        <v>202500</v>
      </c>
      <c r="AH340" s="370">
        <v>1000000</v>
      </c>
      <c r="AI340" s="75"/>
      <c r="AJ340" s="75">
        <f>18798.75+35019.35</f>
        <v>53818.1</v>
      </c>
      <c r="AK340" s="75"/>
      <c r="AL340" s="75"/>
      <c r="AM340" s="75"/>
      <c r="AN340" s="64" t="s">
        <v>39</v>
      </c>
      <c r="AO340" s="165" t="s">
        <v>144</v>
      </c>
      <c r="AP340" s="165"/>
      <c r="AQ340" s="413"/>
      <c r="AR340" s="69">
        <v>44562</v>
      </c>
      <c r="AS340" s="562">
        <v>44835</v>
      </c>
      <c r="AT340" s="64" t="s">
        <v>1814</v>
      </c>
      <c r="AU340" s="879" t="s">
        <v>2182</v>
      </c>
      <c r="AV340" s="1274"/>
      <c r="AW340" s="2" t="s">
        <v>388</v>
      </c>
    </row>
    <row r="341" spans="1:49" outlineLevel="4" x14ac:dyDescent="0.25">
      <c r="A341" s="63" t="str">
        <f t="shared" si="67"/>
        <v>1.3.1.9.5.60</v>
      </c>
      <c r="B341" s="64">
        <v>1</v>
      </c>
      <c r="C341" s="64">
        <v>3</v>
      </c>
      <c r="D341" s="64">
        <v>1</v>
      </c>
      <c r="E341" s="64">
        <v>9</v>
      </c>
      <c r="F341" s="64">
        <v>5</v>
      </c>
      <c r="G341" s="64">
        <v>60</v>
      </c>
      <c r="H341" s="65"/>
      <c r="I341" s="65"/>
      <c r="J341" s="66"/>
      <c r="K341" s="125" t="s">
        <v>389</v>
      </c>
      <c r="L341" s="64" t="s">
        <v>341</v>
      </c>
      <c r="M341" s="128" t="s">
        <v>381</v>
      </c>
      <c r="N341" s="64" t="s">
        <v>265</v>
      </c>
      <c r="O341" s="64" t="s">
        <v>367</v>
      </c>
      <c r="P341" s="69"/>
      <c r="Q341" s="69"/>
      <c r="R341" s="124"/>
      <c r="S341" s="123"/>
      <c r="T341" s="124"/>
      <c r="U341" s="75">
        <f t="shared" si="68"/>
        <v>400000</v>
      </c>
      <c r="V341" s="674">
        <v>0</v>
      </c>
      <c r="W341" s="75"/>
      <c r="X341" s="75">
        <f t="shared" si="69"/>
        <v>200000</v>
      </c>
      <c r="Y341" s="834">
        <f t="shared" si="66"/>
        <v>0</v>
      </c>
      <c r="Z341" s="75"/>
      <c r="AA341" s="75">
        <f t="shared" si="70"/>
        <v>400000</v>
      </c>
      <c r="AB341" s="75"/>
      <c r="AC341" s="75"/>
      <c r="AD341" s="132"/>
      <c r="AE341" s="598"/>
      <c r="AF341" s="347"/>
      <c r="AG341" s="75">
        <v>202500</v>
      </c>
      <c r="AH341" s="370">
        <v>1000000</v>
      </c>
      <c r="AI341" s="75"/>
      <c r="AJ341" s="75"/>
      <c r="AK341" s="75"/>
      <c r="AL341" s="75"/>
      <c r="AM341" s="75"/>
      <c r="AN341" s="64" t="s">
        <v>39</v>
      </c>
      <c r="AO341" s="165" t="s">
        <v>144</v>
      </c>
      <c r="AP341" s="165"/>
      <c r="AQ341" s="413"/>
      <c r="AR341" s="69">
        <v>44562</v>
      </c>
      <c r="AS341" s="562">
        <v>44835</v>
      </c>
      <c r="AT341" s="64" t="s">
        <v>1814</v>
      </c>
      <c r="AU341" s="646"/>
      <c r="AV341" s="1274"/>
    </row>
    <row r="342" spans="1:49" outlineLevel="4" x14ac:dyDescent="0.25">
      <c r="A342" s="63" t="str">
        <f t="shared" si="67"/>
        <v>1.3.1.9.5.61</v>
      </c>
      <c r="B342" s="64">
        <v>1</v>
      </c>
      <c r="C342" s="64">
        <v>3</v>
      </c>
      <c r="D342" s="64">
        <v>1</v>
      </c>
      <c r="E342" s="64">
        <v>9</v>
      </c>
      <c r="F342" s="64">
        <v>5</v>
      </c>
      <c r="G342" s="64">
        <v>61</v>
      </c>
      <c r="H342" s="65"/>
      <c r="I342" s="65"/>
      <c r="J342" s="66"/>
      <c r="K342" s="125" t="s">
        <v>390</v>
      </c>
      <c r="L342" s="64" t="s">
        <v>341</v>
      </c>
      <c r="M342" s="128" t="s">
        <v>381</v>
      </c>
      <c r="N342" s="64" t="s">
        <v>265</v>
      </c>
      <c r="O342" s="64" t="s">
        <v>367</v>
      </c>
      <c r="P342" s="69"/>
      <c r="Q342" s="69"/>
      <c r="R342" s="124"/>
      <c r="S342" s="123"/>
      <c r="T342" s="124"/>
      <c r="U342" s="75">
        <f t="shared" si="68"/>
        <v>400000</v>
      </c>
      <c r="V342" s="674">
        <v>0</v>
      </c>
      <c r="W342" s="75"/>
      <c r="X342" s="75">
        <f t="shared" si="69"/>
        <v>200000</v>
      </c>
      <c r="Y342" s="834">
        <f t="shared" si="66"/>
        <v>45424.94</v>
      </c>
      <c r="Z342" s="75"/>
      <c r="AA342" s="75">
        <f t="shared" si="70"/>
        <v>400000</v>
      </c>
      <c r="AB342" s="75"/>
      <c r="AC342" s="75"/>
      <c r="AD342" s="132"/>
      <c r="AE342" s="598"/>
      <c r="AF342" s="347"/>
      <c r="AG342" s="75">
        <v>202500</v>
      </c>
      <c r="AH342" s="370">
        <v>1000000</v>
      </c>
      <c r="AI342" s="75"/>
      <c r="AJ342" s="75">
        <f>18265.5+27159.44</f>
        <v>45424.94</v>
      </c>
      <c r="AK342" s="75"/>
      <c r="AL342" s="75"/>
      <c r="AM342" s="75"/>
      <c r="AN342" s="64" t="s">
        <v>39</v>
      </c>
      <c r="AO342" s="165" t="s">
        <v>144</v>
      </c>
      <c r="AP342" s="165"/>
      <c r="AQ342" s="413"/>
      <c r="AR342" s="69">
        <v>44562</v>
      </c>
      <c r="AS342" s="562">
        <v>44835</v>
      </c>
      <c r="AT342" s="64" t="s">
        <v>1814</v>
      </c>
      <c r="AU342" s="879" t="s">
        <v>2181</v>
      </c>
      <c r="AV342" s="1274"/>
    </row>
    <row r="343" spans="1:49" outlineLevel="4" x14ac:dyDescent="0.25">
      <c r="A343" s="63" t="str">
        <f t="shared" si="67"/>
        <v>1.3.1.9.5.62</v>
      </c>
      <c r="B343" s="64">
        <v>1</v>
      </c>
      <c r="C343" s="64">
        <v>3</v>
      </c>
      <c r="D343" s="64">
        <v>1</v>
      </c>
      <c r="E343" s="64">
        <v>9</v>
      </c>
      <c r="F343" s="64">
        <v>5</v>
      </c>
      <c r="G343" s="64">
        <v>62</v>
      </c>
      <c r="H343" s="65"/>
      <c r="I343" s="65"/>
      <c r="J343" s="66"/>
      <c r="K343" s="125" t="s">
        <v>1725</v>
      </c>
      <c r="L343" s="64" t="s">
        <v>341</v>
      </c>
      <c r="M343" s="128" t="s">
        <v>381</v>
      </c>
      <c r="N343" s="64" t="s">
        <v>265</v>
      </c>
      <c r="O343" s="64" t="s">
        <v>367</v>
      </c>
      <c r="P343" s="69"/>
      <c r="Q343" s="69"/>
      <c r="R343" s="124"/>
      <c r="S343" s="123"/>
      <c r="T343" s="124"/>
      <c r="U343" s="75">
        <f t="shared" si="68"/>
        <v>400000</v>
      </c>
      <c r="V343" s="674">
        <v>0</v>
      </c>
      <c r="W343" s="75"/>
      <c r="X343" s="75">
        <f t="shared" si="69"/>
        <v>200000</v>
      </c>
      <c r="Y343" s="834">
        <f t="shared" si="66"/>
        <v>88715.65</v>
      </c>
      <c r="Z343" s="75"/>
      <c r="AA343" s="75">
        <f t="shared" si="70"/>
        <v>400000</v>
      </c>
      <c r="AB343" s="75"/>
      <c r="AC343" s="75"/>
      <c r="AD343" s="132"/>
      <c r="AE343" s="598"/>
      <c r="AF343" s="347"/>
      <c r="AG343" s="75">
        <v>202500</v>
      </c>
      <c r="AH343" s="370">
        <v>1000000</v>
      </c>
      <c r="AI343" s="75"/>
      <c r="AJ343" s="75">
        <f>64202.11+24513.54</f>
        <v>88715.65</v>
      </c>
      <c r="AK343" s="75"/>
      <c r="AL343" s="75"/>
      <c r="AM343" s="75"/>
      <c r="AN343" s="64" t="s">
        <v>39</v>
      </c>
      <c r="AO343" s="165" t="s">
        <v>144</v>
      </c>
      <c r="AP343" s="165"/>
      <c r="AQ343" s="413"/>
      <c r="AR343" s="69">
        <v>44562</v>
      </c>
      <c r="AS343" s="562">
        <v>44835</v>
      </c>
      <c r="AT343" s="64" t="s">
        <v>1814</v>
      </c>
      <c r="AU343" s="879" t="s">
        <v>2180</v>
      </c>
      <c r="AV343" s="1274"/>
    </row>
    <row r="344" spans="1:49" outlineLevel="4" x14ac:dyDescent="0.25">
      <c r="A344" s="63" t="str">
        <f t="shared" si="67"/>
        <v>1.3.1.9.5.63</v>
      </c>
      <c r="B344" s="64">
        <v>1</v>
      </c>
      <c r="C344" s="64">
        <v>3</v>
      </c>
      <c r="D344" s="64">
        <v>1</v>
      </c>
      <c r="E344" s="64">
        <v>9</v>
      </c>
      <c r="F344" s="64">
        <v>5</v>
      </c>
      <c r="G344" s="64">
        <v>63</v>
      </c>
      <c r="H344" s="65"/>
      <c r="I344" s="65"/>
      <c r="J344" s="66"/>
      <c r="K344" s="125" t="s">
        <v>391</v>
      </c>
      <c r="L344" s="64" t="s">
        <v>341</v>
      </c>
      <c r="M344" s="128" t="s">
        <v>381</v>
      </c>
      <c r="N344" s="64" t="s">
        <v>265</v>
      </c>
      <c r="O344" s="64" t="s">
        <v>367</v>
      </c>
      <c r="P344" s="69"/>
      <c r="Q344" s="69"/>
      <c r="R344" s="124"/>
      <c r="S344" s="123"/>
      <c r="T344" s="124"/>
      <c r="U344" s="75">
        <f t="shared" si="68"/>
        <v>400000</v>
      </c>
      <c r="V344" s="674">
        <v>0</v>
      </c>
      <c r="W344" s="75"/>
      <c r="X344" s="75">
        <f t="shared" si="69"/>
        <v>200000</v>
      </c>
      <c r="Y344" s="834">
        <f t="shared" si="66"/>
        <v>0</v>
      </c>
      <c r="Z344" s="75"/>
      <c r="AA344" s="75">
        <f t="shared" si="70"/>
        <v>400000</v>
      </c>
      <c r="AB344" s="75"/>
      <c r="AC344" s="75"/>
      <c r="AD344" s="132"/>
      <c r="AE344" s="598"/>
      <c r="AF344" s="347"/>
      <c r="AG344" s="75">
        <v>202500</v>
      </c>
      <c r="AH344" s="370">
        <v>1000000</v>
      </c>
      <c r="AI344" s="75"/>
      <c r="AJ344" s="75"/>
      <c r="AK344" s="75"/>
      <c r="AL344" s="75"/>
      <c r="AM344" s="75"/>
      <c r="AN344" s="64" t="s">
        <v>39</v>
      </c>
      <c r="AO344" s="165" t="s">
        <v>144</v>
      </c>
      <c r="AP344" s="165"/>
      <c r="AQ344" s="413"/>
      <c r="AR344" s="69">
        <v>44562</v>
      </c>
      <c r="AS344" s="562">
        <v>44835</v>
      </c>
      <c r="AT344" s="64" t="s">
        <v>1814</v>
      </c>
      <c r="AU344" s="646"/>
      <c r="AV344" s="1274"/>
    </row>
    <row r="345" spans="1:49" outlineLevel="4" x14ac:dyDescent="0.25">
      <c r="A345" s="63" t="str">
        <f t="shared" si="67"/>
        <v>1.3.1.9.5.64</v>
      </c>
      <c r="B345" s="64">
        <v>1</v>
      </c>
      <c r="C345" s="64">
        <v>3</v>
      </c>
      <c r="D345" s="64">
        <v>1</v>
      </c>
      <c r="E345" s="64">
        <v>9</v>
      </c>
      <c r="F345" s="64">
        <v>5</v>
      </c>
      <c r="G345" s="64">
        <v>64</v>
      </c>
      <c r="H345" s="65"/>
      <c r="I345" s="65"/>
      <c r="J345" s="66"/>
      <c r="K345" s="125" t="s">
        <v>392</v>
      </c>
      <c r="L345" s="64" t="s">
        <v>341</v>
      </c>
      <c r="M345" s="128" t="s">
        <v>381</v>
      </c>
      <c r="N345" s="64" t="s">
        <v>265</v>
      </c>
      <c r="O345" s="64" t="s">
        <v>367</v>
      </c>
      <c r="P345" s="69"/>
      <c r="Q345" s="69"/>
      <c r="R345" s="124"/>
      <c r="S345" s="123"/>
      <c r="T345" s="124"/>
      <c r="U345" s="75">
        <f t="shared" si="68"/>
        <v>400000</v>
      </c>
      <c r="V345" s="674">
        <v>0</v>
      </c>
      <c r="W345" s="75"/>
      <c r="X345" s="75">
        <f t="shared" si="69"/>
        <v>200000</v>
      </c>
      <c r="Y345" s="834">
        <f t="shared" si="66"/>
        <v>218606.76</v>
      </c>
      <c r="Z345" s="75"/>
      <c r="AA345" s="75">
        <f t="shared" si="70"/>
        <v>400000</v>
      </c>
      <c r="AB345" s="75"/>
      <c r="AC345" s="75"/>
      <c r="AD345" s="132"/>
      <c r="AE345" s="598"/>
      <c r="AF345" s="347"/>
      <c r="AG345" s="75">
        <v>202500</v>
      </c>
      <c r="AH345" s="370">
        <v>1000000</v>
      </c>
      <c r="AI345" s="75"/>
      <c r="AJ345" s="75">
        <v>218606.76</v>
      </c>
      <c r="AK345" s="75"/>
      <c r="AL345" s="75"/>
      <c r="AM345" s="75"/>
      <c r="AN345" s="64" t="s">
        <v>39</v>
      </c>
      <c r="AO345" s="165" t="s">
        <v>144</v>
      </c>
      <c r="AP345" s="165"/>
      <c r="AQ345" s="413"/>
      <c r="AR345" s="69">
        <v>44562</v>
      </c>
      <c r="AS345" s="562">
        <v>44835</v>
      </c>
      <c r="AT345" s="64" t="s">
        <v>1814</v>
      </c>
      <c r="AU345" s="879">
        <v>998</v>
      </c>
      <c r="AV345" s="1274"/>
    </row>
    <row r="346" spans="1:49" ht="30" outlineLevel="4" x14ac:dyDescent="0.25">
      <c r="A346" s="63" t="str">
        <f t="shared" si="67"/>
        <v>1.3.1.9.6.58</v>
      </c>
      <c r="B346" s="64">
        <v>1</v>
      </c>
      <c r="C346" s="64">
        <v>3</v>
      </c>
      <c r="D346" s="64">
        <v>1</v>
      </c>
      <c r="E346" s="64">
        <v>9</v>
      </c>
      <c r="F346" s="64">
        <v>6</v>
      </c>
      <c r="G346" s="64">
        <v>58</v>
      </c>
      <c r="H346" s="65"/>
      <c r="I346" s="65"/>
      <c r="J346" s="66"/>
      <c r="K346" s="103" t="s">
        <v>393</v>
      </c>
      <c r="L346" s="64" t="s">
        <v>72</v>
      </c>
      <c r="M346" s="64" t="s">
        <v>73</v>
      </c>
      <c r="N346" s="64" t="s">
        <v>74</v>
      </c>
      <c r="O346" s="64" t="s">
        <v>367</v>
      </c>
      <c r="P346" s="69">
        <v>44200</v>
      </c>
      <c r="Q346" s="69">
        <v>44561</v>
      </c>
      <c r="R346" s="124">
        <v>70</v>
      </c>
      <c r="S346" s="123" t="s">
        <v>394</v>
      </c>
      <c r="T346" s="124">
        <v>70</v>
      </c>
      <c r="U346" s="75">
        <f t="shared" ref="U346:U352" si="71">+AH346/2</f>
        <v>1000000</v>
      </c>
      <c r="V346" s="674">
        <v>0</v>
      </c>
      <c r="W346" s="75">
        <v>0</v>
      </c>
      <c r="X346" s="75">
        <f t="shared" ref="X346:X352" si="72">+AH346/2</f>
        <v>1000000</v>
      </c>
      <c r="Y346" s="834">
        <f t="shared" si="66"/>
        <v>1794163.88</v>
      </c>
      <c r="Z346" s="75">
        <v>0</v>
      </c>
      <c r="AA346" s="75"/>
      <c r="AB346" s="75"/>
      <c r="AC346" s="75">
        <v>0</v>
      </c>
      <c r="AD346" s="75"/>
      <c r="AE346" s="592"/>
      <c r="AF346" s="347">
        <v>70</v>
      </c>
      <c r="AG346" s="75">
        <v>895000</v>
      </c>
      <c r="AH346" s="370">
        <f>14000000/7</f>
        <v>2000000</v>
      </c>
      <c r="AI346" s="75"/>
      <c r="AJ346" s="75">
        <v>1794163.88</v>
      </c>
      <c r="AK346" s="75"/>
      <c r="AL346" s="75"/>
      <c r="AM346" s="75"/>
      <c r="AN346" s="64" t="s">
        <v>39</v>
      </c>
      <c r="AO346" s="165" t="s">
        <v>1819</v>
      </c>
      <c r="AP346" s="165" t="s">
        <v>2044</v>
      </c>
      <c r="AQ346" s="413" t="s">
        <v>2045</v>
      </c>
      <c r="AR346" s="64"/>
      <c r="AS346" s="475"/>
      <c r="AT346" s="69">
        <v>44623</v>
      </c>
      <c r="AU346" s="879">
        <v>1380</v>
      </c>
      <c r="AV346" s="1274" t="s">
        <v>395</v>
      </c>
      <c r="AW346" s="2">
        <v>8938500</v>
      </c>
    </row>
    <row r="347" spans="1:49" ht="30" outlineLevel="4" x14ac:dyDescent="0.25">
      <c r="A347" s="63" t="str">
        <f t="shared" si="67"/>
        <v>1.3.1.9.6.59</v>
      </c>
      <c r="B347" s="64">
        <v>1</v>
      </c>
      <c r="C347" s="64">
        <v>3</v>
      </c>
      <c r="D347" s="64">
        <v>1</v>
      </c>
      <c r="E347" s="64">
        <v>9</v>
      </c>
      <c r="F347" s="64">
        <v>6</v>
      </c>
      <c r="G347" s="64">
        <v>59</v>
      </c>
      <c r="H347" s="65"/>
      <c r="I347" s="65"/>
      <c r="J347" s="66"/>
      <c r="K347" s="103" t="s">
        <v>396</v>
      </c>
      <c r="L347" s="64"/>
      <c r="M347" s="64"/>
      <c r="N347" s="64"/>
      <c r="O347" s="64"/>
      <c r="P347" s="69">
        <v>44200</v>
      </c>
      <c r="Q347" s="69">
        <v>44561</v>
      </c>
      <c r="R347" s="124"/>
      <c r="S347" s="123"/>
      <c r="T347" s="124"/>
      <c r="U347" s="75">
        <f t="shared" si="71"/>
        <v>1000000</v>
      </c>
      <c r="V347" s="674">
        <v>0</v>
      </c>
      <c r="W347" s="75"/>
      <c r="X347" s="75">
        <f t="shared" si="72"/>
        <v>1000000</v>
      </c>
      <c r="Y347" s="834">
        <f t="shared" si="66"/>
        <v>1794163.95</v>
      </c>
      <c r="Z347" s="75"/>
      <c r="AA347" s="75"/>
      <c r="AB347" s="75"/>
      <c r="AC347" s="75"/>
      <c r="AD347" s="75"/>
      <c r="AE347" s="592"/>
      <c r="AF347" s="347"/>
      <c r="AG347" s="75">
        <v>895000</v>
      </c>
      <c r="AH347" s="370">
        <f t="shared" ref="AH347:AH352" si="73">14000000/7</f>
        <v>2000000</v>
      </c>
      <c r="AI347" s="75"/>
      <c r="AJ347" s="75">
        <v>1794163.95</v>
      </c>
      <c r="AK347" s="75"/>
      <c r="AL347" s="75"/>
      <c r="AM347" s="75"/>
      <c r="AN347" s="64" t="s">
        <v>39</v>
      </c>
      <c r="AO347" s="165" t="s">
        <v>1819</v>
      </c>
      <c r="AP347" s="165" t="s">
        <v>2044</v>
      </c>
      <c r="AQ347" s="413" t="s">
        <v>2045</v>
      </c>
      <c r="AR347" s="64"/>
      <c r="AS347" s="475"/>
      <c r="AT347" s="69">
        <v>44623</v>
      </c>
      <c r="AU347" s="879">
        <v>1380</v>
      </c>
      <c r="AV347" s="1274"/>
      <c r="AW347" s="2">
        <v>1835600</v>
      </c>
    </row>
    <row r="348" spans="1:49" ht="30" outlineLevel="4" x14ac:dyDescent="0.25">
      <c r="A348" s="63" t="str">
        <f t="shared" si="67"/>
        <v>1.3.1.9.6.60</v>
      </c>
      <c r="B348" s="64">
        <v>1</v>
      </c>
      <c r="C348" s="64">
        <v>3</v>
      </c>
      <c r="D348" s="64">
        <v>1</v>
      </c>
      <c r="E348" s="64">
        <v>9</v>
      </c>
      <c r="F348" s="64">
        <v>6</v>
      </c>
      <c r="G348" s="64">
        <v>60</v>
      </c>
      <c r="H348" s="65"/>
      <c r="I348" s="65"/>
      <c r="J348" s="66"/>
      <c r="K348" s="103" t="s">
        <v>397</v>
      </c>
      <c r="L348" s="64"/>
      <c r="M348" s="64"/>
      <c r="N348" s="64"/>
      <c r="O348" s="64"/>
      <c r="P348" s="69">
        <v>44200</v>
      </c>
      <c r="Q348" s="69">
        <v>44561</v>
      </c>
      <c r="R348" s="124"/>
      <c r="S348" s="123"/>
      <c r="T348" s="124"/>
      <c r="U348" s="75">
        <f t="shared" si="71"/>
        <v>1000000</v>
      </c>
      <c r="V348" s="674">
        <v>0</v>
      </c>
      <c r="W348" s="75"/>
      <c r="X348" s="75">
        <f t="shared" si="72"/>
        <v>1000000</v>
      </c>
      <c r="Y348" s="834">
        <f t="shared" si="66"/>
        <v>1794163.88</v>
      </c>
      <c r="Z348" s="75"/>
      <c r="AA348" s="75"/>
      <c r="AB348" s="75"/>
      <c r="AC348" s="75"/>
      <c r="AD348" s="75"/>
      <c r="AE348" s="592"/>
      <c r="AF348" s="347"/>
      <c r="AG348" s="75">
        <v>895000</v>
      </c>
      <c r="AH348" s="370">
        <f t="shared" si="73"/>
        <v>2000000</v>
      </c>
      <c r="AI348" s="75"/>
      <c r="AJ348" s="75">
        <v>1794163.88</v>
      </c>
      <c r="AK348" s="75"/>
      <c r="AL348" s="75"/>
      <c r="AM348" s="75"/>
      <c r="AN348" s="64" t="s">
        <v>39</v>
      </c>
      <c r="AO348" s="165" t="s">
        <v>1819</v>
      </c>
      <c r="AP348" s="165" t="s">
        <v>2044</v>
      </c>
      <c r="AQ348" s="413" t="s">
        <v>2045</v>
      </c>
      <c r="AR348" s="64"/>
      <c r="AS348" s="475"/>
      <c r="AT348" s="69">
        <v>44623</v>
      </c>
      <c r="AU348" s="879">
        <v>1380</v>
      </c>
      <c r="AV348" s="1274"/>
      <c r="AW348" s="2">
        <v>2450400</v>
      </c>
    </row>
    <row r="349" spans="1:49" ht="30" outlineLevel="4" x14ac:dyDescent="0.25">
      <c r="A349" s="63" t="str">
        <f t="shared" si="67"/>
        <v>1.3.1.9.6.61</v>
      </c>
      <c r="B349" s="64">
        <v>1</v>
      </c>
      <c r="C349" s="64">
        <v>3</v>
      </c>
      <c r="D349" s="64">
        <v>1</v>
      </c>
      <c r="E349" s="64">
        <v>9</v>
      </c>
      <c r="F349" s="64">
        <v>6</v>
      </c>
      <c r="G349" s="64">
        <v>61</v>
      </c>
      <c r="H349" s="65"/>
      <c r="I349" s="65"/>
      <c r="J349" s="66"/>
      <c r="K349" s="103" t="s">
        <v>398</v>
      </c>
      <c r="L349" s="64"/>
      <c r="M349" s="64"/>
      <c r="N349" s="64"/>
      <c r="O349" s="64"/>
      <c r="P349" s="69">
        <v>44200</v>
      </c>
      <c r="Q349" s="69">
        <v>44561</v>
      </c>
      <c r="R349" s="124"/>
      <c r="S349" s="123"/>
      <c r="T349" s="124"/>
      <c r="U349" s="75">
        <f t="shared" si="71"/>
        <v>1000000</v>
      </c>
      <c r="V349" s="674">
        <v>0</v>
      </c>
      <c r="W349" s="75"/>
      <c r="X349" s="75">
        <f t="shared" si="72"/>
        <v>1000000</v>
      </c>
      <c r="Y349" s="834">
        <f t="shared" si="66"/>
        <v>1794163.88</v>
      </c>
      <c r="Z349" s="75"/>
      <c r="AA349" s="75"/>
      <c r="AB349" s="75"/>
      <c r="AC349" s="75"/>
      <c r="AD349" s="75"/>
      <c r="AE349" s="592"/>
      <c r="AF349" s="347"/>
      <c r="AG349" s="75">
        <v>895000</v>
      </c>
      <c r="AH349" s="370">
        <f t="shared" si="73"/>
        <v>2000000</v>
      </c>
      <c r="AI349" s="75"/>
      <c r="AJ349" s="75">
        <v>1794163.88</v>
      </c>
      <c r="AK349" s="75"/>
      <c r="AL349" s="75"/>
      <c r="AM349" s="75"/>
      <c r="AN349" s="64" t="s">
        <v>39</v>
      </c>
      <c r="AO349" s="165" t="s">
        <v>1819</v>
      </c>
      <c r="AP349" s="165" t="s">
        <v>2044</v>
      </c>
      <c r="AQ349" s="413" t="s">
        <v>2045</v>
      </c>
      <c r="AR349" s="64"/>
      <c r="AS349" s="475"/>
      <c r="AT349" s="69">
        <v>44623</v>
      </c>
      <c r="AU349" s="879">
        <v>1380</v>
      </c>
      <c r="AV349" s="1274"/>
      <c r="AW349" s="2">
        <v>474000</v>
      </c>
    </row>
    <row r="350" spans="1:49" ht="30" outlineLevel="4" x14ac:dyDescent="0.25">
      <c r="A350" s="63" t="str">
        <f t="shared" si="67"/>
        <v>1.3.1.9.6.62</v>
      </c>
      <c r="B350" s="64">
        <v>1</v>
      </c>
      <c r="C350" s="64">
        <v>3</v>
      </c>
      <c r="D350" s="64">
        <v>1</v>
      </c>
      <c r="E350" s="64">
        <v>9</v>
      </c>
      <c r="F350" s="64">
        <v>6</v>
      </c>
      <c r="G350" s="64">
        <v>62</v>
      </c>
      <c r="H350" s="65"/>
      <c r="I350" s="65"/>
      <c r="J350" s="66"/>
      <c r="K350" s="103" t="s">
        <v>1726</v>
      </c>
      <c r="L350" s="64"/>
      <c r="M350" s="64"/>
      <c r="N350" s="64"/>
      <c r="O350" s="64"/>
      <c r="P350" s="69">
        <v>44200</v>
      </c>
      <c r="Q350" s="69">
        <v>44561</v>
      </c>
      <c r="R350" s="124"/>
      <c r="S350" s="123"/>
      <c r="T350" s="124"/>
      <c r="U350" s="75">
        <f t="shared" si="71"/>
        <v>1000000</v>
      </c>
      <c r="V350" s="674">
        <v>0</v>
      </c>
      <c r="W350" s="75"/>
      <c r="X350" s="75">
        <f t="shared" si="72"/>
        <v>1000000</v>
      </c>
      <c r="Y350" s="834">
        <f t="shared" si="66"/>
        <v>1794163.87</v>
      </c>
      <c r="Z350" s="75"/>
      <c r="AA350" s="75"/>
      <c r="AB350" s="75"/>
      <c r="AC350" s="75"/>
      <c r="AD350" s="75"/>
      <c r="AE350" s="592"/>
      <c r="AF350" s="347"/>
      <c r="AG350" s="75">
        <v>895000</v>
      </c>
      <c r="AH350" s="370">
        <f t="shared" si="73"/>
        <v>2000000</v>
      </c>
      <c r="AI350" s="75"/>
      <c r="AJ350" s="75">
        <v>1794163.87</v>
      </c>
      <c r="AK350" s="75"/>
      <c r="AL350" s="75"/>
      <c r="AM350" s="75"/>
      <c r="AN350" s="64" t="s">
        <v>39</v>
      </c>
      <c r="AO350" s="165" t="s">
        <v>1819</v>
      </c>
      <c r="AP350" s="165" t="s">
        <v>2044</v>
      </c>
      <c r="AQ350" s="413" t="s">
        <v>2045</v>
      </c>
      <c r="AR350" s="64"/>
      <c r="AS350" s="475"/>
      <c r="AT350" s="69">
        <v>44623</v>
      </c>
      <c r="AU350" s="879">
        <v>1380</v>
      </c>
      <c r="AV350" s="1274"/>
      <c r="AW350" s="2">
        <v>636000</v>
      </c>
    </row>
    <row r="351" spans="1:49" ht="30" outlineLevel="4" x14ac:dyDescent="0.25">
      <c r="A351" s="63" t="str">
        <f t="shared" si="67"/>
        <v>1.3.1.9.6.63</v>
      </c>
      <c r="B351" s="64">
        <v>1</v>
      </c>
      <c r="C351" s="64">
        <v>3</v>
      </c>
      <c r="D351" s="64">
        <v>1</v>
      </c>
      <c r="E351" s="64">
        <v>9</v>
      </c>
      <c r="F351" s="64">
        <v>6</v>
      </c>
      <c r="G351" s="64">
        <v>63</v>
      </c>
      <c r="H351" s="65"/>
      <c r="I351" s="65"/>
      <c r="J351" s="66"/>
      <c r="K351" s="103" t="s">
        <v>399</v>
      </c>
      <c r="L351" s="64"/>
      <c r="M351" s="64"/>
      <c r="N351" s="64"/>
      <c r="O351" s="64"/>
      <c r="P351" s="69">
        <v>44200</v>
      </c>
      <c r="Q351" s="69">
        <v>44561</v>
      </c>
      <c r="R351" s="124"/>
      <c r="S351" s="123"/>
      <c r="T351" s="124"/>
      <c r="U351" s="75">
        <f t="shared" si="71"/>
        <v>1000000</v>
      </c>
      <c r="V351" s="674">
        <v>0</v>
      </c>
      <c r="W351" s="75"/>
      <c r="X351" s="75">
        <f t="shared" si="72"/>
        <v>1000000</v>
      </c>
      <c r="Y351" s="834">
        <f t="shared" si="66"/>
        <v>1794163.87</v>
      </c>
      <c r="Z351" s="75"/>
      <c r="AA351" s="75"/>
      <c r="AB351" s="75"/>
      <c r="AC351" s="75"/>
      <c r="AD351" s="75"/>
      <c r="AE351" s="592"/>
      <c r="AF351" s="347"/>
      <c r="AG351" s="75">
        <v>895000</v>
      </c>
      <c r="AH351" s="370">
        <f t="shared" si="73"/>
        <v>2000000</v>
      </c>
      <c r="AI351" s="75"/>
      <c r="AJ351" s="75">
        <v>1794163.87</v>
      </c>
      <c r="AK351" s="75"/>
      <c r="AL351" s="75"/>
      <c r="AM351" s="75"/>
      <c r="AN351" s="64" t="s">
        <v>39</v>
      </c>
      <c r="AO351" s="165" t="s">
        <v>1819</v>
      </c>
      <c r="AP351" s="165" t="s">
        <v>2044</v>
      </c>
      <c r="AQ351" s="413" t="s">
        <v>2045</v>
      </c>
      <c r="AR351" s="64"/>
      <c r="AS351" s="475"/>
      <c r="AT351" s="69">
        <v>44623</v>
      </c>
      <c r="AU351" s="879">
        <v>1380</v>
      </c>
      <c r="AV351" s="1274"/>
      <c r="AW351" s="2">
        <v>5250000</v>
      </c>
    </row>
    <row r="352" spans="1:49" ht="30" outlineLevel="4" x14ac:dyDescent="0.25">
      <c r="A352" s="63" t="str">
        <f t="shared" si="67"/>
        <v>1.3.1.9.6.64</v>
      </c>
      <c r="B352" s="64">
        <v>1</v>
      </c>
      <c r="C352" s="64">
        <v>3</v>
      </c>
      <c r="D352" s="64">
        <v>1</v>
      </c>
      <c r="E352" s="64">
        <v>9</v>
      </c>
      <c r="F352" s="64">
        <v>6</v>
      </c>
      <c r="G352" s="64">
        <v>64</v>
      </c>
      <c r="H352" s="65"/>
      <c r="I352" s="65"/>
      <c r="J352" s="66"/>
      <c r="K352" s="103" t="s">
        <v>400</v>
      </c>
      <c r="L352" s="64"/>
      <c r="M352" s="64"/>
      <c r="N352" s="64"/>
      <c r="O352" s="64"/>
      <c r="P352" s="69">
        <v>44200</v>
      </c>
      <c r="Q352" s="69">
        <v>44561</v>
      </c>
      <c r="R352" s="124"/>
      <c r="S352" s="123"/>
      <c r="T352" s="124"/>
      <c r="U352" s="155">
        <f t="shared" si="71"/>
        <v>1000000</v>
      </c>
      <c r="V352" s="674">
        <v>0</v>
      </c>
      <c r="W352" s="155"/>
      <c r="X352" s="155">
        <f t="shared" si="72"/>
        <v>1000000</v>
      </c>
      <c r="Y352" s="834">
        <f t="shared" si="66"/>
        <v>1794163.87</v>
      </c>
      <c r="Z352" s="155"/>
      <c r="AA352" s="155"/>
      <c r="AB352" s="155"/>
      <c r="AC352" s="75"/>
      <c r="AD352" s="75"/>
      <c r="AE352" s="592"/>
      <c r="AF352" s="347"/>
      <c r="AG352" s="75">
        <v>895000</v>
      </c>
      <c r="AH352" s="370">
        <f t="shared" si="73"/>
        <v>2000000</v>
      </c>
      <c r="AI352" s="75"/>
      <c r="AJ352" s="75">
        <v>1794163.87</v>
      </c>
      <c r="AK352" s="75"/>
      <c r="AL352" s="75"/>
      <c r="AM352" s="75"/>
      <c r="AN352" s="64" t="s">
        <v>39</v>
      </c>
      <c r="AO352" s="165" t="s">
        <v>1819</v>
      </c>
      <c r="AP352" s="165" t="s">
        <v>2044</v>
      </c>
      <c r="AQ352" s="413" t="s">
        <v>2045</v>
      </c>
      <c r="AR352" s="64"/>
      <c r="AS352" s="475"/>
      <c r="AT352" s="69">
        <v>44623</v>
      </c>
      <c r="AU352" s="879">
        <v>1380</v>
      </c>
      <c r="AV352" s="1274"/>
      <c r="AW352" s="2">
        <v>1364434</v>
      </c>
    </row>
    <row r="353" spans="1:48" ht="39" customHeight="1" outlineLevel="4" x14ac:dyDescent="0.25">
      <c r="A353" s="63" t="str">
        <f t="shared" si="67"/>
        <v>1.3.1.9.7.58</v>
      </c>
      <c r="B353" s="64">
        <v>1</v>
      </c>
      <c r="C353" s="64">
        <v>3</v>
      </c>
      <c r="D353" s="64">
        <v>1</v>
      </c>
      <c r="E353" s="64">
        <v>9</v>
      </c>
      <c r="F353" s="64">
        <v>7</v>
      </c>
      <c r="G353" s="64">
        <v>58</v>
      </c>
      <c r="H353" s="65"/>
      <c r="I353" s="65"/>
      <c r="J353" s="66"/>
      <c r="K353" s="65" t="s">
        <v>401</v>
      </c>
      <c r="L353" s="64" t="s">
        <v>2153</v>
      </c>
      <c r="M353" s="64" t="s">
        <v>73</v>
      </c>
      <c r="N353" s="64" t="s">
        <v>74</v>
      </c>
      <c r="O353" s="64" t="s">
        <v>367</v>
      </c>
      <c r="P353" s="69">
        <v>44200</v>
      </c>
      <c r="Q353" s="69">
        <v>44316</v>
      </c>
      <c r="R353" s="156">
        <v>0.6</v>
      </c>
      <c r="S353" s="123" t="s">
        <v>402</v>
      </c>
      <c r="T353" s="124">
        <v>10250</v>
      </c>
      <c r="U353" s="155">
        <f>+AH353*0.3</f>
        <v>6771428.5714285709</v>
      </c>
      <c r="V353" s="674">
        <v>16328857.109999999</v>
      </c>
      <c r="W353" s="155"/>
      <c r="X353" s="155">
        <f>+AH353*0.3</f>
        <v>6771428.5714285709</v>
      </c>
      <c r="Y353" s="834">
        <f t="shared" si="66"/>
        <v>15338192.150000006</v>
      </c>
      <c r="Z353" s="155"/>
      <c r="AA353" s="155">
        <f>+AH353*0.3</f>
        <v>6771428.5714285709</v>
      </c>
      <c r="AB353" s="155"/>
      <c r="AC353" s="75"/>
      <c r="AD353" s="155">
        <f t="shared" ref="AD353:AD359" si="74">+AH353-U353-X353-AA353</f>
        <v>2257142.8571428582</v>
      </c>
      <c r="AE353" s="599"/>
      <c r="AF353" s="347" t="s">
        <v>403</v>
      </c>
      <c r="AG353" s="75">
        <v>33387687.48</v>
      </c>
      <c r="AH353" s="370">
        <f>158000000/7</f>
        <v>22571428.571428571</v>
      </c>
      <c r="AI353" s="75"/>
      <c r="AJ353" s="75">
        <f>1038228.57+1061942.84+3723474.29+5098514.29+1938297.14+1445085.71+958171.43+1065142.84+269714.26+481942.86+2866076+1267428.58+662514.26+3707387.1+958171.43+693284.74+942857.14+840000+2648815.78</f>
        <v>31667049.260000005</v>
      </c>
      <c r="AK353" s="75"/>
      <c r="AL353" s="75"/>
      <c r="AM353" s="75"/>
      <c r="AN353" s="64" t="s">
        <v>39</v>
      </c>
      <c r="AO353" s="165" t="s">
        <v>1819</v>
      </c>
      <c r="AP353" s="582" t="s">
        <v>1898</v>
      </c>
      <c r="AQ353" s="413"/>
      <c r="AR353" s="64">
        <v>2021</v>
      </c>
      <c r="AS353" s="475">
        <v>2023</v>
      </c>
      <c r="AT353" s="64" t="s">
        <v>2029</v>
      </c>
      <c r="AU353" s="875" t="s">
        <v>2154</v>
      </c>
      <c r="AV353" s="1340" t="s">
        <v>2016</v>
      </c>
    </row>
    <row r="354" spans="1:48" ht="45" outlineLevel="4" x14ac:dyDescent="0.25">
      <c r="A354" s="63" t="str">
        <f t="shared" si="67"/>
        <v>1.3.1.9.7.59</v>
      </c>
      <c r="B354" s="64">
        <v>1</v>
      </c>
      <c r="C354" s="64">
        <v>3</v>
      </c>
      <c r="D354" s="64">
        <v>1</v>
      </c>
      <c r="E354" s="64">
        <v>9</v>
      </c>
      <c r="F354" s="64">
        <v>7</v>
      </c>
      <c r="G354" s="64">
        <v>59</v>
      </c>
      <c r="H354" s="65"/>
      <c r="I354" s="65"/>
      <c r="J354" s="66"/>
      <c r="K354" s="65" t="s">
        <v>404</v>
      </c>
      <c r="L354" s="64" t="s">
        <v>2153</v>
      </c>
      <c r="M354" s="64" t="s">
        <v>73</v>
      </c>
      <c r="N354" s="64"/>
      <c r="O354" s="64"/>
      <c r="P354" s="69">
        <v>44200</v>
      </c>
      <c r="Q354" s="69">
        <v>44316</v>
      </c>
      <c r="R354" s="156">
        <v>0.6</v>
      </c>
      <c r="S354" s="123"/>
      <c r="T354" s="124"/>
      <c r="U354" s="155">
        <f t="shared" ref="U354:U359" si="75">+AH354*0.3</f>
        <v>6471428.5739999991</v>
      </c>
      <c r="V354" s="674">
        <v>16328857.150000002</v>
      </c>
      <c r="W354" s="155"/>
      <c r="X354" s="155">
        <f t="shared" ref="X354:X359" si="76">+AH354*0.3</f>
        <v>6471428.5739999991</v>
      </c>
      <c r="Y354" s="834">
        <f t="shared" si="66"/>
        <v>15048112.119999997</v>
      </c>
      <c r="Z354" s="155"/>
      <c r="AA354" s="155">
        <f t="shared" ref="AA354:AA359" si="77">+AH354*0.3</f>
        <v>6471428.5739999991</v>
      </c>
      <c r="AB354" s="155"/>
      <c r="AC354" s="75"/>
      <c r="AD354" s="155">
        <f t="shared" si="74"/>
        <v>2157142.8580000009</v>
      </c>
      <c r="AE354" s="599"/>
      <c r="AF354" s="347"/>
      <c r="AG354" s="75">
        <v>33387687.48</v>
      </c>
      <c r="AH354" s="370">
        <v>21571428.579999998</v>
      </c>
      <c r="AI354" s="75"/>
      <c r="AJ354" s="75">
        <f>1038228.57+1061942.86+3723474.29+5098514.29+1938297.14+1445085.71+958171.43+1065142.86+269714.29+481942.86+2866076+1267428.57+662514.29+3417307.02+958171.43+693284.74+942857.14+840000+2648815.78</f>
        <v>31376969.27</v>
      </c>
      <c r="AK354" s="75"/>
      <c r="AL354" s="75"/>
      <c r="AM354" s="75"/>
      <c r="AN354" s="64" t="s">
        <v>39</v>
      </c>
      <c r="AO354" s="165" t="s">
        <v>1819</v>
      </c>
      <c r="AP354" s="582" t="s">
        <v>1898</v>
      </c>
      <c r="AQ354" s="413"/>
      <c r="AR354" s="64">
        <v>2021</v>
      </c>
      <c r="AS354" s="475">
        <v>2023</v>
      </c>
      <c r="AT354" s="64" t="s">
        <v>2029</v>
      </c>
      <c r="AU354" s="875" t="s">
        <v>2154</v>
      </c>
      <c r="AV354" s="1340"/>
    </row>
    <row r="355" spans="1:48" ht="45" outlineLevel="4" x14ac:dyDescent="0.25">
      <c r="A355" s="63" t="str">
        <f t="shared" si="67"/>
        <v>1.3.1.9.7.60</v>
      </c>
      <c r="B355" s="64">
        <v>1</v>
      </c>
      <c r="C355" s="64">
        <v>3</v>
      </c>
      <c r="D355" s="64">
        <v>1</v>
      </c>
      <c r="E355" s="64">
        <v>9</v>
      </c>
      <c r="F355" s="64">
        <v>7</v>
      </c>
      <c r="G355" s="64">
        <v>60</v>
      </c>
      <c r="H355" s="65"/>
      <c r="I355" s="65"/>
      <c r="J355" s="66"/>
      <c r="K355" s="65" t="s">
        <v>405</v>
      </c>
      <c r="L355" s="64" t="s">
        <v>2153</v>
      </c>
      <c r="M355" s="64" t="s">
        <v>73</v>
      </c>
      <c r="N355" s="64"/>
      <c r="O355" s="64"/>
      <c r="P355" s="69">
        <v>44200</v>
      </c>
      <c r="Q355" s="69">
        <v>44316</v>
      </c>
      <c r="R355" s="156">
        <v>0.6</v>
      </c>
      <c r="S355" s="123"/>
      <c r="T355" s="124"/>
      <c r="U355" s="155">
        <f t="shared" si="75"/>
        <v>6771428.5714285709</v>
      </c>
      <c r="V355" s="674">
        <v>16328857.140000001</v>
      </c>
      <c r="W355" s="155"/>
      <c r="X355" s="155">
        <f t="shared" si="76"/>
        <v>6771428.5714285709</v>
      </c>
      <c r="Y355" s="834">
        <f t="shared" si="66"/>
        <v>15018113.129999999</v>
      </c>
      <c r="Z355" s="155"/>
      <c r="AA355" s="155">
        <f t="shared" si="77"/>
        <v>6771428.5714285709</v>
      </c>
      <c r="AB355" s="155"/>
      <c r="AC355" s="75"/>
      <c r="AD355" s="155">
        <f t="shared" si="74"/>
        <v>2257142.8571428582</v>
      </c>
      <c r="AE355" s="599"/>
      <c r="AF355" s="347"/>
      <c r="AG355" s="75">
        <v>33387687.48</v>
      </c>
      <c r="AH355" s="370">
        <f t="shared" ref="AH355:AH359" si="78">158000000/7</f>
        <v>22571428.571428571</v>
      </c>
      <c r="AI355" s="75"/>
      <c r="AJ355" s="75">
        <f>1038228.57+1061942.86+3723474.26+5098514.28+1938297.14+1445085.71+958171.43+1065142.86+269714.29+481942.86+2866076+1267428.57+662514.29+3387308.07+958171.43+693284.73+942857.14+840000+2648815.78</f>
        <v>31346970.27</v>
      </c>
      <c r="AK355" s="75"/>
      <c r="AL355" s="75"/>
      <c r="AM355" s="75"/>
      <c r="AN355" s="64" t="s">
        <v>39</v>
      </c>
      <c r="AO355" s="165" t="s">
        <v>1819</v>
      </c>
      <c r="AP355" s="582" t="s">
        <v>1898</v>
      </c>
      <c r="AQ355" s="413"/>
      <c r="AR355" s="64">
        <v>2021</v>
      </c>
      <c r="AS355" s="475">
        <v>2023</v>
      </c>
      <c r="AT355" s="64" t="s">
        <v>2029</v>
      </c>
      <c r="AU355" s="875" t="s">
        <v>2154</v>
      </c>
      <c r="AV355" s="1340"/>
    </row>
    <row r="356" spans="1:48" ht="45" outlineLevel="4" x14ac:dyDescent="0.25">
      <c r="A356" s="63" t="str">
        <f t="shared" si="67"/>
        <v>1.3.1.9.7.61</v>
      </c>
      <c r="B356" s="64">
        <v>1</v>
      </c>
      <c r="C356" s="64">
        <v>3</v>
      </c>
      <c r="D356" s="64">
        <v>1</v>
      </c>
      <c r="E356" s="64">
        <v>9</v>
      </c>
      <c r="F356" s="64">
        <v>7</v>
      </c>
      <c r="G356" s="64">
        <v>61</v>
      </c>
      <c r="H356" s="65"/>
      <c r="I356" s="65"/>
      <c r="J356" s="66"/>
      <c r="K356" s="65" t="s">
        <v>406</v>
      </c>
      <c r="L356" s="64" t="s">
        <v>2153</v>
      </c>
      <c r="M356" s="64" t="s">
        <v>73</v>
      </c>
      <c r="N356" s="64"/>
      <c r="O356" s="64"/>
      <c r="P356" s="69">
        <v>44200</v>
      </c>
      <c r="Q356" s="69">
        <v>44316</v>
      </c>
      <c r="R356" s="156">
        <v>0.6</v>
      </c>
      <c r="S356" s="123"/>
      <c r="T356" s="124"/>
      <c r="U356" s="155">
        <f t="shared" si="75"/>
        <v>6771428.5714285709</v>
      </c>
      <c r="V356" s="674">
        <v>16328857.140000001</v>
      </c>
      <c r="W356" s="155"/>
      <c r="X356" s="155">
        <f t="shared" si="76"/>
        <v>6771428.5714285709</v>
      </c>
      <c r="Y356" s="834">
        <f t="shared" si="66"/>
        <v>15018113.129999995</v>
      </c>
      <c r="Z356" s="155"/>
      <c r="AA356" s="155">
        <f t="shared" si="77"/>
        <v>6771428.5714285709</v>
      </c>
      <c r="AB356" s="155"/>
      <c r="AC356" s="75"/>
      <c r="AD356" s="155">
        <f t="shared" si="74"/>
        <v>2257142.8571428582</v>
      </c>
      <c r="AE356" s="599"/>
      <c r="AF356" s="347"/>
      <c r="AG356" s="75">
        <v>33387687.48</v>
      </c>
      <c r="AH356" s="370">
        <f t="shared" si="78"/>
        <v>22571428.571428571</v>
      </c>
      <c r="AI356" s="75"/>
      <c r="AJ356" s="75">
        <f>1038228.57+1061942.86+3723474.29+5098514.28+1938297.14+1445085.71+958171.43+1065142.86+269714.29+481942.86+2866076+1267428.57+662514.29+3387308.06+958171.43+693284.73+942857.14+840000+2648815.76</f>
        <v>31346970.269999996</v>
      </c>
      <c r="AK356" s="75"/>
      <c r="AL356" s="75"/>
      <c r="AM356" s="75"/>
      <c r="AN356" s="64" t="s">
        <v>39</v>
      </c>
      <c r="AO356" s="165" t="s">
        <v>1819</v>
      </c>
      <c r="AP356" s="582" t="s">
        <v>1898</v>
      </c>
      <c r="AQ356" s="413"/>
      <c r="AR356" s="64">
        <v>2021</v>
      </c>
      <c r="AS356" s="475">
        <v>2023</v>
      </c>
      <c r="AT356" s="64" t="s">
        <v>2029</v>
      </c>
      <c r="AU356" s="875" t="s">
        <v>2154</v>
      </c>
      <c r="AV356" s="1340"/>
    </row>
    <row r="357" spans="1:48" ht="45" outlineLevel="4" x14ac:dyDescent="0.25">
      <c r="A357" s="63" t="str">
        <f t="shared" si="67"/>
        <v>1.3.1.9.7.62</v>
      </c>
      <c r="B357" s="64">
        <v>1</v>
      </c>
      <c r="C357" s="64">
        <v>3</v>
      </c>
      <c r="D357" s="64">
        <v>1</v>
      </c>
      <c r="E357" s="64">
        <v>9</v>
      </c>
      <c r="F357" s="64">
        <v>7</v>
      </c>
      <c r="G357" s="64">
        <v>62</v>
      </c>
      <c r="H357" s="65"/>
      <c r="I357" s="65"/>
      <c r="J357" s="66"/>
      <c r="K357" s="65" t="s">
        <v>1727</v>
      </c>
      <c r="L357" s="64" t="s">
        <v>2153</v>
      </c>
      <c r="M357" s="64" t="s">
        <v>73</v>
      </c>
      <c r="N357" s="64"/>
      <c r="O357" s="64"/>
      <c r="P357" s="69">
        <v>44200</v>
      </c>
      <c r="Q357" s="69">
        <v>44316</v>
      </c>
      <c r="R357" s="156">
        <v>0.6</v>
      </c>
      <c r="S357" s="123"/>
      <c r="T357" s="124"/>
      <c r="U357" s="155">
        <f t="shared" si="75"/>
        <v>6771428.5714285709</v>
      </c>
      <c r="V357" s="674">
        <v>16328857.140000001</v>
      </c>
      <c r="W357" s="155"/>
      <c r="X357" s="155">
        <f t="shared" si="76"/>
        <v>6771428.5714285709</v>
      </c>
      <c r="Y357" s="834">
        <f t="shared" si="66"/>
        <v>14818112.120000001</v>
      </c>
      <c r="Z357" s="155"/>
      <c r="AA357" s="155">
        <f t="shared" si="77"/>
        <v>6771428.5714285709</v>
      </c>
      <c r="AB357" s="155"/>
      <c r="AC357" s="75"/>
      <c r="AD357" s="155">
        <f t="shared" si="74"/>
        <v>2257142.8571428582</v>
      </c>
      <c r="AE357" s="599"/>
      <c r="AF357" s="347"/>
      <c r="AG357" s="75">
        <v>33387687.48</v>
      </c>
      <c r="AH357" s="370">
        <f t="shared" si="78"/>
        <v>22571428.571428571</v>
      </c>
      <c r="AI357" s="75"/>
      <c r="AJ357" s="75">
        <f>1038228.57+1061942.86+3723474.29+5098514.28+1938297.14+1445085.71+958171.43+1065142.86+269714.29+481942.86+2866076+1267428.57+662514.29+3187307.03+958171.43+693284.73+942857.14+840000+2648815.78</f>
        <v>31146969.260000002</v>
      </c>
      <c r="AK357" s="75"/>
      <c r="AL357" s="75"/>
      <c r="AM357" s="75"/>
      <c r="AN357" s="64" t="s">
        <v>39</v>
      </c>
      <c r="AO357" s="165" t="s">
        <v>1819</v>
      </c>
      <c r="AP357" s="582" t="s">
        <v>1898</v>
      </c>
      <c r="AQ357" s="413"/>
      <c r="AR357" s="64">
        <v>2021</v>
      </c>
      <c r="AS357" s="475">
        <v>2023</v>
      </c>
      <c r="AT357" s="64" t="s">
        <v>2029</v>
      </c>
      <c r="AU357" s="875" t="s">
        <v>2154</v>
      </c>
      <c r="AV357" s="1340"/>
    </row>
    <row r="358" spans="1:48" ht="45" outlineLevel="4" x14ac:dyDescent="0.25">
      <c r="A358" s="63" t="str">
        <f t="shared" si="67"/>
        <v>1.3.1.9.7.63</v>
      </c>
      <c r="B358" s="64">
        <v>1</v>
      </c>
      <c r="C358" s="64">
        <v>3</v>
      </c>
      <c r="D358" s="64">
        <v>1</v>
      </c>
      <c r="E358" s="64">
        <v>9</v>
      </c>
      <c r="F358" s="64">
        <v>7</v>
      </c>
      <c r="G358" s="64">
        <v>63</v>
      </c>
      <c r="H358" s="65"/>
      <c r="I358" s="65"/>
      <c r="J358" s="66"/>
      <c r="K358" s="65" t="s">
        <v>407</v>
      </c>
      <c r="L358" s="64" t="s">
        <v>2153</v>
      </c>
      <c r="M358" s="64" t="s">
        <v>73</v>
      </c>
      <c r="N358" s="64"/>
      <c r="O358" s="64"/>
      <c r="P358" s="69">
        <v>44200</v>
      </c>
      <c r="Q358" s="69">
        <v>44316</v>
      </c>
      <c r="R358" s="156">
        <v>0.6</v>
      </c>
      <c r="S358" s="123"/>
      <c r="T358" s="124"/>
      <c r="U358" s="155">
        <f t="shared" si="75"/>
        <v>6771428.5714285709</v>
      </c>
      <c r="V358" s="674">
        <v>16328857.109999999</v>
      </c>
      <c r="W358" s="155"/>
      <c r="X358" s="155">
        <f t="shared" si="76"/>
        <v>6771428.5714285709</v>
      </c>
      <c r="Y358" s="834">
        <f t="shared" si="66"/>
        <v>13894438.150000002</v>
      </c>
      <c r="Z358" s="155"/>
      <c r="AA358" s="155">
        <f t="shared" si="77"/>
        <v>6771428.5714285709</v>
      </c>
      <c r="AB358" s="155"/>
      <c r="AC358" s="75"/>
      <c r="AD358" s="155">
        <f t="shared" si="74"/>
        <v>2257142.8571428582</v>
      </c>
      <c r="AE358" s="599"/>
      <c r="AF358" s="347"/>
      <c r="AG358" s="75">
        <v>33387687.48</v>
      </c>
      <c r="AH358" s="370">
        <f t="shared" si="78"/>
        <v>22571428.571428571</v>
      </c>
      <c r="AI358" s="75"/>
      <c r="AJ358" s="75">
        <f>1038228.57+1061942.86+3723474.29+5098514.28+1938297.14+1445085.71+958171.43+1065142.86+269714.29+481942.86+2866076+1267428.57+662514.29+2263633.03+958171.43+693284.73+942857.14+840000+2648815.78</f>
        <v>30223295.260000002</v>
      </c>
      <c r="AK358" s="75"/>
      <c r="AL358" s="75"/>
      <c r="AM358" s="75"/>
      <c r="AN358" s="64" t="s">
        <v>39</v>
      </c>
      <c r="AO358" s="165" t="s">
        <v>1819</v>
      </c>
      <c r="AP358" s="582" t="s">
        <v>1898</v>
      </c>
      <c r="AQ358" s="413"/>
      <c r="AR358" s="64">
        <v>2021</v>
      </c>
      <c r="AS358" s="475">
        <v>2023</v>
      </c>
      <c r="AT358" s="64" t="s">
        <v>2029</v>
      </c>
      <c r="AU358" s="875" t="s">
        <v>2154</v>
      </c>
      <c r="AV358" s="1340"/>
    </row>
    <row r="359" spans="1:48" ht="45" outlineLevel="4" x14ac:dyDescent="0.25">
      <c r="A359" s="63" t="str">
        <f t="shared" si="67"/>
        <v>1.3.1.9.7.64</v>
      </c>
      <c r="B359" s="64">
        <v>1</v>
      </c>
      <c r="C359" s="64">
        <v>3</v>
      </c>
      <c r="D359" s="64">
        <v>1</v>
      </c>
      <c r="E359" s="64">
        <v>9</v>
      </c>
      <c r="F359" s="64">
        <v>7</v>
      </c>
      <c r="G359" s="64">
        <v>64</v>
      </c>
      <c r="H359" s="65"/>
      <c r="I359" s="65"/>
      <c r="J359" s="66"/>
      <c r="K359" s="65" t="s">
        <v>408</v>
      </c>
      <c r="L359" s="64" t="s">
        <v>2153</v>
      </c>
      <c r="M359" s="64" t="s">
        <v>73</v>
      </c>
      <c r="N359" s="64"/>
      <c r="O359" s="64"/>
      <c r="P359" s="69">
        <v>44200</v>
      </c>
      <c r="Q359" s="69">
        <v>44316</v>
      </c>
      <c r="R359" s="156">
        <v>0.6</v>
      </c>
      <c r="S359" s="123"/>
      <c r="T359" s="124"/>
      <c r="U359" s="155">
        <f t="shared" si="75"/>
        <v>6771428.5714285709</v>
      </c>
      <c r="V359" s="674">
        <v>16328857.210000001</v>
      </c>
      <c r="W359" s="155"/>
      <c r="X359" s="155">
        <f t="shared" si="76"/>
        <v>6771428.5714285709</v>
      </c>
      <c r="Y359" s="834">
        <f t="shared" si="66"/>
        <v>14440112.039999999</v>
      </c>
      <c r="Z359" s="155"/>
      <c r="AA359" s="155">
        <f t="shared" si="77"/>
        <v>6771428.5714285709</v>
      </c>
      <c r="AB359" s="155"/>
      <c r="AC359" s="75"/>
      <c r="AD359" s="155">
        <f t="shared" si="74"/>
        <v>2257142.8571428582</v>
      </c>
      <c r="AE359" s="599"/>
      <c r="AF359" s="347"/>
      <c r="AG359" s="75">
        <v>33387687.48</v>
      </c>
      <c r="AH359" s="370">
        <f t="shared" si="78"/>
        <v>22571428.571428571</v>
      </c>
      <c r="AI359" s="75"/>
      <c r="AJ359" s="75">
        <f>1038228.58+1061942.86+3723474.29+5098514.3+1938297.16+1445085.74+958171.42+1065142.86+269714.29+481942.84+2866076+1267428.57+662514.29+2809306.97+958171.43+693284.73+942857.14+840000+2648815.78</f>
        <v>30768969.25</v>
      </c>
      <c r="AK359" s="75"/>
      <c r="AL359" s="75"/>
      <c r="AM359" s="75"/>
      <c r="AN359" s="64" t="s">
        <v>39</v>
      </c>
      <c r="AO359" s="165" t="s">
        <v>1819</v>
      </c>
      <c r="AP359" s="582" t="s">
        <v>1898</v>
      </c>
      <c r="AQ359" s="413"/>
      <c r="AR359" s="64">
        <v>2021</v>
      </c>
      <c r="AS359" s="475">
        <v>2023</v>
      </c>
      <c r="AT359" s="64" t="s">
        <v>2029</v>
      </c>
      <c r="AU359" s="875" t="s">
        <v>2154</v>
      </c>
      <c r="AV359" s="1340"/>
    </row>
    <row r="360" spans="1:48" outlineLevel="4" x14ac:dyDescent="0.25">
      <c r="A360" s="63" t="str">
        <f t="shared" si="67"/>
        <v>1.3.1.9.8.58</v>
      </c>
      <c r="B360" s="64">
        <v>1</v>
      </c>
      <c r="C360" s="64">
        <v>3</v>
      </c>
      <c r="D360" s="64">
        <v>1</v>
      </c>
      <c r="E360" s="64">
        <v>9</v>
      </c>
      <c r="F360" s="64">
        <v>8</v>
      </c>
      <c r="G360" s="64">
        <v>58</v>
      </c>
      <c r="H360" s="65"/>
      <c r="I360" s="65"/>
      <c r="J360" s="66"/>
      <c r="K360" s="125" t="s">
        <v>409</v>
      </c>
      <c r="L360" s="64" t="s">
        <v>72</v>
      </c>
      <c r="M360" s="64" t="s">
        <v>73</v>
      </c>
      <c r="N360" s="64" t="s">
        <v>74</v>
      </c>
      <c r="O360" s="64" t="s">
        <v>367</v>
      </c>
      <c r="P360" s="69">
        <v>44200</v>
      </c>
      <c r="Q360" s="69">
        <v>44561</v>
      </c>
      <c r="R360" s="156"/>
      <c r="S360" s="123"/>
      <c r="T360" s="124"/>
      <c r="U360" s="155"/>
      <c r="V360" s="674">
        <v>0</v>
      </c>
      <c r="W360" s="155">
        <v>0</v>
      </c>
      <c r="X360" s="155">
        <f>$AH360/2</f>
        <v>125000</v>
      </c>
      <c r="Y360" s="834">
        <f t="shared" si="66"/>
        <v>0</v>
      </c>
      <c r="Z360" s="155">
        <v>0</v>
      </c>
      <c r="AA360" s="155">
        <f>$AH360/2</f>
        <v>125000</v>
      </c>
      <c r="AB360" s="155"/>
      <c r="AC360" s="75">
        <v>0</v>
      </c>
      <c r="AD360" s="75"/>
      <c r="AE360" s="592"/>
      <c r="AF360" s="347"/>
      <c r="AG360" s="75">
        <v>178571.43</v>
      </c>
      <c r="AH360" s="370">
        <v>250000</v>
      </c>
      <c r="AI360" s="75"/>
      <c r="AJ360" s="75"/>
      <c r="AK360" s="75"/>
      <c r="AL360" s="75"/>
      <c r="AM360" s="75"/>
      <c r="AN360" s="64" t="s">
        <v>39</v>
      </c>
      <c r="AO360" s="165"/>
      <c r="AP360" s="165"/>
      <c r="AQ360" s="413"/>
      <c r="AR360" s="64"/>
      <c r="AS360" s="475"/>
      <c r="AT360" s="64"/>
      <c r="AU360" s="646"/>
      <c r="AV360" s="1341" t="s">
        <v>410</v>
      </c>
    </row>
    <row r="361" spans="1:48" outlineLevel="4" x14ac:dyDescent="0.25">
      <c r="A361" s="63" t="str">
        <f t="shared" si="67"/>
        <v>1.3.1.9.8.59</v>
      </c>
      <c r="B361" s="64">
        <v>1</v>
      </c>
      <c r="C361" s="64">
        <v>3</v>
      </c>
      <c r="D361" s="64">
        <v>1</v>
      </c>
      <c r="E361" s="64">
        <v>9</v>
      </c>
      <c r="F361" s="64">
        <v>8</v>
      </c>
      <c r="G361" s="64">
        <v>59</v>
      </c>
      <c r="H361" s="65"/>
      <c r="I361" s="65"/>
      <c r="J361" s="66"/>
      <c r="K361" s="125" t="s">
        <v>411</v>
      </c>
      <c r="L361" s="64"/>
      <c r="M361" s="64"/>
      <c r="N361" s="64"/>
      <c r="O361" s="64"/>
      <c r="P361" s="69">
        <v>44200</v>
      </c>
      <c r="Q361" s="69">
        <v>44561</v>
      </c>
      <c r="R361" s="124"/>
      <c r="S361" s="123"/>
      <c r="T361" s="124"/>
      <c r="U361" s="155"/>
      <c r="V361" s="674">
        <v>0</v>
      </c>
      <c r="W361" s="155"/>
      <c r="X361" s="155">
        <f t="shared" ref="X361:X366" si="79">$AH361/2</f>
        <v>100000</v>
      </c>
      <c r="Y361" s="834">
        <f t="shared" si="66"/>
        <v>0</v>
      </c>
      <c r="Z361" s="155"/>
      <c r="AA361" s="155">
        <f t="shared" ref="AA361:AA366" si="80">$AH361/2</f>
        <v>100000</v>
      </c>
      <c r="AB361" s="155"/>
      <c r="AC361" s="75"/>
      <c r="AD361" s="75"/>
      <c r="AE361" s="592"/>
      <c r="AF361" s="347"/>
      <c r="AG361" s="75">
        <v>178571.43</v>
      </c>
      <c r="AH361" s="370">
        <v>200000</v>
      </c>
      <c r="AI361" s="78"/>
      <c r="AJ361" s="78"/>
      <c r="AK361" s="157"/>
      <c r="AL361" s="157"/>
      <c r="AM361" s="157"/>
      <c r="AN361" s="64" t="s">
        <v>39</v>
      </c>
      <c r="AO361" s="165"/>
      <c r="AP361" s="165"/>
      <c r="AQ361" s="413"/>
      <c r="AR361" s="64"/>
      <c r="AS361" s="475"/>
      <c r="AT361" s="64"/>
      <c r="AU361" s="646"/>
      <c r="AV361" s="1341"/>
    </row>
    <row r="362" spans="1:48" outlineLevel="4" x14ac:dyDescent="0.25">
      <c r="A362" s="63" t="str">
        <f t="shared" si="67"/>
        <v>1.3.1.9.8.60</v>
      </c>
      <c r="B362" s="64">
        <v>1</v>
      </c>
      <c r="C362" s="64">
        <v>3</v>
      </c>
      <c r="D362" s="64">
        <v>1</v>
      </c>
      <c r="E362" s="64">
        <v>9</v>
      </c>
      <c r="F362" s="64">
        <v>8</v>
      </c>
      <c r="G362" s="64">
        <v>60</v>
      </c>
      <c r="H362" s="65"/>
      <c r="I362" s="65"/>
      <c r="J362" s="66"/>
      <c r="K362" s="125" t="s">
        <v>412</v>
      </c>
      <c r="L362" s="64"/>
      <c r="M362" s="64"/>
      <c r="N362" s="64"/>
      <c r="O362" s="64"/>
      <c r="P362" s="69">
        <v>44200</v>
      </c>
      <c r="Q362" s="69">
        <v>44561</v>
      </c>
      <c r="R362" s="124"/>
      <c r="S362" s="123"/>
      <c r="T362" s="124"/>
      <c r="U362" s="155">
        <f t="shared" ref="U362" si="81">$AH362/2</f>
        <v>125000</v>
      </c>
      <c r="V362" s="674">
        <v>0</v>
      </c>
      <c r="W362" s="155"/>
      <c r="X362" s="155">
        <f t="shared" si="79"/>
        <v>125000</v>
      </c>
      <c r="Y362" s="834">
        <f t="shared" si="66"/>
        <v>0</v>
      </c>
      <c r="Z362" s="155"/>
      <c r="AA362" s="155"/>
      <c r="AB362" s="155"/>
      <c r="AC362" s="75"/>
      <c r="AD362" s="75"/>
      <c r="AE362" s="592"/>
      <c r="AF362" s="347"/>
      <c r="AG362" s="75">
        <v>178571.43</v>
      </c>
      <c r="AH362" s="370">
        <v>250000</v>
      </c>
      <c r="AI362" s="78"/>
      <c r="AJ362" s="78"/>
      <c r="AK362" s="75"/>
      <c r="AL362" s="75"/>
      <c r="AM362" s="75"/>
      <c r="AN362" s="64" t="s">
        <v>39</v>
      </c>
      <c r="AO362" s="165"/>
      <c r="AP362" s="165"/>
      <c r="AQ362" s="413"/>
      <c r="AR362" s="64"/>
      <c r="AS362" s="475"/>
      <c r="AT362" s="64"/>
      <c r="AU362" s="646"/>
      <c r="AV362" s="1341"/>
    </row>
    <row r="363" spans="1:48" outlineLevel="4" x14ac:dyDescent="0.25">
      <c r="A363" s="63" t="str">
        <f t="shared" si="67"/>
        <v>1.3.1.9.8.61</v>
      </c>
      <c r="B363" s="64">
        <v>1</v>
      </c>
      <c r="C363" s="64">
        <v>3</v>
      </c>
      <c r="D363" s="64">
        <v>1</v>
      </c>
      <c r="E363" s="64">
        <v>9</v>
      </c>
      <c r="F363" s="64">
        <v>8</v>
      </c>
      <c r="G363" s="64">
        <v>61</v>
      </c>
      <c r="H363" s="65"/>
      <c r="I363" s="65"/>
      <c r="J363" s="66"/>
      <c r="K363" s="125" t="s">
        <v>413</v>
      </c>
      <c r="L363" s="64"/>
      <c r="M363" s="64"/>
      <c r="N363" s="64"/>
      <c r="O363" s="64"/>
      <c r="P363" s="69">
        <v>44200</v>
      </c>
      <c r="Q363" s="69">
        <v>44561</v>
      </c>
      <c r="R363" s="124"/>
      <c r="S363" s="123"/>
      <c r="T363" s="124"/>
      <c r="U363" s="155"/>
      <c r="V363" s="674">
        <v>0</v>
      </c>
      <c r="W363" s="155"/>
      <c r="X363" s="155">
        <f t="shared" si="79"/>
        <v>125000</v>
      </c>
      <c r="Y363" s="834">
        <f t="shared" si="66"/>
        <v>0</v>
      </c>
      <c r="Z363" s="155"/>
      <c r="AA363" s="155">
        <f t="shared" si="80"/>
        <v>125000</v>
      </c>
      <c r="AB363" s="155"/>
      <c r="AC363" s="75"/>
      <c r="AD363" s="75"/>
      <c r="AE363" s="592"/>
      <c r="AF363" s="347"/>
      <c r="AG363" s="75">
        <v>178571.43</v>
      </c>
      <c r="AH363" s="370">
        <v>250000</v>
      </c>
      <c r="AI363" s="78"/>
      <c r="AJ363" s="78"/>
      <c r="AK363" s="75"/>
      <c r="AL363" s="75"/>
      <c r="AM363" s="75"/>
      <c r="AN363" s="64" t="s">
        <v>39</v>
      </c>
      <c r="AO363" s="165"/>
      <c r="AP363" s="165"/>
      <c r="AQ363" s="413"/>
      <c r="AR363" s="64"/>
      <c r="AS363" s="475"/>
      <c r="AT363" s="64"/>
      <c r="AU363" s="646"/>
      <c r="AV363" s="1341"/>
    </row>
    <row r="364" spans="1:48" outlineLevel="4" x14ac:dyDescent="0.25">
      <c r="A364" s="63" t="str">
        <f t="shared" si="67"/>
        <v>1.3.1.9.8.62</v>
      </c>
      <c r="B364" s="64">
        <v>1</v>
      </c>
      <c r="C364" s="64">
        <v>3</v>
      </c>
      <c r="D364" s="64">
        <v>1</v>
      </c>
      <c r="E364" s="64">
        <v>9</v>
      </c>
      <c r="F364" s="64">
        <v>8</v>
      </c>
      <c r="G364" s="64">
        <v>62</v>
      </c>
      <c r="H364" s="65"/>
      <c r="I364" s="65"/>
      <c r="J364" s="66"/>
      <c r="K364" s="125" t="s">
        <v>1728</v>
      </c>
      <c r="L364" s="64"/>
      <c r="M364" s="64"/>
      <c r="N364" s="64"/>
      <c r="O364" s="64"/>
      <c r="P364" s="69">
        <v>44200</v>
      </c>
      <c r="Q364" s="69">
        <v>44561</v>
      </c>
      <c r="R364" s="124"/>
      <c r="S364" s="123"/>
      <c r="T364" s="124"/>
      <c r="U364" s="155"/>
      <c r="V364" s="674">
        <v>0</v>
      </c>
      <c r="W364" s="155"/>
      <c r="X364" s="155">
        <f t="shared" si="79"/>
        <v>125000</v>
      </c>
      <c r="Y364" s="834">
        <f t="shared" si="66"/>
        <v>0</v>
      </c>
      <c r="Z364" s="155"/>
      <c r="AA364" s="155">
        <f t="shared" si="80"/>
        <v>125000</v>
      </c>
      <c r="AB364" s="155"/>
      <c r="AC364" s="75"/>
      <c r="AD364" s="75"/>
      <c r="AE364" s="592"/>
      <c r="AF364" s="347"/>
      <c r="AG364" s="75">
        <v>178571.43</v>
      </c>
      <c r="AH364" s="370">
        <v>250000</v>
      </c>
      <c r="AI364" s="78"/>
      <c r="AJ364" s="78"/>
      <c r="AK364" s="157"/>
      <c r="AL364" s="157"/>
      <c r="AM364" s="157"/>
      <c r="AN364" s="64" t="s">
        <v>39</v>
      </c>
      <c r="AO364" s="165"/>
      <c r="AP364" s="165"/>
      <c r="AQ364" s="413"/>
      <c r="AR364" s="64"/>
      <c r="AS364" s="475"/>
      <c r="AT364" s="64"/>
      <c r="AU364" s="646"/>
      <c r="AV364" s="1341"/>
    </row>
    <row r="365" spans="1:48" outlineLevel="4" x14ac:dyDescent="0.25">
      <c r="A365" s="63" t="str">
        <f t="shared" si="67"/>
        <v>1.3.1.9.8.63</v>
      </c>
      <c r="B365" s="64">
        <v>1</v>
      </c>
      <c r="C365" s="64">
        <v>3</v>
      </c>
      <c r="D365" s="64">
        <v>1</v>
      </c>
      <c r="E365" s="64">
        <v>9</v>
      </c>
      <c r="F365" s="64">
        <v>8</v>
      </c>
      <c r="G365" s="64">
        <v>63</v>
      </c>
      <c r="H365" s="65"/>
      <c r="I365" s="65"/>
      <c r="J365" s="66"/>
      <c r="K365" s="125" t="s">
        <v>414</v>
      </c>
      <c r="L365" s="64"/>
      <c r="M365" s="64"/>
      <c r="N365" s="64"/>
      <c r="O365" s="64"/>
      <c r="P365" s="69">
        <v>44200</v>
      </c>
      <c r="Q365" s="69">
        <v>44561</v>
      </c>
      <c r="R365" s="124"/>
      <c r="S365" s="123"/>
      <c r="T365" s="124"/>
      <c r="U365" s="155"/>
      <c r="V365" s="674">
        <v>0</v>
      </c>
      <c r="W365" s="155"/>
      <c r="X365" s="155">
        <f t="shared" si="79"/>
        <v>125000</v>
      </c>
      <c r="Y365" s="834">
        <f t="shared" si="66"/>
        <v>0</v>
      </c>
      <c r="Z365" s="155"/>
      <c r="AA365" s="155">
        <f t="shared" si="80"/>
        <v>125000</v>
      </c>
      <c r="AB365" s="155"/>
      <c r="AC365" s="75"/>
      <c r="AD365" s="75"/>
      <c r="AE365" s="592"/>
      <c r="AF365" s="347"/>
      <c r="AG365" s="75">
        <v>178571.43</v>
      </c>
      <c r="AH365" s="370">
        <v>250000</v>
      </c>
      <c r="AI365" s="78"/>
      <c r="AJ365" s="78"/>
      <c r="AK365" s="157"/>
      <c r="AL365" s="157"/>
      <c r="AM365" s="157"/>
      <c r="AN365" s="64" t="s">
        <v>39</v>
      </c>
      <c r="AO365" s="165"/>
      <c r="AP365" s="165"/>
      <c r="AQ365" s="413"/>
      <c r="AR365" s="64"/>
      <c r="AS365" s="475"/>
      <c r="AT365" s="64"/>
      <c r="AU365" s="646"/>
      <c r="AV365" s="1341"/>
    </row>
    <row r="366" spans="1:48" outlineLevel="4" x14ac:dyDescent="0.25">
      <c r="A366" s="63" t="str">
        <f t="shared" si="67"/>
        <v>1.3.1.9.8.64</v>
      </c>
      <c r="B366" s="64">
        <v>1</v>
      </c>
      <c r="C366" s="64">
        <v>3</v>
      </c>
      <c r="D366" s="64">
        <v>1</v>
      </c>
      <c r="E366" s="64">
        <v>9</v>
      </c>
      <c r="F366" s="64">
        <v>8</v>
      </c>
      <c r="G366" s="64">
        <v>64</v>
      </c>
      <c r="H366" s="65"/>
      <c r="I366" s="65"/>
      <c r="J366" s="66"/>
      <c r="K366" s="125" t="s">
        <v>415</v>
      </c>
      <c r="L366" s="64"/>
      <c r="M366" s="64"/>
      <c r="N366" s="64"/>
      <c r="O366" s="64"/>
      <c r="P366" s="69">
        <v>44200</v>
      </c>
      <c r="Q366" s="69">
        <v>44561</v>
      </c>
      <c r="R366" s="124"/>
      <c r="S366" s="123"/>
      <c r="T366" s="124"/>
      <c r="U366" s="155"/>
      <c r="V366" s="674">
        <v>0</v>
      </c>
      <c r="W366" s="155"/>
      <c r="X366" s="155">
        <f t="shared" si="79"/>
        <v>125000</v>
      </c>
      <c r="Y366" s="834">
        <f t="shared" si="66"/>
        <v>0</v>
      </c>
      <c r="Z366" s="155"/>
      <c r="AA366" s="155">
        <f t="shared" si="80"/>
        <v>125000</v>
      </c>
      <c r="AB366" s="155"/>
      <c r="AC366" s="75"/>
      <c r="AD366" s="75"/>
      <c r="AE366" s="592"/>
      <c r="AF366" s="347"/>
      <c r="AG366" s="75">
        <v>178571.43</v>
      </c>
      <c r="AH366" s="370">
        <v>250000</v>
      </c>
      <c r="AI366" s="75"/>
      <c r="AJ366" s="75"/>
      <c r="AK366" s="75"/>
      <c r="AL366" s="75"/>
      <c r="AM366" s="75"/>
      <c r="AN366" s="64" t="s">
        <v>39</v>
      </c>
      <c r="AO366" s="165"/>
      <c r="AP366" s="165"/>
      <c r="AQ366" s="413"/>
      <c r="AR366" s="189"/>
      <c r="AS366" s="64"/>
      <c r="AT366" s="460"/>
      <c r="AU366" s="646"/>
      <c r="AV366" s="1341"/>
    </row>
    <row r="367" spans="1:48" outlineLevel="4" x14ac:dyDescent="0.25">
      <c r="A367" s="63" t="str">
        <f t="shared" si="67"/>
        <v>1.3.1.9.9.58</v>
      </c>
      <c r="B367" s="64">
        <v>1</v>
      </c>
      <c r="C367" s="64">
        <v>3</v>
      </c>
      <c r="D367" s="64">
        <v>1</v>
      </c>
      <c r="E367" s="64">
        <v>9</v>
      </c>
      <c r="F367" s="64">
        <v>9</v>
      </c>
      <c r="G367" s="64">
        <v>58</v>
      </c>
      <c r="H367" s="65"/>
      <c r="I367" s="65"/>
      <c r="J367" s="66"/>
      <c r="K367" s="65" t="s">
        <v>416</v>
      </c>
      <c r="L367" s="64" t="s">
        <v>72</v>
      </c>
      <c r="M367" s="64" t="s">
        <v>73</v>
      </c>
      <c r="N367" s="64" t="s">
        <v>74</v>
      </c>
      <c r="O367" s="64" t="s">
        <v>367</v>
      </c>
      <c r="P367" s="69">
        <v>44200</v>
      </c>
      <c r="Q367" s="69">
        <v>44561</v>
      </c>
      <c r="R367" s="124"/>
      <c r="S367" s="123"/>
      <c r="T367" s="124"/>
      <c r="U367" s="155"/>
      <c r="V367" s="674">
        <v>0</v>
      </c>
      <c r="W367" s="155"/>
      <c r="X367" s="155"/>
      <c r="Y367" s="834">
        <f t="shared" si="66"/>
        <v>0</v>
      </c>
      <c r="Z367" s="155"/>
      <c r="AA367" s="155"/>
      <c r="AB367" s="155"/>
      <c r="AC367" s="75"/>
      <c r="AD367" s="75"/>
      <c r="AE367" s="592"/>
      <c r="AF367" s="347"/>
      <c r="AG367" s="75">
        <v>0</v>
      </c>
      <c r="AH367" s="370">
        <v>0</v>
      </c>
      <c r="AI367" s="75"/>
      <c r="AJ367" s="75"/>
      <c r="AK367" s="75"/>
      <c r="AL367" s="75"/>
      <c r="AM367" s="75"/>
      <c r="AN367" s="64" t="s">
        <v>39</v>
      </c>
      <c r="AO367" s="64"/>
      <c r="AP367" s="64"/>
      <c r="AQ367" s="189"/>
      <c r="AR367" s="64"/>
      <c r="AS367" s="480"/>
      <c r="AT367" s="64"/>
      <c r="AU367" s="646"/>
      <c r="AV367" s="185"/>
    </row>
    <row r="368" spans="1:48" outlineLevel="4" x14ac:dyDescent="0.25">
      <c r="A368" s="63" t="str">
        <f t="shared" si="67"/>
        <v>1.3.1.9.9.59</v>
      </c>
      <c r="B368" s="64">
        <v>1</v>
      </c>
      <c r="C368" s="64">
        <v>3</v>
      </c>
      <c r="D368" s="64">
        <v>1</v>
      </c>
      <c r="E368" s="64">
        <v>9</v>
      </c>
      <c r="F368" s="64">
        <v>9</v>
      </c>
      <c r="G368" s="64">
        <v>59</v>
      </c>
      <c r="H368" s="65"/>
      <c r="I368" s="65"/>
      <c r="J368" s="66"/>
      <c r="K368" s="65" t="s">
        <v>417</v>
      </c>
      <c r="L368" s="64"/>
      <c r="M368" s="64"/>
      <c r="N368" s="64"/>
      <c r="O368" s="64"/>
      <c r="P368" s="69">
        <v>44200</v>
      </c>
      <c r="Q368" s="69">
        <v>44561</v>
      </c>
      <c r="R368" s="124"/>
      <c r="S368" s="123"/>
      <c r="T368" s="124"/>
      <c r="U368" s="75"/>
      <c r="V368" s="674">
        <v>0</v>
      </c>
      <c r="W368" s="75"/>
      <c r="X368" s="75"/>
      <c r="Y368" s="834">
        <f t="shared" si="66"/>
        <v>0</v>
      </c>
      <c r="Z368" s="75"/>
      <c r="AA368" s="75"/>
      <c r="AB368" s="75"/>
      <c r="AC368" s="75"/>
      <c r="AD368" s="75"/>
      <c r="AE368" s="592"/>
      <c r="AF368" s="347"/>
      <c r="AG368" s="75">
        <v>0</v>
      </c>
      <c r="AH368" s="370">
        <v>0</v>
      </c>
      <c r="AI368" s="75"/>
      <c r="AJ368" s="75"/>
      <c r="AK368" s="75"/>
      <c r="AL368" s="75"/>
      <c r="AM368" s="75"/>
      <c r="AN368" s="64" t="s">
        <v>39</v>
      </c>
      <c r="AO368" s="64"/>
      <c r="AP368" s="64"/>
      <c r="AQ368" s="189"/>
      <c r="AR368" s="64"/>
      <c r="AS368" s="476"/>
      <c r="AT368" s="64"/>
      <c r="AU368" s="646"/>
      <c r="AV368" s="185"/>
    </row>
    <row r="369" spans="1:49" outlineLevel="4" x14ac:dyDescent="0.25">
      <c r="A369" s="63" t="str">
        <f t="shared" si="67"/>
        <v>1.3.1.9.9.60</v>
      </c>
      <c r="B369" s="64">
        <v>1</v>
      </c>
      <c r="C369" s="64">
        <v>3</v>
      </c>
      <c r="D369" s="64">
        <v>1</v>
      </c>
      <c r="E369" s="64">
        <v>9</v>
      </c>
      <c r="F369" s="64">
        <v>9</v>
      </c>
      <c r="G369" s="64">
        <v>60</v>
      </c>
      <c r="H369" s="65"/>
      <c r="I369" s="65"/>
      <c r="J369" s="66"/>
      <c r="K369" s="65" t="s">
        <v>418</v>
      </c>
      <c r="L369" s="64"/>
      <c r="M369" s="64"/>
      <c r="N369" s="64"/>
      <c r="O369" s="64"/>
      <c r="P369" s="69">
        <v>44200</v>
      </c>
      <c r="Q369" s="69">
        <v>44561</v>
      </c>
      <c r="R369" s="124"/>
      <c r="S369" s="123"/>
      <c r="T369" s="124"/>
      <c r="U369" s="75"/>
      <c r="V369" s="674">
        <v>0</v>
      </c>
      <c r="W369" s="75"/>
      <c r="X369" s="75"/>
      <c r="Y369" s="834">
        <f t="shared" si="66"/>
        <v>0</v>
      </c>
      <c r="Z369" s="75"/>
      <c r="AA369" s="75"/>
      <c r="AB369" s="75"/>
      <c r="AC369" s="75"/>
      <c r="AD369" s="75"/>
      <c r="AE369" s="592"/>
      <c r="AF369" s="347"/>
      <c r="AG369" s="75">
        <v>0</v>
      </c>
      <c r="AH369" s="370">
        <v>0</v>
      </c>
      <c r="AI369" s="75"/>
      <c r="AJ369" s="75"/>
      <c r="AK369" s="75"/>
      <c r="AL369" s="75"/>
      <c r="AM369" s="75"/>
      <c r="AN369" s="64" t="s">
        <v>39</v>
      </c>
      <c r="AO369" s="64"/>
      <c r="AP369" s="64"/>
      <c r="AQ369" s="189"/>
      <c r="AR369" s="64"/>
      <c r="AS369" s="476"/>
      <c r="AT369" s="64"/>
      <c r="AU369" s="646"/>
      <c r="AV369" s="185"/>
    </row>
    <row r="370" spans="1:49" outlineLevel="4" x14ac:dyDescent="0.25">
      <c r="A370" s="63" t="str">
        <f t="shared" si="67"/>
        <v>1.3.1.9.9.61</v>
      </c>
      <c r="B370" s="64">
        <v>1</v>
      </c>
      <c r="C370" s="64">
        <v>3</v>
      </c>
      <c r="D370" s="64">
        <v>1</v>
      </c>
      <c r="E370" s="64">
        <v>9</v>
      </c>
      <c r="F370" s="64">
        <v>9</v>
      </c>
      <c r="G370" s="64">
        <v>61</v>
      </c>
      <c r="H370" s="65"/>
      <c r="I370" s="65"/>
      <c r="J370" s="66"/>
      <c r="K370" s="65" t="s">
        <v>419</v>
      </c>
      <c r="L370" s="64"/>
      <c r="M370" s="64"/>
      <c r="N370" s="64"/>
      <c r="O370" s="64"/>
      <c r="P370" s="69">
        <v>44200</v>
      </c>
      <c r="Q370" s="69">
        <v>44561</v>
      </c>
      <c r="R370" s="124"/>
      <c r="S370" s="123"/>
      <c r="T370" s="124"/>
      <c r="U370" s="75"/>
      <c r="V370" s="674">
        <v>0</v>
      </c>
      <c r="W370" s="75"/>
      <c r="X370" s="75"/>
      <c r="Y370" s="834">
        <f t="shared" si="66"/>
        <v>0</v>
      </c>
      <c r="Z370" s="75"/>
      <c r="AA370" s="75"/>
      <c r="AB370" s="75"/>
      <c r="AC370" s="75"/>
      <c r="AD370" s="75"/>
      <c r="AE370" s="592"/>
      <c r="AF370" s="347"/>
      <c r="AG370" s="75">
        <v>0</v>
      </c>
      <c r="AH370" s="370">
        <v>0</v>
      </c>
      <c r="AI370" s="75"/>
      <c r="AJ370" s="75"/>
      <c r="AK370" s="75"/>
      <c r="AL370" s="75"/>
      <c r="AM370" s="75"/>
      <c r="AN370" s="64" t="s">
        <v>39</v>
      </c>
      <c r="AO370" s="64"/>
      <c r="AP370" s="64"/>
      <c r="AQ370" s="189"/>
      <c r="AR370" s="64"/>
      <c r="AS370" s="476"/>
      <c r="AT370" s="64"/>
      <c r="AU370" s="646"/>
      <c r="AV370" s="185"/>
    </row>
    <row r="371" spans="1:49" outlineLevel="4" x14ac:dyDescent="0.25">
      <c r="A371" s="63" t="str">
        <f t="shared" si="67"/>
        <v>1.3.1.9.9.62</v>
      </c>
      <c r="B371" s="64">
        <v>1</v>
      </c>
      <c r="C371" s="64">
        <v>3</v>
      </c>
      <c r="D371" s="64">
        <v>1</v>
      </c>
      <c r="E371" s="64">
        <v>9</v>
      </c>
      <c r="F371" s="64">
        <v>9</v>
      </c>
      <c r="G371" s="64">
        <v>62</v>
      </c>
      <c r="H371" s="65"/>
      <c r="I371" s="65"/>
      <c r="J371" s="66"/>
      <c r="K371" s="65" t="s">
        <v>1729</v>
      </c>
      <c r="L371" s="64"/>
      <c r="M371" s="64"/>
      <c r="N371" s="64"/>
      <c r="O371" s="64"/>
      <c r="P371" s="69">
        <v>44200</v>
      </c>
      <c r="Q371" s="69">
        <v>44561</v>
      </c>
      <c r="R371" s="124"/>
      <c r="S371" s="123"/>
      <c r="T371" s="124"/>
      <c r="U371" s="75"/>
      <c r="V371" s="674">
        <v>0</v>
      </c>
      <c r="W371" s="75"/>
      <c r="X371" s="75"/>
      <c r="Y371" s="834">
        <f t="shared" si="66"/>
        <v>0</v>
      </c>
      <c r="Z371" s="75"/>
      <c r="AA371" s="75"/>
      <c r="AB371" s="75"/>
      <c r="AC371" s="75"/>
      <c r="AD371" s="75"/>
      <c r="AE371" s="592"/>
      <c r="AF371" s="347"/>
      <c r="AG371" s="75">
        <v>0</v>
      </c>
      <c r="AH371" s="370">
        <v>0</v>
      </c>
      <c r="AI371" s="75"/>
      <c r="AJ371" s="75"/>
      <c r="AK371" s="75"/>
      <c r="AL371" s="75"/>
      <c r="AM371" s="75"/>
      <c r="AN371" s="64" t="s">
        <v>39</v>
      </c>
      <c r="AO371" s="64"/>
      <c r="AP371" s="64"/>
      <c r="AQ371" s="189"/>
      <c r="AR371" s="64"/>
      <c r="AS371" s="476"/>
      <c r="AT371" s="64"/>
      <c r="AU371" s="646"/>
      <c r="AV371" s="185"/>
    </row>
    <row r="372" spans="1:49" outlineLevel="4" x14ac:dyDescent="0.25">
      <c r="A372" s="63" t="str">
        <f t="shared" si="67"/>
        <v>1.3.1.9.9.63</v>
      </c>
      <c r="B372" s="64">
        <v>1</v>
      </c>
      <c r="C372" s="64">
        <v>3</v>
      </c>
      <c r="D372" s="64">
        <v>1</v>
      </c>
      <c r="E372" s="64">
        <v>9</v>
      </c>
      <c r="F372" s="64">
        <v>9</v>
      </c>
      <c r="G372" s="64">
        <v>63</v>
      </c>
      <c r="H372" s="65"/>
      <c r="I372" s="65"/>
      <c r="J372" s="66"/>
      <c r="K372" s="65" t="s">
        <v>420</v>
      </c>
      <c r="L372" s="64"/>
      <c r="M372" s="64"/>
      <c r="N372" s="64"/>
      <c r="O372" s="64"/>
      <c r="P372" s="69">
        <v>44200</v>
      </c>
      <c r="Q372" s="69">
        <v>44561</v>
      </c>
      <c r="R372" s="124"/>
      <c r="S372" s="123"/>
      <c r="T372" s="124"/>
      <c r="U372" s="75"/>
      <c r="V372" s="674">
        <v>0</v>
      </c>
      <c r="W372" s="75"/>
      <c r="X372" s="75"/>
      <c r="Y372" s="834">
        <f t="shared" si="66"/>
        <v>0</v>
      </c>
      <c r="Z372" s="75"/>
      <c r="AA372" s="75"/>
      <c r="AB372" s="75"/>
      <c r="AC372" s="75"/>
      <c r="AD372" s="75"/>
      <c r="AE372" s="592"/>
      <c r="AF372" s="347"/>
      <c r="AG372" s="75">
        <v>0</v>
      </c>
      <c r="AH372" s="370">
        <v>0</v>
      </c>
      <c r="AI372" s="75"/>
      <c r="AJ372" s="75"/>
      <c r="AK372" s="75"/>
      <c r="AL372" s="75"/>
      <c r="AM372" s="75"/>
      <c r="AN372" s="64" t="s">
        <v>39</v>
      </c>
      <c r="AO372" s="64"/>
      <c r="AP372" s="64"/>
      <c r="AQ372" s="189"/>
      <c r="AR372" s="64"/>
      <c r="AS372" s="476"/>
      <c r="AT372" s="64"/>
      <c r="AU372" s="646"/>
      <c r="AV372" s="185"/>
    </row>
    <row r="373" spans="1:49" outlineLevel="4" x14ac:dyDescent="0.25">
      <c r="A373" s="63" t="str">
        <f t="shared" si="67"/>
        <v>1.3.1.9.9.64</v>
      </c>
      <c r="B373" s="64">
        <v>1</v>
      </c>
      <c r="C373" s="64">
        <v>3</v>
      </c>
      <c r="D373" s="64">
        <v>1</v>
      </c>
      <c r="E373" s="64">
        <v>9</v>
      </c>
      <c r="F373" s="64">
        <v>9</v>
      </c>
      <c r="G373" s="64">
        <v>64</v>
      </c>
      <c r="H373" s="65"/>
      <c r="I373" s="65"/>
      <c r="J373" s="66"/>
      <c r="K373" s="65" t="s">
        <v>421</v>
      </c>
      <c r="L373" s="64"/>
      <c r="M373" s="64"/>
      <c r="N373" s="64"/>
      <c r="O373" s="64"/>
      <c r="P373" s="69">
        <v>44200</v>
      </c>
      <c r="Q373" s="69">
        <v>44561</v>
      </c>
      <c r="R373" s="124"/>
      <c r="S373" s="123"/>
      <c r="T373" s="124"/>
      <c r="U373" s="75"/>
      <c r="V373" s="674">
        <v>0</v>
      </c>
      <c r="W373" s="75"/>
      <c r="X373" s="75"/>
      <c r="Y373" s="834">
        <f t="shared" si="66"/>
        <v>0</v>
      </c>
      <c r="Z373" s="75"/>
      <c r="AA373" s="75"/>
      <c r="AB373" s="75"/>
      <c r="AC373" s="75"/>
      <c r="AD373" s="75"/>
      <c r="AE373" s="592"/>
      <c r="AF373" s="347"/>
      <c r="AG373" s="75">
        <v>0</v>
      </c>
      <c r="AH373" s="370">
        <v>0</v>
      </c>
      <c r="AI373" s="75"/>
      <c r="AJ373" s="75"/>
      <c r="AK373" s="75"/>
      <c r="AL373" s="75"/>
      <c r="AM373" s="75"/>
      <c r="AN373" s="64" t="s">
        <v>39</v>
      </c>
      <c r="AO373" s="64"/>
      <c r="AP373" s="64"/>
      <c r="AQ373" s="189"/>
      <c r="AR373" s="64"/>
      <c r="AS373" s="476"/>
      <c r="AT373" s="64"/>
      <c r="AU373" s="646"/>
      <c r="AV373" s="185"/>
    </row>
    <row r="374" spans="1:49" ht="30" outlineLevel="4" x14ac:dyDescent="0.25">
      <c r="A374" s="63" t="str">
        <f t="shared" si="67"/>
        <v>1.3.1.9.10.58</v>
      </c>
      <c r="B374" s="64">
        <v>1</v>
      </c>
      <c r="C374" s="64">
        <v>3</v>
      </c>
      <c r="D374" s="64">
        <v>1</v>
      </c>
      <c r="E374" s="64">
        <v>9</v>
      </c>
      <c r="F374" s="64">
        <v>10</v>
      </c>
      <c r="G374" s="64">
        <v>58</v>
      </c>
      <c r="H374" s="65"/>
      <c r="I374" s="65"/>
      <c r="J374" s="66"/>
      <c r="K374" s="86" t="s">
        <v>1840</v>
      </c>
      <c r="L374" s="64" t="s">
        <v>72</v>
      </c>
      <c r="M374" s="64" t="s">
        <v>422</v>
      </c>
      <c r="N374" s="64" t="s">
        <v>423</v>
      </c>
      <c r="O374" s="64" t="s">
        <v>246</v>
      </c>
      <c r="P374" s="69">
        <v>44200</v>
      </c>
      <c r="Q374" s="69">
        <v>44561</v>
      </c>
      <c r="R374" s="124"/>
      <c r="S374" s="123"/>
      <c r="T374" s="124"/>
      <c r="U374" s="75"/>
      <c r="V374" s="674">
        <v>0</v>
      </c>
      <c r="W374" s="75"/>
      <c r="X374" s="75"/>
      <c r="Y374" s="834">
        <f t="shared" si="66"/>
        <v>0</v>
      </c>
      <c r="Z374" s="75"/>
      <c r="AA374" s="75"/>
      <c r="AB374" s="75"/>
      <c r="AC374" s="75"/>
      <c r="AD374" s="75"/>
      <c r="AE374" s="592"/>
      <c r="AF374" s="347"/>
      <c r="AG374" s="75">
        <v>0</v>
      </c>
      <c r="AH374" s="370">
        <v>0</v>
      </c>
      <c r="AI374" s="75"/>
      <c r="AJ374" s="75"/>
      <c r="AK374" s="75"/>
      <c r="AL374" s="75"/>
      <c r="AM374" s="75"/>
      <c r="AN374" s="64" t="s">
        <v>181</v>
      </c>
      <c r="AO374" s="64"/>
      <c r="AP374" s="64"/>
      <c r="AQ374" s="189"/>
      <c r="AR374" s="64"/>
      <c r="AS374" s="476"/>
      <c r="AT374" s="64"/>
      <c r="AU374" s="646"/>
      <c r="AV374" s="185"/>
    </row>
    <row r="375" spans="1:49" outlineLevel="4" x14ac:dyDescent="0.25">
      <c r="A375" s="63" t="str">
        <f t="shared" si="67"/>
        <v>1.3.1.9.10.59</v>
      </c>
      <c r="B375" s="64">
        <v>1</v>
      </c>
      <c r="C375" s="64">
        <v>3</v>
      </c>
      <c r="D375" s="64">
        <v>1</v>
      </c>
      <c r="E375" s="64">
        <v>9</v>
      </c>
      <c r="F375" s="64">
        <v>10</v>
      </c>
      <c r="G375" s="64">
        <v>59</v>
      </c>
      <c r="H375" s="65"/>
      <c r="I375" s="65"/>
      <c r="J375" s="66"/>
      <c r="K375" s="125" t="s">
        <v>1841</v>
      </c>
      <c r="L375" s="64"/>
      <c r="M375" s="64"/>
      <c r="N375" s="64"/>
      <c r="O375" s="64"/>
      <c r="P375" s="69">
        <v>44200</v>
      </c>
      <c r="Q375" s="69">
        <v>44561</v>
      </c>
      <c r="R375" s="124"/>
      <c r="S375" s="123"/>
      <c r="T375" s="124"/>
      <c r="U375" s="75"/>
      <c r="V375" s="674">
        <v>0</v>
      </c>
      <c r="W375" s="75"/>
      <c r="X375" s="75"/>
      <c r="Y375" s="834">
        <f t="shared" ref="Y375:Y438" si="82">+AJ375-V375</f>
        <v>0</v>
      </c>
      <c r="Z375" s="75"/>
      <c r="AA375" s="75"/>
      <c r="AB375" s="75"/>
      <c r="AC375" s="75"/>
      <c r="AD375" s="75"/>
      <c r="AE375" s="592"/>
      <c r="AF375" s="347"/>
      <c r="AG375" s="75">
        <v>0</v>
      </c>
      <c r="AH375" s="370">
        <v>0</v>
      </c>
      <c r="AI375" s="75"/>
      <c r="AJ375" s="75"/>
      <c r="AK375" s="75"/>
      <c r="AL375" s="75"/>
      <c r="AM375" s="75"/>
      <c r="AN375" s="64" t="s">
        <v>181</v>
      </c>
      <c r="AO375" s="64"/>
      <c r="AP375" s="64"/>
      <c r="AQ375" s="189"/>
      <c r="AR375" s="64"/>
      <c r="AS375" s="476"/>
      <c r="AT375" s="64"/>
      <c r="AU375" s="646"/>
      <c r="AV375" s="185"/>
    </row>
    <row r="376" spans="1:49" outlineLevel="4" x14ac:dyDescent="0.25">
      <c r="A376" s="63" t="str">
        <f t="shared" si="67"/>
        <v>1.3.1.9.10.60</v>
      </c>
      <c r="B376" s="64">
        <v>1</v>
      </c>
      <c r="C376" s="64">
        <v>3</v>
      </c>
      <c r="D376" s="64">
        <v>1</v>
      </c>
      <c r="E376" s="64">
        <v>9</v>
      </c>
      <c r="F376" s="64">
        <v>10</v>
      </c>
      <c r="G376" s="64">
        <v>60</v>
      </c>
      <c r="H376" s="65"/>
      <c r="I376" s="65"/>
      <c r="J376" s="66"/>
      <c r="K376" s="125" t="s">
        <v>1842</v>
      </c>
      <c r="L376" s="64"/>
      <c r="M376" s="64"/>
      <c r="N376" s="64"/>
      <c r="O376" s="64"/>
      <c r="P376" s="69">
        <v>44200</v>
      </c>
      <c r="Q376" s="69">
        <v>44561</v>
      </c>
      <c r="R376" s="124"/>
      <c r="S376" s="123"/>
      <c r="T376" s="124"/>
      <c r="U376" s="75"/>
      <c r="V376" s="674">
        <v>0</v>
      </c>
      <c r="W376" s="75"/>
      <c r="X376" s="75"/>
      <c r="Y376" s="834">
        <f t="shared" si="82"/>
        <v>0</v>
      </c>
      <c r="Z376" s="75"/>
      <c r="AA376" s="75"/>
      <c r="AB376" s="75"/>
      <c r="AC376" s="75"/>
      <c r="AD376" s="75"/>
      <c r="AE376" s="592"/>
      <c r="AF376" s="347"/>
      <c r="AG376" s="75">
        <v>0</v>
      </c>
      <c r="AH376" s="370">
        <v>0</v>
      </c>
      <c r="AI376" s="75"/>
      <c r="AJ376" s="75"/>
      <c r="AK376" s="75"/>
      <c r="AL376" s="75"/>
      <c r="AM376" s="75"/>
      <c r="AN376" s="64" t="s">
        <v>181</v>
      </c>
      <c r="AO376" s="64"/>
      <c r="AP376" s="64"/>
      <c r="AQ376" s="189"/>
      <c r="AR376" s="64"/>
      <c r="AS376" s="476"/>
      <c r="AT376" s="64"/>
      <c r="AU376" s="646"/>
      <c r="AV376" s="185"/>
    </row>
    <row r="377" spans="1:49" outlineLevel="4" x14ac:dyDescent="0.25">
      <c r="A377" s="63" t="str">
        <f t="shared" si="67"/>
        <v>1.3.1.9.10.61</v>
      </c>
      <c r="B377" s="64">
        <v>1</v>
      </c>
      <c r="C377" s="64">
        <v>3</v>
      </c>
      <c r="D377" s="64">
        <v>1</v>
      </c>
      <c r="E377" s="64">
        <v>9</v>
      </c>
      <c r="F377" s="64">
        <v>10</v>
      </c>
      <c r="G377" s="64">
        <v>61</v>
      </c>
      <c r="H377" s="65"/>
      <c r="I377" s="65"/>
      <c r="J377" s="66"/>
      <c r="K377" s="125" t="s">
        <v>1843</v>
      </c>
      <c r="L377" s="64"/>
      <c r="M377" s="64"/>
      <c r="N377" s="64"/>
      <c r="O377" s="64"/>
      <c r="P377" s="69">
        <v>44200</v>
      </c>
      <c r="Q377" s="69">
        <v>44561</v>
      </c>
      <c r="R377" s="124"/>
      <c r="S377" s="123"/>
      <c r="T377" s="124"/>
      <c r="U377" s="75"/>
      <c r="V377" s="674">
        <v>0</v>
      </c>
      <c r="W377" s="75"/>
      <c r="X377" s="75"/>
      <c r="Y377" s="834">
        <f t="shared" si="82"/>
        <v>0</v>
      </c>
      <c r="Z377" s="75"/>
      <c r="AA377" s="75"/>
      <c r="AB377" s="75"/>
      <c r="AC377" s="75"/>
      <c r="AD377" s="75"/>
      <c r="AE377" s="592"/>
      <c r="AF377" s="347"/>
      <c r="AG377" s="75">
        <v>0</v>
      </c>
      <c r="AH377" s="370">
        <v>0</v>
      </c>
      <c r="AI377" s="75"/>
      <c r="AJ377" s="75"/>
      <c r="AK377" s="75"/>
      <c r="AL377" s="75"/>
      <c r="AM377" s="75"/>
      <c r="AN377" s="64" t="s">
        <v>181</v>
      </c>
      <c r="AO377" s="64"/>
      <c r="AP377" s="64"/>
      <c r="AQ377" s="189"/>
      <c r="AR377" s="64"/>
      <c r="AS377" s="476"/>
      <c r="AT377" s="64"/>
      <c r="AU377" s="646"/>
      <c r="AV377" s="185"/>
    </row>
    <row r="378" spans="1:49" outlineLevel="4" x14ac:dyDescent="0.25">
      <c r="A378" s="63" t="str">
        <f t="shared" si="67"/>
        <v>1.3.1.9.10.62</v>
      </c>
      <c r="B378" s="64">
        <v>1</v>
      </c>
      <c r="C378" s="64">
        <v>3</v>
      </c>
      <c r="D378" s="64">
        <v>1</v>
      </c>
      <c r="E378" s="64">
        <v>9</v>
      </c>
      <c r="F378" s="64">
        <v>10</v>
      </c>
      <c r="G378" s="64">
        <v>62</v>
      </c>
      <c r="H378" s="65"/>
      <c r="I378" s="65"/>
      <c r="J378" s="66"/>
      <c r="K378" s="125" t="s">
        <v>1844</v>
      </c>
      <c r="L378" s="64"/>
      <c r="M378" s="64"/>
      <c r="N378" s="64"/>
      <c r="O378" s="64"/>
      <c r="P378" s="69">
        <v>44200</v>
      </c>
      <c r="Q378" s="69">
        <v>44561</v>
      </c>
      <c r="R378" s="124"/>
      <c r="S378" s="123"/>
      <c r="T378" s="124"/>
      <c r="U378" s="75"/>
      <c r="V378" s="674">
        <v>0</v>
      </c>
      <c r="W378" s="75"/>
      <c r="X378" s="75"/>
      <c r="Y378" s="834">
        <f t="shared" si="82"/>
        <v>0</v>
      </c>
      <c r="Z378" s="75"/>
      <c r="AA378" s="75"/>
      <c r="AB378" s="75"/>
      <c r="AC378" s="75"/>
      <c r="AD378" s="75"/>
      <c r="AE378" s="592"/>
      <c r="AF378" s="347"/>
      <c r="AG378" s="75">
        <v>0</v>
      </c>
      <c r="AH378" s="370">
        <v>0</v>
      </c>
      <c r="AI378" s="75"/>
      <c r="AJ378" s="75"/>
      <c r="AK378" s="75"/>
      <c r="AL378" s="75"/>
      <c r="AM378" s="75"/>
      <c r="AN378" s="64" t="s">
        <v>181</v>
      </c>
      <c r="AO378" s="64"/>
      <c r="AP378" s="64"/>
      <c r="AQ378" s="189"/>
      <c r="AR378" s="64"/>
      <c r="AS378" s="476"/>
      <c r="AT378" s="64"/>
      <c r="AU378" s="646"/>
      <c r="AV378" s="185"/>
    </row>
    <row r="379" spans="1:49" outlineLevel="4" x14ac:dyDescent="0.25">
      <c r="A379" s="63" t="str">
        <f t="shared" si="67"/>
        <v>1.3.1.9.10.63</v>
      </c>
      <c r="B379" s="64">
        <v>1</v>
      </c>
      <c r="C379" s="64">
        <v>3</v>
      </c>
      <c r="D379" s="64">
        <v>1</v>
      </c>
      <c r="E379" s="64">
        <v>9</v>
      </c>
      <c r="F379" s="64">
        <v>10</v>
      </c>
      <c r="G379" s="64">
        <v>63</v>
      </c>
      <c r="H379" s="65"/>
      <c r="I379" s="65"/>
      <c r="J379" s="66"/>
      <c r="K379" s="125" t="s">
        <v>1845</v>
      </c>
      <c r="L379" s="64" t="s">
        <v>72</v>
      </c>
      <c r="M379" s="64" t="s">
        <v>424</v>
      </c>
      <c r="N379" s="64" t="s">
        <v>360</v>
      </c>
      <c r="O379" s="64" t="s">
        <v>425</v>
      </c>
      <c r="P379" s="69">
        <v>44197</v>
      </c>
      <c r="Q379" s="69">
        <v>44561</v>
      </c>
      <c r="R379" s="124"/>
      <c r="S379" s="123"/>
      <c r="T379" s="124"/>
      <c r="U379" s="75"/>
      <c r="V379" s="674">
        <v>0</v>
      </c>
      <c r="W379" s="75"/>
      <c r="X379" s="75"/>
      <c r="Y379" s="834">
        <f t="shared" si="82"/>
        <v>0</v>
      </c>
      <c r="Z379" s="75"/>
      <c r="AA379" s="75"/>
      <c r="AB379" s="75"/>
      <c r="AC379" s="75"/>
      <c r="AD379" s="75"/>
      <c r="AE379" s="592"/>
      <c r="AF379" s="347" t="s">
        <v>426</v>
      </c>
      <c r="AG379" s="75">
        <v>0</v>
      </c>
      <c r="AH379" s="370">
        <v>0</v>
      </c>
      <c r="AI379" s="75"/>
      <c r="AJ379" s="75"/>
      <c r="AK379" s="75"/>
      <c r="AL379" s="75"/>
      <c r="AM379" s="75"/>
      <c r="AN379" s="64" t="s">
        <v>181</v>
      </c>
      <c r="AO379" s="64"/>
      <c r="AP379" s="64"/>
      <c r="AQ379" s="189"/>
      <c r="AR379" s="64"/>
      <c r="AS379" s="476"/>
      <c r="AT379" s="64"/>
      <c r="AU379" s="646"/>
      <c r="AV379" s="335"/>
    </row>
    <row r="380" spans="1:49" outlineLevel="4" x14ac:dyDescent="0.25">
      <c r="A380" s="63" t="str">
        <f t="shared" si="67"/>
        <v>1.3.1.9.10.64</v>
      </c>
      <c r="B380" s="64">
        <v>1</v>
      </c>
      <c r="C380" s="64">
        <v>3</v>
      </c>
      <c r="D380" s="64">
        <v>1</v>
      </c>
      <c r="E380" s="64">
        <v>9</v>
      </c>
      <c r="F380" s="64">
        <v>10</v>
      </c>
      <c r="G380" s="64">
        <v>64</v>
      </c>
      <c r="H380" s="65"/>
      <c r="I380" s="65"/>
      <c r="J380" s="66"/>
      <c r="K380" s="125" t="s">
        <v>1846</v>
      </c>
      <c r="L380" s="64"/>
      <c r="M380" s="64"/>
      <c r="N380" s="64"/>
      <c r="O380" s="64"/>
      <c r="P380" s="64"/>
      <c r="Q380" s="64"/>
      <c r="R380" s="124"/>
      <c r="S380" s="123"/>
      <c r="T380" s="124"/>
      <c r="U380" s="75"/>
      <c r="V380" s="674">
        <v>0</v>
      </c>
      <c r="W380" s="75"/>
      <c r="X380" s="75"/>
      <c r="Y380" s="834">
        <f t="shared" si="82"/>
        <v>0</v>
      </c>
      <c r="Z380" s="75"/>
      <c r="AA380" s="75"/>
      <c r="AB380" s="75"/>
      <c r="AC380" s="75"/>
      <c r="AD380" s="75"/>
      <c r="AE380" s="592"/>
      <c r="AF380" s="347"/>
      <c r="AG380" s="75">
        <v>0</v>
      </c>
      <c r="AH380" s="370">
        <v>0</v>
      </c>
      <c r="AI380" s="75"/>
      <c r="AJ380" s="75"/>
      <c r="AK380" s="75"/>
      <c r="AL380" s="75"/>
      <c r="AM380" s="75"/>
      <c r="AN380" s="64" t="s">
        <v>181</v>
      </c>
      <c r="AO380" s="64"/>
      <c r="AP380" s="64"/>
      <c r="AQ380" s="189"/>
      <c r="AR380" s="64"/>
      <c r="AS380" s="476"/>
      <c r="AT380" s="64"/>
      <c r="AU380" s="646"/>
      <c r="AV380" s="185"/>
    </row>
    <row r="381" spans="1:49" ht="30" outlineLevel="4" x14ac:dyDescent="0.25">
      <c r="A381" s="63" t="str">
        <f t="shared" si="67"/>
        <v>1.3.1.9.11.58</v>
      </c>
      <c r="B381" s="64">
        <v>1</v>
      </c>
      <c r="C381" s="64">
        <v>3</v>
      </c>
      <c r="D381" s="64">
        <v>1</v>
      </c>
      <c r="E381" s="64">
        <v>9</v>
      </c>
      <c r="F381" s="64">
        <v>11</v>
      </c>
      <c r="G381" s="100">
        <v>58</v>
      </c>
      <c r="H381" s="65"/>
      <c r="I381" s="65"/>
      <c r="J381" s="66"/>
      <c r="K381" s="67" t="s">
        <v>427</v>
      </c>
      <c r="L381" s="64" t="s">
        <v>359</v>
      </c>
      <c r="M381" s="64" t="s">
        <v>73</v>
      </c>
      <c r="N381" s="64" t="s">
        <v>74</v>
      </c>
      <c r="O381" s="64" t="s">
        <v>367</v>
      </c>
      <c r="P381" s="69" t="s">
        <v>428</v>
      </c>
      <c r="Q381" s="69">
        <v>44526</v>
      </c>
      <c r="R381" s="124" t="s">
        <v>429</v>
      </c>
      <c r="S381" s="123" t="s">
        <v>248</v>
      </c>
      <c r="T381" s="124">
        <v>0</v>
      </c>
      <c r="U381" s="75">
        <v>1000000</v>
      </c>
      <c r="V381" s="674">
        <v>0</v>
      </c>
      <c r="W381" s="75">
        <v>2500</v>
      </c>
      <c r="X381" s="75">
        <v>16142857.140000001</v>
      </c>
      <c r="Y381" s="834">
        <f t="shared" si="82"/>
        <v>9012062</v>
      </c>
      <c r="Z381" s="75">
        <v>1000</v>
      </c>
      <c r="AA381" s="75">
        <v>16142857</v>
      </c>
      <c r="AB381" s="75"/>
      <c r="AC381" s="75">
        <v>1500</v>
      </c>
      <c r="AD381" s="75">
        <f>+U381-1000000</f>
        <v>0</v>
      </c>
      <c r="AE381" s="592"/>
      <c r="AF381" s="347" t="e">
        <f>+(R381*252)*1.15</f>
        <v>#VALUE!</v>
      </c>
      <c r="AG381" s="75">
        <v>14038808.720000001</v>
      </c>
      <c r="AH381" s="370">
        <v>33285714.289999999</v>
      </c>
      <c r="AI381" s="75"/>
      <c r="AJ381" s="75">
        <f>1408800+2528880+652800+2896000+700000+249150+576432</f>
        <v>9012062</v>
      </c>
      <c r="AK381" s="75"/>
      <c r="AL381" s="75"/>
      <c r="AM381" s="75"/>
      <c r="AN381" s="64" t="s">
        <v>39</v>
      </c>
      <c r="AO381" s="165" t="s">
        <v>1819</v>
      </c>
      <c r="AP381" s="146" t="s">
        <v>2121</v>
      </c>
      <c r="AQ381" s="413"/>
      <c r="AR381" s="64">
        <v>2017</v>
      </c>
      <c r="AS381" s="475">
        <v>2022</v>
      </c>
      <c r="AT381" s="64" t="s">
        <v>2029</v>
      </c>
      <c r="AU381" s="881" t="s">
        <v>2122</v>
      </c>
      <c r="AV381" s="1268" t="s">
        <v>2043</v>
      </c>
    </row>
    <row r="382" spans="1:49" ht="30" outlineLevel="4" x14ac:dyDescent="0.25">
      <c r="A382" s="63" t="str">
        <f t="shared" si="67"/>
        <v>1.3.1.9.11.59</v>
      </c>
      <c r="B382" s="64">
        <v>1</v>
      </c>
      <c r="C382" s="64">
        <v>3</v>
      </c>
      <c r="D382" s="64">
        <v>1</v>
      </c>
      <c r="E382" s="64">
        <v>9</v>
      </c>
      <c r="F382" s="64">
        <v>11</v>
      </c>
      <c r="G382" s="100">
        <v>59</v>
      </c>
      <c r="H382" s="65"/>
      <c r="I382" s="65"/>
      <c r="J382" s="66"/>
      <c r="K382" s="67" t="s">
        <v>430</v>
      </c>
      <c r="L382" s="64" t="s">
        <v>359</v>
      </c>
      <c r="M382" s="64" t="s">
        <v>535</v>
      </c>
      <c r="N382" s="64" t="s">
        <v>226</v>
      </c>
      <c r="O382" s="64" t="s">
        <v>341</v>
      </c>
      <c r="P382" s="69">
        <v>44593</v>
      </c>
      <c r="Q382" s="69">
        <v>44891</v>
      </c>
      <c r="R382" s="124" t="s">
        <v>1920</v>
      </c>
      <c r="S382" s="123" t="s">
        <v>248</v>
      </c>
      <c r="T382" s="124">
        <v>0</v>
      </c>
      <c r="U382" s="75">
        <v>1000000</v>
      </c>
      <c r="V382" s="674">
        <v>352000</v>
      </c>
      <c r="W382" s="75">
        <v>3579</v>
      </c>
      <c r="X382" s="75">
        <v>16142857.140000001</v>
      </c>
      <c r="Y382" s="834">
        <f t="shared" si="82"/>
        <v>2440190</v>
      </c>
      <c r="Z382" s="75">
        <v>16142857</v>
      </c>
      <c r="AA382" s="75">
        <v>16142857</v>
      </c>
      <c r="AB382" s="75"/>
      <c r="AC382" s="75">
        <v>3580</v>
      </c>
      <c r="AD382" s="75">
        <f>+U382-1000000</f>
        <v>0</v>
      </c>
      <c r="AE382" s="592"/>
      <c r="AF382" s="347" t="e">
        <f>+R382*252*1.1</f>
        <v>#VALUE!</v>
      </c>
      <c r="AG382" s="75">
        <v>13358620.960000001</v>
      </c>
      <c r="AH382" s="370">
        <v>33285714.289999999</v>
      </c>
      <c r="AI382" s="75"/>
      <c r="AJ382" s="75">
        <f>48000+304000+828000+284240+182400+480000+81200+266000+45600+15200+257550</f>
        <v>2792190</v>
      </c>
      <c r="AK382" s="75"/>
      <c r="AL382" s="75"/>
      <c r="AM382" s="75"/>
      <c r="AN382" s="64" t="s">
        <v>39</v>
      </c>
      <c r="AO382" s="165" t="s">
        <v>1819</v>
      </c>
      <c r="AP382" s="146" t="s">
        <v>2121</v>
      </c>
      <c r="AQ382" s="413"/>
      <c r="AR382" s="64">
        <v>2017</v>
      </c>
      <c r="AS382" s="475">
        <v>2022</v>
      </c>
      <c r="AT382" s="64" t="s">
        <v>2029</v>
      </c>
      <c r="AU382" s="875" t="s">
        <v>2123</v>
      </c>
      <c r="AV382" s="1268"/>
      <c r="AW382" s="2" t="s">
        <v>431</v>
      </c>
    </row>
    <row r="383" spans="1:49" ht="30" outlineLevel="4" x14ac:dyDescent="0.25">
      <c r="A383" s="63" t="str">
        <f t="shared" si="67"/>
        <v>1.3.1.9.11.60</v>
      </c>
      <c r="B383" s="64">
        <v>1</v>
      </c>
      <c r="C383" s="64">
        <v>3</v>
      </c>
      <c r="D383" s="64">
        <v>1</v>
      </c>
      <c r="E383" s="64">
        <v>9</v>
      </c>
      <c r="F383" s="64">
        <v>11</v>
      </c>
      <c r="G383" s="100">
        <v>60</v>
      </c>
      <c r="H383" s="65"/>
      <c r="I383" s="65"/>
      <c r="J383" s="66"/>
      <c r="K383" s="67" t="s">
        <v>432</v>
      </c>
      <c r="L383" s="64" t="s">
        <v>359</v>
      </c>
      <c r="M383" s="64"/>
      <c r="N383" s="64"/>
      <c r="O383" s="64"/>
      <c r="P383" s="69">
        <v>44287</v>
      </c>
      <c r="Q383" s="69">
        <v>44512</v>
      </c>
      <c r="R383" s="124" t="s">
        <v>429</v>
      </c>
      <c r="S383" s="123" t="s">
        <v>248</v>
      </c>
      <c r="T383" s="124">
        <v>5000</v>
      </c>
      <c r="U383" s="75">
        <f t="shared" ref="U383" si="83">+AH383*0.3</f>
        <v>9985714.2780000009</v>
      </c>
      <c r="V383" s="674">
        <v>1214673.6000000001</v>
      </c>
      <c r="W383" s="75"/>
      <c r="X383" s="75">
        <v>11650000.140000001</v>
      </c>
      <c r="Y383" s="834">
        <f t="shared" si="82"/>
        <v>13119103.25</v>
      </c>
      <c r="Z383" s="75"/>
      <c r="AA383" s="75">
        <v>11650000.140000001</v>
      </c>
      <c r="AB383" s="75"/>
      <c r="AC383" s="75"/>
      <c r="AD383" s="75">
        <v>0</v>
      </c>
      <c r="AE383" s="592"/>
      <c r="AF383" s="347" t="e">
        <f>+R383*210*(1.5)</f>
        <v>#VALUE!</v>
      </c>
      <c r="AG383" s="75">
        <v>15637408.84</v>
      </c>
      <c r="AH383" s="370">
        <v>33285714.260000002</v>
      </c>
      <c r="AI383" s="75"/>
      <c r="AJ383" s="75">
        <f>1214673.6+3836736+540500+144000+167200+258400+480000+400091.25+225040+4499256+2567880</f>
        <v>14333776.85</v>
      </c>
      <c r="AK383" s="75"/>
      <c r="AL383" s="75"/>
      <c r="AM383" s="75"/>
      <c r="AN383" s="64" t="s">
        <v>39</v>
      </c>
      <c r="AO383" s="165" t="s">
        <v>1819</v>
      </c>
      <c r="AP383" s="146" t="s">
        <v>2121</v>
      </c>
      <c r="AQ383" s="413"/>
      <c r="AR383" s="64">
        <v>2017</v>
      </c>
      <c r="AS383" s="475">
        <v>2022</v>
      </c>
      <c r="AT383" s="64" t="s">
        <v>2029</v>
      </c>
      <c r="AU383" s="875" t="s">
        <v>2124</v>
      </c>
      <c r="AV383" s="1268"/>
      <c r="AW383" s="2" t="s">
        <v>433</v>
      </c>
    </row>
    <row r="384" spans="1:49" ht="30" outlineLevel="4" x14ac:dyDescent="0.25">
      <c r="A384" s="63" t="str">
        <f>CONCATENATE(B384,".",C384,".",D384,".",E384,".",F384,".",G384)</f>
        <v>1.3.1.9.11.61</v>
      </c>
      <c r="B384" s="64">
        <v>1</v>
      </c>
      <c r="C384" s="64">
        <v>3</v>
      </c>
      <c r="D384" s="64">
        <v>1</v>
      </c>
      <c r="E384" s="64">
        <v>9</v>
      </c>
      <c r="F384" s="64">
        <v>11</v>
      </c>
      <c r="G384" s="100">
        <v>61</v>
      </c>
      <c r="H384" s="65"/>
      <c r="I384" s="65"/>
      <c r="J384" s="66"/>
      <c r="K384" s="67" t="s">
        <v>434</v>
      </c>
      <c r="L384" s="64" t="s">
        <v>359</v>
      </c>
      <c r="M384" s="64"/>
      <c r="N384" s="64"/>
      <c r="O384" s="64"/>
      <c r="P384" s="69">
        <v>44287</v>
      </c>
      <c r="Q384" s="69">
        <v>44512</v>
      </c>
      <c r="R384" s="124" t="s">
        <v>1920</v>
      </c>
      <c r="S384" s="123" t="s">
        <v>248</v>
      </c>
      <c r="T384" s="124">
        <v>0</v>
      </c>
      <c r="U384" s="75">
        <v>1000000</v>
      </c>
      <c r="V384" s="674">
        <v>2234860</v>
      </c>
      <c r="W384" s="75">
        <v>5000</v>
      </c>
      <c r="X384" s="75">
        <v>16142857.140000001</v>
      </c>
      <c r="Y384" s="834">
        <f t="shared" si="82"/>
        <v>11216292.4</v>
      </c>
      <c r="Z384" s="75">
        <v>5000</v>
      </c>
      <c r="AA384" s="75">
        <v>16142857</v>
      </c>
      <c r="AB384" s="75"/>
      <c r="AC384" s="75">
        <v>0</v>
      </c>
      <c r="AD384" s="75">
        <f>+U384-1000000</f>
        <v>0</v>
      </c>
      <c r="AE384" s="592"/>
      <c r="AF384" s="347" t="e">
        <f>+R384*252*1.1</f>
        <v>#VALUE!</v>
      </c>
      <c r="AG384" s="75">
        <v>15637408.84</v>
      </c>
      <c r="AH384" s="370">
        <v>33285714.289999999</v>
      </c>
      <c r="AI384" s="75"/>
      <c r="AJ384" s="75">
        <f>1816540+418320+937658.4+713640+138320+840000+2233440+107938+917280+1450000+1606560+756000+641856+873600</f>
        <v>13451152.4</v>
      </c>
      <c r="AK384" s="75"/>
      <c r="AL384" s="75"/>
      <c r="AM384" s="75"/>
      <c r="AN384" s="64" t="s">
        <v>39</v>
      </c>
      <c r="AO384" s="165" t="s">
        <v>1819</v>
      </c>
      <c r="AP384" s="146" t="s">
        <v>2121</v>
      </c>
      <c r="AQ384" s="413"/>
      <c r="AR384" s="64">
        <v>2017</v>
      </c>
      <c r="AS384" s="475">
        <v>2022</v>
      </c>
      <c r="AT384" s="64" t="s">
        <v>2029</v>
      </c>
      <c r="AU384" s="875" t="s">
        <v>2125</v>
      </c>
      <c r="AV384" s="1268"/>
      <c r="AW384" s="2" t="s">
        <v>435</v>
      </c>
    </row>
    <row r="385" spans="1:48" ht="45" outlineLevel="4" x14ac:dyDescent="0.25">
      <c r="A385" s="63" t="str">
        <f t="shared" si="67"/>
        <v>1.3.1.9.11.62</v>
      </c>
      <c r="B385" s="64">
        <v>1</v>
      </c>
      <c r="C385" s="64">
        <v>3</v>
      </c>
      <c r="D385" s="64">
        <v>1</v>
      </c>
      <c r="E385" s="64">
        <v>9</v>
      </c>
      <c r="F385" s="64">
        <v>11</v>
      </c>
      <c r="G385" s="100">
        <v>62</v>
      </c>
      <c r="H385" s="65"/>
      <c r="I385" s="65"/>
      <c r="J385" s="66"/>
      <c r="K385" s="67" t="s">
        <v>1730</v>
      </c>
      <c r="L385" s="64" t="s">
        <v>359</v>
      </c>
      <c r="M385" s="64"/>
      <c r="N385" s="64"/>
      <c r="O385" s="64"/>
      <c r="P385" s="69">
        <v>44287</v>
      </c>
      <c r="Q385" s="69">
        <v>44512</v>
      </c>
      <c r="R385" s="124" t="s">
        <v>429</v>
      </c>
      <c r="S385" s="123" t="s">
        <v>248</v>
      </c>
      <c r="T385" s="124">
        <v>0</v>
      </c>
      <c r="U385" s="75">
        <v>1000000</v>
      </c>
      <c r="V385" s="674">
        <v>2677300</v>
      </c>
      <c r="W385" s="75">
        <v>3240</v>
      </c>
      <c r="X385" s="75">
        <v>16142857.140000001</v>
      </c>
      <c r="Y385" s="834">
        <f t="shared" si="82"/>
        <v>9322005</v>
      </c>
      <c r="Z385" s="75">
        <v>2931</v>
      </c>
      <c r="AA385" s="75">
        <v>16142857</v>
      </c>
      <c r="AB385" s="75"/>
      <c r="AC385" s="75">
        <v>2930</v>
      </c>
      <c r="AD385" s="75">
        <f>+U385-1000000</f>
        <v>0</v>
      </c>
      <c r="AE385" s="592"/>
      <c r="AF385" s="347" t="e">
        <f>+R385*252*1.1</f>
        <v>#VALUE!</v>
      </c>
      <c r="AG385" s="75">
        <v>15637408.84</v>
      </c>
      <c r="AH385" s="370">
        <v>33285714.289999999</v>
      </c>
      <c r="AI385" s="75"/>
      <c r="AJ385" s="75">
        <f>1360800+480000+836500+482990+1481760+307400+825000+1500000+265050+174000+2520000+105000+576675+467480+601530+15120</f>
        <v>11999305</v>
      </c>
      <c r="AK385" s="75"/>
      <c r="AL385" s="75"/>
      <c r="AM385" s="75"/>
      <c r="AN385" s="64" t="s">
        <v>39</v>
      </c>
      <c r="AO385" s="165" t="s">
        <v>1819</v>
      </c>
      <c r="AP385" s="146" t="s">
        <v>2121</v>
      </c>
      <c r="AQ385" s="413"/>
      <c r="AR385" s="64">
        <v>2017</v>
      </c>
      <c r="AS385" s="475">
        <v>2022</v>
      </c>
      <c r="AT385" s="64" t="s">
        <v>2029</v>
      </c>
      <c r="AU385" s="875" t="s">
        <v>2126</v>
      </c>
      <c r="AV385" s="1268"/>
    </row>
    <row r="386" spans="1:48" ht="30" outlineLevel="4" x14ac:dyDescent="0.25">
      <c r="A386" s="63" t="str">
        <f t="shared" si="67"/>
        <v>1.3.1.9.11.63</v>
      </c>
      <c r="B386" s="64">
        <v>1</v>
      </c>
      <c r="C386" s="64">
        <v>3</v>
      </c>
      <c r="D386" s="64">
        <v>1</v>
      </c>
      <c r="E386" s="64">
        <v>9</v>
      </c>
      <c r="F386" s="64">
        <v>11</v>
      </c>
      <c r="G386" s="100">
        <v>63</v>
      </c>
      <c r="H386" s="65"/>
      <c r="I386" s="65"/>
      <c r="J386" s="66"/>
      <c r="K386" s="67" t="s">
        <v>436</v>
      </c>
      <c r="L386" s="64" t="s">
        <v>359</v>
      </c>
      <c r="M386" s="64" t="s">
        <v>437</v>
      </c>
      <c r="N386" s="64" t="s">
        <v>226</v>
      </c>
      <c r="O386" s="64" t="s">
        <v>236</v>
      </c>
      <c r="P386" s="69">
        <v>44287</v>
      </c>
      <c r="Q386" s="69">
        <v>44526</v>
      </c>
      <c r="R386" s="124" t="s">
        <v>429</v>
      </c>
      <c r="S386" s="123" t="s">
        <v>248</v>
      </c>
      <c r="T386" s="124">
        <v>0</v>
      </c>
      <c r="U386" s="75">
        <v>1000000</v>
      </c>
      <c r="V386" s="674">
        <v>0</v>
      </c>
      <c r="W386" s="75">
        <v>3701</v>
      </c>
      <c r="X386" s="75">
        <v>16142857.140000001</v>
      </c>
      <c r="Y386" s="834">
        <f t="shared" si="82"/>
        <v>1583200</v>
      </c>
      <c r="Z386" s="75">
        <v>0</v>
      </c>
      <c r="AA386" s="75">
        <v>16142857</v>
      </c>
      <c r="AB386" s="75"/>
      <c r="AC386" s="75">
        <v>0</v>
      </c>
      <c r="AD386" s="75">
        <f>+U386-1000000</f>
        <v>0</v>
      </c>
      <c r="AE386" s="592"/>
      <c r="AF386" s="347" t="e">
        <f>R386*252*1.1</f>
        <v>#VALUE!</v>
      </c>
      <c r="AG386" s="75">
        <v>15637408.84</v>
      </c>
      <c r="AH386" s="370">
        <v>33285714.289999999</v>
      </c>
      <c r="AI386" s="75"/>
      <c r="AJ386" s="75">
        <f>355200+288000+480000+320000+140000</f>
        <v>1583200</v>
      </c>
      <c r="AK386" s="75"/>
      <c r="AL386" s="75"/>
      <c r="AM386" s="75"/>
      <c r="AN386" s="64" t="s">
        <v>39</v>
      </c>
      <c r="AO386" s="165" t="s">
        <v>1819</v>
      </c>
      <c r="AP386" s="146" t="s">
        <v>2121</v>
      </c>
      <c r="AQ386" s="413"/>
      <c r="AR386" s="64">
        <v>2017</v>
      </c>
      <c r="AS386" s="475">
        <v>2022</v>
      </c>
      <c r="AT386" s="64" t="s">
        <v>2029</v>
      </c>
      <c r="AU386" s="879" t="s">
        <v>2246</v>
      </c>
      <c r="AV386" s="1268"/>
    </row>
    <row r="387" spans="1:48" ht="29.1" customHeight="1" outlineLevel="4" x14ac:dyDescent="0.25">
      <c r="A387" s="63" t="str">
        <f t="shared" si="67"/>
        <v>1.3.1.9.11.64</v>
      </c>
      <c r="B387" s="64">
        <v>1</v>
      </c>
      <c r="C387" s="64">
        <v>3</v>
      </c>
      <c r="D387" s="64">
        <v>1</v>
      </c>
      <c r="E387" s="64">
        <v>9</v>
      </c>
      <c r="F387" s="64">
        <v>11</v>
      </c>
      <c r="G387" s="100">
        <v>64</v>
      </c>
      <c r="H387" s="65"/>
      <c r="I387" s="65"/>
      <c r="J387" s="66"/>
      <c r="K387" s="67" t="s">
        <v>438</v>
      </c>
      <c r="L387" s="64" t="s">
        <v>359</v>
      </c>
      <c r="M387" s="64"/>
      <c r="N387" s="64"/>
      <c r="O387" s="64"/>
      <c r="P387" s="69">
        <v>44287</v>
      </c>
      <c r="Q387" s="69">
        <v>44512</v>
      </c>
      <c r="R387" s="124" t="s">
        <v>429</v>
      </c>
      <c r="S387" s="123" t="s">
        <v>248</v>
      </c>
      <c r="T387" s="124">
        <v>0</v>
      </c>
      <c r="U387" s="75">
        <v>1000000</v>
      </c>
      <c r="V387" s="674">
        <v>446880</v>
      </c>
      <c r="W387" s="75">
        <f>5149+23</f>
        <v>5172</v>
      </c>
      <c r="X387" s="75">
        <v>16142857.140000001</v>
      </c>
      <c r="Y387" s="834">
        <f t="shared" si="82"/>
        <v>3319440</v>
      </c>
      <c r="Z387" s="75">
        <v>0</v>
      </c>
      <c r="AA387" s="75">
        <v>16142857</v>
      </c>
      <c r="AB387" s="75"/>
      <c r="AC387" s="75">
        <v>3089</v>
      </c>
      <c r="AD387" s="75">
        <f>+U387-1000000</f>
        <v>0</v>
      </c>
      <c r="AE387" s="592"/>
      <c r="AF387" s="347" t="e">
        <f>R387*252*1.1</f>
        <v>#VALUE!</v>
      </c>
      <c r="AG387" s="75">
        <v>15637408.84</v>
      </c>
      <c r="AH387" s="370">
        <v>33285714.289999999</v>
      </c>
      <c r="AI387" s="75"/>
      <c r="AJ387" s="75">
        <f>446880+753120+2160000+192000+214320</f>
        <v>3766320</v>
      </c>
      <c r="AK387" s="75"/>
      <c r="AL387" s="75"/>
      <c r="AM387" s="75"/>
      <c r="AN387" s="64" t="s">
        <v>39</v>
      </c>
      <c r="AO387" s="165" t="s">
        <v>1819</v>
      </c>
      <c r="AP387" s="146" t="s">
        <v>2121</v>
      </c>
      <c r="AQ387" s="413"/>
      <c r="AR387" s="64">
        <v>2017</v>
      </c>
      <c r="AS387" s="475">
        <v>2022</v>
      </c>
      <c r="AT387" s="64" t="s">
        <v>2029</v>
      </c>
      <c r="AU387" s="877" t="s">
        <v>2127</v>
      </c>
      <c r="AV387" s="1268"/>
    </row>
    <row r="388" spans="1:48" ht="30" outlineLevel="4" x14ac:dyDescent="0.25">
      <c r="A388" s="63" t="str">
        <f t="shared" si="67"/>
        <v>1.3.1.9.12.58</v>
      </c>
      <c r="B388" s="64">
        <v>1</v>
      </c>
      <c r="C388" s="64">
        <v>3</v>
      </c>
      <c r="D388" s="64">
        <v>1</v>
      </c>
      <c r="E388" s="64">
        <v>9</v>
      </c>
      <c r="F388" s="64">
        <v>12</v>
      </c>
      <c r="G388" s="64">
        <v>58</v>
      </c>
      <c r="H388" s="65"/>
      <c r="I388" s="65"/>
      <c r="J388" s="66"/>
      <c r="K388" s="67" t="s">
        <v>439</v>
      </c>
      <c r="L388" s="64" t="s">
        <v>72</v>
      </c>
      <c r="M388" s="64" t="s">
        <v>73</v>
      </c>
      <c r="N388" s="64" t="s">
        <v>74</v>
      </c>
      <c r="O388" s="64" t="s">
        <v>367</v>
      </c>
      <c r="P388" s="69"/>
      <c r="Q388" s="69"/>
      <c r="R388" s="124">
        <v>3</v>
      </c>
      <c r="S388" s="123"/>
      <c r="T388" s="124"/>
      <c r="U388" s="75"/>
      <c r="V388" s="674">
        <v>0</v>
      </c>
      <c r="W388" s="75">
        <v>2</v>
      </c>
      <c r="X388" s="75"/>
      <c r="Y388" s="834">
        <f t="shared" si="82"/>
        <v>0</v>
      </c>
      <c r="Z388" s="75"/>
      <c r="AA388" s="75"/>
      <c r="AB388" s="75"/>
      <c r="AC388" s="75">
        <v>1</v>
      </c>
      <c r="AD388" s="75"/>
      <c r="AE388" s="592"/>
      <c r="AF388" s="348" t="s">
        <v>440</v>
      </c>
      <c r="AG388" s="129">
        <v>0</v>
      </c>
      <c r="AH388" s="370">
        <v>0</v>
      </c>
      <c r="AI388" s="75"/>
      <c r="AJ388" s="75"/>
      <c r="AK388" s="75"/>
      <c r="AL388" s="75"/>
      <c r="AM388" s="75"/>
      <c r="AN388" s="64" t="s">
        <v>39</v>
      </c>
      <c r="AO388" s="64"/>
      <c r="AP388" s="64"/>
      <c r="AQ388" s="189"/>
      <c r="AR388" s="64"/>
      <c r="AS388" s="476"/>
      <c r="AT388" s="64"/>
      <c r="AU388" s="646"/>
      <c r="AV388" s="335" t="s">
        <v>127</v>
      </c>
    </row>
    <row r="389" spans="1:48" ht="30" outlineLevel="4" x14ac:dyDescent="0.25">
      <c r="A389" s="63" t="str">
        <f t="shared" si="67"/>
        <v>1.3.1.9.12.59</v>
      </c>
      <c r="B389" s="64">
        <v>1</v>
      </c>
      <c r="C389" s="64">
        <v>3</v>
      </c>
      <c r="D389" s="64">
        <v>1</v>
      </c>
      <c r="E389" s="64">
        <v>9</v>
      </c>
      <c r="F389" s="64">
        <v>12</v>
      </c>
      <c r="G389" s="64">
        <v>59</v>
      </c>
      <c r="H389" s="65"/>
      <c r="I389" s="65"/>
      <c r="J389" s="66"/>
      <c r="K389" s="67" t="s">
        <v>441</v>
      </c>
      <c r="L389" s="64"/>
      <c r="M389" s="64"/>
      <c r="N389" s="64"/>
      <c r="O389" s="64"/>
      <c r="P389" s="69"/>
      <c r="Q389" s="69"/>
      <c r="R389" s="124"/>
      <c r="S389" s="123"/>
      <c r="T389" s="124"/>
      <c r="U389" s="75"/>
      <c r="V389" s="674">
        <v>0</v>
      </c>
      <c r="W389" s="75"/>
      <c r="X389" s="75"/>
      <c r="Y389" s="834">
        <f t="shared" si="82"/>
        <v>0</v>
      </c>
      <c r="Z389" s="75"/>
      <c r="AA389" s="75"/>
      <c r="AB389" s="75"/>
      <c r="AC389" s="75"/>
      <c r="AD389" s="75"/>
      <c r="AE389" s="592"/>
      <c r="AF389" s="348"/>
      <c r="AG389" s="129">
        <v>0</v>
      </c>
      <c r="AH389" s="370">
        <v>0</v>
      </c>
      <c r="AI389" s="75"/>
      <c r="AJ389" s="75"/>
      <c r="AK389" s="75"/>
      <c r="AL389" s="75"/>
      <c r="AM389" s="75"/>
      <c r="AN389" s="64" t="s">
        <v>39</v>
      </c>
      <c r="AO389" s="64"/>
      <c r="AP389" s="64"/>
      <c r="AQ389" s="189"/>
      <c r="AR389" s="64"/>
      <c r="AS389" s="476"/>
      <c r="AT389" s="64"/>
      <c r="AU389" s="646"/>
      <c r="AV389" s="335" t="s">
        <v>127</v>
      </c>
    </row>
    <row r="390" spans="1:48" ht="30" outlineLevel="4" x14ac:dyDescent="0.25">
      <c r="A390" s="63" t="str">
        <f t="shared" si="67"/>
        <v>1.3.1.9.12.60</v>
      </c>
      <c r="B390" s="64">
        <v>1</v>
      </c>
      <c r="C390" s="64">
        <v>3</v>
      </c>
      <c r="D390" s="64">
        <v>1</v>
      </c>
      <c r="E390" s="64">
        <v>9</v>
      </c>
      <c r="F390" s="64">
        <v>12</v>
      </c>
      <c r="G390" s="64">
        <v>60</v>
      </c>
      <c r="H390" s="65"/>
      <c r="I390" s="65"/>
      <c r="J390" s="66"/>
      <c r="K390" s="67" t="s">
        <v>442</v>
      </c>
      <c r="L390" s="64"/>
      <c r="M390" s="64"/>
      <c r="N390" s="64"/>
      <c r="O390" s="64"/>
      <c r="P390" s="69"/>
      <c r="Q390" s="69"/>
      <c r="R390" s="124"/>
      <c r="S390" s="123"/>
      <c r="T390" s="124"/>
      <c r="U390" s="75"/>
      <c r="V390" s="674">
        <v>0</v>
      </c>
      <c r="W390" s="75"/>
      <c r="X390" s="75"/>
      <c r="Y390" s="834">
        <f t="shared" si="82"/>
        <v>0</v>
      </c>
      <c r="Z390" s="75"/>
      <c r="AA390" s="75"/>
      <c r="AB390" s="75"/>
      <c r="AC390" s="75"/>
      <c r="AD390" s="75"/>
      <c r="AE390" s="592"/>
      <c r="AF390" s="348"/>
      <c r="AG390" s="129">
        <v>0</v>
      </c>
      <c r="AH390" s="370">
        <v>0</v>
      </c>
      <c r="AI390" s="75"/>
      <c r="AJ390" s="75"/>
      <c r="AK390" s="75"/>
      <c r="AL390" s="75"/>
      <c r="AM390" s="75"/>
      <c r="AN390" s="64" t="s">
        <v>39</v>
      </c>
      <c r="AO390" s="64"/>
      <c r="AP390" s="64"/>
      <c r="AQ390" s="189"/>
      <c r="AR390" s="64"/>
      <c r="AS390" s="476"/>
      <c r="AT390" s="64"/>
      <c r="AU390" s="646"/>
      <c r="AV390" s="335" t="s">
        <v>127</v>
      </c>
    </row>
    <row r="391" spans="1:48" ht="30" outlineLevel="4" x14ac:dyDescent="0.25">
      <c r="A391" s="63" t="str">
        <f t="shared" si="67"/>
        <v>1.3.1.9.12.61</v>
      </c>
      <c r="B391" s="64">
        <v>1</v>
      </c>
      <c r="C391" s="64">
        <v>3</v>
      </c>
      <c r="D391" s="64">
        <v>1</v>
      </c>
      <c r="E391" s="64">
        <v>9</v>
      </c>
      <c r="F391" s="64">
        <v>12</v>
      </c>
      <c r="G391" s="64">
        <v>61</v>
      </c>
      <c r="H391" s="65"/>
      <c r="I391" s="65"/>
      <c r="J391" s="66"/>
      <c r="K391" s="67" t="s">
        <v>443</v>
      </c>
      <c r="L391" s="64" t="s">
        <v>359</v>
      </c>
      <c r="M391" s="64" t="s">
        <v>279</v>
      </c>
      <c r="N391" s="64" t="s">
        <v>226</v>
      </c>
      <c r="O391" s="64" t="s">
        <v>444</v>
      </c>
      <c r="P391" s="69"/>
      <c r="Q391" s="69"/>
      <c r="R391" s="124">
        <v>4</v>
      </c>
      <c r="S391" s="123"/>
      <c r="T391" s="124">
        <v>1</v>
      </c>
      <c r="U391" s="75"/>
      <c r="V391" s="674">
        <v>0</v>
      </c>
      <c r="W391" s="75">
        <v>1</v>
      </c>
      <c r="X391" s="75"/>
      <c r="Y391" s="834">
        <f t="shared" si="82"/>
        <v>0</v>
      </c>
      <c r="Z391" s="75">
        <v>1</v>
      </c>
      <c r="AA391" s="75"/>
      <c r="AB391" s="75"/>
      <c r="AC391" s="75">
        <v>1</v>
      </c>
      <c r="AD391" s="75"/>
      <c r="AE391" s="592"/>
      <c r="AF391" s="348" t="s">
        <v>445</v>
      </c>
      <c r="AG391" s="129">
        <v>0</v>
      </c>
      <c r="AH391" s="370">
        <v>0</v>
      </c>
      <c r="AI391" s="75"/>
      <c r="AJ391" s="75"/>
      <c r="AK391" s="75"/>
      <c r="AL391" s="75"/>
      <c r="AM391" s="75"/>
      <c r="AN391" s="64" t="s">
        <v>39</v>
      </c>
      <c r="AO391" s="64"/>
      <c r="AP391" s="64"/>
      <c r="AQ391" s="189"/>
      <c r="AR391" s="64"/>
      <c r="AS391" s="476"/>
      <c r="AT391" s="64"/>
      <c r="AU391" s="646"/>
      <c r="AV391" s="335" t="s">
        <v>127</v>
      </c>
    </row>
    <row r="392" spans="1:48" ht="30" outlineLevel="4" x14ac:dyDescent="0.25">
      <c r="A392" s="63" t="str">
        <f t="shared" si="67"/>
        <v>1.3.1.9.12.62</v>
      </c>
      <c r="B392" s="64">
        <v>1</v>
      </c>
      <c r="C392" s="64">
        <v>3</v>
      </c>
      <c r="D392" s="64">
        <v>1</v>
      </c>
      <c r="E392" s="64">
        <v>9</v>
      </c>
      <c r="F392" s="64">
        <v>12</v>
      </c>
      <c r="G392" s="64">
        <v>62</v>
      </c>
      <c r="H392" s="65"/>
      <c r="I392" s="65"/>
      <c r="J392" s="66"/>
      <c r="K392" s="67" t="s">
        <v>1731</v>
      </c>
      <c r="L392" s="64"/>
      <c r="M392" s="64"/>
      <c r="N392" s="64"/>
      <c r="O392" s="64"/>
      <c r="P392" s="69"/>
      <c r="Q392" s="69"/>
      <c r="R392" s="124"/>
      <c r="S392" s="123"/>
      <c r="T392" s="124"/>
      <c r="U392" s="75"/>
      <c r="V392" s="674">
        <v>0</v>
      </c>
      <c r="W392" s="75"/>
      <c r="X392" s="75"/>
      <c r="Y392" s="834">
        <f t="shared" si="82"/>
        <v>0</v>
      </c>
      <c r="Z392" s="75"/>
      <c r="AA392" s="75"/>
      <c r="AB392" s="75"/>
      <c r="AC392" s="75"/>
      <c r="AD392" s="75"/>
      <c r="AE392" s="592"/>
      <c r="AF392" s="348"/>
      <c r="AG392" s="129">
        <v>0</v>
      </c>
      <c r="AH392" s="370">
        <v>0</v>
      </c>
      <c r="AI392" s="75"/>
      <c r="AJ392" s="75"/>
      <c r="AK392" s="75"/>
      <c r="AL392" s="75"/>
      <c r="AM392" s="75"/>
      <c r="AN392" s="64" t="s">
        <v>39</v>
      </c>
      <c r="AO392" s="64"/>
      <c r="AP392" s="64"/>
      <c r="AQ392" s="189"/>
      <c r="AR392" s="64"/>
      <c r="AS392" s="476"/>
      <c r="AT392" s="64"/>
      <c r="AU392" s="646"/>
      <c r="AV392" s="335" t="s">
        <v>127</v>
      </c>
    </row>
    <row r="393" spans="1:48" ht="30" outlineLevel="4" x14ac:dyDescent="0.25">
      <c r="A393" s="63" t="str">
        <f t="shared" si="67"/>
        <v>1.3.1.9.12.63</v>
      </c>
      <c r="B393" s="64">
        <v>1</v>
      </c>
      <c r="C393" s="64">
        <v>3</v>
      </c>
      <c r="D393" s="64">
        <v>1</v>
      </c>
      <c r="E393" s="64">
        <v>9</v>
      </c>
      <c r="F393" s="64">
        <v>12</v>
      </c>
      <c r="G393" s="64">
        <v>63</v>
      </c>
      <c r="H393" s="65"/>
      <c r="I393" s="65"/>
      <c r="J393" s="66"/>
      <c r="K393" s="67" t="s">
        <v>446</v>
      </c>
      <c r="L393" s="64"/>
      <c r="M393" s="64"/>
      <c r="N393" s="64"/>
      <c r="O393" s="64"/>
      <c r="P393" s="69"/>
      <c r="Q393" s="69"/>
      <c r="R393" s="124"/>
      <c r="S393" s="123"/>
      <c r="T393" s="124"/>
      <c r="U393" s="75"/>
      <c r="V393" s="674">
        <v>0</v>
      </c>
      <c r="W393" s="75"/>
      <c r="X393" s="75"/>
      <c r="Y393" s="834">
        <f t="shared" si="82"/>
        <v>0</v>
      </c>
      <c r="Z393" s="75"/>
      <c r="AA393" s="75"/>
      <c r="AB393" s="75"/>
      <c r="AC393" s="75"/>
      <c r="AD393" s="75"/>
      <c r="AE393" s="592"/>
      <c r="AF393" s="348"/>
      <c r="AG393" s="129">
        <v>0</v>
      </c>
      <c r="AH393" s="370">
        <v>0</v>
      </c>
      <c r="AI393" s="75"/>
      <c r="AJ393" s="75"/>
      <c r="AK393" s="75"/>
      <c r="AL393" s="75"/>
      <c r="AM393" s="75"/>
      <c r="AN393" s="64" t="s">
        <v>39</v>
      </c>
      <c r="AO393" s="64"/>
      <c r="AP393" s="64"/>
      <c r="AQ393" s="189"/>
      <c r="AR393" s="64"/>
      <c r="AS393" s="476"/>
      <c r="AT393" s="64"/>
      <c r="AU393" s="646"/>
      <c r="AV393" s="335" t="s">
        <v>127</v>
      </c>
    </row>
    <row r="394" spans="1:48" ht="30" outlineLevel="4" x14ac:dyDescent="0.25">
      <c r="A394" s="63" t="str">
        <f t="shared" si="67"/>
        <v>1.3.1.9.12.64</v>
      </c>
      <c r="B394" s="64">
        <v>1</v>
      </c>
      <c r="C394" s="64">
        <v>3</v>
      </c>
      <c r="D394" s="64">
        <v>1</v>
      </c>
      <c r="E394" s="64">
        <v>9</v>
      </c>
      <c r="F394" s="64">
        <v>12</v>
      </c>
      <c r="G394" s="64">
        <v>64</v>
      </c>
      <c r="H394" s="65"/>
      <c r="I394" s="65"/>
      <c r="J394" s="66"/>
      <c r="K394" s="67" t="s">
        <v>447</v>
      </c>
      <c r="L394" s="64"/>
      <c r="M394" s="64"/>
      <c r="N394" s="64"/>
      <c r="O394" s="64"/>
      <c r="P394" s="69"/>
      <c r="Q394" s="69"/>
      <c r="R394" s="124"/>
      <c r="S394" s="123"/>
      <c r="T394" s="124"/>
      <c r="U394" s="75"/>
      <c r="V394" s="674">
        <v>0</v>
      </c>
      <c r="W394" s="75"/>
      <c r="X394" s="75"/>
      <c r="Y394" s="834">
        <f t="shared" si="82"/>
        <v>0</v>
      </c>
      <c r="Z394" s="75"/>
      <c r="AA394" s="75"/>
      <c r="AB394" s="75"/>
      <c r="AC394" s="75"/>
      <c r="AD394" s="75"/>
      <c r="AE394" s="592"/>
      <c r="AF394" s="348"/>
      <c r="AG394" s="129">
        <v>0</v>
      </c>
      <c r="AH394" s="370">
        <v>0</v>
      </c>
      <c r="AI394" s="75"/>
      <c r="AJ394" s="75"/>
      <c r="AK394" s="75"/>
      <c r="AL394" s="75"/>
      <c r="AM394" s="75"/>
      <c r="AN394" s="64" t="s">
        <v>39</v>
      </c>
      <c r="AO394" s="64"/>
      <c r="AP394" s="64"/>
      <c r="AQ394" s="189"/>
      <c r="AR394" s="64"/>
      <c r="AS394" s="476"/>
      <c r="AT394" s="64"/>
      <c r="AU394" s="646"/>
      <c r="AV394" s="335" t="s">
        <v>127</v>
      </c>
    </row>
    <row r="395" spans="1:48" outlineLevel="4" x14ac:dyDescent="0.25">
      <c r="A395" s="63" t="str">
        <f t="shared" si="67"/>
        <v>1.3.1.9.13.58</v>
      </c>
      <c r="B395" s="64">
        <v>1</v>
      </c>
      <c r="C395" s="64">
        <v>3</v>
      </c>
      <c r="D395" s="64">
        <v>1</v>
      </c>
      <c r="E395" s="64">
        <v>9</v>
      </c>
      <c r="F395" s="64">
        <v>13</v>
      </c>
      <c r="G395" s="64">
        <v>58</v>
      </c>
      <c r="H395" s="65"/>
      <c r="I395" s="65"/>
      <c r="J395" s="66"/>
      <c r="K395" s="125" t="s">
        <v>448</v>
      </c>
      <c r="L395" s="64" t="s">
        <v>72</v>
      </c>
      <c r="M395" s="64" t="s">
        <v>73</v>
      </c>
      <c r="N395" s="64" t="s">
        <v>74</v>
      </c>
      <c r="O395" s="64" t="s">
        <v>367</v>
      </c>
      <c r="P395" s="64"/>
      <c r="Q395" s="64"/>
      <c r="R395" s="124"/>
      <c r="S395" s="123"/>
      <c r="T395" s="124"/>
      <c r="U395" s="75"/>
      <c r="V395" s="674">
        <v>0</v>
      </c>
      <c r="W395" s="75"/>
      <c r="X395" s="75"/>
      <c r="Y395" s="834">
        <f t="shared" si="82"/>
        <v>0</v>
      </c>
      <c r="Z395" s="75"/>
      <c r="AA395" s="75"/>
      <c r="AB395" s="75"/>
      <c r="AC395" s="75"/>
      <c r="AD395" s="75"/>
      <c r="AE395" s="592"/>
      <c r="AF395" s="347"/>
      <c r="AG395" s="75">
        <v>0</v>
      </c>
      <c r="AH395" s="370">
        <v>0</v>
      </c>
      <c r="AI395" s="75"/>
      <c r="AJ395" s="75"/>
      <c r="AK395" s="75"/>
      <c r="AL395" s="75"/>
      <c r="AM395" s="75"/>
      <c r="AN395" s="64" t="s">
        <v>39</v>
      </c>
      <c r="AO395" s="64"/>
      <c r="AP395" s="64"/>
      <c r="AQ395" s="189"/>
      <c r="AR395" s="64"/>
      <c r="AS395" s="476"/>
      <c r="AT395" s="64"/>
      <c r="AU395" s="646"/>
      <c r="AV395" s="185"/>
    </row>
    <row r="396" spans="1:48" outlineLevel="4" x14ac:dyDescent="0.25">
      <c r="A396" s="63" t="str">
        <f t="shared" si="67"/>
        <v>1.3.1.9.13.59</v>
      </c>
      <c r="B396" s="64">
        <v>1</v>
      </c>
      <c r="C396" s="64">
        <v>3</v>
      </c>
      <c r="D396" s="64">
        <v>1</v>
      </c>
      <c r="E396" s="64">
        <v>9</v>
      </c>
      <c r="F396" s="64">
        <v>13</v>
      </c>
      <c r="G396" s="64">
        <v>59</v>
      </c>
      <c r="H396" s="65"/>
      <c r="I396" s="65"/>
      <c r="J396" s="66"/>
      <c r="K396" s="125" t="s">
        <v>449</v>
      </c>
      <c r="L396" s="64"/>
      <c r="M396" s="64"/>
      <c r="N396" s="64"/>
      <c r="O396" s="64"/>
      <c r="P396" s="64"/>
      <c r="Q396" s="64"/>
      <c r="R396" s="124"/>
      <c r="S396" s="123"/>
      <c r="T396" s="124"/>
      <c r="U396" s="75"/>
      <c r="V396" s="674">
        <v>0</v>
      </c>
      <c r="W396" s="75"/>
      <c r="X396" s="75"/>
      <c r="Y396" s="834">
        <f t="shared" si="82"/>
        <v>0</v>
      </c>
      <c r="Z396" s="75"/>
      <c r="AA396" s="75"/>
      <c r="AB396" s="75"/>
      <c r="AC396" s="75"/>
      <c r="AD396" s="75"/>
      <c r="AE396" s="592"/>
      <c r="AF396" s="347"/>
      <c r="AG396" s="75">
        <v>0</v>
      </c>
      <c r="AH396" s="370">
        <v>0</v>
      </c>
      <c r="AI396" s="75"/>
      <c r="AJ396" s="75"/>
      <c r="AK396" s="75"/>
      <c r="AL396" s="75"/>
      <c r="AM396" s="75"/>
      <c r="AN396" s="64" t="s">
        <v>39</v>
      </c>
      <c r="AO396" s="64"/>
      <c r="AP396" s="64"/>
      <c r="AQ396" s="189"/>
      <c r="AR396" s="64"/>
      <c r="AS396" s="476"/>
      <c r="AT396" s="64"/>
      <c r="AU396" s="646"/>
      <c r="AV396" s="185"/>
    </row>
    <row r="397" spans="1:48" outlineLevel="4" x14ac:dyDescent="0.25">
      <c r="A397" s="63" t="str">
        <f t="shared" si="67"/>
        <v>1.3.1.9.13.60</v>
      </c>
      <c r="B397" s="64">
        <v>1</v>
      </c>
      <c r="C397" s="64">
        <v>3</v>
      </c>
      <c r="D397" s="64">
        <v>1</v>
      </c>
      <c r="E397" s="64">
        <v>9</v>
      </c>
      <c r="F397" s="64">
        <v>13</v>
      </c>
      <c r="G397" s="64">
        <v>60</v>
      </c>
      <c r="H397" s="65"/>
      <c r="I397" s="65"/>
      <c r="J397" s="66"/>
      <c r="K397" s="125" t="s">
        <v>450</v>
      </c>
      <c r="L397" s="64"/>
      <c r="M397" s="64"/>
      <c r="N397" s="64"/>
      <c r="O397" s="64"/>
      <c r="P397" s="64"/>
      <c r="Q397" s="64"/>
      <c r="R397" s="124"/>
      <c r="S397" s="123"/>
      <c r="T397" s="124"/>
      <c r="U397" s="75"/>
      <c r="V397" s="674">
        <v>0</v>
      </c>
      <c r="W397" s="75"/>
      <c r="X397" s="75"/>
      <c r="Y397" s="834">
        <f t="shared" si="82"/>
        <v>0</v>
      </c>
      <c r="Z397" s="75"/>
      <c r="AA397" s="75"/>
      <c r="AB397" s="75"/>
      <c r="AC397" s="75"/>
      <c r="AD397" s="75"/>
      <c r="AE397" s="592"/>
      <c r="AF397" s="347"/>
      <c r="AG397" s="75">
        <v>0</v>
      </c>
      <c r="AH397" s="370">
        <v>0</v>
      </c>
      <c r="AI397" s="75"/>
      <c r="AJ397" s="75"/>
      <c r="AK397" s="75"/>
      <c r="AL397" s="75"/>
      <c r="AM397" s="75"/>
      <c r="AN397" s="64" t="s">
        <v>39</v>
      </c>
      <c r="AO397" s="64"/>
      <c r="AP397" s="64"/>
      <c r="AQ397" s="189"/>
      <c r="AR397" s="64"/>
      <c r="AS397" s="476"/>
      <c r="AT397" s="64"/>
      <c r="AU397" s="646"/>
      <c r="AV397" s="185"/>
    </row>
    <row r="398" spans="1:48" outlineLevel="4" x14ac:dyDescent="0.25">
      <c r="A398" s="63" t="str">
        <f t="shared" si="67"/>
        <v>1.3.1.9.13.61</v>
      </c>
      <c r="B398" s="64">
        <v>1</v>
      </c>
      <c r="C398" s="64">
        <v>3</v>
      </c>
      <c r="D398" s="64">
        <v>1</v>
      </c>
      <c r="E398" s="64">
        <v>9</v>
      </c>
      <c r="F398" s="64">
        <v>13</v>
      </c>
      <c r="G398" s="64">
        <v>61</v>
      </c>
      <c r="H398" s="65"/>
      <c r="I398" s="65"/>
      <c r="J398" s="66"/>
      <c r="K398" s="125" t="s">
        <v>451</v>
      </c>
      <c r="L398" s="64"/>
      <c r="M398" s="64"/>
      <c r="N398" s="64"/>
      <c r="O398" s="64"/>
      <c r="P398" s="64"/>
      <c r="Q398" s="64"/>
      <c r="R398" s="124"/>
      <c r="S398" s="123"/>
      <c r="T398" s="124"/>
      <c r="U398" s="75"/>
      <c r="V398" s="674">
        <v>0</v>
      </c>
      <c r="W398" s="75"/>
      <c r="X398" s="75"/>
      <c r="Y398" s="834">
        <f t="shared" si="82"/>
        <v>0</v>
      </c>
      <c r="Z398" s="75"/>
      <c r="AA398" s="75"/>
      <c r="AB398" s="75"/>
      <c r="AC398" s="75"/>
      <c r="AD398" s="75"/>
      <c r="AE398" s="592"/>
      <c r="AF398" s="347"/>
      <c r="AG398" s="75">
        <v>0</v>
      </c>
      <c r="AH398" s="370">
        <v>0</v>
      </c>
      <c r="AI398" s="75"/>
      <c r="AJ398" s="75"/>
      <c r="AK398" s="75"/>
      <c r="AL398" s="75"/>
      <c r="AM398" s="75"/>
      <c r="AN398" s="64" t="s">
        <v>39</v>
      </c>
      <c r="AO398" s="64"/>
      <c r="AP398" s="64"/>
      <c r="AQ398" s="189"/>
      <c r="AR398" s="64"/>
      <c r="AS398" s="476"/>
      <c r="AT398" s="64"/>
      <c r="AU398" s="646"/>
      <c r="AV398" s="185"/>
    </row>
    <row r="399" spans="1:48" outlineLevel="4" x14ac:dyDescent="0.25">
      <c r="A399" s="63" t="str">
        <f t="shared" si="67"/>
        <v>1.3.1.9.13.62</v>
      </c>
      <c r="B399" s="64">
        <v>1</v>
      </c>
      <c r="C399" s="64">
        <v>3</v>
      </c>
      <c r="D399" s="64">
        <v>1</v>
      </c>
      <c r="E399" s="64">
        <v>9</v>
      </c>
      <c r="F399" s="64">
        <v>13</v>
      </c>
      <c r="G399" s="64">
        <v>62</v>
      </c>
      <c r="H399" s="65"/>
      <c r="I399" s="65"/>
      <c r="J399" s="66"/>
      <c r="K399" s="125" t="s">
        <v>1732</v>
      </c>
      <c r="L399" s="64"/>
      <c r="M399" s="64"/>
      <c r="N399" s="64"/>
      <c r="O399" s="64"/>
      <c r="P399" s="64"/>
      <c r="Q399" s="64"/>
      <c r="R399" s="124"/>
      <c r="S399" s="123"/>
      <c r="T399" s="124"/>
      <c r="U399" s="75"/>
      <c r="V399" s="674">
        <v>0</v>
      </c>
      <c r="W399" s="75"/>
      <c r="X399" s="75"/>
      <c r="Y399" s="834">
        <f t="shared" si="82"/>
        <v>0</v>
      </c>
      <c r="Z399" s="75"/>
      <c r="AA399" s="75"/>
      <c r="AB399" s="75"/>
      <c r="AC399" s="75"/>
      <c r="AD399" s="75"/>
      <c r="AE399" s="592"/>
      <c r="AF399" s="347"/>
      <c r="AG399" s="75">
        <v>0</v>
      </c>
      <c r="AH399" s="370">
        <v>0</v>
      </c>
      <c r="AI399" s="75"/>
      <c r="AJ399" s="75"/>
      <c r="AK399" s="75"/>
      <c r="AL399" s="75"/>
      <c r="AM399" s="75"/>
      <c r="AN399" s="64" t="s">
        <v>39</v>
      </c>
      <c r="AO399" s="64"/>
      <c r="AP399" s="64"/>
      <c r="AQ399" s="189"/>
      <c r="AR399" s="64"/>
      <c r="AS399" s="476"/>
      <c r="AT399" s="64"/>
      <c r="AU399" s="646"/>
      <c r="AV399" s="185"/>
    </row>
    <row r="400" spans="1:48" outlineLevel="4" x14ac:dyDescent="0.25">
      <c r="A400" s="63" t="str">
        <f t="shared" si="67"/>
        <v>1.3.1.9.13.63</v>
      </c>
      <c r="B400" s="64">
        <v>1</v>
      </c>
      <c r="C400" s="64">
        <v>3</v>
      </c>
      <c r="D400" s="64">
        <v>1</v>
      </c>
      <c r="E400" s="64">
        <v>9</v>
      </c>
      <c r="F400" s="64">
        <v>13</v>
      </c>
      <c r="G400" s="64">
        <v>63</v>
      </c>
      <c r="H400" s="65"/>
      <c r="I400" s="65"/>
      <c r="J400" s="66"/>
      <c r="K400" s="125" t="s">
        <v>452</v>
      </c>
      <c r="L400" s="64"/>
      <c r="M400" s="64"/>
      <c r="N400" s="64"/>
      <c r="O400" s="64"/>
      <c r="P400" s="64"/>
      <c r="Q400" s="64"/>
      <c r="R400" s="124"/>
      <c r="S400" s="123"/>
      <c r="T400" s="124"/>
      <c r="U400" s="75"/>
      <c r="V400" s="674">
        <v>0</v>
      </c>
      <c r="W400" s="75"/>
      <c r="X400" s="75"/>
      <c r="Y400" s="834">
        <f t="shared" si="82"/>
        <v>0</v>
      </c>
      <c r="Z400" s="75"/>
      <c r="AA400" s="75"/>
      <c r="AB400" s="75"/>
      <c r="AC400" s="75"/>
      <c r="AD400" s="75"/>
      <c r="AE400" s="592"/>
      <c r="AF400" s="347"/>
      <c r="AG400" s="75">
        <v>0</v>
      </c>
      <c r="AH400" s="370">
        <v>0</v>
      </c>
      <c r="AI400" s="75"/>
      <c r="AJ400" s="75"/>
      <c r="AK400" s="75"/>
      <c r="AL400" s="75"/>
      <c r="AM400" s="75"/>
      <c r="AN400" s="64" t="s">
        <v>39</v>
      </c>
      <c r="AO400" s="64"/>
      <c r="AP400" s="64"/>
      <c r="AQ400" s="189"/>
      <c r="AR400" s="64"/>
      <c r="AS400" s="476"/>
      <c r="AT400" s="64"/>
      <c r="AU400" s="646"/>
      <c r="AV400" s="185"/>
    </row>
    <row r="401" spans="1:56" outlineLevel="4" x14ac:dyDescent="0.25">
      <c r="A401" s="63" t="str">
        <f t="shared" si="67"/>
        <v>1.3.1.9.13.64</v>
      </c>
      <c r="B401" s="64">
        <v>1</v>
      </c>
      <c r="C401" s="64">
        <v>3</v>
      </c>
      <c r="D401" s="64">
        <v>1</v>
      </c>
      <c r="E401" s="64">
        <v>9</v>
      </c>
      <c r="F401" s="64">
        <v>13</v>
      </c>
      <c r="G401" s="64">
        <v>64</v>
      </c>
      <c r="H401" s="65"/>
      <c r="I401" s="65"/>
      <c r="J401" s="66"/>
      <c r="K401" s="125" t="s">
        <v>453</v>
      </c>
      <c r="L401" s="64"/>
      <c r="M401" s="64"/>
      <c r="N401" s="64"/>
      <c r="O401" s="64"/>
      <c r="P401" s="64"/>
      <c r="Q401" s="64"/>
      <c r="R401" s="124"/>
      <c r="S401" s="123"/>
      <c r="T401" s="124"/>
      <c r="U401" s="75"/>
      <c r="V401" s="674">
        <v>0</v>
      </c>
      <c r="W401" s="75"/>
      <c r="X401" s="75"/>
      <c r="Y401" s="834">
        <f t="shared" si="82"/>
        <v>0</v>
      </c>
      <c r="Z401" s="75"/>
      <c r="AA401" s="75"/>
      <c r="AB401" s="75"/>
      <c r="AC401" s="75"/>
      <c r="AD401" s="75"/>
      <c r="AE401" s="592"/>
      <c r="AF401" s="347"/>
      <c r="AG401" s="75">
        <v>0</v>
      </c>
      <c r="AH401" s="370">
        <v>0</v>
      </c>
      <c r="AI401" s="75"/>
      <c r="AJ401" s="75"/>
      <c r="AK401" s="75"/>
      <c r="AL401" s="75"/>
      <c r="AM401" s="75"/>
      <c r="AN401" s="64" t="s">
        <v>39</v>
      </c>
      <c r="AO401" s="64"/>
      <c r="AP401" s="64"/>
      <c r="AQ401" s="189"/>
      <c r="AR401" s="64"/>
      <c r="AS401" s="476"/>
      <c r="AT401" s="64"/>
      <c r="AU401" s="646"/>
      <c r="AV401" s="185"/>
    </row>
    <row r="402" spans="1:56" ht="32.450000000000003" customHeight="1" outlineLevel="4" x14ac:dyDescent="0.25">
      <c r="A402" s="63" t="str">
        <f t="shared" si="67"/>
        <v>1.3.1.9.14.58</v>
      </c>
      <c r="B402" s="64">
        <v>1</v>
      </c>
      <c r="C402" s="64">
        <v>3</v>
      </c>
      <c r="D402" s="64">
        <v>1</v>
      </c>
      <c r="E402" s="64">
        <v>9</v>
      </c>
      <c r="F402" s="64">
        <v>14</v>
      </c>
      <c r="G402" s="64">
        <v>58</v>
      </c>
      <c r="H402" s="65"/>
      <c r="I402" s="65"/>
      <c r="J402" s="66"/>
      <c r="K402" s="86" t="s">
        <v>454</v>
      </c>
      <c r="L402" s="64" t="s">
        <v>246</v>
      </c>
      <c r="M402" s="64" t="s">
        <v>240</v>
      </c>
      <c r="N402" s="64" t="s">
        <v>247</v>
      </c>
      <c r="O402" s="64" t="s">
        <v>241</v>
      </c>
      <c r="P402" s="69">
        <v>44315</v>
      </c>
      <c r="Q402" s="69">
        <v>44925</v>
      </c>
      <c r="R402" s="158">
        <v>20000</v>
      </c>
      <c r="S402" s="123" t="s">
        <v>248</v>
      </c>
      <c r="T402" s="159">
        <v>0</v>
      </c>
      <c r="U402" s="132"/>
      <c r="V402" s="674">
        <v>0</v>
      </c>
      <c r="W402" s="161">
        <v>7000</v>
      </c>
      <c r="X402" s="132">
        <f>3975000/2</f>
        <v>1987500</v>
      </c>
      <c r="Y402" s="834">
        <f t="shared" si="82"/>
        <v>2253905.9500000002</v>
      </c>
      <c r="Z402" s="161">
        <v>7000</v>
      </c>
      <c r="AA402" s="132">
        <f t="shared" ref="AA402:AA408" si="84">3975000/2</f>
        <v>1987500</v>
      </c>
      <c r="AB402" s="132"/>
      <c r="AC402" s="75">
        <v>6000</v>
      </c>
      <c r="AD402" s="132"/>
      <c r="AE402" s="598"/>
      <c r="AF402" s="347">
        <f>+R402*15*1.1</f>
        <v>330000</v>
      </c>
      <c r="AG402" s="75">
        <v>0</v>
      </c>
      <c r="AH402" s="375">
        <f t="shared" ref="AH402:AH408" si="85">+U402+X402+AA402</f>
        <v>3975000</v>
      </c>
      <c r="AI402" s="129"/>
      <c r="AJ402" s="129">
        <f>309028.57+424685.72+1520191.66</f>
        <v>2253905.9500000002</v>
      </c>
      <c r="AK402" s="129"/>
      <c r="AL402" s="129"/>
      <c r="AM402" s="129"/>
      <c r="AN402" s="64" t="s">
        <v>39</v>
      </c>
      <c r="AO402" s="1342" t="s">
        <v>1819</v>
      </c>
      <c r="AP402" s="1331" t="s">
        <v>2140</v>
      </c>
      <c r="AQ402" s="1331" t="s">
        <v>2143</v>
      </c>
      <c r="AR402" s="1343" t="s">
        <v>2141</v>
      </c>
      <c r="AS402" s="1343" t="s">
        <v>2142</v>
      </c>
      <c r="AT402" s="64" t="s">
        <v>2029</v>
      </c>
      <c r="AU402" s="879" t="s">
        <v>2135</v>
      </c>
      <c r="AV402" s="1274" t="s">
        <v>455</v>
      </c>
      <c r="AW402" s="2" t="s">
        <v>456</v>
      </c>
    </row>
    <row r="403" spans="1:56" ht="51" customHeight="1" outlineLevel="4" x14ac:dyDescent="0.25">
      <c r="A403" s="63" t="str">
        <f t="shared" si="67"/>
        <v>1.3.1.9.14.59</v>
      </c>
      <c r="B403" s="64">
        <v>1</v>
      </c>
      <c r="C403" s="64">
        <v>3</v>
      </c>
      <c r="D403" s="64">
        <v>1</v>
      </c>
      <c r="E403" s="64">
        <v>9</v>
      </c>
      <c r="F403" s="64">
        <v>14</v>
      </c>
      <c r="G403" s="64">
        <v>59</v>
      </c>
      <c r="H403" s="65"/>
      <c r="I403" s="65"/>
      <c r="J403" s="66"/>
      <c r="K403" s="125" t="s">
        <v>457</v>
      </c>
      <c r="L403" s="64" t="s">
        <v>246</v>
      </c>
      <c r="M403" s="64" t="s">
        <v>240</v>
      </c>
      <c r="N403" s="64" t="s">
        <v>247</v>
      </c>
      <c r="O403" s="64" t="s">
        <v>241</v>
      </c>
      <c r="P403" s="69">
        <v>44315</v>
      </c>
      <c r="Q403" s="69">
        <v>44377</v>
      </c>
      <c r="R403" s="124">
        <v>6000</v>
      </c>
      <c r="S403" s="123" t="s">
        <v>248</v>
      </c>
      <c r="T403" s="159">
        <v>0</v>
      </c>
      <c r="U403" s="132"/>
      <c r="V403" s="674">
        <v>0</v>
      </c>
      <c r="W403" s="161">
        <v>2000</v>
      </c>
      <c r="X403" s="132">
        <f t="shared" ref="X403:X408" si="86">3975000/2</f>
        <v>1987500</v>
      </c>
      <c r="Y403" s="834">
        <f t="shared" si="82"/>
        <v>2365905.9299999997</v>
      </c>
      <c r="Z403" s="161">
        <v>2000</v>
      </c>
      <c r="AA403" s="132">
        <f t="shared" si="84"/>
        <v>1987500</v>
      </c>
      <c r="AB403" s="132"/>
      <c r="AC403" s="75">
        <v>2000</v>
      </c>
      <c r="AD403" s="132"/>
      <c r="AE403" s="598"/>
      <c r="AF403" s="347">
        <f>R403*19*1.1</f>
        <v>125400.00000000001</v>
      </c>
      <c r="AG403" s="75">
        <v>0</v>
      </c>
      <c r="AH403" s="375">
        <f t="shared" si="85"/>
        <v>3975000</v>
      </c>
      <c r="AI403" s="129"/>
      <c r="AJ403" s="129">
        <f>309028.57+112000+424685.72+1520191.64</f>
        <v>2365905.9299999997</v>
      </c>
      <c r="AK403" s="129"/>
      <c r="AL403" s="129"/>
      <c r="AM403" s="129"/>
      <c r="AN403" s="64" t="s">
        <v>39</v>
      </c>
      <c r="AO403" s="1334"/>
      <c r="AP403" s="1332"/>
      <c r="AQ403" s="1332"/>
      <c r="AR403" s="1344"/>
      <c r="AS403" s="1344"/>
      <c r="AT403" s="64" t="s">
        <v>2029</v>
      </c>
      <c r="AU403" s="879" t="s">
        <v>2136</v>
      </c>
      <c r="AV403" s="1274"/>
      <c r="AW403" s="2" t="s">
        <v>458</v>
      </c>
    </row>
    <row r="404" spans="1:56" ht="23.45" customHeight="1" outlineLevel="4" x14ac:dyDescent="0.25">
      <c r="A404" s="63" t="str">
        <f t="shared" si="67"/>
        <v>1.3.1.9.14.60</v>
      </c>
      <c r="B404" s="64">
        <v>1</v>
      </c>
      <c r="C404" s="64">
        <v>3</v>
      </c>
      <c r="D404" s="64">
        <v>1</v>
      </c>
      <c r="E404" s="64">
        <v>9</v>
      </c>
      <c r="F404" s="64">
        <v>14</v>
      </c>
      <c r="G404" s="64">
        <v>60</v>
      </c>
      <c r="H404" s="65"/>
      <c r="I404" s="65"/>
      <c r="J404" s="66"/>
      <c r="K404" s="125" t="s">
        <v>459</v>
      </c>
      <c r="L404" s="64" t="s">
        <v>246</v>
      </c>
      <c r="M404" s="64" t="s">
        <v>240</v>
      </c>
      <c r="N404" s="64" t="s">
        <v>247</v>
      </c>
      <c r="O404" s="64" t="s">
        <v>241</v>
      </c>
      <c r="P404" s="69">
        <v>44315</v>
      </c>
      <c r="Q404" s="69">
        <v>44377</v>
      </c>
      <c r="R404" s="124">
        <v>3000</v>
      </c>
      <c r="S404" s="123" t="s">
        <v>248</v>
      </c>
      <c r="T404" s="159">
        <v>0</v>
      </c>
      <c r="U404" s="132"/>
      <c r="V404" s="674">
        <v>0</v>
      </c>
      <c r="W404" s="161">
        <v>1000</v>
      </c>
      <c r="X404" s="132">
        <f t="shared" si="86"/>
        <v>1987500</v>
      </c>
      <c r="Y404" s="834">
        <f t="shared" si="82"/>
        <v>4186028.43</v>
      </c>
      <c r="Z404" s="161">
        <v>1000</v>
      </c>
      <c r="AA404" s="132">
        <f t="shared" si="84"/>
        <v>1987500</v>
      </c>
      <c r="AB404" s="132"/>
      <c r="AC404" s="75">
        <v>1000</v>
      </c>
      <c r="AD404" s="132"/>
      <c r="AE404" s="598"/>
      <c r="AF404" s="347">
        <f>R404*19</f>
        <v>57000</v>
      </c>
      <c r="AG404" s="75">
        <v>0</v>
      </c>
      <c r="AH404" s="375">
        <f t="shared" si="85"/>
        <v>3975000</v>
      </c>
      <c r="AI404" s="129"/>
      <c r="AJ404" s="129">
        <f>309028.57+424685.72+2451632+692682.14+308000</f>
        <v>4186028.43</v>
      </c>
      <c r="AK404" s="129"/>
      <c r="AL404" s="129"/>
      <c r="AM404" s="129"/>
      <c r="AN404" s="64" t="s">
        <v>39</v>
      </c>
      <c r="AO404" s="1334"/>
      <c r="AP404" s="1332"/>
      <c r="AQ404" s="1332"/>
      <c r="AR404" s="1344"/>
      <c r="AS404" s="1344"/>
      <c r="AT404" s="64" t="s">
        <v>2029</v>
      </c>
      <c r="AU404" s="879" t="s">
        <v>2137</v>
      </c>
      <c r="AV404" s="1274"/>
      <c r="AW404" s="162">
        <v>34000000</v>
      </c>
    </row>
    <row r="405" spans="1:56" ht="23.45" customHeight="1" outlineLevel="4" x14ac:dyDescent="0.25">
      <c r="A405" s="63" t="str">
        <f t="shared" si="67"/>
        <v>1.3.1.9.14.61</v>
      </c>
      <c r="B405" s="64">
        <v>1</v>
      </c>
      <c r="C405" s="64">
        <v>3</v>
      </c>
      <c r="D405" s="64">
        <v>1</v>
      </c>
      <c r="E405" s="64">
        <v>9</v>
      </c>
      <c r="F405" s="64">
        <v>14</v>
      </c>
      <c r="G405" s="64">
        <v>61</v>
      </c>
      <c r="H405" s="65"/>
      <c r="I405" s="65"/>
      <c r="J405" s="66"/>
      <c r="K405" s="125" t="s">
        <v>460</v>
      </c>
      <c r="L405" s="64" t="s">
        <v>246</v>
      </c>
      <c r="M405" s="64" t="s">
        <v>240</v>
      </c>
      <c r="N405" s="64" t="s">
        <v>247</v>
      </c>
      <c r="O405" s="64" t="s">
        <v>241</v>
      </c>
      <c r="P405" s="69">
        <v>44315</v>
      </c>
      <c r="Q405" s="69">
        <v>44377</v>
      </c>
      <c r="R405" s="124">
        <v>4500</v>
      </c>
      <c r="S405" s="123" t="s">
        <v>248</v>
      </c>
      <c r="T405" s="159">
        <v>0</v>
      </c>
      <c r="U405" s="132"/>
      <c r="V405" s="674">
        <v>0</v>
      </c>
      <c r="W405" s="161">
        <v>1500</v>
      </c>
      <c r="X405" s="132">
        <f t="shared" si="86"/>
        <v>1987500</v>
      </c>
      <c r="Y405" s="834">
        <f t="shared" si="82"/>
        <v>3395905.91</v>
      </c>
      <c r="Z405" s="161">
        <v>1500</v>
      </c>
      <c r="AA405" s="132">
        <f t="shared" si="84"/>
        <v>1987500</v>
      </c>
      <c r="AB405" s="132"/>
      <c r="AC405" s="75">
        <v>1500</v>
      </c>
      <c r="AD405" s="163"/>
      <c r="AE405" s="600"/>
      <c r="AF405" s="347">
        <f>R405*19</f>
        <v>85500</v>
      </c>
      <c r="AG405" s="75"/>
      <c r="AH405" s="375">
        <f t="shared" si="85"/>
        <v>3975000</v>
      </c>
      <c r="AI405" s="129"/>
      <c r="AJ405" s="129">
        <f>309028.57+462000+424685.7+680000+1520191.64</f>
        <v>3395905.91</v>
      </c>
      <c r="AK405" s="129"/>
      <c r="AL405" s="129"/>
      <c r="AM405" s="129"/>
      <c r="AN405" s="64" t="s">
        <v>39</v>
      </c>
      <c r="AO405" s="1334"/>
      <c r="AP405" s="1332"/>
      <c r="AQ405" s="1332"/>
      <c r="AR405" s="1344"/>
      <c r="AS405" s="1344"/>
      <c r="AT405" s="64" t="s">
        <v>2029</v>
      </c>
      <c r="AU405" s="879" t="s">
        <v>2139</v>
      </c>
      <c r="AV405" s="1274"/>
      <c r="AW405" s="162">
        <f>+AW404-6175000</f>
        <v>27825000</v>
      </c>
      <c r="AY405" s="2">
        <v>603500</v>
      </c>
      <c r="BD405" s="162">
        <v>11700000</v>
      </c>
    </row>
    <row r="406" spans="1:56" ht="23.45" customHeight="1" outlineLevel="4" x14ac:dyDescent="0.25">
      <c r="A406" s="63" t="str">
        <f t="shared" si="67"/>
        <v>1.3.1.9.14.62</v>
      </c>
      <c r="B406" s="64">
        <v>1</v>
      </c>
      <c r="C406" s="64">
        <v>3</v>
      </c>
      <c r="D406" s="64">
        <v>1</v>
      </c>
      <c r="E406" s="64">
        <v>9</v>
      </c>
      <c r="F406" s="64">
        <v>14</v>
      </c>
      <c r="G406" s="64">
        <v>62</v>
      </c>
      <c r="H406" s="65"/>
      <c r="I406" s="65"/>
      <c r="J406" s="66"/>
      <c r="K406" s="125" t="s">
        <v>1733</v>
      </c>
      <c r="L406" s="64" t="s">
        <v>246</v>
      </c>
      <c r="M406" s="64" t="s">
        <v>240</v>
      </c>
      <c r="N406" s="64" t="s">
        <v>247</v>
      </c>
      <c r="O406" s="64" t="s">
        <v>241</v>
      </c>
      <c r="P406" s="69">
        <v>44315</v>
      </c>
      <c r="Q406" s="69"/>
      <c r="R406" s="124">
        <v>4500</v>
      </c>
      <c r="S406" s="123" t="s">
        <v>248</v>
      </c>
      <c r="T406" s="159">
        <v>0</v>
      </c>
      <c r="U406" s="132"/>
      <c r="V406" s="674">
        <v>0</v>
      </c>
      <c r="W406" s="161">
        <v>1500</v>
      </c>
      <c r="X406" s="132">
        <f t="shared" si="86"/>
        <v>1987500</v>
      </c>
      <c r="Y406" s="834">
        <f t="shared" si="82"/>
        <v>3276497.9299999997</v>
      </c>
      <c r="Z406" s="161">
        <v>1500</v>
      </c>
      <c r="AA406" s="132">
        <f t="shared" si="84"/>
        <v>1987500</v>
      </c>
      <c r="AB406" s="132"/>
      <c r="AC406" s="75">
        <v>1500</v>
      </c>
      <c r="AD406" s="163"/>
      <c r="AE406" s="600"/>
      <c r="AF406" s="347">
        <f>R406*19</f>
        <v>85500</v>
      </c>
      <c r="AG406" s="75">
        <v>0</v>
      </c>
      <c r="AH406" s="375">
        <f t="shared" si="85"/>
        <v>3975000</v>
      </c>
      <c r="AI406" s="129"/>
      <c r="AJ406" s="129">
        <f>309028.57+424685.72+1520191.64+1022592</f>
        <v>3276497.9299999997</v>
      </c>
      <c r="AK406" s="129"/>
      <c r="AL406" s="129"/>
      <c r="AM406" s="129"/>
      <c r="AN406" s="64" t="s">
        <v>39</v>
      </c>
      <c r="AO406" s="1334"/>
      <c r="AP406" s="1332"/>
      <c r="AQ406" s="1332"/>
      <c r="AR406" s="1344"/>
      <c r="AS406" s="1344"/>
      <c r="AT406" s="64" t="s">
        <v>2029</v>
      </c>
      <c r="AU406" s="879" t="s">
        <v>2138</v>
      </c>
      <c r="AV406" s="1274"/>
      <c r="AW406" s="162">
        <f>+AW405/7</f>
        <v>3975000</v>
      </c>
      <c r="AY406" s="2">
        <v>1988560</v>
      </c>
      <c r="BD406" s="162">
        <v>6240000</v>
      </c>
    </row>
    <row r="407" spans="1:56" ht="23.45" customHeight="1" outlineLevel="4" x14ac:dyDescent="0.25">
      <c r="A407" s="63" t="str">
        <f t="shared" si="67"/>
        <v>1.3.1.9.14.63</v>
      </c>
      <c r="B407" s="64">
        <v>1</v>
      </c>
      <c r="C407" s="64">
        <v>3</v>
      </c>
      <c r="D407" s="64">
        <v>1</v>
      </c>
      <c r="E407" s="64">
        <v>9</v>
      </c>
      <c r="F407" s="64">
        <v>14</v>
      </c>
      <c r="G407" s="64">
        <v>63</v>
      </c>
      <c r="H407" s="65"/>
      <c r="I407" s="65"/>
      <c r="J407" s="66"/>
      <c r="K407" s="125" t="s">
        <v>461</v>
      </c>
      <c r="L407" s="64" t="s">
        <v>246</v>
      </c>
      <c r="M407" s="64" t="s">
        <v>240</v>
      </c>
      <c r="N407" s="64" t="s">
        <v>247</v>
      </c>
      <c r="O407" s="64" t="s">
        <v>241</v>
      </c>
      <c r="P407" s="69">
        <v>44315</v>
      </c>
      <c r="Q407" s="69">
        <v>44377</v>
      </c>
      <c r="R407" s="124">
        <v>4000</v>
      </c>
      <c r="S407" s="123" t="s">
        <v>248</v>
      </c>
      <c r="T407" s="159">
        <v>0</v>
      </c>
      <c r="U407" s="132"/>
      <c r="V407" s="674">
        <v>0</v>
      </c>
      <c r="W407" s="161">
        <v>1500</v>
      </c>
      <c r="X407" s="132">
        <f t="shared" si="86"/>
        <v>1987500</v>
      </c>
      <c r="Y407" s="834">
        <f t="shared" si="82"/>
        <v>2253905.9299999997</v>
      </c>
      <c r="Z407" s="161">
        <v>1500</v>
      </c>
      <c r="AA407" s="132">
        <f t="shared" si="84"/>
        <v>1987500</v>
      </c>
      <c r="AB407" s="132"/>
      <c r="AC407" s="75">
        <v>1000</v>
      </c>
      <c r="AD407" s="163"/>
      <c r="AE407" s="600"/>
      <c r="AF407" s="347">
        <f>R407*19*1.1</f>
        <v>83600</v>
      </c>
      <c r="AG407" s="75"/>
      <c r="AH407" s="375">
        <f t="shared" si="85"/>
        <v>3975000</v>
      </c>
      <c r="AI407" s="129"/>
      <c r="AJ407" s="129">
        <f>309028.57+424685.72+1520191.64</f>
        <v>2253905.9299999997</v>
      </c>
      <c r="AK407" s="129"/>
      <c r="AL407" s="129"/>
      <c r="AM407" s="129"/>
      <c r="AN407" s="64" t="s">
        <v>39</v>
      </c>
      <c r="AO407" s="1334"/>
      <c r="AP407" s="1332"/>
      <c r="AQ407" s="1332"/>
      <c r="AR407" s="1344"/>
      <c r="AS407" s="1344"/>
      <c r="AT407" s="64" t="s">
        <v>2029</v>
      </c>
      <c r="AU407" s="879" t="s">
        <v>2135</v>
      </c>
      <c r="AV407" s="1274"/>
      <c r="AY407" s="2">
        <v>806484</v>
      </c>
      <c r="BD407" s="162">
        <v>3040000</v>
      </c>
    </row>
    <row r="408" spans="1:56" ht="23.45" customHeight="1" outlineLevel="4" x14ac:dyDescent="0.25">
      <c r="A408" s="164" t="str">
        <f t="shared" si="67"/>
        <v>1.3.1.9.14.64</v>
      </c>
      <c r="B408" s="165">
        <v>1</v>
      </c>
      <c r="C408" s="165">
        <v>3</v>
      </c>
      <c r="D408" s="165">
        <v>1</v>
      </c>
      <c r="E408" s="165">
        <v>9</v>
      </c>
      <c r="F408" s="165">
        <v>14</v>
      </c>
      <c r="G408" s="165">
        <v>64</v>
      </c>
      <c r="H408" s="166"/>
      <c r="I408" s="166"/>
      <c r="J408" s="167"/>
      <c r="K408" s="168" t="s">
        <v>462</v>
      </c>
      <c r="L408" s="165" t="s">
        <v>246</v>
      </c>
      <c r="M408" s="165" t="s">
        <v>240</v>
      </c>
      <c r="N408" s="165" t="s">
        <v>247</v>
      </c>
      <c r="O408" s="165" t="s">
        <v>241</v>
      </c>
      <c r="P408" s="169">
        <v>44315</v>
      </c>
      <c r="Q408" s="169">
        <v>44344</v>
      </c>
      <c r="R408" s="124">
        <v>8000</v>
      </c>
      <c r="S408" s="123" t="s">
        <v>248</v>
      </c>
      <c r="T408" s="159">
        <v>0</v>
      </c>
      <c r="U408" s="132"/>
      <c r="V408" s="674">
        <v>0</v>
      </c>
      <c r="W408" s="161">
        <v>3000</v>
      </c>
      <c r="X408" s="132">
        <f t="shared" si="86"/>
        <v>1987500</v>
      </c>
      <c r="Y408" s="834">
        <f t="shared" si="82"/>
        <v>2253905.9199999999</v>
      </c>
      <c r="Z408" s="161">
        <v>3000</v>
      </c>
      <c r="AA408" s="132">
        <f t="shared" si="84"/>
        <v>1987500</v>
      </c>
      <c r="AB408" s="132"/>
      <c r="AC408" s="75">
        <v>2000</v>
      </c>
      <c r="AD408" s="163"/>
      <c r="AE408" s="600"/>
      <c r="AF408" s="347">
        <f>R408*19</f>
        <v>152000</v>
      </c>
      <c r="AG408" s="75">
        <v>0</v>
      </c>
      <c r="AH408" s="375">
        <f t="shared" si="85"/>
        <v>3975000</v>
      </c>
      <c r="AI408" s="129"/>
      <c r="AJ408" s="129">
        <f>309028.58+424685.7+1520191.64</f>
        <v>2253905.9199999999</v>
      </c>
      <c r="AK408" s="129"/>
      <c r="AL408" s="129"/>
      <c r="AM408" s="129"/>
      <c r="AN408" s="64" t="s">
        <v>39</v>
      </c>
      <c r="AO408" s="1335"/>
      <c r="AP408" s="1333"/>
      <c r="AQ408" s="1333"/>
      <c r="AR408" s="1345"/>
      <c r="AS408" s="1345"/>
      <c r="AT408" s="64" t="s">
        <v>2029</v>
      </c>
      <c r="AU408" s="879" t="s">
        <v>2135</v>
      </c>
      <c r="AV408" s="1274"/>
      <c r="AY408" s="2">
        <f>SUBTOTAL(9,AY405:AY407)</f>
        <v>3398544</v>
      </c>
      <c r="BD408" s="162">
        <v>3200000</v>
      </c>
    </row>
    <row r="409" spans="1:56" ht="30" outlineLevel="4" x14ac:dyDescent="0.25">
      <c r="A409" s="63" t="str">
        <f t="shared" si="67"/>
        <v>1.3.1.9.15.58</v>
      </c>
      <c r="B409" s="64">
        <v>1</v>
      </c>
      <c r="C409" s="64">
        <v>3</v>
      </c>
      <c r="D409" s="64">
        <v>1</v>
      </c>
      <c r="E409" s="64">
        <v>9</v>
      </c>
      <c r="F409" s="64">
        <v>15</v>
      </c>
      <c r="G409" s="64">
        <v>58</v>
      </c>
      <c r="H409" s="65"/>
      <c r="I409" s="65"/>
      <c r="J409" s="65"/>
      <c r="K409" s="86" t="s">
        <v>463</v>
      </c>
      <c r="L409" s="64" t="s">
        <v>72</v>
      </c>
      <c r="M409" s="64" t="s">
        <v>73</v>
      </c>
      <c r="N409" s="64" t="s">
        <v>464</v>
      </c>
      <c r="O409" s="64" t="s">
        <v>367</v>
      </c>
      <c r="P409" s="64"/>
      <c r="Q409" s="64"/>
      <c r="R409" s="124"/>
      <c r="S409" s="123"/>
      <c r="T409" s="124"/>
      <c r="U409" s="132"/>
      <c r="V409" s="674">
        <v>0</v>
      </c>
      <c r="W409" s="75"/>
      <c r="X409" s="132"/>
      <c r="Y409" s="834">
        <f t="shared" si="82"/>
        <v>0</v>
      </c>
      <c r="Z409" s="75"/>
      <c r="AA409" s="132"/>
      <c r="AB409" s="132"/>
      <c r="AC409" s="75"/>
      <c r="AD409" s="132"/>
      <c r="AE409" s="598"/>
      <c r="AF409" s="347"/>
      <c r="AG409" s="75"/>
      <c r="AH409" s="370">
        <v>0</v>
      </c>
      <c r="AI409" s="75"/>
      <c r="AJ409" s="75"/>
      <c r="AK409" s="75"/>
      <c r="AL409" s="75"/>
      <c r="AM409" s="75"/>
      <c r="AN409" s="64" t="s">
        <v>39</v>
      </c>
      <c r="AO409" s="64"/>
      <c r="AP409" s="64"/>
      <c r="AQ409" s="189"/>
      <c r="AR409" s="64"/>
      <c r="AS409" s="476"/>
      <c r="AT409" s="64"/>
      <c r="AU409" s="646"/>
      <c r="AV409" s="185"/>
    </row>
    <row r="410" spans="1:56" ht="30" outlineLevel="4" x14ac:dyDescent="0.25">
      <c r="A410" s="63" t="str">
        <f t="shared" si="67"/>
        <v>1.3.1.9.15.59</v>
      </c>
      <c r="B410" s="64">
        <v>1</v>
      </c>
      <c r="C410" s="64">
        <v>3</v>
      </c>
      <c r="D410" s="64">
        <v>1</v>
      </c>
      <c r="E410" s="64">
        <v>9</v>
      </c>
      <c r="F410" s="64">
        <v>15</v>
      </c>
      <c r="G410" s="64">
        <v>59</v>
      </c>
      <c r="H410" s="65"/>
      <c r="I410" s="65"/>
      <c r="J410" s="66"/>
      <c r="K410" s="86" t="s">
        <v>465</v>
      </c>
      <c r="L410" s="64" t="s">
        <v>72</v>
      </c>
      <c r="M410" s="64" t="s">
        <v>73</v>
      </c>
      <c r="N410" s="64" t="s">
        <v>464</v>
      </c>
      <c r="O410" s="64" t="s">
        <v>367</v>
      </c>
      <c r="P410" s="64"/>
      <c r="Q410" s="64"/>
      <c r="R410" s="124"/>
      <c r="S410" s="123"/>
      <c r="T410" s="124"/>
      <c r="U410" s="75"/>
      <c r="V410" s="674">
        <v>0</v>
      </c>
      <c r="W410" s="75"/>
      <c r="X410" s="75"/>
      <c r="Y410" s="834">
        <f t="shared" si="82"/>
        <v>0</v>
      </c>
      <c r="Z410" s="75"/>
      <c r="AA410" s="75"/>
      <c r="AB410" s="75"/>
      <c r="AC410" s="75"/>
      <c r="AD410" s="75"/>
      <c r="AE410" s="592"/>
      <c r="AF410" s="347"/>
      <c r="AG410" s="75">
        <v>0</v>
      </c>
      <c r="AH410" s="370">
        <v>0</v>
      </c>
      <c r="AI410" s="75"/>
      <c r="AJ410" s="75"/>
      <c r="AK410" s="75"/>
      <c r="AL410" s="75"/>
      <c r="AM410" s="75"/>
      <c r="AN410" s="64" t="s">
        <v>39</v>
      </c>
      <c r="AO410" s="64"/>
      <c r="AP410" s="64"/>
      <c r="AQ410" s="189"/>
      <c r="AR410" s="64"/>
      <c r="AS410" s="476"/>
      <c r="AT410" s="64"/>
      <c r="AU410" s="646"/>
      <c r="AV410" s="185"/>
    </row>
    <row r="411" spans="1:56" ht="30" outlineLevel="4" x14ac:dyDescent="0.25">
      <c r="A411" s="63" t="str">
        <f t="shared" si="67"/>
        <v>1.3.1.9.15.60</v>
      </c>
      <c r="B411" s="64">
        <v>1</v>
      </c>
      <c r="C411" s="64">
        <v>3</v>
      </c>
      <c r="D411" s="64">
        <v>1</v>
      </c>
      <c r="E411" s="64">
        <v>9</v>
      </c>
      <c r="F411" s="64">
        <v>15</v>
      </c>
      <c r="G411" s="64">
        <v>60</v>
      </c>
      <c r="H411" s="65"/>
      <c r="I411" s="65"/>
      <c r="J411" s="65"/>
      <c r="K411" s="86" t="s">
        <v>466</v>
      </c>
      <c r="L411" s="64" t="s">
        <v>72</v>
      </c>
      <c r="M411" s="64" t="s">
        <v>73</v>
      </c>
      <c r="N411" s="64" t="s">
        <v>464</v>
      </c>
      <c r="O411" s="64" t="s">
        <v>367</v>
      </c>
      <c r="P411" s="64"/>
      <c r="Q411" s="64"/>
      <c r="R411" s="124"/>
      <c r="S411" s="123"/>
      <c r="T411" s="124"/>
      <c r="U411" s="75"/>
      <c r="V411" s="674">
        <v>0</v>
      </c>
      <c r="W411" s="75"/>
      <c r="X411" s="75"/>
      <c r="Y411" s="834">
        <f t="shared" si="82"/>
        <v>0</v>
      </c>
      <c r="Z411" s="75"/>
      <c r="AA411" s="75"/>
      <c r="AB411" s="75"/>
      <c r="AC411" s="75"/>
      <c r="AD411" s="75"/>
      <c r="AE411" s="592"/>
      <c r="AF411" s="347"/>
      <c r="AG411" s="75"/>
      <c r="AH411" s="370">
        <v>0</v>
      </c>
      <c r="AI411" s="75"/>
      <c r="AJ411" s="75"/>
      <c r="AK411" s="75"/>
      <c r="AL411" s="75"/>
      <c r="AM411" s="75"/>
      <c r="AN411" s="64" t="s">
        <v>39</v>
      </c>
      <c r="AO411" s="64"/>
      <c r="AP411" s="64"/>
      <c r="AQ411" s="189"/>
      <c r="AR411" s="64"/>
      <c r="AS411" s="476"/>
      <c r="AT411" s="64"/>
      <c r="AU411" s="646"/>
      <c r="AV411" s="185"/>
    </row>
    <row r="412" spans="1:56" ht="30" outlineLevel="4" x14ac:dyDescent="0.25">
      <c r="A412" s="63" t="str">
        <f t="shared" si="67"/>
        <v>1.3.1.9.15.61</v>
      </c>
      <c r="B412" s="64">
        <v>1</v>
      </c>
      <c r="C412" s="64">
        <v>3</v>
      </c>
      <c r="D412" s="64">
        <v>1</v>
      </c>
      <c r="E412" s="64">
        <v>9</v>
      </c>
      <c r="F412" s="64">
        <v>15</v>
      </c>
      <c r="G412" s="64">
        <v>61</v>
      </c>
      <c r="H412" s="65"/>
      <c r="I412" s="65"/>
      <c r="J412" s="66"/>
      <c r="K412" s="86" t="s">
        <v>467</v>
      </c>
      <c r="L412" s="64" t="s">
        <v>72</v>
      </c>
      <c r="M412" s="64" t="s">
        <v>73</v>
      </c>
      <c r="N412" s="64" t="s">
        <v>464</v>
      </c>
      <c r="O412" s="64" t="s">
        <v>367</v>
      </c>
      <c r="P412" s="64"/>
      <c r="Q412" s="64"/>
      <c r="R412" s="124"/>
      <c r="S412" s="123"/>
      <c r="T412" s="124"/>
      <c r="U412" s="75"/>
      <c r="V412" s="674">
        <v>0</v>
      </c>
      <c r="W412" s="75"/>
      <c r="X412" s="75"/>
      <c r="Y412" s="834">
        <f t="shared" si="82"/>
        <v>0</v>
      </c>
      <c r="Z412" s="75"/>
      <c r="AA412" s="75"/>
      <c r="AB412" s="75"/>
      <c r="AC412" s="75"/>
      <c r="AD412" s="75"/>
      <c r="AE412" s="592"/>
      <c r="AF412" s="347"/>
      <c r="AG412" s="75">
        <v>0</v>
      </c>
      <c r="AH412" s="370">
        <v>0</v>
      </c>
      <c r="AI412" s="75"/>
      <c r="AJ412" s="75"/>
      <c r="AK412" s="75"/>
      <c r="AL412" s="75"/>
      <c r="AM412" s="75"/>
      <c r="AN412" s="64" t="s">
        <v>39</v>
      </c>
      <c r="AO412" s="64"/>
      <c r="AP412" s="64"/>
      <c r="AQ412" s="189"/>
      <c r="AR412" s="64"/>
      <c r="AS412" s="476"/>
      <c r="AT412" s="64"/>
      <c r="AU412" s="646"/>
      <c r="AV412" s="185"/>
    </row>
    <row r="413" spans="1:56" ht="30" outlineLevel="4" x14ac:dyDescent="0.25">
      <c r="A413" s="63" t="str">
        <f t="shared" si="67"/>
        <v>1.3.1.9.15.62</v>
      </c>
      <c r="B413" s="64">
        <v>1</v>
      </c>
      <c r="C413" s="64">
        <v>3</v>
      </c>
      <c r="D413" s="64">
        <v>1</v>
      </c>
      <c r="E413" s="64">
        <v>9</v>
      </c>
      <c r="F413" s="64">
        <v>15</v>
      </c>
      <c r="G413" s="64">
        <v>62</v>
      </c>
      <c r="H413" s="65"/>
      <c r="I413" s="65"/>
      <c r="J413" s="65"/>
      <c r="K413" s="86" t="s">
        <v>1734</v>
      </c>
      <c r="L413" s="64" t="s">
        <v>72</v>
      </c>
      <c r="M413" s="64" t="s">
        <v>73</v>
      </c>
      <c r="N413" s="64" t="s">
        <v>464</v>
      </c>
      <c r="O413" s="64" t="s">
        <v>367</v>
      </c>
      <c r="P413" s="64"/>
      <c r="Q413" s="64"/>
      <c r="R413" s="124"/>
      <c r="S413" s="123"/>
      <c r="T413" s="124"/>
      <c r="U413" s="75"/>
      <c r="V413" s="674">
        <v>0</v>
      </c>
      <c r="W413" s="75"/>
      <c r="X413" s="75"/>
      <c r="Y413" s="834">
        <f t="shared" si="82"/>
        <v>0</v>
      </c>
      <c r="Z413" s="75"/>
      <c r="AA413" s="75"/>
      <c r="AB413" s="75"/>
      <c r="AC413" s="75"/>
      <c r="AD413" s="75"/>
      <c r="AE413" s="592"/>
      <c r="AF413" s="347"/>
      <c r="AG413" s="75"/>
      <c r="AH413" s="370">
        <v>0</v>
      </c>
      <c r="AI413" s="75"/>
      <c r="AJ413" s="75"/>
      <c r="AK413" s="75"/>
      <c r="AL413" s="75"/>
      <c r="AM413" s="75"/>
      <c r="AN413" s="64" t="s">
        <v>39</v>
      </c>
      <c r="AO413" s="64"/>
      <c r="AP413" s="64"/>
      <c r="AQ413" s="189"/>
      <c r="AR413" s="64"/>
      <c r="AS413" s="476"/>
      <c r="AT413" s="64"/>
      <c r="AU413" s="646"/>
      <c r="AV413" s="185"/>
    </row>
    <row r="414" spans="1:56" ht="30" outlineLevel="4" x14ac:dyDescent="0.25">
      <c r="A414" s="63" t="str">
        <f t="shared" si="67"/>
        <v>1.3.1.9.15.63</v>
      </c>
      <c r="B414" s="64">
        <v>1</v>
      </c>
      <c r="C414" s="64">
        <v>3</v>
      </c>
      <c r="D414" s="64">
        <v>1</v>
      </c>
      <c r="E414" s="64">
        <v>9</v>
      </c>
      <c r="F414" s="64">
        <v>15</v>
      </c>
      <c r="G414" s="64">
        <v>63</v>
      </c>
      <c r="H414" s="65"/>
      <c r="I414" s="65"/>
      <c r="J414" s="66"/>
      <c r="K414" s="86" t="s">
        <v>468</v>
      </c>
      <c r="L414" s="64" t="s">
        <v>72</v>
      </c>
      <c r="M414" s="64" t="s">
        <v>73</v>
      </c>
      <c r="N414" s="64" t="s">
        <v>464</v>
      </c>
      <c r="O414" s="64" t="s">
        <v>367</v>
      </c>
      <c r="P414" s="64"/>
      <c r="Q414" s="64"/>
      <c r="R414" s="124"/>
      <c r="S414" s="123"/>
      <c r="T414" s="124"/>
      <c r="U414" s="75"/>
      <c r="V414" s="674">
        <v>0</v>
      </c>
      <c r="W414" s="75"/>
      <c r="X414" s="75"/>
      <c r="Y414" s="834">
        <f t="shared" si="82"/>
        <v>0</v>
      </c>
      <c r="Z414" s="75"/>
      <c r="AA414" s="75"/>
      <c r="AB414" s="75"/>
      <c r="AC414" s="75"/>
      <c r="AD414" s="75"/>
      <c r="AE414" s="592"/>
      <c r="AF414" s="347"/>
      <c r="AG414" s="75">
        <v>0</v>
      </c>
      <c r="AH414" s="370">
        <v>0</v>
      </c>
      <c r="AI414" s="75"/>
      <c r="AJ414" s="75"/>
      <c r="AK414" s="75"/>
      <c r="AL414" s="75"/>
      <c r="AM414" s="75"/>
      <c r="AN414" s="64" t="s">
        <v>39</v>
      </c>
      <c r="AO414" s="64"/>
      <c r="AP414" s="64"/>
      <c r="AQ414" s="189"/>
      <c r="AR414" s="64"/>
      <c r="AS414" s="476"/>
      <c r="AT414" s="64"/>
      <c r="AU414" s="646"/>
      <c r="AV414" s="185"/>
    </row>
    <row r="415" spans="1:56" ht="30" outlineLevel="4" x14ac:dyDescent="0.25">
      <c r="A415" s="63" t="str">
        <f t="shared" si="67"/>
        <v>1.3.1.9.15.64</v>
      </c>
      <c r="B415" s="64">
        <v>1</v>
      </c>
      <c r="C415" s="64">
        <v>3</v>
      </c>
      <c r="D415" s="64">
        <v>1</v>
      </c>
      <c r="E415" s="64">
        <v>9</v>
      </c>
      <c r="F415" s="64">
        <v>15</v>
      </c>
      <c r="G415" s="64">
        <v>64</v>
      </c>
      <c r="H415" s="65"/>
      <c r="I415" s="65"/>
      <c r="J415" s="65"/>
      <c r="K415" s="86" t="s">
        <v>469</v>
      </c>
      <c r="L415" s="64" t="s">
        <v>72</v>
      </c>
      <c r="M415" s="64" t="s">
        <v>73</v>
      </c>
      <c r="N415" s="64" t="s">
        <v>464</v>
      </c>
      <c r="O415" s="64" t="s">
        <v>367</v>
      </c>
      <c r="P415" s="64"/>
      <c r="Q415" s="64"/>
      <c r="R415" s="124"/>
      <c r="S415" s="123"/>
      <c r="T415" s="124"/>
      <c r="U415" s="75"/>
      <c r="V415" s="674">
        <v>0</v>
      </c>
      <c r="W415" s="75"/>
      <c r="X415" s="75"/>
      <c r="Y415" s="834">
        <f t="shared" si="82"/>
        <v>0</v>
      </c>
      <c r="Z415" s="75"/>
      <c r="AA415" s="75"/>
      <c r="AB415" s="75"/>
      <c r="AC415" s="75"/>
      <c r="AD415" s="75"/>
      <c r="AE415" s="592"/>
      <c r="AF415" s="347"/>
      <c r="AG415" s="75"/>
      <c r="AH415" s="370">
        <v>0</v>
      </c>
      <c r="AI415" s="75"/>
      <c r="AJ415" s="75"/>
      <c r="AK415" s="75"/>
      <c r="AL415" s="75"/>
      <c r="AM415" s="75"/>
      <c r="AN415" s="64" t="s">
        <v>39</v>
      </c>
      <c r="AO415" s="64"/>
      <c r="AP415" s="64"/>
      <c r="AQ415" s="189"/>
      <c r="AR415" s="64"/>
      <c r="AS415" s="476"/>
      <c r="AT415" s="64"/>
      <c r="AU415" s="646"/>
      <c r="AV415" s="185"/>
    </row>
    <row r="416" spans="1:56" ht="30" outlineLevel="4" x14ac:dyDescent="0.25">
      <c r="A416" s="63" t="str">
        <f t="shared" si="67"/>
        <v>1.3.1.9.16.58</v>
      </c>
      <c r="B416" s="64">
        <v>1</v>
      </c>
      <c r="C416" s="64">
        <v>3</v>
      </c>
      <c r="D416" s="64">
        <v>1</v>
      </c>
      <c r="E416" s="64">
        <v>9</v>
      </c>
      <c r="F416" s="64">
        <v>16</v>
      </c>
      <c r="G416" s="64">
        <v>58</v>
      </c>
      <c r="H416" s="65"/>
      <c r="I416" s="65"/>
      <c r="J416" s="66"/>
      <c r="K416" s="86" t="s">
        <v>470</v>
      </c>
      <c r="L416" s="64" t="s">
        <v>72</v>
      </c>
      <c r="M416" s="64" t="s">
        <v>73</v>
      </c>
      <c r="N416" s="64" t="s">
        <v>464</v>
      </c>
      <c r="O416" s="64" t="s">
        <v>367</v>
      </c>
      <c r="P416" s="64"/>
      <c r="Q416" s="64"/>
      <c r="R416" s="124"/>
      <c r="S416" s="123"/>
      <c r="T416" s="124"/>
      <c r="U416" s="75"/>
      <c r="V416" s="674">
        <v>0</v>
      </c>
      <c r="W416" s="75"/>
      <c r="X416" s="75"/>
      <c r="Y416" s="834">
        <f t="shared" si="82"/>
        <v>0</v>
      </c>
      <c r="Z416" s="75"/>
      <c r="AA416" s="75"/>
      <c r="AB416" s="75"/>
      <c r="AC416" s="75"/>
      <c r="AD416" s="75"/>
      <c r="AE416" s="592"/>
      <c r="AF416" s="347"/>
      <c r="AG416" s="75">
        <v>0</v>
      </c>
      <c r="AH416" s="370">
        <v>0</v>
      </c>
      <c r="AI416" s="75"/>
      <c r="AJ416" s="75"/>
      <c r="AK416" s="75"/>
      <c r="AL416" s="75"/>
      <c r="AM416" s="75"/>
      <c r="AN416" s="64" t="s">
        <v>39</v>
      </c>
      <c r="AO416" s="64"/>
      <c r="AP416" s="64"/>
      <c r="AQ416" s="189"/>
      <c r="AR416" s="64"/>
      <c r="AS416" s="476"/>
      <c r="AT416" s="64"/>
      <c r="AU416" s="646"/>
      <c r="AV416" s="185"/>
    </row>
    <row r="417" spans="1:48" ht="30" outlineLevel="4" x14ac:dyDescent="0.25">
      <c r="A417" s="63" t="str">
        <f t="shared" si="67"/>
        <v>1.3.1.9.16.59</v>
      </c>
      <c r="B417" s="64">
        <v>1</v>
      </c>
      <c r="C417" s="64">
        <v>3</v>
      </c>
      <c r="D417" s="64">
        <v>1</v>
      </c>
      <c r="E417" s="64">
        <v>9</v>
      </c>
      <c r="F417" s="64">
        <v>16</v>
      </c>
      <c r="G417" s="64">
        <v>59</v>
      </c>
      <c r="H417" s="65"/>
      <c r="I417" s="65"/>
      <c r="J417" s="65"/>
      <c r="K417" s="86" t="s">
        <v>471</v>
      </c>
      <c r="L417" s="64" t="s">
        <v>72</v>
      </c>
      <c r="M417" s="64" t="s">
        <v>73</v>
      </c>
      <c r="N417" s="64" t="s">
        <v>464</v>
      </c>
      <c r="O417" s="64" t="s">
        <v>367</v>
      </c>
      <c r="P417" s="64"/>
      <c r="Q417" s="64"/>
      <c r="R417" s="124"/>
      <c r="S417" s="123"/>
      <c r="T417" s="124"/>
      <c r="U417" s="75"/>
      <c r="V417" s="674">
        <v>0</v>
      </c>
      <c r="W417" s="75"/>
      <c r="X417" s="75"/>
      <c r="Y417" s="834">
        <f t="shared" si="82"/>
        <v>0</v>
      </c>
      <c r="Z417" s="75"/>
      <c r="AA417" s="75"/>
      <c r="AB417" s="75"/>
      <c r="AC417" s="75"/>
      <c r="AD417" s="75"/>
      <c r="AE417" s="592"/>
      <c r="AF417" s="347"/>
      <c r="AG417" s="75">
        <v>0</v>
      </c>
      <c r="AH417" s="370">
        <v>0</v>
      </c>
      <c r="AI417" s="75"/>
      <c r="AJ417" s="75"/>
      <c r="AK417" s="75"/>
      <c r="AL417" s="75"/>
      <c r="AM417" s="75"/>
      <c r="AN417" s="64" t="s">
        <v>39</v>
      </c>
      <c r="AO417" s="64"/>
      <c r="AP417" s="64"/>
      <c r="AQ417" s="189"/>
      <c r="AR417" s="64"/>
      <c r="AS417" s="476"/>
      <c r="AT417" s="64"/>
      <c r="AU417" s="646"/>
      <c r="AV417" s="185"/>
    </row>
    <row r="418" spans="1:48" ht="30" outlineLevel="4" x14ac:dyDescent="0.25">
      <c r="A418" s="63" t="str">
        <f t="shared" si="67"/>
        <v>1.3.1.9.16.60</v>
      </c>
      <c r="B418" s="64">
        <v>1</v>
      </c>
      <c r="C418" s="64">
        <v>3</v>
      </c>
      <c r="D418" s="64">
        <v>1</v>
      </c>
      <c r="E418" s="64">
        <v>9</v>
      </c>
      <c r="F418" s="64">
        <v>16</v>
      </c>
      <c r="G418" s="64">
        <v>60</v>
      </c>
      <c r="H418" s="65"/>
      <c r="I418" s="65"/>
      <c r="J418" s="66"/>
      <c r="K418" s="86" t="s">
        <v>472</v>
      </c>
      <c r="L418" s="64" t="s">
        <v>72</v>
      </c>
      <c r="M418" s="64" t="s">
        <v>73</v>
      </c>
      <c r="N418" s="64" t="s">
        <v>464</v>
      </c>
      <c r="O418" s="64" t="s">
        <v>367</v>
      </c>
      <c r="P418" s="64"/>
      <c r="Q418" s="64"/>
      <c r="R418" s="124"/>
      <c r="S418" s="123"/>
      <c r="T418" s="124"/>
      <c r="U418" s="75"/>
      <c r="V418" s="674">
        <v>0</v>
      </c>
      <c r="W418" s="75"/>
      <c r="X418" s="75"/>
      <c r="Y418" s="834">
        <f t="shared" si="82"/>
        <v>0</v>
      </c>
      <c r="Z418" s="75"/>
      <c r="AA418" s="75"/>
      <c r="AB418" s="75"/>
      <c r="AC418" s="75"/>
      <c r="AD418" s="75"/>
      <c r="AE418" s="592"/>
      <c r="AF418" s="347"/>
      <c r="AG418" s="75">
        <v>0</v>
      </c>
      <c r="AH418" s="370">
        <v>0</v>
      </c>
      <c r="AI418" s="75"/>
      <c r="AJ418" s="75"/>
      <c r="AK418" s="75"/>
      <c r="AL418" s="75"/>
      <c r="AM418" s="75"/>
      <c r="AN418" s="64" t="s">
        <v>39</v>
      </c>
      <c r="AO418" s="64"/>
      <c r="AP418" s="64"/>
      <c r="AQ418" s="189"/>
      <c r="AR418" s="64"/>
      <c r="AS418" s="476"/>
      <c r="AT418" s="64"/>
      <c r="AU418" s="646"/>
      <c r="AV418" s="185"/>
    </row>
    <row r="419" spans="1:48" ht="30" outlineLevel="4" x14ac:dyDescent="0.25">
      <c r="A419" s="63" t="str">
        <f t="shared" si="67"/>
        <v>1.3.1.9.16.61</v>
      </c>
      <c r="B419" s="64">
        <v>1</v>
      </c>
      <c r="C419" s="64">
        <v>3</v>
      </c>
      <c r="D419" s="64">
        <v>1</v>
      </c>
      <c r="E419" s="64">
        <v>9</v>
      </c>
      <c r="F419" s="64">
        <v>16</v>
      </c>
      <c r="G419" s="64">
        <v>61</v>
      </c>
      <c r="H419" s="65"/>
      <c r="I419" s="65"/>
      <c r="J419" s="65"/>
      <c r="K419" s="86" t="s">
        <v>473</v>
      </c>
      <c r="L419" s="64" t="s">
        <v>72</v>
      </c>
      <c r="M419" s="64" t="s">
        <v>73</v>
      </c>
      <c r="N419" s="64" t="s">
        <v>464</v>
      </c>
      <c r="O419" s="64" t="s">
        <v>367</v>
      </c>
      <c r="P419" s="64"/>
      <c r="Q419" s="64"/>
      <c r="R419" s="124"/>
      <c r="S419" s="123"/>
      <c r="T419" s="124"/>
      <c r="U419" s="75"/>
      <c r="V419" s="674">
        <v>0</v>
      </c>
      <c r="W419" s="75"/>
      <c r="X419" s="75"/>
      <c r="Y419" s="834">
        <f t="shared" si="82"/>
        <v>0</v>
      </c>
      <c r="Z419" s="75"/>
      <c r="AA419" s="75"/>
      <c r="AB419" s="75"/>
      <c r="AC419" s="75"/>
      <c r="AD419" s="75"/>
      <c r="AE419" s="592"/>
      <c r="AF419" s="347"/>
      <c r="AG419" s="75">
        <v>0</v>
      </c>
      <c r="AH419" s="370">
        <v>0</v>
      </c>
      <c r="AI419" s="75"/>
      <c r="AJ419" s="75"/>
      <c r="AK419" s="75"/>
      <c r="AL419" s="75"/>
      <c r="AM419" s="75"/>
      <c r="AN419" s="64" t="s">
        <v>39</v>
      </c>
      <c r="AO419" s="64"/>
      <c r="AP419" s="64"/>
      <c r="AQ419" s="189"/>
      <c r="AR419" s="64"/>
      <c r="AS419" s="476"/>
      <c r="AT419" s="64"/>
      <c r="AU419" s="646"/>
      <c r="AV419" s="185"/>
    </row>
    <row r="420" spans="1:48" ht="30" outlineLevel="4" x14ac:dyDescent="0.25">
      <c r="A420" s="63" t="str">
        <f t="shared" si="67"/>
        <v>1.3.1.9.16.62</v>
      </c>
      <c r="B420" s="64">
        <v>1</v>
      </c>
      <c r="C420" s="64">
        <v>3</v>
      </c>
      <c r="D420" s="64">
        <v>1</v>
      </c>
      <c r="E420" s="64">
        <v>9</v>
      </c>
      <c r="F420" s="64">
        <v>16</v>
      </c>
      <c r="G420" s="64">
        <v>62</v>
      </c>
      <c r="H420" s="65"/>
      <c r="I420" s="65"/>
      <c r="J420" s="66"/>
      <c r="K420" s="86" t="s">
        <v>1735</v>
      </c>
      <c r="L420" s="64" t="s">
        <v>72</v>
      </c>
      <c r="M420" s="64" t="s">
        <v>73</v>
      </c>
      <c r="N420" s="64" t="s">
        <v>464</v>
      </c>
      <c r="O420" s="64" t="s">
        <v>367</v>
      </c>
      <c r="P420" s="64"/>
      <c r="Q420" s="64"/>
      <c r="R420" s="124"/>
      <c r="S420" s="123"/>
      <c r="T420" s="124"/>
      <c r="U420" s="75"/>
      <c r="V420" s="674">
        <v>0</v>
      </c>
      <c r="W420" s="75"/>
      <c r="X420" s="75"/>
      <c r="Y420" s="834">
        <f t="shared" si="82"/>
        <v>0</v>
      </c>
      <c r="Z420" s="75"/>
      <c r="AA420" s="75"/>
      <c r="AB420" s="75"/>
      <c r="AC420" s="75"/>
      <c r="AD420" s="75"/>
      <c r="AE420" s="592"/>
      <c r="AF420" s="347"/>
      <c r="AG420" s="75">
        <v>0</v>
      </c>
      <c r="AH420" s="370">
        <v>0</v>
      </c>
      <c r="AI420" s="75"/>
      <c r="AJ420" s="75"/>
      <c r="AK420" s="75"/>
      <c r="AL420" s="75"/>
      <c r="AM420" s="75"/>
      <c r="AN420" s="64" t="s">
        <v>39</v>
      </c>
      <c r="AO420" s="64"/>
      <c r="AP420" s="64"/>
      <c r="AQ420" s="189"/>
      <c r="AR420" s="64"/>
      <c r="AS420" s="476"/>
      <c r="AT420" s="64"/>
      <c r="AU420" s="646"/>
      <c r="AV420" s="185"/>
    </row>
    <row r="421" spans="1:48" ht="30" outlineLevel="4" x14ac:dyDescent="0.25">
      <c r="A421" s="63" t="str">
        <f t="shared" si="67"/>
        <v>1.3.1.9.16.63</v>
      </c>
      <c r="B421" s="64">
        <v>1</v>
      </c>
      <c r="C421" s="64">
        <v>3</v>
      </c>
      <c r="D421" s="64">
        <v>1</v>
      </c>
      <c r="E421" s="64">
        <v>9</v>
      </c>
      <c r="F421" s="64">
        <v>16</v>
      </c>
      <c r="G421" s="64">
        <v>63</v>
      </c>
      <c r="H421" s="65"/>
      <c r="I421" s="65"/>
      <c r="J421" s="65"/>
      <c r="K421" s="86" t="s">
        <v>474</v>
      </c>
      <c r="L421" s="64" t="s">
        <v>72</v>
      </c>
      <c r="M421" s="64" t="s">
        <v>73</v>
      </c>
      <c r="N421" s="64" t="s">
        <v>464</v>
      </c>
      <c r="O421" s="64" t="s">
        <v>367</v>
      </c>
      <c r="P421" s="64"/>
      <c r="Q421" s="64"/>
      <c r="R421" s="124"/>
      <c r="S421" s="123"/>
      <c r="T421" s="124"/>
      <c r="U421" s="75"/>
      <c r="V421" s="674">
        <v>0</v>
      </c>
      <c r="W421" s="75"/>
      <c r="X421" s="75"/>
      <c r="Y421" s="834">
        <f t="shared" si="82"/>
        <v>0</v>
      </c>
      <c r="Z421" s="75"/>
      <c r="AA421" s="75"/>
      <c r="AB421" s="75"/>
      <c r="AC421" s="75"/>
      <c r="AD421" s="75"/>
      <c r="AE421" s="592"/>
      <c r="AF421" s="347"/>
      <c r="AG421" s="75">
        <v>0</v>
      </c>
      <c r="AH421" s="370">
        <v>0</v>
      </c>
      <c r="AI421" s="75"/>
      <c r="AJ421" s="75"/>
      <c r="AK421" s="75"/>
      <c r="AL421" s="75"/>
      <c r="AM421" s="75"/>
      <c r="AN421" s="64" t="s">
        <v>39</v>
      </c>
      <c r="AO421" s="64"/>
      <c r="AP421" s="64"/>
      <c r="AQ421" s="189"/>
      <c r="AR421" s="64"/>
      <c r="AS421" s="476"/>
      <c r="AT421" s="64"/>
      <c r="AU421" s="646"/>
      <c r="AV421" s="185"/>
    </row>
    <row r="422" spans="1:48" ht="30" outlineLevel="4" x14ac:dyDescent="0.25">
      <c r="A422" s="63" t="str">
        <f t="shared" si="67"/>
        <v>1.3.1.9.16.64</v>
      </c>
      <c r="B422" s="64">
        <v>1</v>
      </c>
      <c r="C422" s="64">
        <v>3</v>
      </c>
      <c r="D422" s="64">
        <v>1</v>
      </c>
      <c r="E422" s="64">
        <v>9</v>
      </c>
      <c r="F422" s="64">
        <v>16</v>
      </c>
      <c r="G422" s="64">
        <v>64</v>
      </c>
      <c r="H422" s="65"/>
      <c r="I422" s="65"/>
      <c r="J422" s="66"/>
      <c r="K422" s="86" t="s">
        <v>475</v>
      </c>
      <c r="L422" s="64" t="s">
        <v>72</v>
      </c>
      <c r="M422" s="64" t="s">
        <v>73</v>
      </c>
      <c r="N422" s="64" t="s">
        <v>464</v>
      </c>
      <c r="O422" s="64" t="s">
        <v>367</v>
      </c>
      <c r="P422" s="64"/>
      <c r="Q422" s="64"/>
      <c r="R422" s="124"/>
      <c r="S422" s="123"/>
      <c r="T422" s="124"/>
      <c r="U422" s="75"/>
      <c r="V422" s="674">
        <v>0</v>
      </c>
      <c r="W422" s="75"/>
      <c r="X422" s="75"/>
      <c r="Y422" s="834">
        <f t="shared" si="82"/>
        <v>0</v>
      </c>
      <c r="Z422" s="75"/>
      <c r="AA422" s="75"/>
      <c r="AB422" s="75"/>
      <c r="AC422" s="75"/>
      <c r="AD422" s="75"/>
      <c r="AE422" s="592"/>
      <c r="AF422" s="347"/>
      <c r="AG422" s="75">
        <v>0</v>
      </c>
      <c r="AH422" s="370">
        <v>0</v>
      </c>
      <c r="AI422" s="75"/>
      <c r="AJ422" s="75"/>
      <c r="AK422" s="75"/>
      <c r="AL422" s="75"/>
      <c r="AM422" s="75"/>
      <c r="AN422" s="64" t="s">
        <v>39</v>
      </c>
      <c r="AO422" s="64"/>
      <c r="AP422" s="64"/>
      <c r="AQ422" s="189"/>
      <c r="AR422" s="64"/>
      <c r="AS422" s="476"/>
      <c r="AT422" s="64"/>
      <c r="AU422" s="646"/>
      <c r="AV422" s="185"/>
    </row>
    <row r="423" spans="1:48" outlineLevel="4" x14ac:dyDescent="0.25">
      <c r="A423" s="63" t="str">
        <f t="shared" si="67"/>
        <v>1.3.1.9.17.58</v>
      </c>
      <c r="B423" s="64">
        <v>1</v>
      </c>
      <c r="C423" s="64">
        <v>3</v>
      </c>
      <c r="D423" s="64">
        <v>1</v>
      </c>
      <c r="E423" s="64">
        <v>9</v>
      </c>
      <c r="F423" s="64">
        <v>17</v>
      </c>
      <c r="G423" s="64">
        <v>58</v>
      </c>
      <c r="H423" s="65"/>
      <c r="I423" s="65"/>
      <c r="J423" s="65"/>
      <c r="K423" s="125" t="s">
        <v>476</v>
      </c>
      <c r="L423" s="64" t="s">
        <v>72</v>
      </c>
      <c r="M423" s="64" t="s">
        <v>73</v>
      </c>
      <c r="N423" s="64" t="s">
        <v>464</v>
      </c>
      <c r="O423" s="64" t="s">
        <v>367</v>
      </c>
      <c r="P423" s="64"/>
      <c r="Q423" s="64"/>
      <c r="R423" s="124"/>
      <c r="S423" s="123"/>
      <c r="T423" s="124"/>
      <c r="U423" s="75"/>
      <c r="V423" s="674">
        <v>0</v>
      </c>
      <c r="W423" s="75"/>
      <c r="X423" s="75"/>
      <c r="Y423" s="834">
        <f t="shared" si="82"/>
        <v>0</v>
      </c>
      <c r="Z423" s="75"/>
      <c r="AA423" s="75"/>
      <c r="AB423" s="75"/>
      <c r="AC423" s="75"/>
      <c r="AD423" s="75"/>
      <c r="AE423" s="592"/>
      <c r="AF423" s="347"/>
      <c r="AG423" s="75">
        <v>0</v>
      </c>
      <c r="AH423" s="370">
        <v>0</v>
      </c>
      <c r="AI423" s="75"/>
      <c r="AJ423" s="75"/>
      <c r="AK423" s="75"/>
      <c r="AL423" s="75"/>
      <c r="AM423" s="75"/>
      <c r="AN423" s="64" t="s">
        <v>39</v>
      </c>
      <c r="AO423" s="64"/>
      <c r="AP423" s="64"/>
      <c r="AQ423" s="189"/>
      <c r="AR423" s="64"/>
      <c r="AS423" s="476"/>
      <c r="AT423" s="64"/>
      <c r="AU423" s="646"/>
      <c r="AV423" s="185"/>
    </row>
    <row r="424" spans="1:48" outlineLevel="4" x14ac:dyDescent="0.25">
      <c r="A424" s="63" t="str">
        <f t="shared" si="67"/>
        <v>1.3.1.9.17.59</v>
      </c>
      <c r="B424" s="64">
        <v>1</v>
      </c>
      <c r="C424" s="64">
        <v>3</v>
      </c>
      <c r="D424" s="64">
        <v>1</v>
      </c>
      <c r="E424" s="64">
        <v>9</v>
      </c>
      <c r="F424" s="64">
        <v>17</v>
      </c>
      <c r="G424" s="64">
        <v>59</v>
      </c>
      <c r="H424" s="65"/>
      <c r="I424" s="65"/>
      <c r="J424" s="65"/>
      <c r="K424" s="125" t="s">
        <v>477</v>
      </c>
      <c r="L424" s="64" t="s">
        <v>72</v>
      </c>
      <c r="M424" s="64" t="s">
        <v>73</v>
      </c>
      <c r="N424" s="64" t="s">
        <v>464</v>
      </c>
      <c r="O424" s="64" t="s">
        <v>367</v>
      </c>
      <c r="P424" s="64"/>
      <c r="Q424" s="64"/>
      <c r="R424" s="124"/>
      <c r="S424" s="123"/>
      <c r="T424" s="124"/>
      <c r="U424" s="75"/>
      <c r="V424" s="674">
        <v>0</v>
      </c>
      <c r="W424" s="75"/>
      <c r="X424" s="75"/>
      <c r="Y424" s="834">
        <f t="shared" si="82"/>
        <v>0</v>
      </c>
      <c r="Z424" s="75"/>
      <c r="AA424" s="75"/>
      <c r="AB424" s="75"/>
      <c r="AC424" s="75"/>
      <c r="AD424" s="75"/>
      <c r="AE424" s="592"/>
      <c r="AF424" s="347"/>
      <c r="AG424" s="75">
        <v>0</v>
      </c>
      <c r="AH424" s="370">
        <v>0</v>
      </c>
      <c r="AI424" s="75"/>
      <c r="AJ424" s="75"/>
      <c r="AK424" s="75"/>
      <c r="AL424" s="75"/>
      <c r="AM424" s="75"/>
      <c r="AN424" s="64" t="s">
        <v>39</v>
      </c>
      <c r="AO424" s="64"/>
      <c r="AP424" s="64"/>
      <c r="AQ424" s="189"/>
      <c r="AR424" s="64"/>
      <c r="AS424" s="476"/>
      <c r="AT424" s="64"/>
      <c r="AU424" s="646"/>
      <c r="AV424" s="185"/>
    </row>
    <row r="425" spans="1:48" outlineLevel="4" x14ac:dyDescent="0.25">
      <c r="A425" s="63" t="str">
        <f t="shared" si="67"/>
        <v>1.3.1.9.17.60</v>
      </c>
      <c r="B425" s="64">
        <v>1</v>
      </c>
      <c r="C425" s="64">
        <v>3</v>
      </c>
      <c r="D425" s="64">
        <v>1</v>
      </c>
      <c r="E425" s="64">
        <v>9</v>
      </c>
      <c r="F425" s="64">
        <v>17</v>
      </c>
      <c r="G425" s="64">
        <v>60</v>
      </c>
      <c r="H425" s="65"/>
      <c r="I425" s="65"/>
      <c r="J425" s="65"/>
      <c r="K425" s="125" t="s">
        <v>478</v>
      </c>
      <c r="L425" s="64" t="s">
        <v>72</v>
      </c>
      <c r="M425" s="64" t="s">
        <v>73</v>
      </c>
      <c r="N425" s="64" t="s">
        <v>464</v>
      </c>
      <c r="O425" s="64" t="s">
        <v>367</v>
      </c>
      <c r="P425" s="64"/>
      <c r="Q425" s="64"/>
      <c r="R425" s="124"/>
      <c r="S425" s="123"/>
      <c r="T425" s="124"/>
      <c r="U425" s="75"/>
      <c r="V425" s="674">
        <v>0</v>
      </c>
      <c r="W425" s="75"/>
      <c r="X425" s="75"/>
      <c r="Y425" s="834">
        <f t="shared" si="82"/>
        <v>0</v>
      </c>
      <c r="Z425" s="75"/>
      <c r="AA425" s="75"/>
      <c r="AB425" s="75"/>
      <c r="AC425" s="75"/>
      <c r="AD425" s="75"/>
      <c r="AE425" s="592"/>
      <c r="AF425" s="347"/>
      <c r="AG425" s="75">
        <v>0</v>
      </c>
      <c r="AH425" s="370">
        <v>0</v>
      </c>
      <c r="AI425" s="75"/>
      <c r="AJ425" s="75"/>
      <c r="AK425" s="75"/>
      <c r="AL425" s="75"/>
      <c r="AM425" s="75"/>
      <c r="AN425" s="64" t="s">
        <v>39</v>
      </c>
      <c r="AO425" s="64"/>
      <c r="AP425" s="64"/>
      <c r="AQ425" s="189"/>
      <c r="AR425" s="64"/>
      <c r="AS425" s="476"/>
      <c r="AT425" s="64"/>
      <c r="AU425" s="646"/>
      <c r="AV425" s="185"/>
    </row>
    <row r="426" spans="1:48" outlineLevel="4" x14ac:dyDescent="0.25">
      <c r="A426" s="63" t="str">
        <f t="shared" si="67"/>
        <v>1.3.1.9.17.61</v>
      </c>
      <c r="B426" s="64">
        <v>1</v>
      </c>
      <c r="C426" s="64">
        <v>3</v>
      </c>
      <c r="D426" s="64">
        <v>1</v>
      </c>
      <c r="E426" s="64">
        <v>9</v>
      </c>
      <c r="F426" s="64">
        <v>17</v>
      </c>
      <c r="G426" s="64">
        <v>61</v>
      </c>
      <c r="H426" s="65"/>
      <c r="I426" s="65"/>
      <c r="J426" s="65"/>
      <c r="K426" s="125" t="s">
        <v>479</v>
      </c>
      <c r="L426" s="64" t="s">
        <v>72</v>
      </c>
      <c r="M426" s="64" t="s">
        <v>73</v>
      </c>
      <c r="N426" s="64" t="s">
        <v>464</v>
      </c>
      <c r="O426" s="64" t="s">
        <v>367</v>
      </c>
      <c r="P426" s="64"/>
      <c r="Q426" s="64"/>
      <c r="R426" s="124"/>
      <c r="S426" s="123"/>
      <c r="T426" s="124"/>
      <c r="U426" s="75"/>
      <c r="V426" s="674">
        <v>0</v>
      </c>
      <c r="W426" s="75"/>
      <c r="X426" s="75"/>
      <c r="Y426" s="834">
        <f t="shared" si="82"/>
        <v>0</v>
      </c>
      <c r="Z426" s="75"/>
      <c r="AA426" s="75"/>
      <c r="AB426" s="75"/>
      <c r="AC426" s="75"/>
      <c r="AD426" s="75"/>
      <c r="AE426" s="592"/>
      <c r="AF426" s="347"/>
      <c r="AG426" s="75">
        <v>0</v>
      </c>
      <c r="AH426" s="370">
        <v>0</v>
      </c>
      <c r="AI426" s="75"/>
      <c r="AJ426" s="75"/>
      <c r="AK426" s="75"/>
      <c r="AL426" s="75"/>
      <c r="AM426" s="75"/>
      <c r="AN426" s="64" t="s">
        <v>39</v>
      </c>
      <c r="AO426" s="64"/>
      <c r="AP426" s="64"/>
      <c r="AQ426" s="189"/>
      <c r="AR426" s="64"/>
      <c r="AS426" s="476"/>
      <c r="AT426" s="64"/>
      <c r="AU426" s="646"/>
      <c r="AV426" s="185"/>
    </row>
    <row r="427" spans="1:48" outlineLevel="4" x14ac:dyDescent="0.25">
      <c r="A427" s="63" t="str">
        <f t="shared" si="67"/>
        <v>1.3.1.9.17.62</v>
      </c>
      <c r="B427" s="64">
        <v>1</v>
      </c>
      <c r="C427" s="64">
        <v>3</v>
      </c>
      <c r="D427" s="64">
        <v>1</v>
      </c>
      <c r="E427" s="64">
        <v>9</v>
      </c>
      <c r="F427" s="64">
        <v>17</v>
      </c>
      <c r="G427" s="64">
        <v>62</v>
      </c>
      <c r="H427" s="65"/>
      <c r="I427" s="65"/>
      <c r="J427" s="65"/>
      <c r="K427" s="125" t="s">
        <v>1736</v>
      </c>
      <c r="L427" s="64" t="s">
        <v>72</v>
      </c>
      <c r="M427" s="64" t="s">
        <v>73</v>
      </c>
      <c r="N427" s="64" t="s">
        <v>464</v>
      </c>
      <c r="O427" s="64" t="s">
        <v>367</v>
      </c>
      <c r="P427" s="64"/>
      <c r="Q427" s="64"/>
      <c r="R427" s="124"/>
      <c r="S427" s="123"/>
      <c r="T427" s="124"/>
      <c r="U427" s="75"/>
      <c r="V427" s="674">
        <v>0</v>
      </c>
      <c r="W427" s="75"/>
      <c r="X427" s="75"/>
      <c r="Y427" s="834">
        <f t="shared" si="82"/>
        <v>0</v>
      </c>
      <c r="Z427" s="75"/>
      <c r="AA427" s="75"/>
      <c r="AB427" s="75"/>
      <c r="AC427" s="75"/>
      <c r="AD427" s="75"/>
      <c r="AE427" s="592"/>
      <c r="AF427" s="347"/>
      <c r="AG427" s="75">
        <v>0</v>
      </c>
      <c r="AH427" s="370">
        <v>0</v>
      </c>
      <c r="AI427" s="75"/>
      <c r="AJ427" s="75"/>
      <c r="AK427" s="75"/>
      <c r="AL427" s="75"/>
      <c r="AM427" s="75"/>
      <c r="AN427" s="64" t="s">
        <v>39</v>
      </c>
      <c r="AO427" s="64"/>
      <c r="AP427" s="64"/>
      <c r="AQ427" s="189"/>
      <c r="AR427" s="64"/>
      <c r="AS427" s="476"/>
      <c r="AT427" s="64"/>
      <c r="AU427" s="646"/>
      <c r="AV427" s="185"/>
    </row>
    <row r="428" spans="1:48" outlineLevel="4" x14ac:dyDescent="0.25">
      <c r="A428" s="63" t="str">
        <f t="shared" si="67"/>
        <v>1.3.1.9.17.63</v>
      </c>
      <c r="B428" s="64">
        <v>1</v>
      </c>
      <c r="C428" s="64">
        <v>3</v>
      </c>
      <c r="D428" s="64">
        <v>1</v>
      </c>
      <c r="E428" s="64">
        <v>9</v>
      </c>
      <c r="F428" s="64">
        <v>17</v>
      </c>
      <c r="G428" s="64">
        <v>63</v>
      </c>
      <c r="H428" s="65"/>
      <c r="I428" s="65"/>
      <c r="J428" s="65"/>
      <c r="K428" s="125" t="s">
        <v>480</v>
      </c>
      <c r="L428" s="64" t="s">
        <v>72</v>
      </c>
      <c r="M428" s="64" t="s">
        <v>73</v>
      </c>
      <c r="N428" s="64" t="s">
        <v>464</v>
      </c>
      <c r="O428" s="64" t="s">
        <v>367</v>
      </c>
      <c r="P428" s="64"/>
      <c r="Q428" s="64"/>
      <c r="R428" s="124"/>
      <c r="S428" s="123"/>
      <c r="T428" s="124"/>
      <c r="U428" s="75"/>
      <c r="V428" s="674">
        <v>0</v>
      </c>
      <c r="W428" s="75"/>
      <c r="X428" s="75"/>
      <c r="Y428" s="834">
        <f t="shared" si="82"/>
        <v>0</v>
      </c>
      <c r="Z428" s="75"/>
      <c r="AA428" s="75"/>
      <c r="AB428" s="75"/>
      <c r="AC428" s="75"/>
      <c r="AD428" s="75"/>
      <c r="AE428" s="592"/>
      <c r="AF428" s="347"/>
      <c r="AG428" s="75">
        <v>0</v>
      </c>
      <c r="AH428" s="370">
        <v>0</v>
      </c>
      <c r="AI428" s="75"/>
      <c r="AJ428" s="75"/>
      <c r="AK428" s="75"/>
      <c r="AL428" s="75"/>
      <c r="AM428" s="75"/>
      <c r="AN428" s="64" t="s">
        <v>39</v>
      </c>
      <c r="AO428" s="64"/>
      <c r="AP428" s="64"/>
      <c r="AQ428" s="189"/>
      <c r="AR428" s="64"/>
      <c r="AS428" s="476"/>
      <c r="AT428" s="64"/>
      <c r="AU428" s="646"/>
      <c r="AV428" s="185"/>
    </row>
    <row r="429" spans="1:48" outlineLevel="4" x14ac:dyDescent="0.25">
      <c r="A429" s="63" t="str">
        <f t="shared" si="67"/>
        <v>1.3.1.9.17.64</v>
      </c>
      <c r="B429" s="64">
        <v>1</v>
      </c>
      <c r="C429" s="64">
        <v>3</v>
      </c>
      <c r="D429" s="64">
        <v>1</v>
      </c>
      <c r="E429" s="64">
        <v>9</v>
      </c>
      <c r="F429" s="64">
        <v>17</v>
      </c>
      <c r="G429" s="64">
        <v>64</v>
      </c>
      <c r="H429" s="65"/>
      <c r="I429" s="65"/>
      <c r="J429" s="65"/>
      <c r="K429" s="125" t="s">
        <v>481</v>
      </c>
      <c r="L429" s="64" t="s">
        <v>72</v>
      </c>
      <c r="M429" s="64" t="s">
        <v>73</v>
      </c>
      <c r="N429" s="64" t="s">
        <v>464</v>
      </c>
      <c r="O429" s="64" t="s">
        <v>367</v>
      </c>
      <c r="P429" s="64"/>
      <c r="Q429" s="64"/>
      <c r="R429" s="124"/>
      <c r="S429" s="123"/>
      <c r="T429" s="124"/>
      <c r="U429" s="75"/>
      <c r="V429" s="674">
        <v>0</v>
      </c>
      <c r="W429" s="75"/>
      <c r="X429" s="75"/>
      <c r="Y429" s="834">
        <f t="shared" si="82"/>
        <v>0</v>
      </c>
      <c r="Z429" s="75"/>
      <c r="AA429" s="75"/>
      <c r="AB429" s="75"/>
      <c r="AC429" s="75"/>
      <c r="AD429" s="75"/>
      <c r="AE429" s="592"/>
      <c r="AF429" s="347"/>
      <c r="AG429" s="75">
        <v>0</v>
      </c>
      <c r="AH429" s="370">
        <v>0</v>
      </c>
      <c r="AI429" s="75"/>
      <c r="AJ429" s="75"/>
      <c r="AK429" s="75"/>
      <c r="AL429" s="75"/>
      <c r="AM429" s="75"/>
      <c r="AN429" s="64" t="s">
        <v>39</v>
      </c>
      <c r="AO429" s="64"/>
      <c r="AP429" s="64"/>
      <c r="AQ429" s="189"/>
      <c r="AR429" s="64"/>
      <c r="AS429" s="476"/>
      <c r="AT429" s="64"/>
      <c r="AU429" s="646"/>
      <c r="AV429" s="185"/>
    </row>
    <row r="430" spans="1:48" outlineLevel="4" x14ac:dyDescent="0.25">
      <c r="A430" s="63" t="str">
        <f t="shared" si="67"/>
        <v>1.3.1.9.18.58</v>
      </c>
      <c r="B430" s="64">
        <v>1</v>
      </c>
      <c r="C430" s="64">
        <v>3</v>
      </c>
      <c r="D430" s="64">
        <v>1</v>
      </c>
      <c r="E430" s="64">
        <v>9</v>
      </c>
      <c r="F430" s="64">
        <v>18</v>
      </c>
      <c r="G430" s="64">
        <v>58</v>
      </c>
      <c r="H430" s="65"/>
      <c r="I430" s="65"/>
      <c r="J430" s="65"/>
      <c r="K430" s="125" t="s">
        <v>482</v>
      </c>
      <c r="L430" s="64" t="s">
        <v>72</v>
      </c>
      <c r="M430" s="64" t="s">
        <v>73</v>
      </c>
      <c r="N430" s="64" t="s">
        <v>74</v>
      </c>
      <c r="O430" s="64" t="s">
        <v>367</v>
      </c>
      <c r="P430" s="64"/>
      <c r="Q430" s="64"/>
      <c r="R430" s="124"/>
      <c r="S430" s="123"/>
      <c r="T430" s="124"/>
      <c r="U430" s="75"/>
      <c r="V430" s="674">
        <v>0</v>
      </c>
      <c r="W430" s="75"/>
      <c r="X430" s="75"/>
      <c r="Y430" s="834">
        <f t="shared" si="82"/>
        <v>0</v>
      </c>
      <c r="Z430" s="75"/>
      <c r="AA430" s="75"/>
      <c r="AB430" s="75"/>
      <c r="AC430" s="75"/>
      <c r="AD430" s="75"/>
      <c r="AE430" s="592"/>
      <c r="AF430" s="347"/>
      <c r="AG430" s="75">
        <v>0</v>
      </c>
      <c r="AH430" s="370">
        <v>0</v>
      </c>
      <c r="AI430" s="75"/>
      <c r="AJ430" s="75"/>
      <c r="AK430" s="75"/>
      <c r="AL430" s="75"/>
      <c r="AM430" s="75"/>
      <c r="AN430" s="64" t="s">
        <v>39</v>
      </c>
      <c r="AO430" s="64"/>
      <c r="AP430" s="64"/>
      <c r="AQ430" s="189"/>
      <c r="AR430" s="64"/>
      <c r="AS430" s="476"/>
      <c r="AT430" s="64"/>
      <c r="AU430" s="646"/>
      <c r="AV430" s="185"/>
    </row>
    <row r="431" spans="1:48" outlineLevel="4" x14ac:dyDescent="0.25">
      <c r="A431" s="63" t="str">
        <f t="shared" si="67"/>
        <v>1.3.1.9.18.59</v>
      </c>
      <c r="B431" s="64">
        <v>1</v>
      </c>
      <c r="C431" s="64">
        <v>3</v>
      </c>
      <c r="D431" s="64">
        <v>1</v>
      </c>
      <c r="E431" s="64">
        <v>9</v>
      </c>
      <c r="F431" s="64">
        <v>18</v>
      </c>
      <c r="G431" s="64">
        <v>59</v>
      </c>
      <c r="H431" s="65"/>
      <c r="I431" s="65"/>
      <c r="J431" s="65"/>
      <c r="K431" s="125" t="s">
        <v>483</v>
      </c>
      <c r="L431" s="64" t="s">
        <v>72</v>
      </c>
      <c r="M431" s="64" t="s">
        <v>73</v>
      </c>
      <c r="N431" s="64" t="s">
        <v>74</v>
      </c>
      <c r="O431" s="64" t="s">
        <v>367</v>
      </c>
      <c r="P431" s="64"/>
      <c r="Q431" s="64"/>
      <c r="R431" s="124"/>
      <c r="S431" s="123"/>
      <c r="T431" s="124"/>
      <c r="U431" s="75"/>
      <c r="V431" s="674">
        <v>0</v>
      </c>
      <c r="W431" s="75"/>
      <c r="X431" s="75"/>
      <c r="Y431" s="834">
        <f t="shared" si="82"/>
        <v>0</v>
      </c>
      <c r="Z431" s="75"/>
      <c r="AA431" s="75"/>
      <c r="AB431" s="75"/>
      <c r="AC431" s="75"/>
      <c r="AD431" s="75"/>
      <c r="AE431" s="592"/>
      <c r="AF431" s="347"/>
      <c r="AG431" s="75">
        <v>0</v>
      </c>
      <c r="AH431" s="370">
        <v>0</v>
      </c>
      <c r="AI431" s="75"/>
      <c r="AJ431" s="75"/>
      <c r="AK431" s="75"/>
      <c r="AL431" s="75"/>
      <c r="AM431" s="75"/>
      <c r="AN431" s="64" t="s">
        <v>39</v>
      </c>
      <c r="AO431" s="64"/>
      <c r="AP431" s="64"/>
      <c r="AQ431" s="189"/>
      <c r="AR431" s="64"/>
      <c r="AS431" s="476"/>
      <c r="AT431" s="64"/>
      <c r="AU431" s="646"/>
      <c r="AV431" s="185"/>
    </row>
    <row r="432" spans="1:48" outlineLevel="4" x14ac:dyDescent="0.25">
      <c r="A432" s="63" t="str">
        <f t="shared" si="67"/>
        <v>1.3.1.9.18.60</v>
      </c>
      <c r="B432" s="64">
        <v>1</v>
      </c>
      <c r="C432" s="64">
        <v>3</v>
      </c>
      <c r="D432" s="64">
        <v>1</v>
      </c>
      <c r="E432" s="64">
        <v>9</v>
      </c>
      <c r="F432" s="64">
        <v>18</v>
      </c>
      <c r="G432" s="64">
        <v>60</v>
      </c>
      <c r="H432" s="65"/>
      <c r="I432" s="65"/>
      <c r="J432" s="65"/>
      <c r="K432" s="125" t="s">
        <v>484</v>
      </c>
      <c r="L432" s="64" t="s">
        <v>72</v>
      </c>
      <c r="M432" s="64" t="s">
        <v>73</v>
      </c>
      <c r="N432" s="64" t="s">
        <v>74</v>
      </c>
      <c r="O432" s="64" t="s">
        <v>367</v>
      </c>
      <c r="P432" s="64"/>
      <c r="Q432" s="64"/>
      <c r="R432" s="124"/>
      <c r="S432" s="123"/>
      <c r="T432" s="124"/>
      <c r="U432" s="75"/>
      <c r="V432" s="674">
        <v>0</v>
      </c>
      <c r="W432" s="75"/>
      <c r="X432" s="75"/>
      <c r="Y432" s="834">
        <f t="shared" si="82"/>
        <v>0</v>
      </c>
      <c r="Z432" s="75"/>
      <c r="AA432" s="75"/>
      <c r="AB432" s="75"/>
      <c r="AC432" s="75"/>
      <c r="AD432" s="75"/>
      <c r="AE432" s="592"/>
      <c r="AF432" s="347"/>
      <c r="AG432" s="75">
        <v>0</v>
      </c>
      <c r="AH432" s="370">
        <v>0</v>
      </c>
      <c r="AI432" s="75"/>
      <c r="AJ432" s="75"/>
      <c r="AK432" s="75"/>
      <c r="AL432" s="75"/>
      <c r="AM432" s="75"/>
      <c r="AN432" s="64" t="s">
        <v>39</v>
      </c>
      <c r="AO432" s="64"/>
      <c r="AP432" s="64"/>
      <c r="AQ432" s="189"/>
      <c r="AR432" s="64"/>
      <c r="AS432" s="476"/>
      <c r="AT432" s="64"/>
      <c r="AU432" s="646"/>
      <c r="AV432" s="185"/>
    </row>
    <row r="433" spans="1:48" outlineLevel="4" x14ac:dyDescent="0.25">
      <c r="A433" s="63" t="str">
        <f t="shared" si="67"/>
        <v>1.3.1.9.18.61</v>
      </c>
      <c r="B433" s="64">
        <v>1</v>
      </c>
      <c r="C433" s="64">
        <v>3</v>
      </c>
      <c r="D433" s="64">
        <v>1</v>
      </c>
      <c r="E433" s="64">
        <v>9</v>
      </c>
      <c r="F433" s="64">
        <v>18</v>
      </c>
      <c r="G433" s="64">
        <v>61</v>
      </c>
      <c r="H433" s="65"/>
      <c r="I433" s="65"/>
      <c r="J433" s="65"/>
      <c r="K433" s="125" t="s">
        <v>485</v>
      </c>
      <c r="L433" s="64" t="s">
        <v>72</v>
      </c>
      <c r="M433" s="64" t="s">
        <v>73</v>
      </c>
      <c r="N433" s="64" t="s">
        <v>74</v>
      </c>
      <c r="O433" s="64" t="s">
        <v>367</v>
      </c>
      <c r="P433" s="64"/>
      <c r="Q433" s="64"/>
      <c r="R433" s="124"/>
      <c r="S433" s="123"/>
      <c r="T433" s="124"/>
      <c r="U433" s="75"/>
      <c r="V433" s="674">
        <v>0</v>
      </c>
      <c r="W433" s="75"/>
      <c r="X433" s="75"/>
      <c r="Y433" s="834">
        <f t="shared" si="82"/>
        <v>0</v>
      </c>
      <c r="Z433" s="75"/>
      <c r="AA433" s="75"/>
      <c r="AB433" s="75"/>
      <c r="AC433" s="75"/>
      <c r="AD433" s="75"/>
      <c r="AE433" s="592"/>
      <c r="AF433" s="347"/>
      <c r="AG433" s="75">
        <v>0</v>
      </c>
      <c r="AH433" s="370">
        <v>0</v>
      </c>
      <c r="AI433" s="75"/>
      <c r="AJ433" s="75"/>
      <c r="AK433" s="75"/>
      <c r="AL433" s="75"/>
      <c r="AM433" s="75"/>
      <c r="AN433" s="64" t="s">
        <v>39</v>
      </c>
      <c r="AO433" s="64"/>
      <c r="AP433" s="64"/>
      <c r="AQ433" s="189"/>
      <c r="AR433" s="64"/>
      <c r="AS433" s="476"/>
      <c r="AT433" s="64"/>
      <c r="AU433" s="646"/>
      <c r="AV433" s="185"/>
    </row>
    <row r="434" spans="1:48" outlineLevel="4" x14ac:dyDescent="0.25">
      <c r="A434" s="63" t="str">
        <f t="shared" si="67"/>
        <v>1.3.1.9.18.62</v>
      </c>
      <c r="B434" s="64">
        <v>1</v>
      </c>
      <c r="C434" s="64">
        <v>3</v>
      </c>
      <c r="D434" s="64">
        <v>1</v>
      </c>
      <c r="E434" s="64">
        <v>9</v>
      </c>
      <c r="F434" s="64">
        <v>18</v>
      </c>
      <c r="G434" s="64">
        <v>62</v>
      </c>
      <c r="H434" s="65"/>
      <c r="I434" s="65"/>
      <c r="J434" s="65"/>
      <c r="K434" s="125" t="s">
        <v>1737</v>
      </c>
      <c r="L434" s="64" t="s">
        <v>72</v>
      </c>
      <c r="M434" s="64" t="s">
        <v>73</v>
      </c>
      <c r="N434" s="64" t="s">
        <v>74</v>
      </c>
      <c r="O434" s="64" t="s">
        <v>367</v>
      </c>
      <c r="P434" s="64"/>
      <c r="Q434" s="64"/>
      <c r="R434" s="124"/>
      <c r="S434" s="123"/>
      <c r="T434" s="124"/>
      <c r="U434" s="75"/>
      <c r="V434" s="674">
        <v>0</v>
      </c>
      <c r="W434" s="75"/>
      <c r="X434" s="75"/>
      <c r="Y434" s="834">
        <f t="shared" si="82"/>
        <v>0</v>
      </c>
      <c r="Z434" s="75"/>
      <c r="AA434" s="75"/>
      <c r="AB434" s="75"/>
      <c r="AC434" s="75"/>
      <c r="AD434" s="75"/>
      <c r="AE434" s="592"/>
      <c r="AF434" s="347"/>
      <c r="AG434" s="75">
        <v>0</v>
      </c>
      <c r="AH434" s="370">
        <v>0</v>
      </c>
      <c r="AI434" s="75"/>
      <c r="AJ434" s="75"/>
      <c r="AK434" s="75"/>
      <c r="AL434" s="75"/>
      <c r="AM434" s="75"/>
      <c r="AN434" s="64" t="s">
        <v>39</v>
      </c>
      <c r="AO434" s="64"/>
      <c r="AP434" s="64"/>
      <c r="AQ434" s="189"/>
      <c r="AR434" s="64"/>
      <c r="AS434" s="476"/>
      <c r="AT434" s="64"/>
      <c r="AU434" s="646"/>
      <c r="AV434" s="185"/>
    </row>
    <row r="435" spans="1:48" outlineLevel="4" x14ac:dyDescent="0.25">
      <c r="A435" s="63" t="str">
        <f t="shared" si="67"/>
        <v>1.3.1.9.18.63</v>
      </c>
      <c r="B435" s="64">
        <v>1</v>
      </c>
      <c r="C435" s="64">
        <v>3</v>
      </c>
      <c r="D435" s="64">
        <v>1</v>
      </c>
      <c r="E435" s="64">
        <v>9</v>
      </c>
      <c r="F435" s="64">
        <v>18</v>
      </c>
      <c r="G435" s="64">
        <v>63</v>
      </c>
      <c r="H435" s="65"/>
      <c r="I435" s="65"/>
      <c r="J435" s="65"/>
      <c r="K435" s="125" t="s">
        <v>486</v>
      </c>
      <c r="L435" s="64" t="s">
        <v>72</v>
      </c>
      <c r="M435" s="64" t="s">
        <v>73</v>
      </c>
      <c r="N435" s="64" t="s">
        <v>74</v>
      </c>
      <c r="O435" s="64" t="s">
        <v>367</v>
      </c>
      <c r="P435" s="64"/>
      <c r="Q435" s="64"/>
      <c r="R435" s="124"/>
      <c r="S435" s="123"/>
      <c r="T435" s="124"/>
      <c r="U435" s="75"/>
      <c r="V435" s="674">
        <v>0</v>
      </c>
      <c r="W435" s="75"/>
      <c r="X435" s="75"/>
      <c r="Y435" s="834">
        <f t="shared" si="82"/>
        <v>0</v>
      </c>
      <c r="Z435" s="75"/>
      <c r="AA435" s="75"/>
      <c r="AB435" s="75"/>
      <c r="AC435" s="75"/>
      <c r="AD435" s="75"/>
      <c r="AE435" s="592"/>
      <c r="AF435" s="347"/>
      <c r="AG435" s="75">
        <v>0</v>
      </c>
      <c r="AH435" s="370">
        <v>0</v>
      </c>
      <c r="AI435" s="75"/>
      <c r="AJ435" s="75"/>
      <c r="AK435" s="75"/>
      <c r="AL435" s="75"/>
      <c r="AM435" s="75"/>
      <c r="AN435" s="64" t="s">
        <v>39</v>
      </c>
      <c r="AO435" s="64"/>
      <c r="AP435" s="64"/>
      <c r="AQ435" s="189"/>
      <c r="AR435" s="64"/>
      <c r="AS435" s="476"/>
      <c r="AT435" s="64"/>
      <c r="AU435" s="646"/>
      <c r="AV435" s="185"/>
    </row>
    <row r="436" spans="1:48" outlineLevel="4" x14ac:dyDescent="0.25">
      <c r="A436" s="63" t="str">
        <f t="shared" si="67"/>
        <v>1.3.1.9.18.64</v>
      </c>
      <c r="B436" s="64">
        <v>1</v>
      </c>
      <c r="C436" s="64">
        <v>3</v>
      </c>
      <c r="D436" s="64">
        <v>1</v>
      </c>
      <c r="E436" s="64">
        <v>9</v>
      </c>
      <c r="F436" s="64">
        <v>18</v>
      </c>
      <c r="G436" s="64">
        <v>64</v>
      </c>
      <c r="H436" s="65"/>
      <c r="I436" s="65"/>
      <c r="J436" s="65"/>
      <c r="K436" s="125" t="s">
        <v>487</v>
      </c>
      <c r="L436" s="64" t="s">
        <v>72</v>
      </c>
      <c r="M436" s="64" t="s">
        <v>73</v>
      </c>
      <c r="N436" s="64" t="s">
        <v>74</v>
      </c>
      <c r="O436" s="64" t="s">
        <v>367</v>
      </c>
      <c r="P436" s="64"/>
      <c r="Q436" s="64"/>
      <c r="R436" s="124"/>
      <c r="S436" s="123"/>
      <c r="T436" s="124"/>
      <c r="U436" s="75"/>
      <c r="V436" s="674">
        <v>0</v>
      </c>
      <c r="W436" s="75"/>
      <c r="X436" s="75"/>
      <c r="Y436" s="834">
        <f t="shared" si="82"/>
        <v>0</v>
      </c>
      <c r="Z436" s="75"/>
      <c r="AA436" s="75"/>
      <c r="AB436" s="75"/>
      <c r="AC436" s="75"/>
      <c r="AD436" s="75"/>
      <c r="AE436" s="592"/>
      <c r="AF436" s="347"/>
      <c r="AG436" s="75">
        <v>0</v>
      </c>
      <c r="AH436" s="370">
        <v>0</v>
      </c>
      <c r="AI436" s="75"/>
      <c r="AJ436" s="75"/>
      <c r="AK436" s="75"/>
      <c r="AL436" s="75"/>
      <c r="AM436" s="75"/>
      <c r="AN436" s="64" t="s">
        <v>39</v>
      </c>
      <c r="AO436" s="64"/>
      <c r="AP436" s="64"/>
      <c r="AQ436" s="189"/>
      <c r="AR436" s="64"/>
      <c r="AS436" s="476"/>
      <c r="AT436" s="64"/>
      <c r="AU436" s="646"/>
      <c r="AV436" s="185"/>
    </row>
    <row r="437" spans="1:48" outlineLevel="4" x14ac:dyDescent="0.25">
      <c r="A437" s="63" t="str">
        <f t="shared" si="67"/>
        <v>1.3.1.9.19.58</v>
      </c>
      <c r="B437" s="64">
        <v>1</v>
      </c>
      <c r="C437" s="64">
        <v>3</v>
      </c>
      <c r="D437" s="64">
        <v>1</v>
      </c>
      <c r="E437" s="64">
        <v>9</v>
      </c>
      <c r="F437" s="64">
        <v>19</v>
      </c>
      <c r="G437" s="64">
        <v>58</v>
      </c>
      <c r="H437" s="65"/>
      <c r="I437" s="65"/>
      <c r="J437" s="65"/>
      <c r="K437" s="125" t="s">
        <v>488</v>
      </c>
      <c r="L437" s="64" t="s">
        <v>72</v>
      </c>
      <c r="M437" s="64" t="s">
        <v>73</v>
      </c>
      <c r="N437" s="64" t="s">
        <v>74</v>
      </c>
      <c r="O437" s="64" t="s">
        <v>367</v>
      </c>
      <c r="P437" s="69">
        <v>44200</v>
      </c>
      <c r="Q437" s="69">
        <v>44512</v>
      </c>
      <c r="R437" s="1336">
        <v>0</v>
      </c>
      <c r="S437" s="123" t="s">
        <v>489</v>
      </c>
      <c r="T437" s="124"/>
      <c r="U437" s="75"/>
      <c r="V437" s="674">
        <v>0</v>
      </c>
      <c r="W437" s="75"/>
      <c r="X437" s="75"/>
      <c r="Y437" s="834">
        <f t="shared" si="82"/>
        <v>0</v>
      </c>
      <c r="Z437" s="75"/>
      <c r="AA437" s="75"/>
      <c r="AB437" s="75"/>
      <c r="AC437" s="75"/>
      <c r="AD437" s="75"/>
      <c r="AE437" s="592"/>
      <c r="AF437" s="353" t="s">
        <v>490</v>
      </c>
      <c r="AG437" s="97">
        <v>0</v>
      </c>
      <c r="AH437" s="370">
        <v>0</v>
      </c>
      <c r="AI437" s="75"/>
      <c r="AJ437" s="75"/>
      <c r="AK437" s="75"/>
      <c r="AL437" s="75"/>
      <c r="AM437" s="75"/>
      <c r="AN437" s="64" t="s">
        <v>39</v>
      </c>
      <c r="AO437" s="64"/>
      <c r="AP437" s="64"/>
      <c r="AQ437" s="189"/>
      <c r="AR437" s="64"/>
      <c r="AS437" s="476"/>
      <c r="AT437" s="64"/>
      <c r="AU437" s="646"/>
      <c r="AV437" s="185"/>
    </row>
    <row r="438" spans="1:48" outlineLevel="4" x14ac:dyDescent="0.25">
      <c r="A438" s="63" t="str">
        <f t="shared" si="67"/>
        <v>1.3.1.9.19.59</v>
      </c>
      <c r="B438" s="64">
        <v>1</v>
      </c>
      <c r="C438" s="64">
        <v>3</v>
      </c>
      <c r="D438" s="64">
        <v>1</v>
      </c>
      <c r="E438" s="64">
        <v>9</v>
      </c>
      <c r="F438" s="64">
        <v>19</v>
      </c>
      <c r="G438" s="64">
        <v>59</v>
      </c>
      <c r="H438" s="65"/>
      <c r="I438" s="65"/>
      <c r="J438" s="65"/>
      <c r="K438" s="125" t="s">
        <v>491</v>
      </c>
      <c r="L438" s="64" t="s">
        <v>72</v>
      </c>
      <c r="M438" s="64" t="s">
        <v>73</v>
      </c>
      <c r="N438" s="64" t="s">
        <v>74</v>
      </c>
      <c r="O438" s="64" t="s">
        <v>367</v>
      </c>
      <c r="P438" s="69">
        <v>44200</v>
      </c>
      <c r="Q438" s="69">
        <v>44512</v>
      </c>
      <c r="R438" s="1336"/>
      <c r="S438" s="123"/>
      <c r="T438" s="124"/>
      <c r="U438" s="75"/>
      <c r="V438" s="674">
        <v>0</v>
      </c>
      <c r="W438" s="75"/>
      <c r="X438" s="75"/>
      <c r="Y438" s="834">
        <f t="shared" si="82"/>
        <v>0</v>
      </c>
      <c r="Z438" s="75"/>
      <c r="AA438" s="75"/>
      <c r="AB438" s="75"/>
      <c r="AC438" s="75"/>
      <c r="AD438" s="75"/>
      <c r="AE438" s="592"/>
      <c r="AF438" s="353"/>
      <c r="AG438" s="97">
        <v>0</v>
      </c>
      <c r="AH438" s="370">
        <v>0</v>
      </c>
      <c r="AI438" s="75"/>
      <c r="AJ438" s="75"/>
      <c r="AK438" s="75"/>
      <c r="AL438" s="75"/>
      <c r="AM438" s="75"/>
      <c r="AN438" s="64" t="s">
        <v>39</v>
      </c>
      <c r="AO438" s="64"/>
      <c r="AP438" s="64"/>
      <c r="AQ438" s="189"/>
      <c r="AR438" s="64"/>
      <c r="AS438" s="476"/>
      <c r="AT438" s="64"/>
      <c r="AU438" s="646"/>
      <c r="AV438" s="185"/>
    </row>
    <row r="439" spans="1:48" outlineLevel="4" x14ac:dyDescent="0.25">
      <c r="A439" s="63" t="str">
        <f t="shared" si="67"/>
        <v>1.3.1.9.19.60</v>
      </c>
      <c r="B439" s="64">
        <v>1</v>
      </c>
      <c r="C439" s="64">
        <v>3</v>
      </c>
      <c r="D439" s="64">
        <v>1</v>
      </c>
      <c r="E439" s="64">
        <v>9</v>
      </c>
      <c r="F439" s="64">
        <v>19</v>
      </c>
      <c r="G439" s="64">
        <v>60</v>
      </c>
      <c r="H439" s="65"/>
      <c r="I439" s="65"/>
      <c r="J439" s="65"/>
      <c r="K439" s="125" t="s">
        <v>492</v>
      </c>
      <c r="L439" s="64" t="s">
        <v>72</v>
      </c>
      <c r="M439" s="64" t="s">
        <v>73</v>
      </c>
      <c r="N439" s="64" t="s">
        <v>74</v>
      </c>
      <c r="O439" s="64" t="s">
        <v>367</v>
      </c>
      <c r="P439" s="69">
        <v>44200</v>
      </c>
      <c r="Q439" s="69">
        <v>44512</v>
      </c>
      <c r="R439" s="1336"/>
      <c r="S439" s="123"/>
      <c r="T439" s="124"/>
      <c r="U439" s="75"/>
      <c r="V439" s="674">
        <v>0</v>
      </c>
      <c r="W439" s="75"/>
      <c r="X439" s="75"/>
      <c r="Y439" s="834">
        <f t="shared" ref="Y439:Y502" si="87">+AJ439-V439</f>
        <v>0</v>
      </c>
      <c r="Z439" s="75"/>
      <c r="AA439" s="75"/>
      <c r="AB439" s="75"/>
      <c r="AC439" s="75"/>
      <c r="AD439" s="75"/>
      <c r="AE439" s="592"/>
      <c r="AF439" s="353"/>
      <c r="AG439" s="97">
        <v>0</v>
      </c>
      <c r="AH439" s="370">
        <v>0</v>
      </c>
      <c r="AI439" s="75"/>
      <c r="AJ439" s="75"/>
      <c r="AK439" s="75"/>
      <c r="AL439" s="75"/>
      <c r="AM439" s="75"/>
      <c r="AN439" s="64" t="s">
        <v>39</v>
      </c>
      <c r="AO439" s="64"/>
      <c r="AP439" s="64"/>
      <c r="AQ439" s="189"/>
      <c r="AR439" s="64"/>
      <c r="AS439" s="476"/>
      <c r="AT439" s="64"/>
      <c r="AU439" s="646"/>
      <c r="AV439" s="185"/>
    </row>
    <row r="440" spans="1:48" outlineLevel="4" x14ac:dyDescent="0.25">
      <c r="A440" s="63" t="str">
        <f t="shared" si="67"/>
        <v>1.3.1.9.19.61</v>
      </c>
      <c r="B440" s="64">
        <v>1</v>
      </c>
      <c r="C440" s="64">
        <v>3</v>
      </c>
      <c r="D440" s="64">
        <v>1</v>
      </c>
      <c r="E440" s="64">
        <v>9</v>
      </c>
      <c r="F440" s="64">
        <v>19</v>
      </c>
      <c r="G440" s="64">
        <v>61</v>
      </c>
      <c r="H440" s="65"/>
      <c r="I440" s="65"/>
      <c r="J440" s="65"/>
      <c r="K440" s="125" t="s">
        <v>493</v>
      </c>
      <c r="L440" s="64" t="s">
        <v>72</v>
      </c>
      <c r="M440" s="64" t="s">
        <v>73</v>
      </c>
      <c r="N440" s="64" t="s">
        <v>74</v>
      </c>
      <c r="O440" s="64" t="s">
        <v>367</v>
      </c>
      <c r="P440" s="69">
        <v>44200</v>
      </c>
      <c r="Q440" s="69">
        <v>44512</v>
      </c>
      <c r="R440" s="1336"/>
      <c r="S440" s="123"/>
      <c r="T440" s="124"/>
      <c r="U440" s="75"/>
      <c r="V440" s="674">
        <v>0</v>
      </c>
      <c r="W440" s="75"/>
      <c r="X440" s="75"/>
      <c r="Y440" s="834">
        <f t="shared" si="87"/>
        <v>0</v>
      </c>
      <c r="Z440" s="75"/>
      <c r="AA440" s="75"/>
      <c r="AB440" s="75"/>
      <c r="AC440" s="75"/>
      <c r="AD440" s="75"/>
      <c r="AE440" s="592"/>
      <c r="AF440" s="353"/>
      <c r="AG440" s="97">
        <v>0</v>
      </c>
      <c r="AH440" s="370">
        <v>0</v>
      </c>
      <c r="AI440" s="75"/>
      <c r="AJ440" s="75"/>
      <c r="AK440" s="75"/>
      <c r="AL440" s="75"/>
      <c r="AM440" s="75"/>
      <c r="AN440" s="64" t="s">
        <v>39</v>
      </c>
      <c r="AO440" s="64"/>
      <c r="AP440" s="64"/>
      <c r="AQ440" s="189"/>
      <c r="AR440" s="64"/>
      <c r="AS440" s="476"/>
      <c r="AT440" s="64"/>
      <c r="AU440" s="646"/>
      <c r="AV440" s="185"/>
    </row>
    <row r="441" spans="1:48" outlineLevel="4" x14ac:dyDescent="0.25">
      <c r="A441" s="63" t="str">
        <f t="shared" si="67"/>
        <v>1.3.1.9.19.62</v>
      </c>
      <c r="B441" s="64">
        <v>1</v>
      </c>
      <c r="C441" s="64">
        <v>3</v>
      </c>
      <c r="D441" s="64">
        <v>1</v>
      </c>
      <c r="E441" s="64">
        <v>9</v>
      </c>
      <c r="F441" s="64">
        <v>19</v>
      </c>
      <c r="G441" s="64">
        <v>62</v>
      </c>
      <c r="H441" s="65"/>
      <c r="I441" s="65"/>
      <c r="J441" s="65"/>
      <c r="K441" s="125" t="s">
        <v>1738</v>
      </c>
      <c r="L441" s="64" t="s">
        <v>72</v>
      </c>
      <c r="M441" s="64" t="s">
        <v>73</v>
      </c>
      <c r="N441" s="64" t="s">
        <v>74</v>
      </c>
      <c r="O441" s="64" t="s">
        <v>367</v>
      </c>
      <c r="P441" s="69">
        <v>44200</v>
      </c>
      <c r="Q441" s="69">
        <v>44512</v>
      </c>
      <c r="R441" s="1336"/>
      <c r="S441" s="123"/>
      <c r="T441" s="124"/>
      <c r="U441" s="75"/>
      <c r="V441" s="674">
        <v>0</v>
      </c>
      <c r="W441" s="75"/>
      <c r="X441" s="75"/>
      <c r="Y441" s="834">
        <f t="shared" si="87"/>
        <v>0</v>
      </c>
      <c r="Z441" s="75"/>
      <c r="AA441" s="75"/>
      <c r="AB441" s="75"/>
      <c r="AC441" s="75"/>
      <c r="AD441" s="75"/>
      <c r="AE441" s="592"/>
      <c r="AF441" s="353"/>
      <c r="AG441" s="97">
        <v>0</v>
      </c>
      <c r="AH441" s="370">
        <v>0</v>
      </c>
      <c r="AI441" s="75"/>
      <c r="AJ441" s="75"/>
      <c r="AK441" s="75"/>
      <c r="AL441" s="75"/>
      <c r="AM441" s="75"/>
      <c r="AN441" s="64" t="s">
        <v>39</v>
      </c>
      <c r="AO441" s="64"/>
      <c r="AP441" s="64"/>
      <c r="AQ441" s="189"/>
      <c r="AR441" s="64"/>
      <c r="AS441" s="476"/>
      <c r="AT441" s="64"/>
      <c r="AU441" s="646"/>
      <c r="AV441" s="185"/>
    </row>
    <row r="442" spans="1:48" outlineLevel="4" x14ac:dyDescent="0.25">
      <c r="A442" s="63" t="str">
        <f t="shared" si="67"/>
        <v>1.3.1.9.19.63</v>
      </c>
      <c r="B442" s="64">
        <v>1</v>
      </c>
      <c r="C442" s="64">
        <v>3</v>
      </c>
      <c r="D442" s="64">
        <v>1</v>
      </c>
      <c r="E442" s="64">
        <v>9</v>
      </c>
      <c r="F442" s="64">
        <v>19</v>
      </c>
      <c r="G442" s="64">
        <v>63</v>
      </c>
      <c r="H442" s="65"/>
      <c r="I442" s="65"/>
      <c r="J442" s="65"/>
      <c r="K442" s="125" t="s">
        <v>494</v>
      </c>
      <c r="L442" s="64" t="s">
        <v>72</v>
      </c>
      <c r="M442" s="64" t="s">
        <v>73</v>
      </c>
      <c r="N442" s="64" t="s">
        <v>74</v>
      </c>
      <c r="O442" s="64" t="s">
        <v>367</v>
      </c>
      <c r="P442" s="69">
        <v>44200</v>
      </c>
      <c r="Q442" s="69">
        <v>44512</v>
      </c>
      <c r="R442" s="1336"/>
      <c r="S442" s="123"/>
      <c r="T442" s="124"/>
      <c r="U442" s="75"/>
      <c r="V442" s="674">
        <v>0</v>
      </c>
      <c r="W442" s="75"/>
      <c r="X442" s="75"/>
      <c r="Y442" s="834">
        <f t="shared" si="87"/>
        <v>0</v>
      </c>
      <c r="Z442" s="75"/>
      <c r="AA442" s="75"/>
      <c r="AB442" s="75"/>
      <c r="AC442" s="75"/>
      <c r="AD442" s="75"/>
      <c r="AE442" s="592"/>
      <c r="AF442" s="353"/>
      <c r="AG442" s="97">
        <v>0</v>
      </c>
      <c r="AH442" s="370">
        <v>0</v>
      </c>
      <c r="AI442" s="75"/>
      <c r="AJ442" s="75"/>
      <c r="AK442" s="75"/>
      <c r="AL442" s="75"/>
      <c r="AM442" s="75"/>
      <c r="AN442" s="64" t="s">
        <v>39</v>
      </c>
      <c r="AO442" s="64"/>
      <c r="AP442" s="64"/>
      <c r="AQ442" s="189"/>
      <c r="AR442" s="64"/>
      <c r="AS442" s="476"/>
      <c r="AT442" s="64"/>
      <c r="AU442" s="646"/>
      <c r="AV442" s="185"/>
    </row>
    <row r="443" spans="1:48" outlineLevel="4" x14ac:dyDescent="0.25">
      <c r="A443" s="63" t="str">
        <f t="shared" si="67"/>
        <v>1.3.1.9.19.64</v>
      </c>
      <c r="B443" s="64">
        <v>1</v>
      </c>
      <c r="C443" s="64">
        <v>3</v>
      </c>
      <c r="D443" s="64">
        <v>1</v>
      </c>
      <c r="E443" s="64">
        <v>9</v>
      </c>
      <c r="F443" s="64">
        <v>19</v>
      </c>
      <c r="G443" s="64">
        <v>64</v>
      </c>
      <c r="H443" s="65"/>
      <c r="I443" s="65"/>
      <c r="J443" s="65"/>
      <c r="K443" s="125" t="s">
        <v>495</v>
      </c>
      <c r="L443" s="64" t="s">
        <v>72</v>
      </c>
      <c r="M443" s="64" t="s">
        <v>73</v>
      </c>
      <c r="N443" s="64" t="s">
        <v>74</v>
      </c>
      <c r="O443" s="64" t="s">
        <v>367</v>
      </c>
      <c r="P443" s="69">
        <v>44200</v>
      </c>
      <c r="Q443" s="69">
        <v>44512</v>
      </c>
      <c r="R443" s="1336"/>
      <c r="S443" s="123"/>
      <c r="T443" s="124"/>
      <c r="U443" s="75"/>
      <c r="V443" s="674">
        <v>0</v>
      </c>
      <c r="W443" s="75"/>
      <c r="X443" s="75"/>
      <c r="Y443" s="834">
        <f t="shared" si="87"/>
        <v>0</v>
      </c>
      <c r="Z443" s="75"/>
      <c r="AA443" s="75"/>
      <c r="AB443" s="75"/>
      <c r="AC443" s="75"/>
      <c r="AD443" s="75"/>
      <c r="AE443" s="592"/>
      <c r="AF443" s="353"/>
      <c r="AG443" s="97">
        <v>0</v>
      </c>
      <c r="AH443" s="370">
        <v>0</v>
      </c>
      <c r="AI443" s="75"/>
      <c r="AJ443" s="75"/>
      <c r="AK443" s="75"/>
      <c r="AL443" s="75"/>
      <c r="AM443" s="75"/>
      <c r="AN443" s="64" t="s">
        <v>39</v>
      </c>
      <c r="AO443" s="64"/>
      <c r="AP443" s="64"/>
      <c r="AQ443" s="189"/>
      <c r="AR443" s="64"/>
      <c r="AS443" s="476"/>
      <c r="AT443" s="64"/>
      <c r="AU443" s="646"/>
      <c r="AV443" s="185"/>
    </row>
    <row r="444" spans="1:48" ht="30" outlineLevel="4" x14ac:dyDescent="0.25">
      <c r="A444" s="63" t="str">
        <f t="shared" si="67"/>
        <v>1.3.1.9.20.58</v>
      </c>
      <c r="B444" s="64">
        <v>1</v>
      </c>
      <c r="C444" s="64">
        <v>3</v>
      </c>
      <c r="D444" s="64">
        <v>1</v>
      </c>
      <c r="E444" s="64">
        <v>9</v>
      </c>
      <c r="F444" s="64">
        <v>20</v>
      </c>
      <c r="G444" s="64">
        <v>58</v>
      </c>
      <c r="H444" s="65"/>
      <c r="I444" s="65"/>
      <c r="J444" s="65"/>
      <c r="K444" s="86" t="s">
        <v>496</v>
      </c>
      <c r="L444" s="64" t="s">
        <v>72</v>
      </c>
      <c r="M444" s="100" t="s">
        <v>73</v>
      </c>
      <c r="N444" s="64" t="s">
        <v>74</v>
      </c>
      <c r="O444" s="64" t="s">
        <v>367</v>
      </c>
      <c r="P444" s="69">
        <v>44197</v>
      </c>
      <c r="Q444" s="69">
        <v>44377</v>
      </c>
      <c r="R444" s="1336">
        <v>325000</v>
      </c>
      <c r="S444" s="170">
        <v>0</v>
      </c>
      <c r="T444" s="170">
        <v>325000</v>
      </c>
      <c r="U444" s="97"/>
      <c r="V444" s="674">
        <v>0</v>
      </c>
      <c r="W444" s="97"/>
      <c r="X444" s="97">
        <f>+AH444/2</f>
        <v>464285.71428571426</v>
      </c>
      <c r="Y444" s="834">
        <f t="shared" si="87"/>
        <v>142857.14000000001</v>
      </c>
      <c r="Z444" s="97"/>
      <c r="AA444" s="97">
        <f>+AH444/2</f>
        <v>464285.71428571426</v>
      </c>
      <c r="AB444" s="97"/>
      <c r="AC444" s="75"/>
      <c r="AD444" s="75"/>
      <c r="AE444" s="592"/>
      <c r="AF444" s="259" t="s">
        <v>497</v>
      </c>
      <c r="AG444" s="75">
        <v>0</v>
      </c>
      <c r="AH444" s="370">
        <f>6500000/7</f>
        <v>928571.42857142852</v>
      </c>
      <c r="AI444" s="75"/>
      <c r="AJ444" s="75">
        <v>142857.14000000001</v>
      </c>
      <c r="AK444" s="75"/>
      <c r="AL444" s="75"/>
      <c r="AM444" s="75"/>
      <c r="AN444" s="64" t="s">
        <v>39</v>
      </c>
      <c r="AO444" s="165" t="s">
        <v>1819</v>
      </c>
      <c r="AP444" s="165" t="s">
        <v>1917</v>
      </c>
      <c r="AQ444" s="413" t="s">
        <v>2134</v>
      </c>
      <c r="AR444" s="64"/>
      <c r="AS444" s="475"/>
      <c r="AT444" s="64" t="s">
        <v>2029</v>
      </c>
      <c r="AU444" s="879">
        <v>1094</v>
      </c>
      <c r="AV444" s="1337" t="s">
        <v>498</v>
      </c>
    </row>
    <row r="445" spans="1:48" outlineLevel="4" x14ac:dyDescent="0.25">
      <c r="A445" s="63" t="str">
        <f t="shared" si="67"/>
        <v>1.3.1.9.20.29</v>
      </c>
      <c r="B445" s="64">
        <v>1</v>
      </c>
      <c r="C445" s="64">
        <v>3</v>
      </c>
      <c r="D445" s="64">
        <v>1</v>
      </c>
      <c r="E445" s="64">
        <v>9</v>
      </c>
      <c r="F445" s="64">
        <v>20</v>
      </c>
      <c r="G445" s="64">
        <v>29</v>
      </c>
      <c r="H445" s="65"/>
      <c r="I445" s="65"/>
      <c r="J445" s="65"/>
      <c r="K445" s="125" t="s">
        <v>499</v>
      </c>
      <c r="L445" s="64" t="s">
        <v>72</v>
      </c>
      <c r="M445" s="100" t="s">
        <v>73</v>
      </c>
      <c r="N445" s="64" t="s">
        <v>74</v>
      </c>
      <c r="O445" s="64" t="s">
        <v>367</v>
      </c>
      <c r="P445" s="69">
        <v>44197</v>
      </c>
      <c r="Q445" s="69">
        <v>44377</v>
      </c>
      <c r="R445" s="1336"/>
      <c r="S445" s="170"/>
      <c r="T445" s="170"/>
      <c r="U445" s="97"/>
      <c r="V445" s="674">
        <v>0</v>
      </c>
      <c r="W445" s="97"/>
      <c r="X445" s="97">
        <f t="shared" ref="X445:X450" si="88">+AH445/2</f>
        <v>464285.71428571426</v>
      </c>
      <c r="Y445" s="834">
        <f t="shared" si="87"/>
        <v>142857.14000000001</v>
      </c>
      <c r="Z445" s="97"/>
      <c r="AA445" s="97">
        <f t="shared" ref="AA445:AA450" si="89">+AH445/2</f>
        <v>464285.71428571426</v>
      </c>
      <c r="AB445" s="97"/>
      <c r="AC445" s="75"/>
      <c r="AD445" s="75"/>
      <c r="AE445" s="592"/>
      <c r="AF445" s="259" t="s">
        <v>497</v>
      </c>
      <c r="AG445" s="75">
        <v>0</v>
      </c>
      <c r="AH445" s="370">
        <f t="shared" ref="AH445:AH450" si="90">6500000/7</f>
        <v>928571.42857142852</v>
      </c>
      <c r="AI445" s="75"/>
      <c r="AJ445" s="75">
        <v>142857.14000000001</v>
      </c>
      <c r="AK445" s="75"/>
      <c r="AL445" s="75"/>
      <c r="AM445" s="75"/>
      <c r="AN445" s="64" t="s">
        <v>39</v>
      </c>
      <c r="AO445" s="165" t="s">
        <v>1819</v>
      </c>
      <c r="AP445" s="165" t="s">
        <v>1917</v>
      </c>
      <c r="AQ445" s="413" t="s">
        <v>2134</v>
      </c>
      <c r="AR445" s="64"/>
      <c r="AS445" s="475"/>
      <c r="AT445" s="64" t="s">
        <v>2029</v>
      </c>
      <c r="AU445" s="879">
        <v>1094</v>
      </c>
      <c r="AV445" s="1337"/>
    </row>
    <row r="446" spans="1:48" outlineLevel="4" x14ac:dyDescent="0.25">
      <c r="A446" s="63" t="str">
        <f t="shared" si="67"/>
        <v>1.3.1.9.20.60</v>
      </c>
      <c r="B446" s="64">
        <v>1</v>
      </c>
      <c r="C446" s="64">
        <v>3</v>
      </c>
      <c r="D446" s="64">
        <v>1</v>
      </c>
      <c r="E446" s="64">
        <v>9</v>
      </c>
      <c r="F446" s="64">
        <v>20</v>
      </c>
      <c r="G446" s="64">
        <v>60</v>
      </c>
      <c r="H446" s="65"/>
      <c r="I446" s="65"/>
      <c r="J446" s="65"/>
      <c r="K446" s="125" t="s">
        <v>500</v>
      </c>
      <c r="L446" s="64" t="s">
        <v>72</v>
      </c>
      <c r="M446" s="100" t="s">
        <v>73</v>
      </c>
      <c r="N446" s="64" t="s">
        <v>74</v>
      </c>
      <c r="O446" s="64" t="s">
        <v>367</v>
      </c>
      <c r="P446" s="69">
        <v>44197</v>
      </c>
      <c r="Q446" s="69">
        <v>44377</v>
      </c>
      <c r="R446" s="1336"/>
      <c r="S446" s="170"/>
      <c r="T446" s="170"/>
      <c r="U446" s="97"/>
      <c r="V446" s="674">
        <v>0</v>
      </c>
      <c r="W446" s="97"/>
      <c r="X446" s="97">
        <f t="shared" si="88"/>
        <v>464285.71428571426</v>
      </c>
      <c r="Y446" s="834">
        <f t="shared" si="87"/>
        <v>142857.14000000001</v>
      </c>
      <c r="Z446" s="97"/>
      <c r="AA446" s="97">
        <f t="shared" si="89"/>
        <v>464285.71428571426</v>
      </c>
      <c r="AB446" s="97"/>
      <c r="AC446" s="75"/>
      <c r="AD446" s="75"/>
      <c r="AE446" s="592"/>
      <c r="AF446" s="259" t="s">
        <v>497</v>
      </c>
      <c r="AG446" s="75">
        <v>0</v>
      </c>
      <c r="AH446" s="370">
        <f t="shared" si="90"/>
        <v>928571.42857142852</v>
      </c>
      <c r="AI446" s="75"/>
      <c r="AJ446" s="75">
        <v>142857.14000000001</v>
      </c>
      <c r="AK446" s="75"/>
      <c r="AL446" s="75"/>
      <c r="AM446" s="75"/>
      <c r="AN446" s="64" t="s">
        <v>39</v>
      </c>
      <c r="AO446" s="165" t="s">
        <v>1819</v>
      </c>
      <c r="AP446" s="165" t="s">
        <v>1917</v>
      </c>
      <c r="AQ446" s="413" t="s">
        <v>2134</v>
      </c>
      <c r="AR446" s="64"/>
      <c r="AS446" s="475"/>
      <c r="AT446" s="64" t="s">
        <v>2029</v>
      </c>
      <c r="AU446" s="879">
        <v>1094</v>
      </c>
      <c r="AV446" s="1337"/>
    </row>
    <row r="447" spans="1:48" ht="30" outlineLevel="4" x14ac:dyDescent="0.25">
      <c r="A447" s="63" t="str">
        <f t="shared" si="67"/>
        <v>1.3.1.9.20.61</v>
      </c>
      <c r="B447" s="64">
        <v>1</v>
      </c>
      <c r="C447" s="64">
        <v>3</v>
      </c>
      <c r="D447" s="64">
        <v>1</v>
      </c>
      <c r="E447" s="64">
        <v>9</v>
      </c>
      <c r="F447" s="64">
        <v>20</v>
      </c>
      <c r="G447" s="64">
        <v>61</v>
      </c>
      <c r="H447" s="65"/>
      <c r="I447" s="65"/>
      <c r="J447" s="65"/>
      <c r="K447" s="125" t="s">
        <v>501</v>
      </c>
      <c r="L447" s="64" t="s">
        <v>72</v>
      </c>
      <c r="M447" s="100" t="s">
        <v>73</v>
      </c>
      <c r="N447" s="64" t="s">
        <v>74</v>
      </c>
      <c r="O447" s="64" t="s">
        <v>367</v>
      </c>
      <c r="P447" s="69">
        <v>44197</v>
      </c>
      <c r="Q447" s="69">
        <v>44377</v>
      </c>
      <c r="R447" s="1336"/>
      <c r="S447" s="170"/>
      <c r="T447" s="170"/>
      <c r="U447" s="97"/>
      <c r="V447" s="674">
        <v>358400</v>
      </c>
      <c r="W447" s="97"/>
      <c r="X447" s="97">
        <f t="shared" si="88"/>
        <v>464285.71428571426</v>
      </c>
      <c r="Y447" s="834">
        <f t="shared" si="87"/>
        <v>142857.14000000001</v>
      </c>
      <c r="Z447" s="97"/>
      <c r="AA447" s="97">
        <f t="shared" si="89"/>
        <v>464285.71428571426</v>
      </c>
      <c r="AB447" s="97"/>
      <c r="AC447" s="75"/>
      <c r="AD447" s="75"/>
      <c r="AE447" s="592"/>
      <c r="AF447" s="259" t="s">
        <v>497</v>
      </c>
      <c r="AG447" s="75">
        <v>0</v>
      </c>
      <c r="AH447" s="370">
        <f t="shared" si="90"/>
        <v>928571.42857142852</v>
      </c>
      <c r="AI447" s="75"/>
      <c r="AJ447" s="75">
        <f>358400+142857.14</f>
        <v>501257.14</v>
      </c>
      <c r="AK447" s="75"/>
      <c r="AL447" s="75"/>
      <c r="AM447" s="75"/>
      <c r="AN447" s="64" t="s">
        <v>39</v>
      </c>
      <c r="AO447" s="165" t="s">
        <v>1819</v>
      </c>
      <c r="AP447" s="146" t="s">
        <v>2132</v>
      </c>
      <c r="AQ447" s="874" t="s">
        <v>2133</v>
      </c>
      <c r="AR447" s="64"/>
      <c r="AS447" s="475"/>
      <c r="AT447" s="64" t="s">
        <v>2029</v>
      </c>
      <c r="AU447" s="877" t="s">
        <v>2131</v>
      </c>
      <c r="AV447" s="1337"/>
    </row>
    <row r="448" spans="1:48" outlineLevel="4" x14ac:dyDescent="0.25">
      <c r="A448" s="63" t="str">
        <f t="shared" si="67"/>
        <v>1.3.1.9.20.62</v>
      </c>
      <c r="B448" s="64">
        <v>1</v>
      </c>
      <c r="C448" s="64">
        <v>3</v>
      </c>
      <c r="D448" s="64">
        <v>1</v>
      </c>
      <c r="E448" s="64">
        <v>9</v>
      </c>
      <c r="F448" s="64">
        <v>20</v>
      </c>
      <c r="G448" s="64">
        <v>62</v>
      </c>
      <c r="H448" s="65"/>
      <c r="I448" s="65"/>
      <c r="J448" s="65"/>
      <c r="K448" s="125" t="s">
        <v>1739</v>
      </c>
      <c r="L448" s="64" t="s">
        <v>72</v>
      </c>
      <c r="M448" s="100" t="s">
        <v>73</v>
      </c>
      <c r="N448" s="64" t="s">
        <v>74</v>
      </c>
      <c r="O448" s="64" t="s">
        <v>367</v>
      </c>
      <c r="P448" s="69">
        <v>44197</v>
      </c>
      <c r="Q448" s="69">
        <v>44377</v>
      </c>
      <c r="R448" s="1336"/>
      <c r="S448" s="170"/>
      <c r="T448" s="170"/>
      <c r="U448" s="97"/>
      <c r="V448" s="674">
        <v>0</v>
      </c>
      <c r="W448" s="97"/>
      <c r="X448" s="97">
        <f t="shared" si="88"/>
        <v>464285.71428571426</v>
      </c>
      <c r="Y448" s="834">
        <f t="shared" si="87"/>
        <v>142857.14000000001</v>
      </c>
      <c r="Z448" s="97"/>
      <c r="AA448" s="97">
        <f t="shared" si="89"/>
        <v>464285.71428571426</v>
      </c>
      <c r="AB448" s="97"/>
      <c r="AC448" s="75"/>
      <c r="AD448" s="75"/>
      <c r="AE448" s="592"/>
      <c r="AF448" s="259" t="s">
        <v>497</v>
      </c>
      <c r="AG448" s="75">
        <v>0</v>
      </c>
      <c r="AH448" s="370">
        <f t="shared" si="90"/>
        <v>928571.42857142852</v>
      </c>
      <c r="AI448" s="75"/>
      <c r="AJ448" s="75">
        <v>142857.14000000001</v>
      </c>
      <c r="AK448" s="75"/>
      <c r="AL448" s="75"/>
      <c r="AM448" s="75"/>
      <c r="AN448" s="64" t="s">
        <v>39</v>
      </c>
      <c r="AO448" s="165" t="s">
        <v>1819</v>
      </c>
      <c r="AP448" s="165" t="s">
        <v>1917</v>
      </c>
      <c r="AQ448" s="413" t="s">
        <v>2134</v>
      </c>
      <c r="AR448" s="64"/>
      <c r="AS448" s="475"/>
      <c r="AT448" s="64" t="s">
        <v>2029</v>
      </c>
      <c r="AU448" s="879">
        <v>1094</v>
      </c>
      <c r="AV448" s="1337"/>
    </row>
    <row r="449" spans="1:56" outlineLevel="4" x14ac:dyDescent="0.25">
      <c r="A449" s="63" t="str">
        <f t="shared" si="67"/>
        <v>1.3.1.9.20.63</v>
      </c>
      <c r="B449" s="64">
        <v>1</v>
      </c>
      <c r="C449" s="64">
        <v>3</v>
      </c>
      <c r="D449" s="64">
        <v>1</v>
      </c>
      <c r="E449" s="64">
        <v>9</v>
      </c>
      <c r="F449" s="64">
        <v>20</v>
      </c>
      <c r="G449" s="64">
        <v>63</v>
      </c>
      <c r="H449" s="65"/>
      <c r="I449" s="65"/>
      <c r="J449" s="65"/>
      <c r="K449" s="125" t="s">
        <v>502</v>
      </c>
      <c r="L449" s="64" t="s">
        <v>72</v>
      </c>
      <c r="M449" s="100" t="s">
        <v>73</v>
      </c>
      <c r="N449" s="64" t="s">
        <v>74</v>
      </c>
      <c r="O449" s="64" t="s">
        <v>367</v>
      </c>
      <c r="P449" s="69">
        <v>44197</v>
      </c>
      <c r="Q449" s="69">
        <v>44377</v>
      </c>
      <c r="R449" s="1336"/>
      <c r="S449" s="170"/>
      <c r="T449" s="170"/>
      <c r="U449" s="97"/>
      <c r="V449" s="674">
        <v>0</v>
      </c>
      <c r="W449" s="97"/>
      <c r="X449" s="97">
        <f t="shared" si="88"/>
        <v>464285.71428571426</v>
      </c>
      <c r="Y449" s="834">
        <f t="shared" si="87"/>
        <v>142857.14000000001</v>
      </c>
      <c r="Z449" s="97"/>
      <c r="AA449" s="97">
        <f t="shared" si="89"/>
        <v>464285.71428571426</v>
      </c>
      <c r="AB449" s="97"/>
      <c r="AC449" s="75"/>
      <c r="AD449" s="75"/>
      <c r="AE449" s="592"/>
      <c r="AF449" s="259" t="s">
        <v>497</v>
      </c>
      <c r="AG449" s="75">
        <v>0</v>
      </c>
      <c r="AH449" s="370">
        <f t="shared" si="90"/>
        <v>928571.42857142852</v>
      </c>
      <c r="AI449" s="75"/>
      <c r="AJ449" s="75">
        <v>142857.14000000001</v>
      </c>
      <c r="AK449" s="75"/>
      <c r="AL449" s="75"/>
      <c r="AM449" s="75"/>
      <c r="AN449" s="64" t="s">
        <v>39</v>
      </c>
      <c r="AO449" s="165" t="s">
        <v>1819</v>
      </c>
      <c r="AP449" s="165" t="s">
        <v>1917</v>
      </c>
      <c r="AQ449" s="413" t="s">
        <v>2134</v>
      </c>
      <c r="AR449" s="64"/>
      <c r="AS449" s="475"/>
      <c r="AT449" s="64" t="s">
        <v>2029</v>
      </c>
      <c r="AU449" s="879">
        <v>1094</v>
      </c>
      <c r="AV449" s="1337"/>
    </row>
    <row r="450" spans="1:56" outlineLevel="4" x14ac:dyDescent="0.25">
      <c r="A450" s="63" t="str">
        <f t="shared" si="67"/>
        <v>1.3.1.9.20.64</v>
      </c>
      <c r="B450" s="64">
        <v>1</v>
      </c>
      <c r="C450" s="64">
        <v>3</v>
      </c>
      <c r="D450" s="64">
        <v>1</v>
      </c>
      <c r="E450" s="64">
        <v>9</v>
      </c>
      <c r="F450" s="64">
        <v>20</v>
      </c>
      <c r="G450" s="64">
        <v>64</v>
      </c>
      <c r="H450" s="65"/>
      <c r="I450" s="65"/>
      <c r="J450" s="65"/>
      <c r="K450" s="125" t="s">
        <v>503</v>
      </c>
      <c r="L450" s="64" t="s">
        <v>72</v>
      </c>
      <c r="M450" s="100" t="s">
        <v>73</v>
      </c>
      <c r="N450" s="64" t="s">
        <v>74</v>
      </c>
      <c r="O450" s="64" t="s">
        <v>367</v>
      </c>
      <c r="P450" s="69">
        <v>44197</v>
      </c>
      <c r="Q450" s="69">
        <v>44377</v>
      </c>
      <c r="R450" s="1336"/>
      <c r="S450" s="170"/>
      <c r="T450" s="170"/>
      <c r="U450" s="97"/>
      <c r="V450" s="674">
        <v>0</v>
      </c>
      <c r="W450" s="97"/>
      <c r="X450" s="97">
        <f t="shared" si="88"/>
        <v>464285.71428571426</v>
      </c>
      <c r="Y450" s="834">
        <f t="shared" si="87"/>
        <v>142857.16</v>
      </c>
      <c r="Z450" s="97"/>
      <c r="AA450" s="97">
        <f t="shared" si="89"/>
        <v>464285.71428571426</v>
      </c>
      <c r="AB450" s="97"/>
      <c r="AC450" s="75"/>
      <c r="AD450" s="75"/>
      <c r="AE450" s="592"/>
      <c r="AF450" s="259" t="s">
        <v>497</v>
      </c>
      <c r="AG450" s="75">
        <v>0</v>
      </c>
      <c r="AH450" s="370">
        <f t="shared" si="90"/>
        <v>928571.42857142852</v>
      </c>
      <c r="AI450" s="75"/>
      <c r="AJ450" s="75">
        <v>142857.16</v>
      </c>
      <c r="AK450" s="75"/>
      <c r="AL450" s="75"/>
      <c r="AM450" s="75"/>
      <c r="AN450" s="64" t="s">
        <v>39</v>
      </c>
      <c r="AO450" s="165" t="s">
        <v>1819</v>
      </c>
      <c r="AP450" s="165" t="s">
        <v>1917</v>
      </c>
      <c r="AQ450" s="413" t="s">
        <v>2134</v>
      </c>
      <c r="AR450" s="64"/>
      <c r="AS450" s="475"/>
      <c r="AT450" s="64" t="s">
        <v>2029</v>
      </c>
      <c r="AU450" s="879">
        <v>1094</v>
      </c>
      <c r="AV450" s="1337"/>
    </row>
    <row r="451" spans="1:56" ht="30" outlineLevel="4" x14ac:dyDescent="0.25">
      <c r="A451" s="63" t="str">
        <f t="shared" si="67"/>
        <v>1.3.1.9.21.58</v>
      </c>
      <c r="B451" s="64">
        <v>1</v>
      </c>
      <c r="C451" s="64">
        <v>3</v>
      </c>
      <c r="D451" s="64">
        <v>1</v>
      </c>
      <c r="E451" s="64">
        <v>9</v>
      </c>
      <c r="F451" s="64">
        <v>21</v>
      </c>
      <c r="G451" s="64">
        <v>58</v>
      </c>
      <c r="H451" s="65"/>
      <c r="I451" s="65"/>
      <c r="J451" s="65"/>
      <c r="K451" s="86" t="s">
        <v>504</v>
      </c>
      <c r="L451" s="64" t="s">
        <v>72</v>
      </c>
      <c r="M451" s="64" t="s">
        <v>255</v>
      </c>
      <c r="N451" s="64" t="s">
        <v>265</v>
      </c>
      <c r="O451" s="64" t="s">
        <v>264</v>
      </c>
      <c r="P451" s="69"/>
      <c r="Q451" s="69"/>
      <c r="R451" s="124"/>
      <c r="S451" s="123"/>
      <c r="T451" s="124"/>
      <c r="U451" s="75"/>
      <c r="V451" s="674">
        <v>0</v>
      </c>
      <c r="W451" s="75"/>
      <c r="X451" s="75"/>
      <c r="Y451" s="834">
        <f t="shared" si="87"/>
        <v>0</v>
      </c>
      <c r="Z451" s="75"/>
      <c r="AA451" s="75"/>
      <c r="AB451" s="75"/>
      <c r="AC451" s="75"/>
      <c r="AD451" s="75"/>
      <c r="AE451" s="592"/>
      <c r="AF451" s="347"/>
      <c r="AG451" s="75">
        <v>0</v>
      </c>
      <c r="AH451" s="370">
        <v>0</v>
      </c>
      <c r="AI451" s="75"/>
      <c r="AJ451" s="75"/>
      <c r="AK451" s="75"/>
      <c r="AL451" s="75"/>
      <c r="AM451" s="75"/>
      <c r="AN451" s="64" t="s">
        <v>39</v>
      </c>
      <c r="AO451" s="64"/>
      <c r="AP451" s="64"/>
      <c r="AQ451" s="189"/>
      <c r="AR451" s="64"/>
      <c r="AS451" s="476"/>
      <c r="AT451" s="64"/>
      <c r="AU451" s="646"/>
      <c r="AV451" s="185"/>
    </row>
    <row r="452" spans="1:56" ht="30" outlineLevel="4" x14ac:dyDescent="0.25">
      <c r="A452" s="63" t="str">
        <f t="shared" si="67"/>
        <v>1.3.1.9.21.59</v>
      </c>
      <c r="B452" s="64">
        <v>1</v>
      </c>
      <c r="C452" s="64">
        <v>3</v>
      </c>
      <c r="D452" s="64">
        <v>1</v>
      </c>
      <c r="E452" s="64">
        <v>9</v>
      </c>
      <c r="F452" s="64">
        <v>21</v>
      </c>
      <c r="G452" s="64">
        <v>59</v>
      </c>
      <c r="H452" s="65"/>
      <c r="I452" s="65"/>
      <c r="J452" s="65"/>
      <c r="K452" s="86" t="s">
        <v>505</v>
      </c>
      <c r="L452" s="64" t="s">
        <v>72</v>
      </c>
      <c r="M452" s="64" t="s">
        <v>255</v>
      </c>
      <c r="N452" s="64" t="s">
        <v>265</v>
      </c>
      <c r="O452" s="64" t="s">
        <v>264</v>
      </c>
      <c r="P452" s="69"/>
      <c r="Q452" s="69"/>
      <c r="R452" s="124"/>
      <c r="S452" s="123"/>
      <c r="T452" s="124"/>
      <c r="U452" s="75"/>
      <c r="V452" s="674">
        <v>0</v>
      </c>
      <c r="W452" s="75"/>
      <c r="X452" s="75"/>
      <c r="Y452" s="834">
        <f t="shared" si="87"/>
        <v>0</v>
      </c>
      <c r="Z452" s="75"/>
      <c r="AA452" s="75"/>
      <c r="AB452" s="75"/>
      <c r="AC452" s="75"/>
      <c r="AD452" s="75"/>
      <c r="AE452" s="592"/>
      <c r="AF452" s="347"/>
      <c r="AG452" s="75">
        <v>0</v>
      </c>
      <c r="AH452" s="370">
        <v>0</v>
      </c>
      <c r="AI452" s="75"/>
      <c r="AJ452" s="75"/>
      <c r="AK452" s="75"/>
      <c r="AL452" s="75"/>
      <c r="AM452" s="75"/>
      <c r="AN452" s="64" t="s">
        <v>39</v>
      </c>
      <c r="AO452" s="64"/>
      <c r="AP452" s="64"/>
      <c r="AQ452" s="189"/>
      <c r="AR452" s="64"/>
      <c r="AS452" s="476"/>
      <c r="AT452" s="64"/>
      <c r="AU452" s="646"/>
      <c r="AV452" s="185"/>
    </row>
    <row r="453" spans="1:56" ht="30" outlineLevel="4" x14ac:dyDescent="0.25">
      <c r="A453" s="63" t="str">
        <f t="shared" si="67"/>
        <v>1.3.1.9.21.60</v>
      </c>
      <c r="B453" s="64">
        <v>1</v>
      </c>
      <c r="C453" s="64">
        <v>3</v>
      </c>
      <c r="D453" s="64">
        <v>1</v>
      </c>
      <c r="E453" s="64">
        <v>9</v>
      </c>
      <c r="F453" s="64">
        <v>21</v>
      </c>
      <c r="G453" s="64">
        <v>60</v>
      </c>
      <c r="H453" s="65"/>
      <c r="I453" s="65"/>
      <c r="J453" s="65"/>
      <c r="K453" s="86" t="s">
        <v>506</v>
      </c>
      <c r="L453" s="64" t="s">
        <v>72</v>
      </c>
      <c r="M453" s="64" t="s">
        <v>255</v>
      </c>
      <c r="N453" s="64" t="s">
        <v>265</v>
      </c>
      <c r="O453" s="64" t="s">
        <v>264</v>
      </c>
      <c r="P453" s="69"/>
      <c r="Q453" s="69"/>
      <c r="R453" s="124"/>
      <c r="S453" s="123"/>
      <c r="T453" s="124"/>
      <c r="U453" s="75"/>
      <c r="V453" s="674">
        <v>0</v>
      </c>
      <c r="W453" s="75"/>
      <c r="X453" s="75"/>
      <c r="Y453" s="834">
        <f t="shared" si="87"/>
        <v>0</v>
      </c>
      <c r="Z453" s="75"/>
      <c r="AA453" s="75"/>
      <c r="AB453" s="75"/>
      <c r="AC453" s="75"/>
      <c r="AD453" s="75"/>
      <c r="AE453" s="592"/>
      <c r="AF453" s="347"/>
      <c r="AG453" s="75">
        <v>0</v>
      </c>
      <c r="AH453" s="370">
        <v>0</v>
      </c>
      <c r="AI453" s="75"/>
      <c r="AJ453" s="75"/>
      <c r="AK453" s="75"/>
      <c r="AL453" s="75"/>
      <c r="AM453" s="75"/>
      <c r="AN453" s="64" t="s">
        <v>39</v>
      </c>
      <c r="AO453" s="64"/>
      <c r="AP453" s="64"/>
      <c r="AQ453" s="189"/>
      <c r="AR453" s="64"/>
      <c r="AS453" s="476"/>
      <c r="AT453" s="64"/>
      <c r="AU453" s="646"/>
      <c r="AV453" s="185"/>
    </row>
    <row r="454" spans="1:56" ht="30" outlineLevel="4" x14ac:dyDescent="0.25">
      <c r="A454" s="63" t="str">
        <f t="shared" si="67"/>
        <v>1.3.1.9.21.61</v>
      </c>
      <c r="B454" s="64">
        <v>1</v>
      </c>
      <c r="C454" s="64">
        <v>3</v>
      </c>
      <c r="D454" s="64">
        <v>1</v>
      </c>
      <c r="E454" s="64">
        <v>9</v>
      </c>
      <c r="F454" s="64">
        <v>21</v>
      </c>
      <c r="G454" s="64">
        <v>61</v>
      </c>
      <c r="H454" s="65"/>
      <c r="I454" s="65"/>
      <c r="J454" s="65"/>
      <c r="K454" s="86" t="s">
        <v>507</v>
      </c>
      <c r="L454" s="64" t="s">
        <v>72</v>
      </c>
      <c r="M454" s="64" t="s">
        <v>255</v>
      </c>
      <c r="N454" s="64" t="s">
        <v>265</v>
      </c>
      <c r="O454" s="64" t="s">
        <v>264</v>
      </c>
      <c r="P454" s="69"/>
      <c r="Q454" s="69"/>
      <c r="R454" s="124"/>
      <c r="S454" s="123"/>
      <c r="T454" s="124"/>
      <c r="U454" s="75"/>
      <c r="V454" s="674">
        <v>0</v>
      </c>
      <c r="W454" s="75"/>
      <c r="X454" s="75"/>
      <c r="Y454" s="834">
        <f t="shared" si="87"/>
        <v>0</v>
      </c>
      <c r="Z454" s="75"/>
      <c r="AA454" s="75"/>
      <c r="AB454" s="75"/>
      <c r="AC454" s="75"/>
      <c r="AD454" s="75"/>
      <c r="AE454" s="592"/>
      <c r="AF454" s="347"/>
      <c r="AG454" s="75">
        <v>0</v>
      </c>
      <c r="AH454" s="370">
        <v>0</v>
      </c>
      <c r="AI454" s="75"/>
      <c r="AJ454" s="75"/>
      <c r="AK454" s="75"/>
      <c r="AL454" s="75"/>
      <c r="AM454" s="75"/>
      <c r="AN454" s="64" t="s">
        <v>39</v>
      </c>
      <c r="AO454" s="64"/>
      <c r="AP454" s="64"/>
      <c r="AQ454" s="189"/>
      <c r="AR454" s="64"/>
      <c r="AS454" s="476"/>
      <c r="AT454" s="64"/>
      <c r="AU454" s="646"/>
      <c r="AV454" s="185"/>
    </row>
    <row r="455" spans="1:56" ht="30" outlineLevel="4" x14ac:dyDescent="0.25">
      <c r="A455" s="63" t="str">
        <f t="shared" si="67"/>
        <v>1.3.1.9.21.62</v>
      </c>
      <c r="B455" s="64">
        <v>1</v>
      </c>
      <c r="C455" s="64">
        <v>3</v>
      </c>
      <c r="D455" s="64">
        <v>1</v>
      </c>
      <c r="E455" s="64">
        <v>9</v>
      </c>
      <c r="F455" s="64">
        <v>21</v>
      </c>
      <c r="G455" s="64">
        <v>62</v>
      </c>
      <c r="H455" s="65"/>
      <c r="I455" s="65"/>
      <c r="J455" s="65"/>
      <c r="K455" s="86" t="s">
        <v>1740</v>
      </c>
      <c r="L455" s="64" t="s">
        <v>72</v>
      </c>
      <c r="M455" s="64" t="s">
        <v>255</v>
      </c>
      <c r="N455" s="64" t="s">
        <v>265</v>
      </c>
      <c r="O455" s="64" t="s">
        <v>264</v>
      </c>
      <c r="P455" s="69"/>
      <c r="Q455" s="69"/>
      <c r="R455" s="124"/>
      <c r="S455" s="123"/>
      <c r="T455" s="124"/>
      <c r="U455" s="75"/>
      <c r="V455" s="674">
        <v>0</v>
      </c>
      <c r="W455" s="75"/>
      <c r="X455" s="75"/>
      <c r="Y455" s="834">
        <f t="shared" si="87"/>
        <v>0</v>
      </c>
      <c r="Z455" s="75"/>
      <c r="AA455" s="75"/>
      <c r="AB455" s="75"/>
      <c r="AC455" s="75"/>
      <c r="AD455" s="75"/>
      <c r="AE455" s="592"/>
      <c r="AF455" s="347"/>
      <c r="AG455" s="75">
        <v>0</v>
      </c>
      <c r="AH455" s="370">
        <v>0</v>
      </c>
      <c r="AI455" s="75"/>
      <c r="AJ455" s="75"/>
      <c r="AK455" s="75"/>
      <c r="AL455" s="75"/>
      <c r="AM455" s="75"/>
      <c r="AN455" s="64" t="s">
        <v>39</v>
      </c>
      <c r="AO455" s="64"/>
      <c r="AP455" s="64"/>
      <c r="AQ455" s="189"/>
      <c r="AR455" s="64"/>
      <c r="AS455" s="476"/>
      <c r="AT455" s="64"/>
      <c r="AU455" s="646"/>
      <c r="AV455" s="185"/>
    </row>
    <row r="456" spans="1:56" ht="30" outlineLevel="4" x14ac:dyDescent="0.25">
      <c r="A456" s="63" t="str">
        <f t="shared" si="67"/>
        <v>1.3.1.9.21.63</v>
      </c>
      <c r="B456" s="64">
        <v>1</v>
      </c>
      <c r="C456" s="64">
        <v>3</v>
      </c>
      <c r="D456" s="64">
        <v>1</v>
      </c>
      <c r="E456" s="64">
        <v>9</v>
      </c>
      <c r="F456" s="64">
        <v>21</v>
      </c>
      <c r="G456" s="64">
        <v>63</v>
      </c>
      <c r="H456" s="65"/>
      <c r="I456" s="65"/>
      <c r="J456" s="65"/>
      <c r="K456" s="86" t="s">
        <v>508</v>
      </c>
      <c r="L456" s="64" t="s">
        <v>72</v>
      </c>
      <c r="M456" s="64" t="s">
        <v>255</v>
      </c>
      <c r="N456" s="64" t="s">
        <v>265</v>
      </c>
      <c r="O456" s="64" t="s">
        <v>264</v>
      </c>
      <c r="P456" s="69"/>
      <c r="Q456" s="69"/>
      <c r="R456" s="124"/>
      <c r="S456" s="123"/>
      <c r="T456" s="124"/>
      <c r="U456" s="75"/>
      <c r="V456" s="674">
        <v>0</v>
      </c>
      <c r="W456" s="75"/>
      <c r="X456" s="75"/>
      <c r="Y456" s="834">
        <f t="shared" si="87"/>
        <v>0</v>
      </c>
      <c r="Z456" s="75"/>
      <c r="AA456" s="75"/>
      <c r="AB456" s="75"/>
      <c r="AC456" s="75"/>
      <c r="AD456" s="75"/>
      <c r="AE456" s="592"/>
      <c r="AF456" s="347"/>
      <c r="AG456" s="75">
        <v>0</v>
      </c>
      <c r="AH456" s="370">
        <v>0</v>
      </c>
      <c r="AI456" s="75"/>
      <c r="AJ456" s="75"/>
      <c r="AK456" s="75"/>
      <c r="AL456" s="75"/>
      <c r="AM456" s="75"/>
      <c r="AN456" s="64" t="s">
        <v>39</v>
      </c>
      <c r="AO456" s="64"/>
      <c r="AP456" s="64"/>
      <c r="AQ456" s="189"/>
      <c r="AR456" s="64"/>
      <c r="AS456" s="476"/>
      <c r="AT456" s="64"/>
      <c r="AU456" s="646"/>
      <c r="AV456" s="185"/>
    </row>
    <row r="457" spans="1:56" ht="30" outlineLevel="4" x14ac:dyDescent="0.25">
      <c r="A457" s="63" t="str">
        <f t="shared" si="67"/>
        <v>1.3.1.9.21.64</v>
      </c>
      <c r="B457" s="64">
        <v>1</v>
      </c>
      <c r="C457" s="64">
        <v>3</v>
      </c>
      <c r="D457" s="64">
        <v>1</v>
      </c>
      <c r="E457" s="64">
        <v>9</v>
      </c>
      <c r="F457" s="64">
        <v>21</v>
      </c>
      <c r="G457" s="64">
        <v>64</v>
      </c>
      <c r="H457" s="65"/>
      <c r="I457" s="65"/>
      <c r="J457" s="65"/>
      <c r="K457" s="86" t="s">
        <v>509</v>
      </c>
      <c r="L457" s="64" t="s">
        <v>72</v>
      </c>
      <c r="M457" s="64" t="s">
        <v>255</v>
      </c>
      <c r="N457" s="64" t="s">
        <v>265</v>
      </c>
      <c r="O457" s="64" t="s">
        <v>264</v>
      </c>
      <c r="P457" s="69"/>
      <c r="Q457" s="69"/>
      <c r="R457" s="124"/>
      <c r="S457" s="123"/>
      <c r="T457" s="124"/>
      <c r="U457" s="75"/>
      <c r="V457" s="674">
        <v>0</v>
      </c>
      <c r="W457" s="75"/>
      <c r="X457" s="75"/>
      <c r="Y457" s="834">
        <f t="shared" si="87"/>
        <v>0</v>
      </c>
      <c r="Z457" s="75"/>
      <c r="AA457" s="75"/>
      <c r="AB457" s="75"/>
      <c r="AC457" s="75"/>
      <c r="AD457" s="75"/>
      <c r="AE457" s="592"/>
      <c r="AF457" s="347"/>
      <c r="AG457" s="75">
        <v>0</v>
      </c>
      <c r="AH457" s="370">
        <v>0</v>
      </c>
      <c r="AI457" s="75"/>
      <c r="AJ457" s="75"/>
      <c r="AK457" s="75"/>
      <c r="AL457" s="75"/>
      <c r="AM457" s="75"/>
      <c r="AN457" s="64" t="s">
        <v>39</v>
      </c>
      <c r="AO457" s="64"/>
      <c r="AP457" s="64"/>
      <c r="AQ457" s="189"/>
      <c r="AR457" s="64"/>
      <c r="AS457" s="476"/>
      <c r="AT457" s="64"/>
      <c r="AU457" s="646"/>
      <c r="AV457" s="185"/>
    </row>
    <row r="458" spans="1:56" ht="30" outlineLevel="4" x14ac:dyDescent="0.25">
      <c r="A458" s="63" t="str">
        <f t="shared" si="67"/>
        <v>1.3.1.9.22.58</v>
      </c>
      <c r="B458" s="64">
        <v>1</v>
      </c>
      <c r="C458" s="64">
        <v>3</v>
      </c>
      <c r="D458" s="64">
        <v>1</v>
      </c>
      <c r="E458" s="64">
        <v>9</v>
      </c>
      <c r="F458" s="64">
        <v>22</v>
      </c>
      <c r="G458" s="64">
        <v>58</v>
      </c>
      <c r="H458" s="65"/>
      <c r="I458" s="65"/>
      <c r="J458" s="65"/>
      <c r="K458" s="86" t="s">
        <v>510</v>
      </c>
      <c r="L458" s="64" t="s">
        <v>72</v>
      </c>
      <c r="M458" s="64" t="s">
        <v>255</v>
      </c>
      <c r="N458" s="64" t="s">
        <v>265</v>
      </c>
      <c r="O458" s="64" t="s">
        <v>264</v>
      </c>
      <c r="P458" s="69"/>
      <c r="Q458" s="69"/>
      <c r="R458" s="170"/>
      <c r="S458" s="170"/>
      <c r="T458" s="170"/>
      <c r="U458" s="97"/>
      <c r="V458" s="674">
        <v>0</v>
      </c>
      <c r="W458" s="97"/>
      <c r="X458" s="97"/>
      <c r="Y458" s="834">
        <f t="shared" si="87"/>
        <v>0</v>
      </c>
      <c r="Z458" s="97"/>
      <c r="AA458" s="97"/>
      <c r="AB458" s="97"/>
      <c r="AC458" s="75"/>
      <c r="AD458" s="75"/>
      <c r="AE458" s="592"/>
      <c r="AF458" s="353"/>
      <c r="AG458" s="97">
        <v>0</v>
      </c>
      <c r="AH458" s="370">
        <v>0</v>
      </c>
      <c r="AI458" s="75"/>
      <c r="AJ458" s="75"/>
      <c r="AK458" s="75"/>
      <c r="AL458" s="75"/>
      <c r="AM458" s="75"/>
      <c r="AN458" s="64" t="s">
        <v>39</v>
      </c>
      <c r="AO458" s="64"/>
      <c r="AP458" s="64"/>
      <c r="AQ458" s="189"/>
      <c r="AR458" s="64"/>
      <c r="AS458" s="476"/>
      <c r="AT458" s="64"/>
      <c r="AU458" s="646"/>
      <c r="AV458" s="185"/>
      <c r="BD458" s="162">
        <v>6500000</v>
      </c>
    </row>
    <row r="459" spans="1:56" ht="30" outlineLevel="4" x14ac:dyDescent="0.25">
      <c r="A459" s="63" t="str">
        <f t="shared" si="67"/>
        <v>1.3.1.9.22.59</v>
      </c>
      <c r="B459" s="64">
        <v>1</v>
      </c>
      <c r="C459" s="64">
        <v>3</v>
      </c>
      <c r="D459" s="64">
        <v>1</v>
      </c>
      <c r="E459" s="64">
        <v>9</v>
      </c>
      <c r="F459" s="64">
        <v>22</v>
      </c>
      <c r="G459" s="64">
        <v>59</v>
      </c>
      <c r="H459" s="65"/>
      <c r="I459" s="65"/>
      <c r="J459" s="65"/>
      <c r="K459" s="86" t="s">
        <v>511</v>
      </c>
      <c r="L459" s="64" t="s">
        <v>72</v>
      </c>
      <c r="M459" s="64" t="s">
        <v>255</v>
      </c>
      <c r="N459" s="64" t="s">
        <v>265</v>
      </c>
      <c r="O459" s="64" t="s">
        <v>264</v>
      </c>
      <c r="P459" s="69"/>
      <c r="Q459" s="69"/>
      <c r="R459" s="170"/>
      <c r="S459" s="170"/>
      <c r="T459" s="170"/>
      <c r="U459" s="97"/>
      <c r="V459" s="674">
        <v>0</v>
      </c>
      <c r="W459" s="97"/>
      <c r="X459" s="97"/>
      <c r="Y459" s="834">
        <f t="shared" si="87"/>
        <v>0</v>
      </c>
      <c r="Z459" s="97"/>
      <c r="AA459" s="97"/>
      <c r="AB459" s="97"/>
      <c r="AC459" s="75"/>
      <c r="AD459" s="75"/>
      <c r="AE459" s="592"/>
      <c r="AF459" s="353"/>
      <c r="AG459" s="97">
        <v>0</v>
      </c>
      <c r="AH459" s="370">
        <v>0</v>
      </c>
      <c r="AI459" s="75"/>
      <c r="AJ459" s="75"/>
      <c r="AK459" s="75"/>
      <c r="AL459" s="75"/>
      <c r="AM459" s="75"/>
      <c r="AN459" s="64" t="s">
        <v>39</v>
      </c>
      <c r="AO459" s="64"/>
      <c r="AP459" s="64"/>
      <c r="AQ459" s="189"/>
      <c r="AR459" s="64"/>
      <c r="AS459" s="476"/>
      <c r="AT459" s="64"/>
      <c r="AU459" s="646"/>
      <c r="AV459" s="185"/>
      <c r="BD459" s="162">
        <f>SUBTOTAL(9,BD405:BD458)</f>
        <v>30680000</v>
      </c>
    </row>
    <row r="460" spans="1:56" ht="30" outlineLevel="4" x14ac:dyDescent="0.25">
      <c r="A460" s="63" t="str">
        <f t="shared" si="67"/>
        <v>1.3.1.9.22.60</v>
      </c>
      <c r="B460" s="64">
        <v>1</v>
      </c>
      <c r="C460" s="64">
        <v>3</v>
      </c>
      <c r="D460" s="64">
        <v>1</v>
      </c>
      <c r="E460" s="64">
        <v>9</v>
      </c>
      <c r="F460" s="64">
        <v>22</v>
      </c>
      <c r="G460" s="64">
        <v>60</v>
      </c>
      <c r="H460" s="65"/>
      <c r="I460" s="65"/>
      <c r="J460" s="65"/>
      <c r="K460" s="86" t="s">
        <v>512</v>
      </c>
      <c r="L460" s="64" t="s">
        <v>72</v>
      </c>
      <c r="M460" s="64" t="s">
        <v>255</v>
      </c>
      <c r="N460" s="64" t="s">
        <v>265</v>
      </c>
      <c r="O460" s="64" t="s">
        <v>264</v>
      </c>
      <c r="P460" s="69"/>
      <c r="Q460" s="69"/>
      <c r="R460" s="170"/>
      <c r="S460" s="170"/>
      <c r="T460" s="170"/>
      <c r="U460" s="97"/>
      <c r="V460" s="674">
        <v>0</v>
      </c>
      <c r="W460" s="97"/>
      <c r="X460" s="97"/>
      <c r="Y460" s="834">
        <f t="shared" si="87"/>
        <v>0</v>
      </c>
      <c r="Z460" s="97"/>
      <c r="AA460" s="97"/>
      <c r="AB460" s="97"/>
      <c r="AC460" s="75"/>
      <c r="AD460" s="75"/>
      <c r="AE460" s="592"/>
      <c r="AF460" s="353"/>
      <c r="AG460" s="97">
        <v>0</v>
      </c>
      <c r="AH460" s="370">
        <v>0</v>
      </c>
      <c r="AI460" s="75"/>
      <c r="AJ460" s="75"/>
      <c r="AK460" s="75"/>
      <c r="AL460" s="75"/>
      <c r="AM460" s="75"/>
      <c r="AN460" s="64" t="s">
        <v>39</v>
      </c>
      <c r="AO460" s="64"/>
      <c r="AP460" s="64"/>
      <c r="AQ460" s="189"/>
      <c r="AR460" s="64"/>
      <c r="AS460" s="476"/>
      <c r="AT460" s="64"/>
      <c r="AU460" s="646"/>
      <c r="AV460" s="185"/>
      <c r="BD460" s="162">
        <v>34000000</v>
      </c>
    </row>
    <row r="461" spans="1:56" ht="30" outlineLevel="4" x14ac:dyDescent="0.25">
      <c r="A461" s="63" t="str">
        <f t="shared" si="67"/>
        <v>1.3.1.9.22.61</v>
      </c>
      <c r="B461" s="64">
        <v>1</v>
      </c>
      <c r="C461" s="64">
        <v>3</v>
      </c>
      <c r="D461" s="64">
        <v>1</v>
      </c>
      <c r="E461" s="64">
        <v>9</v>
      </c>
      <c r="F461" s="64">
        <v>22</v>
      </c>
      <c r="G461" s="64">
        <v>61</v>
      </c>
      <c r="H461" s="65"/>
      <c r="I461" s="65"/>
      <c r="J461" s="65"/>
      <c r="K461" s="86" t="s">
        <v>513</v>
      </c>
      <c r="L461" s="64" t="s">
        <v>72</v>
      </c>
      <c r="M461" s="64" t="s">
        <v>255</v>
      </c>
      <c r="N461" s="64" t="s">
        <v>265</v>
      </c>
      <c r="O461" s="64" t="s">
        <v>264</v>
      </c>
      <c r="P461" s="69"/>
      <c r="Q461" s="69"/>
      <c r="R461" s="170"/>
      <c r="S461" s="170"/>
      <c r="T461" s="170"/>
      <c r="U461" s="97"/>
      <c r="V461" s="674">
        <v>0</v>
      </c>
      <c r="W461" s="97"/>
      <c r="X461" s="97"/>
      <c r="Y461" s="834">
        <f t="shared" si="87"/>
        <v>0</v>
      </c>
      <c r="Z461" s="97"/>
      <c r="AA461" s="97"/>
      <c r="AB461" s="97"/>
      <c r="AC461" s="75"/>
      <c r="AD461" s="75"/>
      <c r="AE461" s="592"/>
      <c r="AF461" s="353"/>
      <c r="AG461" s="97">
        <v>0</v>
      </c>
      <c r="AH461" s="370">
        <v>0</v>
      </c>
      <c r="AI461" s="75"/>
      <c r="AJ461" s="75"/>
      <c r="AK461" s="75"/>
      <c r="AL461" s="75"/>
      <c r="AM461" s="75"/>
      <c r="AN461" s="64" t="s">
        <v>39</v>
      </c>
      <c r="AO461" s="64"/>
      <c r="AP461" s="64"/>
      <c r="AQ461" s="189"/>
      <c r="AR461" s="64"/>
      <c r="AS461" s="476"/>
      <c r="AT461" s="64"/>
      <c r="AU461" s="646"/>
      <c r="AV461" s="185"/>
      <c r="BD461" s="162">
        <f>+BD459+BD460</f>
        <v>64680000</v>
      </c>
    </row>
    <row r="462" spans="1:56" ht="30" outlineLevel="4" x14ac:dyDescent="0.25">
      <c r="A462" s="63" t="str">
        <f t="shared" si="67"/>
        <v>1.3.1.9.22.62</v>
      </c>
      <c r="B462" s="64">
        <v>1</v>
      </c>
      <c r="C462" s="64">
        <v>3</v>
      </c>
      <c r="D462" s="64">
        <v>1</v>
      </c>
      <c r="E462" s="64">
        <v>9</v>
      </c>
      <c r="F462" s="64">
        <v>22</v>
      </c>
      <c r="G462" s="64">
        <v>62</v>
      </c>
      <c r="H462" s="65"/>
      <c r="I462" s="65"/>
      <c r="J462" s="65"/>
      <c r="K462" s="86" t="s">
        <v>1741</v>
      </c>
      <c r="L462" s="64" t="s">
        <v>72</v>
      </c>
      <c r="M462" s="64" t="s">
        <v>255</v>
      </c>
      <c r="N462" s="64" t="s">
        <v>265</v>
      </c>
      <c r="O462" s="64" t="s">
        <v>264</v>
      </c>
      <c r="P462" s="69"/>
      <c r="Q462" s="69"/>
      <c r="R462" s="170"/>
      <c r="S462" s="170"/>
      <c r="T462" s="170"/>
      <c r="U462" s="97"/>
      <c r="V462" s="674">
        <v>0</v>
      </c>
      <c r="W462" s="97"/>
      <c r="X462" s="97"/>
      <c r="Y462" s="834">
        <f t="shared" si="87"/>
        <v>0</v>
      </c>
      <c r="Z462" s="97"/>
      <c r="AA462" s="97"/>
      <c r="AB462" s="97"/>
      <c r="AC462" s="75"/>
      <c r="AD462" s="75"/>
      <c r="AE462" s="592"/>
      <c r="AF462" s="353"/>
      <c r="AG462" s="97">
        <v>0</v>
      </c>
      <c r="AH462" s="370">
        <v>0</v>
      </c>
      <c r="AI462" s="75"/>
      <c r="AJ462" s="75"/>
      <c r="AK462" s="75"/>
      <c r="AL462" s="75"/>
      <c r="AM462" s="75"/>
      <c r="AN462" s="64" t="s">
        <v>39</v>
      </c>
      <c r="AO462" s="64"/>
      <c r="AP462" s="64"/>
      <c r="AQ462" s="189"/>
      <c r="AR462" s="64"/>
      <c r="AS462" s="476"/>
      <c r="AT462" s="64"/>
      <c r="AU462" s="646"/>
      <c r="AV462" s="185"/>
    </row>
    <row r="463" spans="1:56" ht="30" outlineLevel="4" x14ac:dyDescent="0.25">
      <c r="A463" s="63" t="str">
        <f t="shared" si="67"/>
        <v>1.3.1.9.22.63</v>
      </c>
      <c r="B463" s="64">
        <v>1</v>
      </c>
      <c r="C463" s="64">
        <v>3</v>
      </c>
      <c r="D463" s="64">
        <v>1</v>
      </c>
      <c r="E463" s="64">
        <v>9</v>
      </c>
      <c r="F463" s="64">
        <v>22</v>
      </c>
      <c r="G463" s="64">
        <v>63</v>
      </c>
      <c r="H463" s="65"/>
      <c r="I463" s="65"/>
      <c r="J463" s="65"/>
      <c r="K463" s="86" t="s">
        <v>514</v>
      </c>
      <c r="L463" s="64" t="s">
        <v>72</v>
      </c>
      <c r="M463" s="64" t="s">
        <v>255</v>
      </c>
      <c r="N463" s="64" t="s">
        <v>265</v>
      </c>
      <c r="O463" s="64" t="s">
        <v>264</v>
      </c>
      <c r="P463" s="69"/>
      <c r="Q463" s="69"/>
      <c r="R463" s="170"/>
      <c r="S463" s="170"/>
      <c r="T463" s="170"/>
      <c r="U463" s="97"/>
      <c r="V463" s="674">
        <v>0</v>
      </c>
      <c r="W463" s="97"/>
      <c r="X463" s="97"/>
      <c r="Y463" s="834">
        <f t="shared" si="87"/>
        <v>0</v>
      </c>
      <c r="Z463" s="97"/>
      <c r="AA463" s="97"/>
      <c r="AB463" s="97"/>
      <c r="AC463" s="75"/>
      <c r="AD463" s="75"/>
      <c r="AE463" s="592"/>
      <c r="AF463" s="353"/>
      <c r="AG463" s="97">
        <v>0</v>
      </c>
      <c r="AH463" s="370">
        <v>0</v>
      </c>
      <c r="AI463" s="75"/>
      <c r="AJ463" s="75"/>
      <c r="AK463" s="75"/>
      <c r="AL463" s="75"/>
      <c r="AM463" s="75"/>
      <c r="AN463" s="64" t="s">
        <v>39</v>
      </c>
      <c r="AO463" s="64"/>
      <c r="AP463" s="64"/>
      <c r="AQ463" s="189"/>
      <c r="AR463" s="64"/>
      <c r="AS463" s="476"/>
      <c r="AT463" s="64"/>
      <c r="AU463" s="646"/>
      <c r="AV463" s="185"/>
    </row>
    <row r="464" spans="1:56" ht="30" outlineLevel="4" x14ac:dyDescent="0.25">
      <c r="A464" s="63" t="str">
        <f t="shared" si="67"/>
        <v>1.3.1.9.22.64</v>
      </c>
      <c r="B464" s="64">
        <v>1</v>
      </c>
      <c r="C464" s="64">
        <v>3</v>
      </c>
      <c r="D464" s="64">
        <v>1</v>
      </c>
      <c r="E464" s="64">
        <v>9</v>
      </c>
      <c r="F464" s="64">
        <v>22</v>
      </c>
      <c r="G464" s="64">
        <v>64</v>
      </c>
      <c r="H464" s="65"/>
      <c r="I464" s="65"/>
      <c r="J464" s="65"/>
      <c r="K464" s="86" t="s">
        <v>515</v>
      </c>
      <c r="L464" s="64" t="s">
        <v>72</v>
      </c>
      <c r="M464" s="64" t="s">
        <v>255</v>
      </c>
      <c r="N464" s="64" t="s">
        <v>265</v>
      </c>
      <c r="O464" s="64" t="s">
        <v>264</v>
      </c>
      <c r="P464" s="69"/>
      <c r="Q464" s="69"/>
      <c r="R464" s="170"/>
      <c r="S464" s="170"/>
      <c r="T464" s="170"/>
      <c r="U464" s="97"/>
      <c r="V464" s="674">
        <v>0</v>
      </c>
      <c r="W464" s="97"/>
      <c r="X464" s="97"/>
      <c r="Y464" s="834">
        <f t="shared" si="87"/>
        <v>0</v>
      </c>
      <c r="Z464" s="97"/>
      <c r="AA464" s="97"/>
      <c r="AB464" s="97"/>
      <c r="AC464" s="75"/>
      <c r="AD464" s="75"/>
      <c r="AE464" s="592"/>
      <c r="AF464" s="353"/>
      <c r="AG464" s="97">
        <v>0</v>
      </c>
      <c r="AH464" s="370">
        <v>0</v>
      </c>
      <c r="AI464" s="75"/>
      <c r="AJ464" s="75"/>
      <c r="AK464" s="75"/>
      <c r="AL464" s="75"/>
      <c r="AM464" s="75"/>
      <c r="AN464" s="64" t="s">
        <v>39</v>
      </c>
      <c r="AO464" s="64"/>
      <c r="AP464" s="64"/>
      <c r="AQ464" s="189"/>
      <c r="AR464" s="64"/>
      <c r="AS464" s="476"/>
      <c r="AT464" s="64"/>
      <c r="AU464" s="646"/>
      <c r="AV464" s="185"/>
    </row>
    <row r="465" spans="1:48" outlineLevel="4" x14ac:dyDescent="0.25">
      <c r="A465" s="63" t="str">
        <f t="shared" si="67"/>
        <v>1.3.1.9.23.0</v>
      </c>
      <c r="B465" s="64">
        <v>1</v>
      </c>
      <c r="C465" s="64">
        <v>3</v>
      </c>
      <c r="D465" s="64">
        <v>1</v>
      </c>
      <c r="E465" s="64">
        <v>9</v>
      </c>
      <c r="F465" s="64">
        <v>23</v>
      </c>
      <c r="G465" s="64">
        <v>0</v>
      </c>
      <c r="H465" s="65"/>
      <c r="I465" s="65"/>
      <c r="J465" s="65"/>
      <c r="K465" s="86" t="s">
        <v>1855</v>
      </c>
      <c r="L465" s="64" t="s">
        <v>72</v>
      </c>
      <c r="M465" s="64" t="s">
        <v>422</v>
      </c>
      <c r="N465" s="64" t="s">
        <v>423</v>
      </c>
      <c r="O465" s="64" t="s">
        <v>246</v>
      </c>
      <c r="P465" s="69"/>
      <c r="Q465" s="69"/>
      <c r="R465" s="170"/>
      <c r="S465" s="170"/>
      <c r="T465" s="170"/>
      <c r="U465" s="97"/>
      <c r="V465" s="674">
        <v>0</v>
      </c>
      <c r="W465" s="97"/>
      <c r="X465" s="97"/>
      <c r="Y465" s="834">
        <f t="shared" si="87"/>
        <v>0</v>
      </c>
      <c r="Z465" s="97"/>
      <c r="AA465" s="97"/>
      <c r="AB465" s="97"/>
      <c r="AC465" s="75"/>
      <c r="AD465" s="75"/>
      <c r="AE465" s="592"/>
      <c r="AF465" s="353"/>
      <c r="AG465" s="97">
        <v>0</v>
      </c>
      <c r="AH465" s="370">
        <v>0</v>
      </c>
      <c r="AI465" s="75"/>
      <c r="AJ465" s="75"/>
      <c r="AK465" s="75"/>
      <c r="AL465" s="75"/>
      <c r="AM465" s="75"/>
      <c r="AN465" s="64" t="s">
        <v>39</v>
      </c>
      <c r="AO465" s="64"/>
      <c r="AP465" s="64"/>
      <c r="AQ465" s="189"/>
      <c r="AR465" s="64"/>
      <c r="AS465" s="476"/>
      <c r="AT465" s="64"/>
      <c r="AU465" s="646"/>
      <c r="AV465" s="441"/>
    </row>
    <row r="466" spans="1:48" ht="29.1" customHeight="1" outlineLevel="4" x14ac:dyDescent="0.25">
      <c r="A466" s="63" t="str">
        <f t="shared" si="67"/>
        <v>1.3.1.9.24.0</v>
      </c>
      <c r="B466" s="64">
        <v>1</v>
      </c>
      <c r="C466" s="64">
        <v>3</v>
      </c>
      <c r="D466" s="64">
        <v>1</v>
      </c>
      <c r="E466" s="64">
        <v>9</v>
      </c>
      <c r="F466" s="64">
        <v>24</v>
      </c>
      <c r="G466" s="64">
        <v>0</v>
      </c>
      <c r="H466" s="65"/>
      <c r="I466" s="65"/>
      <c r="J466" s="65"/>
      <c r="K466" s="86" t="s">
        <v>1856</v>
      </c>
      <c r="L466" s="64" t="s">
        <v>72</v>
      </c>
      <c r="M466" s="64" t="s">
        <v>73</v>
      </c>
      <c r="N466" s="64" t="s">
        <v>516</v>
      </c>
      <c r="O466" s="64" t="s">
        <v>367</v>
      </c>
      <c r="P466" s="69"/>
      <c r="Q466" s="69"/>
      <c r="R466" s="170"/>
      <c r="S466" s="170"/>
      <c r="T466" s="170"/>
      <c r="U466" s="97"/>
      <c r="V466" s="674">
        <v>0</v>
      </c>
      <c r="W466" s="97"/>
      <c r="X466" s="97"/>
      <c r="Y466" s="834">
        <f t="shared" si="87"/>
        <v>0</v>
      </c>
      <c r="Z466" s="97"/>
      <c r="AA466" s="97"/>
      <c r="AB466" s="97"/>
      <c r="AC466" s="75"/>
      <c r="AD466" s="75"/>
      <c r="AE466" s="592"/>
      <c r="AF466" s="353"/>
      <c r="AG466" s="97">
        <v>0</v>
      </c>
      <c r="AH466" s="370">
        <v>0</v>
      </c>
      <c r="AI466" s="75"/>
      <c r="AJ466" s="75"/>
      <c r="AK466" s="75"/>
      <c r="AL466" s="75"/>
      <c r="AM466" s="75"/>
      <c r="AN466" s="64" t="s">
        <v>39</v>
      </c>
      <c r="AO466" s="64"/>
      <c r="AP466" s="64"/>
      <c r="AQ466" s="189"/>
      <c r="AR466" s="64"/>
      <c r="AS466" s="476"/>
      <c r="AT466" s="64"/>
      <c r="AU466" s="646"/>
      <c r="AV466" s="442"/>
    </row>
    <row r="467" spans="1:48" outlineLevel="4" x14ac:dyDescent="0.25">
      <c r="A467" s="63" t="str">
        <f t="shared" si="67"/>
        <v>1.3.1.9.25.58</v>
      </c>
      <c r="B467" s="64">
        <v>1</v>
      </c>
      <c r="C467" s="64">
        <v>3</v>
      </c>
      <c r="D467" s="64">
        <v>1</v>
      </c>
      <c r="E467" s="64">
        <v>9</v>
      </c>
      <c r="F467" s="64">
        <v>25</v>
      </c>
      <c r="G467" s="64">
        <v>58</v>
      </c>
      <c r="H467" s="65"/>
      <c r="I467" s="65"/>
      <c r="J467" s="65"/>
      <c r="K467" s="125" t="s">
        <v>517</v>
      </c>
      <c r="L467" s="64" t="s">
        <v>72</v>
      </c>
      <c r="M467" s="64" t="s">
        <v>73</v>
      </c>
      <c r="N467" s="64" t="s">
        <v>74</v>
      </c>
      <c r="O467" s="64" t="s">
        <v>367</v>
      </c>
      <c r="P467" s="69">
        <v>44200</v>
      </c>
      <c r="Q467" s="69">
        <v>44561</v>
      </c>
      <c r="R467" s="64">
        <f t="shared" ref="R467:R473" si="91">+SUM(T467+W467+Z467+AC467)</f>
        <v>1349</v>
      </c>
      <c r="S467" s="123" t="s">
        <v>518</v>
      </c>
      <c r="T467" s="124">
        <v>337</v>
      </c>
      <c r="U467" s="75"/>
      <c r="V467" s="674">
        <v>0</v>
      </c>
      <c r="W467" s="75">
        <v>337</v>
      </c>
      <c r="X467" s="75">
        <f t="shared" ref="X467:X473" si="92">+AH467/2</f>
        <v>1782142.855</v>
      </c>
      <c r="Y467" s="834">
        <f t="shared" si="87"/>
        <v>940857.14</v>
      </c>
      <c r="Z467" s="75">
        <v>337</v>
      </c>
      <c r="AA467" s="75">
        <f t="shared" ref="AA467:AA473" si="93">+AH467/2</f>
        <v>1782142.855</v>
      </c>
      <c r="AB467" s="75"/>
      <c r="AC467" s="75">
        <v>338</v>
      </c>
      <c r="AD467" s="75"/>
      <c r="AE467" s="592"/>
      <c r="AF467" s="1338">
        <v>9444</v>
      </c>
      <c r="AG467" s="97">
        <v>0</v>
      </c>
      <c r="AH467" s="370">
        <v>3564285.71</v>
      </c>
      <c r="AI467" s="75"/>
      <c r="AJ467" s="75">
        <f>340000+600857.14</f>
        <v>940857.14</v>
      </c>
      <c r="AK467" s="75"/>
      <c r="AL467" s="75"/>
      <c r="AM467" s="75"/>
      <c r="AN467" s="64" t="s">
        <v>39</v>
      </c>
      <c r="AO467" s="313" t="s">
        <v>1819</v>
      </c>
      <c r="AP467" s="313" t="s">
        <v>2160</v>
      </c>
      <c r="AQ467" s="408" t="s">
        <v>2161</v>
      </c>
      <c r="AR467" s="69">
        <v>44658</v>
      </c>
      <c r="AS467" s="562">
        <v>45023</v>
      </c>
      <c r="AT467" s="89" t="s">
        <v>2029</v>
      </c>
      <c r="AU467" s="883" t="s">
        <v>2162</v>
      </c>
      <c r="AV467" s="1339" t="s">
        <v>519</v>
      </c>
    </row>
    <row r="468" spans="1:48" outlineLevel="4" x14ac:dyDescent="0.25">
      <c r="A468" s="63" t="str">
        <f t="shared" si="67"/>
        <v>1.3.1.9.25.59</v>
      </c>
      <c r="B468" s="64">
        <v>1</v>
      </c>
      <c r="C468" s="64">
        <v>3</v>
      </c>
      <c r="D468" s="64">
        <v>1</v>
      </c>
      <c r="E468" s="64">
        <v>9</v>
      </c>
      <c r="F468" s="64">
        <v>25</v>
      </c>
      <c r="G468" s="64">
        <v>59</v>
      </c>
      <c r="H468" s="65"/>
      <c r="I468" s="65"/>
      <c r="J468" s="65"/>
      <c r="K468" s="125" t="s">
        <v>520</v>
      </c>
      <c r="L468" s="64" t="s">
        <v>72</v>
      </c>
      <c r="M468" s="64" t="s">
        <v>73</v>
      </c>
      <c r="N468" s="64" t="s">
        <v>74</v>
      </c>
      <c r="O468" s="64" t="s">
        <v>367</v>
      </c>
      <c r="P468" s="69">
        <v>44200</v>
      </c>
      <c r="Q468" s="69">
        <v>44561</v>
      </c>
      <c r="R468" s="64">
        <f t="shared" si="91"/>
        <v>1349</v>
      </c>
      <c r="S468" s="123"/>
      <c r="T468" s="124">
        <v>337</v>
      </c>
      <c r="U468" s="75"/>
      <c r="V468" s="674">
        <v>0</v>
      </c>
      <c r="W468" s="75">
        <v>337</v>
      </c>
      <c r="X468" s="75">
        <f t="shared" si="92"/>
        <v>1782142.855</v>
      </c>
      <c r="Y468" s="834">
        <f t="shared" si="87"/>
        <v>940857.14</v>
      </c>
      <c r="Z468" s="75">
        <v>337</v>
      </c>
      <c r="AA468" s="75">
        <f t="shared" si="93"/>
        <v>1782142.855</v>
      </c>
      <c r="AB468" s="75"/>
      <c r="AC468" s="75">
        <v>338</v>
      </c>
      <c r="AD468" s="75"/>
      <c r="AE468" s="592"/>
      <c r="AF468" s="1338"/>
      <c r="AG468" s="97">
        <v>0</v>
      </c>
      <c r="AH468" s="370">
        <v>3564285.71</v>
      </c>
      <c r="AI468" s="75"/>
      <c r="AJ468" s="75">
        <f t="shared" ref="AJ468:AJ472" si="94">340000+600857.14</f>
        <v>940857.14</v>
      </c>
      <c r="AK468" s="75"/>
      <c r="AL468" s="75"/>
      <c r="AM468" s="75"/>
      <c r="AN468" s="64" t="s">
        <v>39</v>
      </c>
      <c r="AO468" s="313" t="s">
        <v>1819</v>
      </c>
      <c r="AP468" s="313" t="s">
        <v>2160</v>
      </c>
      <c r="AQ468" s="408" t="s">
        <v>2161</v>
      </c>
      <c r="AR468" s="69">
        <v>44658</v>
      </c>
      <c r="AS468" s="562">
        <v>45023</v>
      </c>
      <c r="AT468" s="89" t="s">
        <v>2029</v>
      </c>
      <c r="AU468" s="883" t="s">
        <v>2162</v>
      </c>
      <c r="AV468" s="1339"/>
    </row>
    <row r="469" spans="1:48" outlineLevel="4" x14ac:dyDescent="0.25">
      <c r="A469" s="63" t="str">
        <f t="shared" si="67"/>
        <v>1.3.1.9.25.60</v>
      </c>
      <c r="B469" s="64">
        <v>1</v>
      </c>
      <c r="C469" s="64">
        <v>3</v>
      </c>
      <c r="D469" s="64">
        <v>1</v>
      </c>
      <c r="E469" s="64">
        <v>9</v>
      </c>
      <c r="F469" s="64">
        <v>25</v>
      </c>
      <c r="G469" s="64">
        <v>60</v>
      </c>
      <c r="H469" s="65"/>
      <c r="I469" s="65"/>
      <c r="J469" s="65"/>
      <c r="K469" s="125" t="s">
        <v>521</v>
      </c>
      <c r="L469" s="64" t="s">
        <v>72</v>
      </c>
      <c r="M469" s="64" t="s">
        <v>73</v>
      </c>
      <c r="N469" s="64" t="s">
        <v>74</v>
      </c>
      <c r="O469" s="64" t="s">
        <v>367</v>
      </c>
      <c r="P469" s="69">
        <v>44200</v>
      </c>
      <c r="Q469" s="69">
        <v>44561</v>
      </c>
      <c r="R469" s="64">
        <f t="shared" si="91"/>
        <v>1349</v>
      </c>
      <c r="S469" s="123"/>
      <c r="T469" s="124">
        <v>337</v>
      </c>
      <c r="U469" s="75"/>
      <c r="V469" s="674">
        <v>0</v>
      </c>
      <c r="W469" s="75">
        <v>337</v>
      </c>
      <c r="X469" s="75">
        <f t="shared" si="92"/>
        <v>1782142.855</v>
      </c>
      <c r="Y469" s="834">
        <f t="shared" si="87"/>
        <v>940857.14</v>
      </c>
      <c r="Z469" s="75">
        <v>337</v>
      </c>
      <c r="AA469" s="75">
        <f t="shared" si="93"/>
        <v>1782142.855</v>
      </c>
      <c r="AB469" s="75"/>
      <c r="AC469" s="75">
        <v>338</v>
      </c>
      <c r="AD469" s="75"/>
      <c r="AE469" s="592"/>
      <c r="AF469" s="1338"/>
      <c r="AG469" s="97">
        <v>0</v>
      </c>
      <c r="AH469" s="370">
        <v>3564285.71</v>
      </c>
      <c r="AI469" s="75"/>
      <c r="AJ469" s="75">
        <f t="shared" si="94"/>
        <v>940857.14</v>
      </c>
      <c r="AK469" s="75"/>
      <c r="AL469" s="75"/>
      <c r="AM469" s="75"/>
      <c r="AN469" s="64" t="s">
        <v>39</v>
      </c>
      <c r="AO469" s="313" t="s">
        <v>1819</v>
      </c>
      <c r="AP469" s="313" t="s">
        <v>2160</v>
      </c>
      <c r="AQ469" s="408" t="s">
        <v>2161</v>
      </c>
      <c r="AR469" s="69">
        <v>44658</v>
      </c>
      <c r="AS469" s="562">
        <v>45023</v>
      </c>
      <c r="AT469" s="89" t="s">
        <v>2029</v>
      </c>
      <c r="AU469" s="883" t="s">
        <v>2162</v>
      </c>
      <c r="AV469" s="1339"/>
    </row>
    <row r="470" spans="1:48" outlineLevel="4" x14ac:dyDescent="0.25">
      <c r="A470" s="63" t="str">
        <f t="shared" si="67"/>
        <v>1.3.1.9.25.61</v>
      </c>
      <c r="B470" s="64">
        <v>1</v>
      </c>
      <c r="C470" s="64">
        <v>3</v>
      </c>
      <c r="D470" s="64">
        <v>1</v>
      </c>
      <c r="E470" s="64">
        <v>9</v>
      </c>
      <c r="F470" s="64">
        <v>25</v>
      </c>
      <c r="G470" s="64">
        <v>61</v>
      </c>
      <c r="H470" s="65"/>
      <c r="I470" s="65"/>
      <c r="J470" s="65"/>
      <c r="K470" s="125" t="s">
        <v>522</v>
      </c>
      <c r="L470" s="64" t="s">
        <v>72</v>
      </c>
      <c r="M470" s="64" t="s">
        <v>73</v>
      </c>
      <c r="N470" s="64" t="s">
        <v>74</v>
      </c>
      <c r="O470" s="64" t="s">
        <v>367</v>
      </c>
      <c r="P470" s="69">
        <v>44200</v>
      </c>
      <c r="Q470" s="69">
        <v>44561</v>
      </c>
      <c r="R470" s="64">
        <f t="shared" si="91"/>
        <v>1349</v>
      </c>
      <c r="S470" s="123"/>
      <c r="T470" s="124">
        <v>337</v>
      </c>
      <c r="U470" s="75"/>
      <c r="V470" s="674">
        <v>0</v>
      </c>
      <c r="W470" s="75">
        <v>337</v>
      </c>
      <c r="X470" s="75">
        <f t="shared" si="92"/>
        <v>1782142.855</v>
      </c>
      <c r="Y470" s="834">
        <f t="shared" si="87"/>
        <v>940857.14</v>
      </c>
      <c r="Z470" s="75">
        <v>337</v>
      </c>
      <c r="AA470" s="75">
        <f t="shared" si="93"/>
        <v>1782142.855</v>
      </c>
      <c r="AB470" s="75"/>
      <c r="AC470" s="75">
        <v>338</v>
      </c>
      <c r="AD470" s="75"/>
      <c r="AE470" s="592"/>
      <c r="AF470" s="1338"/>
      <c r="AG470" s="97">
        <v>0</v>
      </c>
      <c r="AH470" s="370">
        <v>3564285.71</v>
      </c>
      <c r="AI470" s="75"/>
      <c r="AJ470" s="75">
        <f t="shared" si="94"/>
        <v>940857.14</v>
      </c>
      <c r="AK470" s="75"/>
      <c r="AL470" s="75"/>
      <c r="AM470" s="75"/>
      <c r="AN470" s="64" t="s">
        <v>39</v>
      </c>
      <c r="AO470" s="313" t="s">
        <v>1819</v>
      </c>
      <c r="AP470" s="313" t="s">
        <v>2160</v>
      </c>
      <c r="AQ470" s="408" t="s">
        <v>2161</v>
      </c>
      <c r="AR470" s="69">
        <v>44658</v>
      </c>
      <c r="AS470" s="562">
        <v>45023</v>
      </c>
      <c r="AT470" s="89" t="s">
        <v>2029</v>
      </c>
      <c r="AU470" s="883" t="s">
        <v>2162</v>
      </c>
      <c r="AV470" s="1339"/>
    </row>
    <row r="471" spans="1:48" outlineLevel="4" x14ac:dyDescent="0.25">
      <c r="A471" s="63" t="str">
        <f t="shared" si="67"/>
        <v>1.3.1.9.25.62</v>
      </c>
      <c r="B471" s="64">
        <v>1</v>
      </c>
      <c r="C471" s="64">
        <v>3</v>
      </c>
      <c r="D471" s="64">
        <v>1</v>
      </c>
      <c r="E471" s="64">
        <v>9</v>
      </c>
      <c r="F471" s="64">
        <v>25</v>
      </c>
      <c r="G471" s="64">
        <v>62</v>
      </c>
      <c r="H471" s="65"/>
      <c r="I471" s="65"/>
      <c r="J471" s="65"/>
      <c r="K471" s="125" t="s">
        <v>1742</v>
      </c>
      <c r="L471" s="64" t="s">
        <v>72</v>
      </c>
      <c r="M471" s="64" t="s">
        <v>73</v>
      </c>
      <c r="N471" s="64" t="s">
        <v>74</v>
      </c>
      <c r="O471" s="64" t="s">
        <v>367</v>
      </c>
      <c r="P471" s="69">
        <v>44200</v>
      </c>
      <c r="Q471" s="69">
        <v>44561</v>
      </c>
      <c r="R471" s="64">
        <f t="shared" si="91"/>
        <v>1349</v>
      </c>
      <c r="S471" s="123"/>
      <c r="T471" s="124">
        <v>337</v>
      </c>
      <c r="U471" s="75"/>
      <c r="V471" s="674">
        <v>0</v>
      </c>
      <c r="W471" s="75">
        <v>337</v>
      </c>
      <c r="X471" s="75">
        <f t="shared" si="92"/>
        <v>1782142.855</v>
      </c>
      <c r="Y471" s="834">
        <f t="shared" si="87"/>
        <v>940857.14</v>
      </c>
      <c r="Z471" s="75">
        <v>337</v>
      </c>
      <c r="AA471" s="75">
        <f t="shared" si="93"/>
        <v>1782142.855</v>
      </c>
      <c r="AB471" s="75"/>
      <c r="AC471" s="75">
        <v>338</v>
      </c>
      <c r="AD471" s="75"/>
      <c r="AE471" s="592"/>
      <c r="AF471" s="1338"/>
      <c r="AG471" s="97">
        <v>0</v>
      </c>
      <c r="AH471" s="370">
        <v>3564285.71</v>
      </c>
      <c r="AI471" s="75"/>
      <c r="AJ471" s="75">
        <f t="shared" si="94"/>
        <v>940857.14</v>
      </c>
      <c r="AK471" s="75"/>
      <c r="AL471" s="75"/>
      <c r="AM471" s="75"/>
      <c r="AN471" s="64" t="s">
        <v>39</v>
      </c>
      <c r="AO471" s="313" t="s">
        <v>1819</v>
      </c>
      <c r="AP471" s="313" t="s">
        <v>2160</v>
      </c>
      <c r="AQ471" s="408" t="s">
        <v>2161</v>
      </c>
      <c r="AR471" s="69">
        <v>44658</v>
      </c>
      <c r="AS471" s="562">
        <v>45023</v>
      </c>
      <c r="AT471" s="89" t="s">
        <v>2029</v>
      </c>
      <c r="AU471" s="883" t="s">
        <v>2162</v>
      </c>
      <c r="AV471" s="1339"/>
    </row>
    <row r="472" spans="1:48" outlineLevel="4" x14ac:dyDescent="0.25">
      <c r="A472" s="63" t="str">
        <f t="shared" si="67"/>
        <v>1.3.1.9.25.63</v>
      </c>
      <c r="B472" s="64">
        <v>1</v>
      </c>
      <c r="C472" s="64">
        <v>3</v>
      </c>
      <c r="D472" s="64">
        <v>1</v>
      </c>
      <c r="E472" s="64">
        <v>9</v>
      </c>
      <c r="F472" s="64">
        <v>25</v>
      </c>
      <c r="G472" s="64">
        <v>63</v>
      </c>
      <c r="H472" s="65"/>
      <c r="I472" s="65"/>
      <c r="J472" s="65"/>
      <c r="K472" s="125" t="s">
        <v>523</v>
      </c>
      <c r="L472" s="64" t="s">
        <v>72</v>
      </c>
      <c r="M472" s="64" t="s">
        <v>73</v>
      </c>
      <c r="N472" s="64" t="s">
        <v>74</v>
      </c>
      <c r="O472" s="64" t="s">
        <v>367</v>
      </c>
      <c r="P472" s="69">
        <v>44200</v>
      </c>
      <c r="Q472" s="69">
        <v>44561</v>
      </c>
      <c r="R472" s="64">
        <f t="shared" si="91"/>
        <v>1349</v>
      </c>
      <c r="S472" s="123"/>
      <c r="T472" s="124">
        <v>337</v>
      </c>
      <c r="U472" s="75"/>
      <c r="V472" s="674">
        <v>0</v>
      </c>
      <c r="W472" s="75">
        <v>337</v>
      </c>
      <c r="X472" s="75">
        <f t="shared" si="92"/>
        <v>1782142.855</v>
      </c>
      <c r="Y472" s="834">
        <f t="shared" si="87"/>
        <v>940857.14</v>
      </c>
      <c r="Z472" s="75">
        <v>337</v>
      </c>
      <c r="AA472" s="75">
        <f t="shared" si="93"/>
        <v>1782142.855</v>
      </c>
      <c r="AB472" s="75"/>
      <c r="AC472" s="75">
        <v>338</v>
      </c>
      <c r="AD472" s="75"/>
      <c r="AE472" s="592"/>
      <c r="AF472" s="1338"/>
      <c r="AG472" s="97">
        <v>0</v>
      </c>
      <c r="AH472" s="370">
        <v>3564285.71</v>
      </c>
      <c r="AI472" s="75"/>
      <c r="AJ472" s="75">
        <f t="shared" si="94"/>
        <v>940857.14</v>
      </c>
      <c r="AK472" s="75"/>
      <c r="AL472" s="75"/>
      <c r="AM472" s="75"/>
      <c r="AN472" s="64" t="s">
        <v>39</v>
      </c>
      <c r="AO472" s="313" t="s">
        <v>1819</v>
      </c>
      <c r="AP472" s="313" t="s">
        <v>2160</v>
      </c>
      <c r="AQ472" s="408" t="s">
        <v>2161</v>
      </c>
      <c r="AR472" s="69">
        <v>44658</v>
      </c>
      <c r="AS472" s="562">
        <v>45023</v>
      </c>
      <c r="AT472" s="89" t="s">
        <v>2029</v>
      </c>
      <c r="AU472" s="883" t="s">
        <v>2162</v>
      </c>
      <c r="AV472" s="1339"/>
    </row>
    <row r="473" spans="1:48" outlineLevel="4" x14ac:dyDescent="0.25">
      <c r="A473" s="63" t="str">
        <f t="shared" si="67"/>
        <v>1.3.1.9.25.64</v>
      </c>
      <c r="B473" s="64">
        <v>1</v>
      </c>
      <c r="C473" s="64">
        <v>3</v>
      </c>
      <c r="D473" s="64">
        <v>1</v>
      </c>
      <c r="E473" s="64">
        <v>9</v>
      </c>
      <c r="F473" s="64">
        <v>25</v>
      </c>
      <c r="G473" s="64">
        <v>64</v>
      </c>
      <c r="H473" s="65"/>
      <c r="I473" s="65"/>
      <c r="J473" s="65"/>
      <c r="K473" s="125" t="s">
        <v>524</v>
      </c>
      <c r="L473" s="64" t="s">
        <v>72</v>
      </c>
      <c r="M473" s="64" t="s">
        <v>73</v>
      </c>
      <c r="N473" s="64" t="s">
        <v>74</v>
      </c>
      <c r="O473" s="64" t="s">
        <v>367</v>
      </c>
      <c r="P473" s="69">
        <v>44200</v>
      </c>
      <c r="Q473" s="69">
        <v>44561</v>
      </c>
      <c r="R473" s="64">
        <f t="shared" si="91"/>
        <v>1350</v>
      </c>
      <c r="S473" s="123"/>
      <c r="T473" s="124">
        <v>337</v>
      </c>
      <c r="V473" s="674">
        <v>0</v>
      </c>
      <c r="W473" s="75">
        <v>337</v>
      </c>
      <c r="X473" s="75">
        <f t="shared" si="92"/>
        <v>1782142.855</v>
      </c>
      <c r="Y473" s="834">
        <f t="shared" si="87"/>
        <v>940857.16</v>
      </c>
      <c r="Z473" s="75">
        <v>337</v>
      </c>
      <c r="AA473" s="75">
        <f t="shared" si="93"/>
        <v>1782142.855</v>
      </c>
      <c r="AB473" s="75"/>
      <c r="AC473" s="75">
        <v>339</v>
      </c>
      <c r="AD473" s="75"/>
      <c r="AE473" s="592"/>
      <c r="AF473" s="1338"/>
      <c r="AG473" s="97">
        <v>0</v>
      </c>
      <c r="AH473" s="370">
        <v>3564285.71</v>
      </c>
      <c r="AI473" s="75"/>
      <c r="AJ473" s="75">
        <f>340000+600857.16</f>
        <v>940857.16</v>
      </c>
      <c r="AK473" s="75"/>
      <c r="AL473" s="75"/>
      <c r="AM473" s="75"/>
      <c r="AN473" s="64" t="s">
        <v>39</v>
      </c>
      <c r="AO473" s="313" t="s">
        <v>1819</v>
      </c>
      <c r="AP473" s="313" t="s">
        <v>2160</v>
      </c>
      <c r="AQ473" s="408" t="s">
        <v>2161</v>
      </c>
      <c r="AR473" s="69">
        <v>44658</v>
      </c>
      <c r="AS473" s="562">
        <v>45023</v>
      </c>
      <c r="AT473" s="89" t="s">
        <v>2029</v>
      </c>
      <c r="AU473" s="883" t="s">
        <v>2162</v>
      </c>
      <c r="AV473" s="1339"/>
    </row>
    <row r="474" spans="1:48" outlineLevel="4" x14ac:dyDescent="0.25">
      <c r="A474" s="63" t="str">
        <f t="shared" si="67"/>
        <v>1.3.1.9.26.58</v>
      </c>
      <c r="B474" s="64">
        <v>1</v>
      </c>
      <c r="C474" s="64">
        <v>3</v>
      </c>
      <c r="D474" s="64">
        <v>1</v>
      </c>
      <c r="E474" s="64">
        <v>9</v>
      </c>
      <c r="F474" s="64">
        <v>26</v>
      </c>
      <c r="G474" s="64">
        <v>58</v>
      </c>
      <c r="H474" s="65"/>
      <c r="I474" s="65"/>
      <c r="J474" s="65"/>
      <c r="K474" s="125" t="s">
        <v>525</v>
      </c>
      <c r="L474" s="64" t="s">
        <v>72</v>
      </c>
      <c r="M474" s="64" t="s">
        <v>73</v>
      </c>
      <c r="N474" s="64" t="s">
        <v>516</v>
      </c>
      <c r="O474" s="64" t="s">
        <v>367</v>
      </c>
      <c r="P474" s="69">
        <v>44200</v>
      </c>
      <c r="Q474" s="69">
        <v>44561</v>
      </c>
      <c r="R474" s="171">
        <v>0</v>
      </c>
      <c r="S474" s="123"/>
      <c r="T474" s="124">
        <f>+T467/4</f>
        <v>84.25</v>
      </c>
      <c r="U474" s="75"/>
      <c r="V474" s="674">
        <v>0</v>
      </c>
      <c r="W474" s="75"/>
      <c r="X474" s="75">
        <f t="shared" ref="X474:X480" si="95">+AH474/3</f>
        <v>150000</v>
      </c>
      <c r="Y474" s="834">
        <f t="shared" si="87"/>
        <v>482437.96</v>
      </c>
      <c r="Z474" s="75"/>
      <c r="AA474" s="75">
        <f t="shared" ref="AA474:AA480" si="96">+AH474/3</f>
        <v>150000</v>
      </c>
      <c r="AB474" s="75"/>
      <c r="AC474" s="75"/>
      <c r="AD474" s="75">
        <f t="shared" ref="AD474:AD480" si="97">+AH474/3</f>
        <v>150000</v>
      </c>
      <c r="AE474" s="592"/>
      <c r="AF474" s="347"/>
      <c r="AG474" s="75">
        <v>500000</v>
      </c>
      <c r="AH474" s="370">
        <v>450000</v>
      </c>
      <c r="AI474" s="75"/>
      <c r="AJ474" s="75">
        <v>482437.96</v>
      </c>
      <c r="AK474" s="75"/>
      <c r="AL474" s="75"/>
      <c r="AM474" s="75"/>
      <c r="AN474" s="64" t="s">
        <v>39</v>
      </c>
      <c r="AO474" s="64" t="s">
        <v>1819</v>
      </c>
      <c r="AP474" s="64" t="s">
        <v>2178</v>
      </c>
      <c r="AQ474" s="189" t="s">
        <v>2179</v>
      </c>
      <c r="AR474" s="69">
        <v>44690</v>
      </c>
      <c r="AS474" s="865">
        <v>44874</v>
      </c>
      <c r="AT474" s="64"/>
      <c r="AU474" s="879">
        <v>1409</v>
      </c>
      <c r="AV474" s="185"/>
    </row>
    <row r="475" spans="1:48" outlineLevel="4" x14ac:dyDescent="0.25">
      <c r="A475" s="63" t="str">
        <f t="shared" si="67"/>
        <v>1.3.1.9.26.59</v>
      </c>
      <c r="B475" s="64">
        <v>1</v>
      </c>
      <c r="C475" s="64">
        <v>3</v>
      </c>
      <c r="D475" s="64">
        <v>1</v>
      </c>
      <c r="E475" s="64">
        <v>9</v>
      </c>
      <c r="F475" s="64">
        <v>26</v>
      </c>
      <c r="G475" s="64">
        <v>59</v>
      </c>
      <c r="H475" s="65"/>
      <c r="I475" s="65"/>
      <c r="J475" s="65"/>
      <c r="K475" s="125" t="s">
        <v>526</v>
      </c>
      <c r="L475" s="64" t="s">
        <v>72</v>
      </c>
      <c r="M475" s="64" t="s">
        <v>73</v>
      </c>
      <c r="N475" s="64" t="s">
        <v>516</v>
      </c>
      <c r="O475" s="64" t="s">
        <v>367</v>
      </c>
      <c r="P475" s="69">
        <v>44200</v>
      </c>
      <c r="Q475" s="69">
        <v>44561</v>
      </c>
      <c r="R475" s="171">
        <f t="shared" ref="R475:R480" si="98">+SUM(T475+W475+Z475+AC475)</f>
        <v>0</v>
      </c>
      <c r="S475" s="123"/>
      <c r="T475" s="124"/>
      <c r="U475" s="75"/>
      <c r="V475" s="674">
        <v>0</v>
      </c>
      <c r="W475" s="75"/>
      <c r="X475" s="75">
        <f t="shared" si="95"/>
        <v>150000</v>
      </c>
      <c r="Y475" s="834">
        <f t="shared" si="87"/>
        <v>482437.94</v>
      </c>
      <c r="Z475" s="75"/>
      <c r="AA475" s="75">
        <f t="shared" si="96"/>
        <v>150000</v>
      </c>
      <c r="AB475" s="75"/>
      <c r="AC475" s="75"/>
      <c r="AD475" s="75">
        <f t="shared" si="97"/>
        <v>150000</v>
      </c>
      <c r="AE475" s="592"/>
      <c r="AF475" s="347"/>
      <c r="AG475" s="75">
        <v>500000</v>
      </c>
      <c r="AH475" s="370">
        <v>450000</v>
      </c>
      <c r="AI475" s="75"/>
      <c r="AJ475" s="75">
        <v>482437.94</v>
      </c>
      <c r="AK475" s="75"/>
      <c r="AL475" s="75"/>
      <c r="AM475" s="75"/>
      <c r="AN475" s="64" t="s">
        <v>39</v>
      </c>
      <c r="AO475" s="64" t="s">
        <v>1819</v>
      </c>
      <c r="AP475" s="64" t="s">
        <v>2178</v>
      </c>
      <c r="AQ475" s="189" t="s">
        <v>2179</v>
      </c>
      <c r="AR475" s="69">
        <v>44690</v>
      </c>
      <c r="AS475" s="865">
        <v>44874</v>
      </c>
      <c r="AT475" s="64"/>
      <c r="AU475" s="879">
        <v>1409</v>
      </c>
      <c r="AV475" s="185"/>
    </row>
    <row r="476" spans="1:48" outlineLevel="4" x14ac:dyDescent="0.25">
      <c r="A476" s="63" t="str">
        <f t="shared" si="67"/>
        <v>1.3.1.9.26.60</v>
      </c>
      <c r="B476" s="64">
        <v>1</v>
      </c>
      <c r="C476" s="64">
        <v>3</v>
      </c>
      <c r="D476" s="64">
        <v>1</v>
      </c>
      <c r="E476" s="64">
        <v>9</v>
      </c>
      <c r="F476" s="64">
        <v>26</v>
      </c>
      <c r="G476" s="64">
        <v>60</v>
      </c>
      <c r="H476" s="65"/>
      <c r="I476" s="65"/>
      <c r="J476" s="65"/>
      <c r="K476" s="125" t="s">
        <v>527</v>
      </c>
      <c r="L476" s="64" t="s">
        <v>72</v>
      </c>
      <c r="M476" s="64" t="s">
        <v>73</v>
      </c>
      <c r="N476" s="64" t="s">
        <v>516</v>
      </c>
      <c r="O476" s="64" t="s">
        <v>367</v>
      </c>
      <c r="P476" s="69">
        <v>44200</v>
      </c>
      <c r="Q476" s="69">
        <v>44561</v>
      </c>
      <c r="R476" s="171">
        <f t="shared" si="98"/>
        <v>0</v>
      </c>
      <c r="S476" s="123"/>
      <c r="T476" s="124"/>
      <c r="U476" s="75"/>
      <c r="V476" s="674">
        <v>0</v>
      </c>
      <c r="W476" s="75"/>
      <c r="X476" s="75">
        <f t="shared" si="95"/>
        <v>150000</v>
      </c>
      <c r="Y476" s="834">
        <f t="shared" si="87"/>
        <v>482437.94</v>
      </c>
      <c r="Z476" s="75"/>
      <c r="AA476" s="75">
        <f t="shared" si="96"/>
        <v>150000</v>
      </c>
      <c r="AB476" s="75"/>
      <c r="AC476" s="75"/>
      <c r="AD476" s="75">
        <f t="shared" si="97"/>
        <v>150000</v>
      </c>
      <c r="AE476" s="592"/>
      <c r="AF476" s="347"/>
      <c r="AG476" s="75">
        <v>500000</v>
      </c>
      <c r="AH476" s="370">
        <v>450000</v>
      </c>
      <c r="AI476" s="75"/>
      <c r="AJ476" s="75">
        <v>482437.94</v>
      </c>
      <c r="AK476" s="75"/>
      <c r="AL476" s="75"/>
      <c r="AM476" s="75"/>
      <c r="AN476" s="64" t="s">
        <v>39</v>
      </c>
      <c r="AO476" s="64" t="s">
        <v>1819</v>
      </c>
      <c r="AP476" s="64" t="s">
        <v>2178</v>
      </c>
      <c r="AQ476" s="189" t="s">
        <v>2179</v>
      </c>
      <c r="AR476" s="69">
        <v>44690</v>
      </c>
      <c r="AS476" s="865">
        <v>44874</v>
      </c>
      <c r="AT476" s="64"/>
      <c r="AU476" s="879">
        <v>1409</v>
      </c>
      <c r="AV476" s="185"/>
    </row>
    <row r="477" spans="1:48" outlineLevel="4" x14ac:dyDescent="0.25">
      <c r="A477" s="63" t="str">
        <f t="shared" si="67"/>
        <v>1.3.1.9.26.61</v>
      </c>
      <c r="B477" s="64">
        <v>1</v>
      </c>
      <c r="C477" s="64">
        <v>3</v>
      </c>
      <c r="D477" s="64">
        <v>1</v>
      </c>
      <c r="E477" s="64">
        <v>9</v>
      </c>
      <c r="F477" s="64">
        <v>26</v>
      </c>
      <c r="G477" s="64">
        <v>61</v>
      </c>
      <c r="H477" s="65"/>
      <c r="I477" s="65"/>
      <c r="J477" s="65"/>
      <c r="K477" s="125" t="s">
        <v>528</v>
      </c>
      <c r="L477" s="64" t="s">
        <v>72</v>
      </c>
      <c r="M477" s="64" t="s">
        <v>73</v>
      </c>
      <c r="N477" s="64" t="s">
        <v>516</v>
      </c>
      <c r="O477" s="64" t="s">
        <v>367</v>
      </c>
      <c r="P477" s="69">
        <v>44200</v>
      </c>
      <c r="Q477" s="69">
        <v>44561</v>
      </c>
      <c r="R477" s="171">
        <f t="shared" si="98"/>
        <v>0</v>
      </c>
      <c r="S477" s="123"/>
      <c r="T477" s="124"/>
      <c r="U477" s="75"/>
      <c r="V477" s="674">
        <v>0</v>
      </c>
      <c r="W477" s="75"/>
      <c r="X477" s="75">
        <f t="shared" si="95"/>
        <v>150000</v>
      </c>
      <c r="Y477" s="834">
        <f t="shared" si="87"/>
        <v>482437.94</v>
      </c>
      <c r="Z477" s="75"/>
      <c r="AA477" s="75">
        <f t="shared" si="96"/>
        <v>150000</v>
      </c>
      <c r="AB477" s="75"/>
      <c r="AC477" s="75"/>
      <c r="AD477" s="75">
        <f t="shared" si="97"/>
        <v>150000</v>
      </c>
      <c r="AE477" s="592"/>
      <c r="AF477" s="347"/>
      <c r="AG477" s="75">
        <v>500000</v>
      </c>
      <c r="AH477" s="370">
        <v>450000</v>
      </c>
      <c r="AI477" s="75"/>
      <c r="AJ477" s="75">
        <v>482437.94</v>
      </c>
      <c r="AK477" s="75"/>
      <c r="AL477" s="75"/>
      <c r="AM477" s="75"/>
      <c r="AN477" s="64" t="s">
        <v>39</v>
      </c>
      <c r="AO477" s="64" t="s">
        <v>1819</v>
      </c>
      <c r="AP477" s="64" t="s">
        <v>2178</v>
      </c>
      <c r="AQ477" s="189" t="s">
        <v>2179</v>
      </c>
      <c r="AR477" s="69">
        <v>44690</v>
      </c>
      <c r="AS477" s="865">
        <v>44874</v>
      </c>
      <c r="AT477" s="64"/>
      <c r="AU477" s="879">
        <v>1409</v>
      </c>
      <c r="AV477" s="185"/>
    </row>
    <row r="478" spans="1:48" outlineLevel="4" x14ac:dyDescent="0.25">
      <c r="A478" s="63" t="str">
        <f t="shared" si="67"/>
        <v>1.3.1.9.26.62</v>
      </c>
      <c r="B478" s="64">
        <v>1</v>
      </c>
      <c r="C478" s="64">
        <v>3</v>
      </c>
      <c r="D478" s="64">
        <v>1</v>
      </c>
      <c r="E478" s="64">
        <v>9</v>
      </c>
      <c r="F478" s="64">
        <v>26</v>
      </c>
      <c r="G478" s="64">
        <v>62</v>
      </c>
      <c r="H478" s="65"/>
      <c r="I478" s="65"/>
      <c r="J478" s="65"/>
      <c r="K478" s="125" t="s">
        <v>1743</v>
      </c>
      <c r="L478" s="64" t="s">
        <v>72</v>
      </c>
      <c r="M478" s="64" t="s">
        <v>73</v>
      </c>
      <c r="N478" s="64" t="s">
        <v>516</v>
      </c>
      <c r="O478" s="64" t="s">
        <v>367</v>
      </c>
      <c r="P478" s="69">
        <v>44200</v>
      </c>
      <c r="Q478" s="69">
        <v>44561</v>
      </c>
      <c r="R478" s="171">
        <f t="shared" si="98"/>
        <v>0</v>
      </c>
      <c r="S478" s="123"/>
      <c r="T478" s="124"/>
      <c r="U478" s="75"/>
      <c r="V478" s="674">
        <v>0</v>
      </c>
      <c r="W478" s="75"/>
      <c r="X478" s="75">
        <f t="shared" si="95"/>
        <v>150000</v>
      </c>
      <c r="Y478" s="834">
        <f t="shared" si="87"/>
        <v>482437.94</v>
      </c>
      <c r="Z478" s="75"/>
      <c r="AA478" s="75">
        <f t="shared" si="96"/>
        <v>150000</v>
      </c>
      <c r="AB478" s="75"/>
      <c r="AC478" s="75"/>
      <c r="AD478" s="75">
        <f t="shared" si="97"/>
        <v>150000</v>
      </c>
      <c r="AE478" s="592"/>
      <c r="AF478" s="347"/>
      <c r="AG478" s="75">
        <v>500000</v>
      </c>
      <c r="AH478" s="370">
        <v>450000</v>
      </c>
      <c r="AI478" s="75"/>
      <c r="AJ478" s="75">
        <v>482437.94</v>
      </c>
      <c r="AK478" s="75"/>
      <c r="AL478" s="75"/>
      <c r="AM478" s="75"/>
      <c r="AN478" s="64" t="s">
        <v>39</v>
      </c>
      <c r="AO478" s="64" t="s">
        <v>1819</v>
      </c>
      <c r="AP478" s="64" t="s">
        <v>2178</v>
      </c>
      <c r="AQ478" s="189" t="s">
        <v>2179</v>
      </c>
      <c r="AR478" s="69">
        <v>44690</v>
      </c>
      <c r="AS478" s="865">
        <v>44874</v>
      </c>
      <c r="AT478" s="64"/>
      <c r="AU478" s="879">
        <v>1409</v>
      </c>
      <c r="AV478" s="185"/>
    </row>
    <row r="479" spans="1:48" outlineLevel="4" x14ac:dyDescent="0.25">
      <c r="A479" s="63" t="str">
        <f t="shared" si="67"/>
        <v>1.3.1.9.26.63</v>
      </c>
      <c r="B479" s="64">
        <v>1</v>
      </c>
      <c r="C479" s="64">
        <v>3</v>
      </c>
      <c r="D479" s="64">
        <v>1</v>
      </c>
      <c r="E479" s="64">
        <v>9</v>
      </c>
      <c r="F479" s="64">
        <v>26</v>
      </c>
      <c r="G479" s="64">
        <v>63</v>
      </c>
      <c r="H479" s="65"/>
      <c r="I479" s="65"/>
      <c r="J479" s="65"/>
      <c r="K479" s="125" t="s">
        <v>529</v>
      </c>
      <c r="L479" s="64" t="s">
        <v>72</v>
      </c>
      <c r="M479" s="64" t="s">
        <v>73</v>
      </c>
      <c r="N479" s="64" t="s">
        <v>516</v>
      </c>
      <c r="O479" s="64" t="s">
        <v>367</v>
      </c>
      <c r="P479" s="69">
        <v>44200</v>
      </c>
      <c r="Q479" s="69">
        <v>44561</v>
      </c>
      <c r="R479" s="171">
        <f t="shared" si="98"/>
        <v>0</v>
      </c>
      <c r="S479" s="123"/>
      <c r="T479" s="124"/>
      <c r="U479" s="75"/>
      <c r="V479" s="674">
        <v>0</v>
      </c>
      <c r="W479" s="75"/>
      <c r="X479" s="75">
        <f t="shared" si="95"/>
        <v>150000</v>
      </c>
      <c r="Y479" s="834">
        <f t="shared" si="87"/>
        <v>482437.94</v>
      </c>
      <c r="Z479" s="75"/>
      <c r="AA479" s="75">
        <f t="shared" si="96"/>
        <v>150000</v>
      </c>
      <c r="AB479" s="75"/>
      <c r="AC479" s="75"/>
      <c r="AD479" s="75">
        <f t="shared" si="97"/>
        <v>150000</v>
      </c>
      <c r="AE479" s="592"/>
      <c r="AF479" s="347"/>
      <c r="AG479" s="75">
        <v>500000</v>
      </c>
      <c r="AH479" s="370">
        <v>450000</v>
      </c>
      <c r="AI479" s="75"/>
      <c r="AJ479" s="75">
        <v>482437.94</v>
      </c>
      <c r="AK479" s="75"/>
      <c r="AL479" s="75"/>
      <c r="AM479" s="75"/>
      <c r="AN479" s="64" t="s">
        <v>39</v>
      </c>
      <c r="AO479" s="64" t="s">
        <v>1819</v>
      </c>
      <c r="AP479" s="64" t="s">
        <v>2178</v>
      </c>
      <c r="AQ479" s="189" t="s">
        <v>2179</v>
      </c>
      <c r="AR479" s="69">
        <v>44690</v>
      </c>
      <c r="AS479" s="865">
        <v>44874</v>
      </c>
      <c r="AT479" s="64"/>
      <c r="AU479" s="879">
        <v>1409</v>
      </c>
      <c r="AV479" s="185"/>
    </row>
    <row r="480" spans="1:48" outlineLevel="4" x14ac:dyDescent="0.25">
      <c r="A480" s="63" t="str">
        <f t="shared" si="67"/>
        <v>1.3.1.9.26.64</v>
      </c>
      <c r="B480" s="64">
        <v>1</v>
      </c>
      <c r="C480" s="64">
        <v>3</v>
      </c>
      <c r="D480" s="64">
        <v>1</v>
      </c>
      <c r="E480" s="64">
        <v>9</v>
      </c>
      <c r="F480" s="64">
        <v>26</v>
      </c>
      <c r="G480" s="64">
        <v>64</v>
      </c>
      <c r="H480" s="65"/>
      <c r="I480" s="65"/>
      <c r="J480" s="65"/>
      <c r="K480" s="125" t="s">
        <v>530</v>
      </c>
      <c r="L480" s="64" t="s">
        <v>72</v>
      </c>
      <c r="M480" s="64" t="s">
        <v>73</v>
      </c>
      <c r="N480" s="64" t="s">
        <v>516</v>
      </c>
      <c r="O480" s="64" t="s">
        <v>367</v>
      </c>
      <c r="P480" s="69">
        <v>44200</v>
      </c>
      <c r="Q480" s="69">
        <v>44561</v>
      </c>
      <c r="R480" s="171">
        <f t="shared" si="98"/>
        <v>0</v>
      </c>
      <c r="S480" s="123"/>
      <c r="T480" s="124"/>
      <c r="U480" s="75"/>
      <c r="V480" s="674">
        <v>0</v>
      </c>
      <c r="W480" s="75"/>
      <c r="X480" s="75">
        <f t="shared" si="95"/>
        <v>150000</v>
      </c>
      <c r="Y480" s="834">
        <f t="shared" si="87"/>
        <v>482437.94</v>
      </c>
      <c r="Z480" s="75"/>
      <c r="AA480" s="75">
        <f t="shared" si="96"/>
        <v>150000</v>
      </c>
      <c r="AB480" s="75"/>
      <c r="AC480" s="75"/>
      <c r="AD480" s="75">
        <f t="shared" si="97"/>
        <v>150000</v>
      </c>
      <c r="AE480" s="592"/>
      <c r="AF480" s="347"/>
      <c r="AG480" s="75">
        <v>500000</v>
      </c>
      <c r="AH480" s="370">
        <v>450000</v>
      </c>
      <c r="AI480" s="75"/>
      <c r="AJ480" s="75">
        <v>482437.94</v>
      </c>
      <c r="AK480" s="75"/>
      <c r="AL480" s="75"/>
      <c r="AM480" s="75"/>
      <c r="AN480" s="64" t="s">
        <v>39</v>
      </c>
      <c r="AO480" s="64" t="s">
        <v>1819</v>
      </c>
      <c r="AP480" s="64" t="s">
        <v>2178</v>
      </c>
      <c r="AQ480" s="189" t="s">
        <v>2179</v>
      </c>
      <c r="AR480" s="69">
        <v>44690</v>
      </c>
      <c r="AS480" s="865">
        <v>44874</v>
      </c>
      <c r="AT480" s="64"/>
      <c r="AU480" s="879">
        <v>1409</v>
      </c>
      <c r="AV480" s="185"/>
    </row>
    <row r="481" spans="1:48" ht="30" outlineLevel="4" x14ac:dyDescent="0.25">
      <c r="A481" s="63" t="str">
        <f t="shared" si="67"/>
        <v>1.3.1.9.27.58</v>
      </c>
      <c r="B481" s="64">
        <v>1</v>
      </c>
      <c r="C481" s="64">
        <v>3</v>
      </c>
      <c r="D481" s="64">
        <v>1</v>
      </c>
      <c r="E481" s="64">
        <v>9</v>
      </c>
      <c r="F481" s="64">
        <v>27</v>
      </c>
      <c r="G481" s="64">
        <v>58</v>
      </c>
      <c r="H481" s="65"/>
      <c r="I481" s="65"/>
      <c r="J481" s="65"/>
      <c r="K481" s="67" t="s">
        <v>1857</v>
      </c>
      <c r="L481" s="64" t="s">
        <v>72</v>
      </c>
      <c r="M481" s="64" t="s">
        <v>73</v>
      </c>
      <c r="N481" s="64" t="s">
        <v>74</v>
      </c>
      <c r="O481" s="64" t="s">
        <v>367</v>
      </c>
      <c r="P481" s="69">
        <v>44571</v>
      </c>
      <c r="Q481" s="69">
        <v>44742</v>
      </c>
      <c r="R481" s="171">
        <v>1</v>
      </c>
      <c r="S481" s="170"/>
      <c r="T481" s="170">
        <v>1</v>
      </c>
      <c r="U481" s="172">
        <f>+AH481/2</f>
        <v>71428.570000000007</v>
      </c>
      <c r="V481" s="674">
        <v>0</v>
      </c>
      <c r="W481" s="97"/>
      <c r="X481" s="97">
        <f>+AH481/2</f>
        <v>71428.570000000007</v>
      </c>
      <c r="Y481" s="834">
        <f t="shared" si="87"/>
        <v>0</v>
      </c>
      <c r="Z481" s="97"/>
      <c r="AA481" s="97"/>
      <c r="AB481" s="97"/>
      <c r="AC481" s="75"/>
      <c r="AD481" s="75"/>
      <c r="AE481" s="592"/>
      <c r="AF481" s="353" t="s">
        <v>531</v>
      </c>
      <c r="AG481" s="97">
        <v>142857.14000000001</v>
      </c>
      <c r="AH481" s="370">
        <f>285714.28/2</f>
        <v>142857.14000000001</v>
      </c>
      <c r="AI481" s="75"/>
      <c r="AJ481" s="75"/>
      <c r="AK481" s="75"/>
      <c r="AL481" s="75"/>
      <c r="AM481" s="75"/>
      <c r="AN481" s="64" t="s">
        <v>39</v>
      </c>
      <c r="AO481" s="64"/>
      <c r="AP481" s="64"/>
      <c r="AQ481" s="189"/>
      <c r="AR481" s="64"/>
      <c r="AS481" s="476"/>
      <c r="AT481" s="64"/>
      <c r="AU481" s="646"/>
      <c r="AV481" s="185" t="s">
        <v>532</v>
      </c>
    </row>
    <row r="482" spans="1:48" outlineLevel="4" x14ac:dyDescent="0.25">
      <c r="A482" s="63" t="str">
        <f t="shared" si="67"/>
        <v>1.3.1.9.27.59</v>
      </c>
      <c r="B482" s="64">
        <v>1</v>
      </c>
      <c r="C482" s="64">
        <v>3</v>
      </c>
      <c r="D482" s="64">
        <v>1</v>
      </c>
      <c r="E482" s="64">
        <v>9</v>
      </c>
      <c r="F482" s="64">
        <v>27</v>
      </c>
      <c r="G482" s="64">
        <v>59</v>
      </c>
      <c r="H482" s="65"/>
      <c r="I482" s="65"/>
      <c r="J482" s="65"/>
      <c r="K482" s="65" t="s">
        <v>1858</v>
      </c>
      <c r="L482" s="64" t="s">
        <v>72</v>
      </c>
      <c r="M482" s="64" t="s">
        <v>73</v>
      </c>
      <c r="N482" s="64" t="s">
        <v>74</v>
      </c>
      <c r="O482" s="64" t="s">
        <v>367</v>
      </c>
      <c r="P482" s="69">
        <v>44571</v>
      </c>
      <c r="Q482" s="69">
        <v>44742</v>
      </c>
      <c r="R482" s="171">
        <v>1</v>
      </c>
      <c r="S482" s="170"/>
      <c r="T482" s="170"/>
      <c r="U482" s="172">
        <f t="shared" ref="U482:U487" si="99">+AH482/2</f>
        <v>71428.570000000007</v>
      </c>
      <c r="V482" s="674">
        <v>0</v>
      </c>
      <c r="W482" s="97"/>
      <c r="X482" s="97">
        <f t="shared" ref="X482:X487" si="100">+AH482/2</f>
        <v>71428.570000000007</v>
      </c>
      <c r="Y482" s="834">
        <f t="shared" si="87"/>
        <v>0</v>
      </c>
      <c r="Z482" s="97"/>
      <c r="AA482" s="97"/>
      <c r="AB482" s="97"/>
      <c r="AC482" s="75"/>
      <c r="AD482" s="75"/>
      <c r="AE482" s="592"/>
      <c r="AF482" s="353"/>
      <c r="AG482" s="97">
        <v>142857.14000000001</v>
      </c>
      <c r="AH482" s="370">
        <f t="shared" ref="AH482:AH487" si="101">285714.28/2</f>
        <v>142857.14000000001</v>
      </c>
      <c r="AI482" s="75"/>
      <c r="AJ482" s="75"/>
      <c r="AK482" s="75"/>
      <c r="AL482" s="75"/>
      <c r="AM482" s="75"/>
      <c r="AN482" s="64" t="s">
        <v>39</v>
      </c>
      <c r="AO482" s="64"/>
      <c r="AP482" s="64"/>
      <c r="AQ482" s="189"/>
      <c r="AR482" s="64"/>
      <c r="AS482" s="476"/>
      <c r="AT482" s="64"/>
      <c r="AU482" s="646"/>
      <c r="AV482" s="185" t="s">
        <v>532</v>
      </c>
    </row>
    <row r="483" spans="1:48" outlineLevel="4" x14ac:dyDescent="0.25">
      <c r="A483" s="63" t="str">
        <f t="shared" si="67"/>
        <v>1.3.1.9.27.60</v>
      </c>
      <c r="B483" s="64">
        <v>1</v>
      </c>
      <c r="C483" s="64">
        <v>3</v>
      </c>
      <c r="D483" s="64">
        <v>1</v>
      </c>
      <c r="E483" s="64">
        <v>9</v>
      </c>
      <c r="F483" s="64">
        <v>27</v>
      </c>
      <c r="G483" s="64">
        <v>60</v>
      </c>
      <c r="H483" s="65"/>
      <c r="I483" s="65"/>
      <c r="J483" s="65"/>
      <c r="K483" s="65" t="s">
        <v>1859</v>
      </c>
      <c r="L483" s="64" t="s">
        <v>72</v>
      </c>
      <c r="M483" s="64" t="s">
        <v>73</v>
      </c>
      <c r="N483" s="64" t="s">
        <v>74</v>
      </c>
      <c r="O483" s="64" t="s">
        <v>367</v>
      </c>
      <c r="P483" s="69">
        <v>44571</v>
      </c>
      <c r="Q483" s="69">
        <v>44742</v>
      </c>
      <c r="R483" s="171">
        <v>1</v>
      </c>
      <c r="S483" s="170"/>
      <c r="T483" s="170"/>
      <c r="U483" s="172">
        <f t="shared" si="99"/>
        <v>71428.570000000007</v>
      </c>
      <c r="V483" s="674">
        <v>0</v>
      </c>
      <c r="W483" s="97"/>
      <c r="X483" s="97">
        <f t="shared" si="100"/>
        <v>71428.570000000007</v>
      </c>
      <c r="Y483" s="834">
        <f t="shared" si="87"/>
        <v>0</v>
      </c>
      <c r="Z483" s="97"/>
      <c r="AA483" s="97"/>
      <c r="AB483" s="97"/>
      <c r="AC483" s="75"/>
      <c r="AD483" s="75"/>
      <c r="AE483" s="592"/>
      <c r="AF483" s="353"/>
      <c r="AG483" s="97">
        <v>142857.14000000001</v>
      </c>
      <c r="AH483" s="370">
        <f t="shared" si="101"/>
        <v>142857.14000000001</v>
      </c>
      <c r="AI483" s="75"/>
      <c r="AJ483" s="75"/>
      <c r="AK483" s="75"/>
      <c r="AL483" s="75"/>
      <c r="AM483" s="75"/>
      <c r="AN483" s="64" t="s">
        <v>39</v>
      </c>
      <c r="AO483" s="64"/>
      <c r="AP483" s="64"/>
      <c r="AQ483" s="189"/>
      <c r="AR483" s="64"/>
      <c r="AS483" s="476"/>
      <c r="AT483" s="64"/>
      <c r="AU483" s="646"/>
      <c r="AV483" s="185" t="s">
        <v>532</v>
      </c>
    </row>
    <row r="484" spans="1:48" outlineLevel="4" x14ac:dyDescent="0.25">
      <c r="A484" s="63" t="str">
        <f t="shared" si="67"/>
        <v>1.3.1.9.27.61</v>
      </c>
      <c r="B484" s="64">
        <v>1</v>
      </c>
      <c r="C484" s="64">
        <v>3</v>
      </c>
      <c r="D484" s="64">
        <v>1</v>
      </c>
      <c r="E484" s="64">
        <v>9</v>
      </c>
      <c r="F484" s="64">
        <v>27</v>
      </c>
      <c r="G484" s="64">
        <v>61</v>
      </c>
      <c r="H484" s="65"/>
      <c r="I484" s="65"/>
      <c r="J484" s="65"/>
      <c r="K484" s="65" t="s">
        <v>1860</v>
      </c>
      <c r="L484" s="64" t="s">
        <v>72</v>
      </c>
      <c r="M484" s="64" t="s">
        <v>73</v>
      </c>
      <c r="N484" s="64" t="s">
        <v>74</v>
      </c>
      <c r="O484" s="64" t="s">
        <v>367</v>
      </c>
      <c r="P484" s="69">
        <v>44571</v>
      </c>
      <c r="Q484" s="69">
        <v>44742</v>
      </c>
      <c r="R484" s="171">
        <v>1</v>
      </c>
      <c r="S484" s="170"/>
      <c r="T484" s="170"/>
      <c r="U484" s="172">
        <f t="shared" si="99"/>
        <v>71428.570000000007</v>
      </c>
      <c r="V484" s="674">
        <v>0</v>
      </c>
      <c r="W484" s="97"/>
      <c r="X484" s="97">
        <f t="shared" si="100"/>
        <v>71428.570000000007</v>
      </c>
      <c r="Y484" s="834">
        <f t="shared" si="87"/>
        <v>0</v>
      </c>
      <c r="Z484" s="97"/>
      <c r="AA484" s="97"/>
      <c r="AB484" s="97"/>
      <c r="AC484" s="75"/>
      <c r="AD484" s="75"/>
      <c r="AE484" s="592"/>
      <c r="AF484" s="353"/>
      <c r="AG484" s="97">
        <v>142857.14000000001</v>
      </c>
      <c r="AH484" s="370">
        <f t="shared" si="101"/>
        <v>142857.14000000001</v>
      </c>
      <c r="AI484" s="75"/>
      <c r="AJ484" s="75"/>
      <c r="AK484" s="75"/>
      <c r="AL484" s="75"/>
      <c r="AM484" s="75"/>
      <c r="AN484" s="64" t="s">
        <v>39</v>
      </c>
      <c r="AO484" s="64"/>
      <c r="AP484" s="64"/>
      <c r="AQ484" s="189"/>
      <c r="AR484" s="64"/>
      <c r="AS484" s="476"/>
      <c r="AT484" s="64"/>
      <c r="AU484" s="646"/>
      <c r="AV484" s="185" t="s">
        <v>532</v>
      </c>
    </row>
    <row r="485" spans="1:48" outlineLevel="4" x14ac:dyDescent="0.25">
      <c r="A485" s="63" t="str">
        <f t="shared" si="67"/>
        <v>1.3.1.9.27.62</v>
      </c>
      <c r="B485" s="64">
        <v>1</v>
      </c>
      <c r="C485" s="64">
        <v>3</v>
      </c>
      <c r="D485" s="64">
        <v>1</v>
      </c>
      <c r="E485" s="64">
        <v>9</v>
      </c>
      <c r="F485" s="64">
        <v>27</v>
      </c>
      <c r="G485" s="64">
        <v>62</v>
      </c>
      <c r="H485" s="65"/>
      <c r="I485" s="65"/>
      <c r="J485" s="65"/>
      <c r="K485" s="65" t="s">
        <v>1861</v>
      </c>
      <c r="L485" s="64" t="s">
        <v>72</v>
      </c>
      <c r="M485" s="64" t="s">
        <v>73</v>
      </c>
      <c r="N485" s="64" t="s">
        <v>74</v>
      </c>
      <c r="O485" s="64" t="s">
        <v>367</v>
      </c>
      <c r="P485" s="69">
        <v>44571</v>
      </c>
      <c r="Q485" s="69">
        <v>44742</v>
      </c>
      <c r="R485" s="171">
        <v>1</v>
      </c>
      <c r="S485" s="170"/>
      <c r="T485" s="170"/>
      <c r="U485" s="172">
        <f t="shared" si="99"/>
        <v>71428.570000000007</v>
      </c>
      <c r="V485" s="674">
        <v>0</v>
      </c>
      <c r="W485" s="97"/>
      <c r="X485" s="97">
        <f t="shared" si="100"/>
        <v>71428.570000000007</v>
      </c>
      <c r="Y485" s="834">
        <f t="shared" si="87"/>
        <v>0</v>
      </c>
      <c r="Z485" s="97"/>
      <c r="AA485" s="97"/>
      <c r="AB485" s="97"/>
      <c r="AC485" s="75"/>
      <c r="AD485" s="75"/>
      <c r="AE485" s="592"/>
      <c r="AF485" s="353"/>
      <c r="AG485" s="97">
        <v>142857.14000000001</v>
      </c>
      <c r="AH485" s="370">
        <f t="shared" si="101"/>
        <v>142857.14000000001</v>
      </c>
      <c r="AI485" s="75"/>
      <c r="AJ485" s="75"/>
      <c r="AK485" s="75"/>
      <c r="AL485" s="75"/>
      <c r="AM485" s="75"/>
      <c r="AN485" s="64" t="s">
        <v>39</v>
      </c>
      <c r="AO485" s="64"/>
      <c r="AP485" s="64"/>
      <c r="AQ485" s="189"/>
      <c r="AR485" s="64"/>
      <c r="AS485" s="476"/>
      <c r="AT485" s="64"/>
      <c r="AU485" s="646"/>
      <c r="AV485" s="185" t="s">
        <v>532</v>
      </c>
    </row>
    <row r="486" spans="1:48" outlineLevel="4" x14ac:dyDescent="0.25">
      <c r="A486" s="63" t="str">
        <f t="shared" si="67"/>
        <v>1.3.1.9.27.63</v>
      </c>
      <c r="B486" s="64">
        <v>1</v>
      </c>
      <c r="C486" s="64">
        <v>3</v>
      </c>
      <c r="D486" s="64">
        <v>1</v>
      </c>
      <c r="E486" s="64">
        <v>9</v>
      </c>
      <c r="F486" s="64">
        <v>27</v>
      </c>
      <c r="G486" s="64">
        <v>63</v>
      </c>
      <c r="H486" s="65"/>
      <c r="I486" s="65"/>
      <c r="J486" s="65"/>
      <c r="K486" s="65" t="s">
        <v>1862</v>
      </c>
      <c r="L486" s="64" t="s">
        <v>72</v>
      </c>
      <c r="M486" s="64" t="s">
        <v>73</v>
      </c>
      <c r="N486" s="64" t="s">
        <v>74</v>
      </c>
      <c r="O486" s="64" t="s">
        <v>367</v>
      </c>
      <c r="P486" s="69">
        <v>44571</v>
      </c>
      <c r="Q486" s="69">
        <v>44742</v>
      </c>
      <c r="R486" s="171">
        <v>1</v>
      </c>
      <c r="S486" s="170"/>
      <c r="T486" s="170"/>
      <c r="U486" s="172">
        <f t="shared" si="99"/>
        <v>71428.570000000007</v>
      </c>
      <c r="V486" s="674">
        <v>0</v>
      </c>
      <c r="W486" s="97"/>
      <c r="X486" s="97">
        <f t="shared" si="100"/>
        <v>71428.570000000007</v>
      </c>
      <c r="Y486" s="834">
        <f t="shared" si="87"/>
        <v>0</v>
      </c>
      <c r="Z486" s="97"/>
      <c r="AA486" s="97"/>
      <c r="AB486" s="97"/>
      <c r="AC486" s="75"/>
      <c r="AD486" s="75"/>
      <c r="AE486" s="592"/>
      <c r="AF486" s="353"/>
      <c r="AG486" s="97">
        <v>142857.14000000001</v>
      </c>
      <c r="AH486" s="370">
        <f t="shared" si="101"/>
        <v>142857.14000000001</v>
      </c>
      <c r="AI486" s="75"/>
      <c r="AJ486" s="75"/>
      <c r="AK486" s="75"/>
      <c r="AL486" s="75"/>
      <c r="AM486" s="75"/>
      <c r="AN486" s="64" t="s">
        <v>39</v>
      </c>
      <c r="AO486" s="64"/>
      <c r="AP486" s="64"/>
      <c r="AQ486" s="189"/>
      <c r="AR486" s="64"/>
      <c r="AS486" s="476"/>
      <c r="AT486" s="64"/>
      <c r="AU486" s="646"/>
      <c r="AV486" s="185" t="s">
        <v>532</v>
      </c>
    </row>
    <row r="487" spans="1:48" outlineLevel="4" x14ac:dyDescent="0.25">
      <c r="A487" s="63" t="str">
        <f t="shared" si="67"/>
        <v>1.3.1.9.27.64</v>
      </c>
      <c r="B487" s="64">
        <v>1</v>
      </c>
      <c r="C487" s="64">
        <v>3</v>
      </c>
      <c r="D487" s="64">
        <v>1</v>
      </c>
      <c r="E487" s="64">
        <v>9</v>
      </c>
      <c r="F487" s="64">
        <v>27</v>
      </c>
      <c r="G487" s="64">
        <v>64</v>
      </c>
      <c r="H487" s="65"/>
      <c r="I487" s="65"/>
      <c r="J487" s="65"/>
      <c r="K487" s="65" t="s">
        <v>1863</v>
      </c>
      <c r="L487" s="64" t="s">
        <v>72</v>
      </c>
      <c r="M487" s="64" t="s">
        <v>73</v>
      </c>
      <c r="N487" s="64" t="s">
        <v>74</v>
      </c>
      <c r="O487" s="64" t="s">
        <v>367</v>
      </c>
      <c r="P487" s="69">
        <v>44571</v>
      </c>
      <c r="Q487" s="69">
        <v>44742</v>
      </c>
      <c r="R487" s="171">
        <v>1</v>
      </c>
      <c r="S487" s="170"/>
      <c r="T487" s="170"/>
      <c r="U487" s="172">
        <f t="shared" si="99"/>
        <v>71428.570000000007</v>
      </c>
      <c r="V487" s="674">
        <v>0</v>
      </c>
      <c r="W487" s="97"/>
      <c r="X487" s="97">
        <f t="shared" si="100"/>
        <v>71428.570000000007</v>
      </c>
      <c r="Y487" s="834">
        <f t="shared" si="87"/>
        <v>0</v>
      </c>
      <c r="Z487" s="97"/>
      <c r="AA487" s="97"/>
      <c r="AB487" s="97"/>
      <c r="AC487" s="75"/>
      <c r="AD487" s="75"/>
      <c r="AE487" s="592"/>
      <c r="AF487" s="353"/>
      <c r="AG487" s="97">
        <v>142857.14000000001</v>
      </c>
      <c r="AH487" s="370">
        <f t="shared" si="101"/>
        <v>142857.14000000001</v>
      </c>
      <c r="AI487" s="75"/>
      <c r="AJ487" s="75"/>
      <c r="AK487" s="75"/>
      <c r="AL487" s="75"/>
      <c r="AM487" s="75"/>
      <c r="AN487" s="64" t="s">
        <v>39</v>
      </c>
      <c r="AO487" s="64"/>
      <c r="AP487" s="64"/>
      <c r="AQ487" s="189"/>
      <c r="AR487" s="64"/>
      <c r="AS487" s="476"/>
      <c r="AT487" s="64"/>
      <c r="AU487" s="646"/>
      <c r="AV487" s="185" t="s">
        <v>532</v>
      </c>
    </row>
    <row r="488" spans="1:48" outlineLevel="4" x14ac:dyDescent="0.25">
      <c r="A488" s="63" t="str">
        <f>CONCATENATE(B488,".",C488,".",D488,".",E488,".",F488,".",G488)</f>
        <v>1.3.0.9.28.58</v>
      </c>
      <c r="B488" s="64">
        <v>1</v>
      </c>
      <c r="C488" s="64">
        <v>3</v>
      </c>
      <c r="D488" s="64">
        <v>0</v>
      </c>
      <c r="E488" s="64">
        <v>9</v>
      </c>
      <c r="F488" s="64">
        <v>28</v>
      </c>
      <c r="G488" s="100">
        <v>58</v>
      </c>
      <c r="H488" s="65"/>
      <c r="I488" s="65"/>
      <c r="J488" s="65"/>
      <c r="K488" s="67" t="s">
        <v>533</v>
      </c>
      <c r="L488" s="64" t="s">
        <v>359</v>
      </c>
      <c r="M488" s="64" t="s">
        <v>73</v>
      </c>
      <c r="N488" s="64" t="s">
        <v>226</v>
      </c>
      <c r="O488" s="64" t="s">
        <v>361</v>
      </c>
      <c r="P488" s="69">
        <v>44315</v>
      </c>
      <c r="Q488" s="69">
        <v>44438</v>
      </c>
      <c r="R488" s="124">
        <v>153000</v>
      </c>
      <c r="S488" s="123" t="s">
        <v>535</v>
      </c>
      <c r="T488" s="124">
        <v>0</v>
      </c>
      <c r="U488" s="172"/>
      <c r="V488" s="674">
        <v>1277714.29</v>
      </c>
      <c r="W488" s="75">
        <v>0</v>
      </c>
      <c r="X488" s="97"/>
      <c r="Y488" s="834">
        <f t="shared" si="87"/>
        <v>0</v>
      </c>
      <c r="Z488" s="75">
        <v>100000</v>
      </c>
      <c r="AA488" s="75"/>
      <c r="AB488" s="75"/>
      <c r="AC488" s="75">
        <v>53000</v>
      </c>
      <c r="AD488" s="75"/>
      <c r="AE488" s="592"/>
      <c r="AF488" s="353"/>
      <c r="AG488" s="75">
        <v>1015000</v>
      </c>
      <c r="AH488" s="370">
        <v>0</v>
      </c>
      <c r="AI488" s="75"/>
      <c r="AJ488" s="75">
        <v>1277714.29</v>
      </c>
      <c r="AK488" s="75"/>
      <c r="AL488" s="75"/>
      <c r="AM488" s="75"/>
      <c r="AN488" s="64" t="s">
        <v>181</v>
      </c>
      <c r="AO488" s="165" t="s">
        <v>1819</v>
      </c>
      <c r="AP488" s="165" t="s">
        <v>2146</v>
      </c>
      <c r="AQ488" s="413" t="s">
        <v>2147</v>
      </c>
      <c r="AR488" s="69">
        <v>44399</v>
      </c>
      <c r="AS488" s="562">
        <v>44764</v>
      </c>
      <c r="AT488" s="64" t="s">
        <v>2029</v>
      </c>
      <c r="AU488" s="877">
        <v>550</v>
      </c>
      <c r="AV488" s="1274" t="s">
        <v>2148</v>
      </c>
    </row>
    <row r="489" spans="1:48" outlineLevel="4" x14ac:dyDescent="0.25">
      <c r="A489" s="63" t="str">
        <f t="shared" ref="A489:A494" si="102">CONCATENATE(B489,".",C489,".",D489,".",E489,".",F489,".",G489)</f>
        <v>1.3.0.9.28.59</v>
      </c>
      <c r="B489" s="64">
        <v>1</v>
      </c>
      <c r="C489" s="64">
        <v>3</v>
      </c>
      <c r="D489" s="64">
        <v>0</v>
      </c>
      <c r="E489" s="64">
        <v>9</v>
      </c>
      <c r="F489" s="64">
        <v>28</v>
      </c>
      <c r="G489" s="100">
        <v>59</v>
      </c>
      <c r="H489" s="65"/>
      <c r="I489" s="65"/>
      <c r="J489" s="65"/>
      <c r="K489" s="65" t="s">
        <v>536</v>
      </c>
      <c r="L489" s="64" t="s">
        <v>359</v>
      </c>
      <c r="M489" s="64" t="s">
        <v>73</v>
      </c>
      <c r="N489" s="64" t="s">
        <v>226</v>
      </c>
      <c r="O489" s="64" t="s">
        <v>361</v>
      </c>
      <c r="P489" s="69">
        <v>44315</v>
      </c>
      <c r="Q489" s="69">
        <v>44438</v>
      </c>
      <c r="R489" s="124">
        <v>153001</v>
      </c>
      <c r="S489" s="123"/>
      <c r="T489" s="124"/>
      <c r="U489" s="172"/>
      <c r="V489" s="674">
        <v>1277714.29</v>
      </c>
      <c r="W489" s="75"/>
      <c r="X489" s="97"/>
      <c r="Y489" s="834">
        <f t="shared" si="87"/>
        <v>0</v>
      </c>
      <c r="Z489" s="75"/>
      <c r="AA489" s="75"/>
      <c r="AB489" s="75"/>
      <c r="AC489" s="75"/>
      <c r="AD489" s="75"/>
      <c r="AE489" s="592"/>
      <c r="AF489" s="353"/>
      <c r="AG489" s="75">
        <v>1015000</v>
      </c>
      <c r="AH489" s="370">
        <v>0</v>
      </c>
      <c r="AI489" s="75"/>
      <c r="AJ489" s="75">
        <v>1277714.29</v>
      </c>
      <c r="AK489" s="75"/>
      <c r="AL489" s="75"/>
      <c r="AM489" s="75"/>
      <c r="AN489" s="64" t="s">
        <v>181</v>
      </c>
      <c r="AO489" s="165" t="s">
        <v>1819</v>
      </c>
      <c r="AP489" s="165" t="s">
        <v>2146</v>
      </c>
      <c r="AQ489" s="413" t="s">
        <v>2147</v>
      </c>
      <c r="AR489" s="69">
        <v>44399</v>
      </c>
      <c r="AS489" s="562">
        <v>44764</v>
      </c>
      <c r="AT489" s="64" t="s">
        <v>2029</v>
      </c>
      <c r="AU489" s="877">
        <v>550</v>
      </c>
      <c r="AV489" s="1274"/>
    </row>
    <row r="490" spans="1:48" outlineLevel="4" x14ac:dyDescent="0.25">
      <c r="A490" s="63" t="str">
        <f t="shared" si="102"/>
        <v>1.3.0.9.28.60</v>
      </c>
      <c r="B490" s="64">
        <v>1</v>
      </c>
      <c r="C490" s="64">
        <v>3</v>
      </c>
      <c r="D490" s="64">
        <v>0</v>
      </c>
      <c r="E490" s="64">
        <v>9</v>
      </c>
      <c r="F490" s="64">
        <v>28</v>
      </c>
      <c r="G490" s="100">
        <v>60</v>
      </c>
      <c r="H490" s="65"/>
      <c r="I490" s="65"/>
      <c r="J490" s="65"/>
      <c r="K490" s="65" t="s">
        <v>537</v>
      </c>
      <c r="L490" s="64" t="s">
        <v>359</v>
      </c>
      <c r="M490" s="64" t="s">
        <v>73</v>
      </c>
      <c r="N490" s="64" t="s">
        <v>226</v>
      </c>
      <c r="O490" s="64" t="s">
        <v>361</v>
      </c>
      <c r="P490" s="69">
        <v>44315</v>
      </c>
      <c r="Q490" s="69">
        <v>44438</v>
      </c>
      <c r="R490" s="124">
        <v>153002</v>
      </c>
      <c r="S490" s="123"/>
      <c r="T490" s="124"/>
      <c r="U490" s="172"/>
      <c r="V490" s="674">
        <v>1277714.29</v>
      </c>
      <c r="W490" s="75"/>
      <c r="X490" s="97"/>
      <c r="Y490" s="834">
        <f t="shared" si="87"/>
        <v>0</v>
      </c>
      <c r="Z490" s="75"/>
      <c r="AA490" s="75"/>
      <c r="AB490" s="75"/>
      <c r="AC490" s="75"/>
      <c r="AD490" s="75"/>
      <c r="AE490" s="592"/>
      <c r="AF490" s="353"/>
      <c r="AG490" s="75">
        <v>1015000</v>
      </c>
      <c r="AH490" s="370">
        <v>0</v>
      </c>
      <c r="AI490" s="75"/>
      <c r="AJ490" s="75">
        <v>1277714.29</v>
      </c>
      <c r="AK490" s="75"/>
      <c r="AL490" s="75"/>
      <c r="AM490" s="75"/>
      <c r="AN490" s="64" t="s">
        <v>181</v>
      </c>
      <c r="AO490" s="165" t="s">
        <v>1819</v>
      </c>
      <c r="AP490" s="165" t="s">
        <v>2146</v>
      </c>
      <c r="AQ490" s="413" t="s">
        <v>2147</v>
      </c>
      <c r="AR490" s="69">
        <v>44399</v>
      </c>
      <c r="AS490" s="562">
        <v>44764</v>
      </c>
      <c r="AT490" s="64" t="s">
        <v>2029</v>
      </c>
      <c r="AU490" s="877">
        <v>550</v>
      </c>
      <c r="AV490" s="1274"/>
    </row>
    <row r="491" spans="1:48" outlineLevel="4" x14ac:dyDescent="0.25">
      <c r="A491" s="63" t="str">
        <f t="shared" si="102"/>
        <v>1.3.0.9.28.61</v>
      </c>
      <c r="B491" s="64">
        <v>1</v>
      </c>
      <c r="C491" s="64">
        <v>3</v>
      </c>
      <c r="D491" s="64">
        <v>0</v>
      </c>
      <c r="E491" s="64">
        <v>9</v>
      </c>
      <c r="F491" s="64">
        <v>28</v>
      </c>
      <c r="G491" s="100">
        <v>61</v>
      </c>
      <c r="H491" s="65"/>
      <c r="I491" s="65"/>
      <c r="J491" s="65"/>
      <c r="K491" s="65" t="s">
        <v>538</v>
      </c>
      <c r="L491" s="64" t="s">
        <v>359</v>
      </c>
      <c r="M491" s="64" t="s">
        <v>73</v>
      </c>
      <c r="N491" s="64" t="s">
        <v>226</v>
      </c>
      <c r="O491" s="64" t="s">
        <v>361</v>
      </c>
      <c r="P491" s="69">
        <v>44315</v>
      </c>
      <c r="Q491" s="69">
        <v>44438</v>
      </c>
      <c r="R491" s="124">
        <v>153003</v>
      </c>
      <c r="S491" s="123"/>
      <c r="T491" s="124"/>
      <c r="U491" s="172"/>
      <c r="V491" s="674">
        <v>1277714.29</v>
      </c>
      <c r="W491" s="75"/>
      <c r="X491" s="97"/>
      <c r="Y491" s="834">
        <f t="shared" si="87"/>
        <v>0</v>
      </c>
      <c r="Z491" s="75"/>
      <c r="AA491" s="75"/>
      <c r="AB491" s="75"/>
      <c r="AC491" s="75"/>
      <c r="AD491" s="75"/>
      <c r="AE491" s="592"/>
      <c r="AF491" s="353"/>
      <c r="AG491" s="75">
        <v>1015000</v>
      </c>
      <c r="AH491" s="370">
        <v>0</v>
      </c>
      <c r="AI491" s="75"/>
      <c r="AJ491" s="75">
        <v>1277714.29</v>
      </c>
      <c r="AK491" s="75"/>
      <c r="AL491" s="75"/>
      <c r="AM491" s="75"/>
      <c r="AN491" s="64" t="s">
        <v>181</v>
      </c>
      <c r="AO491" s="165" t="s">
        <v>1819</v>
      </c>
      <c r="AP491" s="165" t="s">
        <v>2146</v>
      </c>
      <c r="AQ491" s="413" t="s">
        <v>2147</v>
      </c>
      <c r="AR491" s="69">
        <v>44399</v>
      </c>
      <c r="AS491" s="562">
        <v>44764</v>
      </c>
      <c r="AT491" s="64" t="s">
        <v>2029</v>
      </c>
      <c r="AU491" s="877">
        <v>550</v>
      </c>
      <c r="AV491" s="1274"/>
    </row>
    <row r="492" spans="1:48" outlineLevel="4" x14ac:dyDescent="0.25">
      <c r="A492" s="63" t="str">
        <f t="shared" si="102"/>
        <v>1.3.0.9.28.62</v>
      </c>
      <c r="B492" s="64">
        <v>1</v>
      </c>
      <c r="C492" s="64">
        <v>3</v>
      </c>
      <c r="D492" s="64">
        <v>0</v>
      </c>
      <c r="E492" s="64">
        <v>9</v>
      </c>
      <c r="F492" s="64">
        <v>28</v>
      </c>
      <c r="G492" s="100">
        <v>62</v>
      </c>
      <c r="H492" s="65"/>
      <c r="I492" s="65"/>
      <c r="J492" s="65"/>
      <c r="K492" s="65" t="s">
        <v>1744</v>
      </c>
      <c r="L492" s="64" t="s">
        <v>359</v>
      </c>
      <c r="M492" s="64" t="s">
        <v>73</v>
      </c>
      <c r="N492" s="64" t="s">
        <v>226</v>
      </c>
      <c r="O492" s="64" t="s">
        <v>361</v>
      </c>
      <c r="P492" s="69">
        <v>44315</v>
      </c>
      <c r="Q492" s="69">
        <v>44438</v>
      </c>
      <c r="R492" s="124">
        <v>153004</v>
      </c>
      <c r="S492" s="123"/>
      <c r="T492" s="124"/>
      <c r="U492" s="172"/>
      <c r="V492" s="674">
        <v>1277714.29</v>
      </c>
      <c r="W492" s="75"/>
      <c r="X492" s="97"/>
      <c r="Y492" s="834">
        <f t="shared" si="87"/>
        <v>0</v>
      </c>
      <c r="Z492" s="75"/>
      <c r="AA492" s="75"/>
      <c r="AB492" s="75"/>
      <c r="AC492" s="75"/>
      <c r="AD492" s="75"/>
      <c r="AE492" s="592"/>
      <c r="AF492" s="353"/>
      <c r="AG492" s="75">
        <v>1015000</v>
      </c>
      <c r="AH492" s="370">
        <v>0</v>
      </c>
      <c r="AI492" s="75"/>
      <c r="AJ492" s="75">
        <v>1277714.29</v>
      </c>
      <c r="AK492" s="75"/>
      <c r="AL492" s="75"/>
      <c r="AM492" s="75"/>
      <c r="AN492" s="64" t="s">
        <v>181</v>
      </c>
      <c r="AO492" s="165" t="s">
        <v>1819</v>
      </c>
      <c r="AP492" s="165" t="s">
        <v>2146</v>
      </c>
      <c r="AQ492" s="413" t="s">
        <v>2147</v>
      </c>
      <c r="AR492" s="69">
        <v>44399</v>
      </c>
      <c r="AS492" s="562">
        <v>44764</v>
      </c>
      <c r="AT492" s="64" t="s">
        <v>2029</v>
      </c>
      <c r="AU492" s="877">
        <v>550</v>
      </c>
      <c r="AV492" s="1274"/>
    </row>
    <row r="493" spans="1:48" outlineLevel="4" x14ac:dyDescent="0.25">
      <c r="A493" s="63" t="str">
        <f t="shared" si="102"/>
        <v>1.3.0.9.28.63</v>
      </c>
      <c r="B493" s="64">
        <v>1</v>
      </c>
      <c r="C493" s="64">
        <v>3</v>
      </c>
      <c r="D493" s="64">
        <v>0</v>
      </c>
      <c r="E493" s="64">
        <v>9</v>
      </c>
      <c r="F493" s="64">
        <v>28</v>
      </c>
      <c r="G493" s="100">
        <v>63</v>
      </c>
      <c r="H493" s="65"/>
      <c r="I493" s="65"/>
      <c r="J493" s="65"/>
      <c r="K493" s="65" t="s">
        <v>539</v>
      </c>
      <c r="L493" s="64" t="s">
        <v>359</v>
      </c>
      <c r="M493" s="64" t="s">
        <v>73</v>
      </c>
      <c r="N493" s="64" t="s">
        <v>226</v>
      </c>
      <c r="O493" s="64" t="s">
        <v>361</v>
      </c>
      <c r="P493" s="69">
        <v>44315</v>
      </c>
      <c r="Q493" s="69">
        <v>44438</v>
      </c>
      <c r="R493" s="124">
        <v>153005</v>
      </c>
      <c r="S493" s="123"/>
      <c r="T493" s="124"/>
      <c r="U493" s="172"/>
      <c r="V493" s="674">
        <v>1277714.29</v>
      </c>
      <c r="W493" s="75"/>
      <c r="X493" s="97"/>
      <c r="Y493" s="834">
        <f t="shared" si="87"/>
        <v>0</v>
      </c>
      <c r="Z493" s="75"/>
      <c r="AA493" s="75"/>
      <c r="AB493" s="75"/>
      <c r="AC493" s="75"/>
      <c r="AD493" s="75"/>
      <c r="AE493" s="592"/>
      <c r="AF493" s="353"/>
      <c r="AG493" s="75">
        <v>1015000</v>
      </c>
      <c r="AH493" s="370">
        <v>0</v>
      </c>
      <c r="AI493" s="75"/>
      <c r="AJ493" s="75">
        <v>1277714.29</v>
      </c>
      <c r="AK493" s="75"/>
      <c r="AL493" s="75"/>
      <c r="AM493" s="75"/>
      <c r="AN493" s="64" t="s">
        <v>181</v>
      </c>
      <c r="AO493" s="165" t="s">
        <v>1819</v>
      </c>
      <c r="AP493" s="165" t="s">
        <v>2146</v>
      </c>
      <c r="AQ493" s="413" t="s">
        <v>2147</v>
      </c>
      <c r="AR493" s="69">
        <v>44399</v>
      </c>
      <c r="AS493" s="562">
        <v>44764</v>
      </c>
      <c r="AT493" s="64" t="s">
        <v>2029</v>
      </c>
      <c r="AU493" s="877">
        <v>550</v>
      </c>
      <c r="AV493" s="1274"/>
    </row>
    <row r="494" spans="1:48" outlineLevel="4" x14ac:dyDescent="0.25">
      <c r="A494" s="63" t="str">
        <f t="shared" si="102"/>
        <v>1.3.0.9.28.64</v>
      </c>
      <c r="B494" s="64">
        <v>1</v>
      </c>
      <c r="C494" s="64">
        <v>3</v>
      </c>
      <c r="D494" s="64">
        <v>0</v>
      </c>
      <c r="E494" s="64">
        <v>9</v>
      </c>
      <c r="F494" s="64">
        <v>28</v>
      </c>
      <c r="G494" s="100">
        <v>64</v>
      </c>
      <c r="H494" s="65"/>
      <c r="I494" s="65"/>
      <c r="J494" s="65"/>
      <c r="K494" s="65" t="s">
        <v>540</v>
      </c>
      <c r="L494" s="64" t="s">
        <v>359</v>
      </c>
      <c r="M494" s="64" t="s">
        <v>73</v>
      </c>
      <c r="N494" s="64" t="s">
        <v>226</v>
      </c>
      <c r="O494" s="64" t="s">
        <v>361</v>
      </c>
      <c r="P494" s="69">
        <v>44315</v>
      </c>
      <c r="Q494" s="69">
        <v>44438</v>
      </c>
      <c r="R494" s="124">
        <v>153005</v>
      </c>
      <c r="S494" s="123"/>
      <c r="T494" s="124"/>
      <c r="U494" s="172"/>
      <c r="V494" s="674">
        <v>1277714.29</v>
      </c>
      <c r="W494" s="75"/>
      <c r="X494" s="97"/>
      <c r="Y494" s="834">
        <f t="shared" si="87"/>
        <v>-3.0000000027939677E-2</v>
      </c>
      <c r="Z494" s="75"/>
      <c r="AA494" s="75"/>
      <c r="AB494" s="75"/>
      <c r="AC494" s="75"/>
      <c r="AD494" s="75"/>
      <c r="AE494" s="592"/>
      <c r="AF494" s="353"/>
      <c r="AG494" s="75">
        <v>1015000</v>
      </c>
      <c r="AH494" s="370">
        <v>0</v>
      </c>
      <c r="AI494" s="75"/>
      <c r="AJ494" s="75">
        <v>1277714.26</v>
      </c>
      <c r="AK494" s="75"/>
      <c r="AL494" s="75"/>
      <c r="AM494" s="75"/>
      <c r="AN494" s="64" t="s">
        <v>181</v>
      </c>
      <c r="AO494" s="165" t="s">
        <v>1819</v>
      </c>
      <c r="AP494" s="165" t="s">
        <v>2146</v>
      </c>
      <c r="AQ494" s="413" t="s">
        <v>2147</v>
      </c>
      <c r="AR494" s="69">
        <v>44399</v>
      </c>
      <c r="AS494" s="562">
        <v>44764</v>
      </c>
      <c r="AT494" s="64" t="s">
        <v>2029</v>
      </c>
      <c r="AU494" s="877">
        <v>550</v>
      </c>
      <c r="AV494" s="1274"/>
    </row>
    <row r="495" spans="1:48" ht="30" outlineLevel="4" x14ac:dyDescent="0.25">
      <c r="A495" s="63" t="str">
        <f t="shared" si="67"/>
        <v>1.3.1.9.29.58</v>
      </c>
      <c r="B495" s="64">
        <v>1</v>
      </c>
      <c r="C495" s="64">
        <v>3</v>
      </c>
      <c r="D495" s="64">
        <v>1</v>
      </c>
      <c r="E495" s="64">
        <v>9</v>
      </c>
      <c r="F495" s="64">
        <v>29</v>
      </c>
      <c r="G495" s="64">
        <v>58</v>
      </c>
      <c r="H495" s="65"/>
      <c r="I495" s="65"/>
      <c r="J495" s="65"/>
      <c r="K495" s="86" t="s">
        <v>541</v>
      </c>
      <c r="L495" s="64" t="s">
        <v>72</v>
      </c>
      <c r="M495" s="64" t="s">
        <v>73</v>
      </c>
      <c r="N495" s="64" t="s">
        <v>74</v>
      </c>
      <c r="O495" s="64" t="s">
        <v>542</v>
      </c>
      <c r="P495" s="69"/>
      <c r="Q495" s="69"/>
      <c r="R495" s="124"/>
      <c r="S495" s="123">
        <v>0</v>
      </c>
      <c r="T495" s="124"/>
      <c r="U495" s="75"/>
      <c r="V495" s="674">
        <v>0</v>
      </c>
      <c r="W495" s="75"/>
      <c r="X495" s="75"/>
      <c r="Y495" s="834">
        <f t="shared" si="87"/>
        <v>0</v>
      </c>
      <c r="Z495" s="75">
        <v>1</v>
      </c>
      <c r="AA495" s="75"/>
      <c r="AB495" s="75"/>
      <c r="AC495" s="75"/>
      <c r="AD495" s="75"/>
      <c r="AE495" s="592"/>
      <c r="AF495" s="347" t="s">
        <v>166</v>
      </c>
      <c r="AG495" s="510">
        <v>0</v>
      </c>
      <c r="AH495" s="370">
        <v>0</v>
      </c>
      <c r="AI495" s="75"/>
      <c r="AJ495" s="75"/>
      <c r="AK495" s="75"/>
      <c r="AL495" s="75"/>
      <c r="AM495" s="75"/>
      <c r="AN495" s="64" t="s">
        <v>39</v>
      </c>
      <c r="AO495" s="64"/>
      <c r="AP495" s="64"/>
      <c r="AQ495" s="189"/>
      <c r="AR495" s="64"/>
      <c r="AS495" s="476"/>
      <c r="AT495" s="64"/>
      <c r="AU495" s="646"/>
      <c r="AV495" s="185"/>
    </row>
    <row r="496" spans="1:48" ht="30" outlineLevel="4" x14ac:dyDescent="0.25">
      <c r="A496" s="63" t="str">
        <f t="shared" si="67"/>
        <v>1.3.1.9.29.59</v>
      </c>
      <c r="B496" s="64">
        <v>1</v>
      </c>
      <c r="C496" s="64">
        <v>3</v>
      </c>
      <c r="D496" s="64">
        <v>1</v>
      </c>
      <c r="E496" s="64">
        <v>9</v>
      </c>
      <c r="F496" s="64">
        <v>29</v>
      </c>
      <c r="G496" s="64">
        <v>59</v>
      </c>
      <c r="H496" s="65"/>
      <c r="I496" s="65"/>
      <c r="J496" s="65"/>
      <c r="K496" s="86" t="s">
        <v>543</v>
      </c>
      <c r="L496" s="64" t="s">
        <v>72</v>
      </c>
      <c r="M496" s="64" t="s">
        <v>73</v>
      </c>
      <c r="N496" s="64" t="s">
        <v>74</v>
      </c>
      <c r="O496" s="64" t="s">
        <v>542</v>
      </c>
      <c r="P496" s="69"/>
      <c r="Q496" s="69"/>
      <c r="R496" s="124"/>
      <c r="S496" s="123"/>
      <c r="T496" s="124"/>
      <c r="U496" s="75"/>
      <c r="V496" s="674">
        <v>0</v>
      </c>
      <c r="W496" s="75"/>
      <c r="X496" s="75"/>
      <c r="Y496" s="834">
        <f t="shared" si="87"/>
        <v>0</v>
      </c>
      <c r="Z496" s="75">
        <v>1</v>
      </c>
      <c r="AA496" s="75"/>
      <c r="AB496" s="75"/>
      <c r="AC496" s="75"/>
      <c r="AD496" s="75"/>
      <c r="AE496" s="592"/>
      <c r="AF496" s="347" t="s">
        <v>166</v>
      </c>
      <c r="AG496" s="510">
        <v>0</v>
      </c>
      <c r="AH496" s="370">
        <v>0</v>
      </c>
      <c r="AI496" s="75"/>
      <c r="AJ496" s="75"/>
      <c r="AK496" s="75"/>
      <c r="AL496" s="75"/>
      <c r="AM496" s="75"/>
      <c r="AN496" s="64" t="s">
        <v>39</v>
      </c>
      <c r="AO496" s="64"/>
      <c r="AP496" s="64"/>
      <c r="AQ496" s="189"/>
      <c r="AR496" s="64"/>
      <c r="AS496" s="476"/>
      <c r="AT496" s="64"/>
      <c r="AU496" s="646"/>
      <c r="AV496" s="185"/>
    </row>
    <row r="497" spans="1:48" ht="30" outlineLevel="4" x14ac:dyDescent="0.25">
      <c r="A497" s="63" t="str">
        <f t="shared" si="67"/>
        <v>1.3.1.9.29.60</v>
      </c>
      <c r="B497" s="64">
        <v>1</v>
      </c>
      <c r="C497" s="64">
        <v>3</v>
      </c>
      <c r="D497" s="64">
        <v>1</v>
      </c>
      <c r="E497" s="64">
        <v>9</v>
      </c>
      <c r="F497" s="64">
        <v>29</v>
      </c>
      <c r="G497" s="64">
        <v>60</v>
      </c>
      <c r="H497" s="65"/>
      <c r="I497" s="65"/>
      <c r="J497" s="65"/>
      <c r="K497" s="86" t="s">
        <v>544</v>
      </c>
      <c r="L497" s="64" t="s">
        <v>72</v>
      </c>
      <c r="M497" s="64" t="s">
        <v>73</v>
      </c>
      <c r="N497" s="64" t="s">
        <v>74</v>
      </c>
      <c r="O497" s="64" t="s">
        <v>542</v>
      </c>
      <c r="P497" s="69"/>
      <c r="Q497" s="69"/>
      <c r="R497" s="124"/>
      <c r="S497" s="123"/>
      <c r="T497" s="124"/>
      <c r="U497" s="75"/>
      <c r="V497" s="674">
        <v>0</v>
      </c>
      <c r="W497" s="75"/>
      <c r="X497" s="75"/>
      <c r="Y497" s="834">
        <f t="shared" si="87"/>
        <v>0</v>
      </c>
      <c r="Z497" s="75">
        <v>1</v>
      </c>
      <c r="AA497" s="75"/>
      <c r="AB497" s="75"/>
      <c r="AC497" s="75"/>
      <c r="AD497" s="75"/>
      <c r="AE497" s="592"/>
      <c r="AF497" s="347" t="s">
        <v>166</v>
      </c>
      <c r="AG497" s="510">
        <v>0</v>
      </c>
      <c r="AH497" s="370">
        <v>0</v>
      </c>
      <c r="AI497" s="75"/>
      <c r="AJ497" s="75"/>
      <c r="AK497" s="75"/>
      <c r="AL497" s="75"/>
      <c r="AM497" s="75"/>
      <c r="AN497" s="64" t="s">
        <v>39</v>
      </c>
      <c r="AO497" s="64"/>
      <c r="AP497" s="64"/>
      <c r="AQ497" s="189"/>
      <c r="AR497" s="64"/>
      <c r="AS497" s="476"/>
      <c r="AT497" s="64"/>
      <c r="AU497" s="646"/>
      <c r="AV497" s="185"/>
    </row>
    <row r="498" spans="1:48" ht="30" outlineLevel="4" x14ac:dyDescent="0.25">
      <c r="A498" s="63" t="str">
        <f t="shared" si="67"/>
        <v>1.3.1.9.29.61</v>
      </c>
      <c r="B498" s="64">
        <v>1</v>
      </c>
      <c r="C498" s="64">
        <v>3</v>
      </c>
      <c r="D498" s="64">
        <v>1</v>
      </c>
      <c r="E498" s="64">
        <v>9</v>
      </c>
      <c r="F498" s="64">
        <v>29</v>
      </c>
      <c r="G498" s="64">
        <v>61</v>
      </c>
      <c r="H498" s="65"/>
      <c r="I498" s="65"/>
      <c r="J498" s="65"/>
      <c r="K498" s="86" t="s">
        <v>545</v>
      </c>
      <c r="L498" s="64" t="s">
        <v>72</v>
      </c>
      <c r="M498" s="64" t="s">
        <v>73</v>
      </c>
      <c r="N498" s="64" t="s">
        <v>74</v>
      </c>
      <c r="O498" s="64" t="s">
        <v>542</v>
      </c>
      <c r="P498" s="69"/>
      <c r="Q498" s="69"/>
      <c r="R498" s="124"/>
      <c r="S498" s="123"/>
      <c r="T498" s="124"/>
      <c r="U498" s="75"/>
      <c r="V498" s="674">
        <v>0</v>
      </c>
      <c r="W498" s="75"/>
      <c r="X498" s="75"/>
      <c r="Y498" s="834">
        <f t="shared" si="87"/>
        <v>0</v>
      </c>
      <c r="Z498" s="75">
        <v>1</v>
      </c>
      <c r="AA498" s="75"/>
      <c r="AB498" s="75"/>
      <c r="AC498" s="75"/>
      <c r="AD498" s="75"/>
      <c r="AE498" s="592"/>
      <c r="AF498" s="347" t="s">
        <v>166</v>
      </c>
      <c r="AG498" s="510">
        <v>0</v>
      </c>
      <c r="AH498" s="370">
        <v>0</v>
      </c>
      <c r="AI498" s="75"/>
      <c r="AJ498" s="75"/>
      <c r="AK498" s="75"/>
      <c r="AL498" s="75"/>
      <c r="AM498" s="75"/>
      <c r="AN498" s="64" t="s">
        <v>39</v>
      </c>
      <c r="AO498" s="64"/>
      <c r="AP498" s="64"/>
      <c r="AQ498" s="189"/>
      <c r="AR498" s="64"/>
      <c r="AS498" s="476"/>
      <c r="AT498" s="64"/>
      <c r="AU498" s="646"/>
      <c r="AV498" s="185"/>
    </row>
    <row r="499" spans="1:48" ht="30" outlineLevel="4" x14ac:dyDescent="0.25">
      <c r="A499" s="63" t="str">
        <f t="shared" si="67"/>
        <v>1.3.1.9.29.62</v>
      </c>
      <c r="B499" s="64">
        <v>1</v>
      </c>
      <c r="C499" s="64">
        <v>3</v>
      </c>
      <c r="D499" s="64">
        <v>1</v>
      </c>
      <c r="E499" s="64">
        <v>9</v>
      </c>
      <c r="F499" s="64">
        <v>29</v>
      </c>
      <c r="G499" s="64">
        <v>62</v>
      </c>
      <c r="H499" s="65"/>
      <c r="I499" s="65"/>
      <c r="J499" s="65"/>
      <c r="K499" s="86" t="s">
        <v>1745</v>
      </c>
      <c r="L499" s="64" t="s">
        <v>72</v>
      </c>
      <c r="M499" s="64" t="s">
        <v>73</v>
      </c>
      <c r="N499" s="64" t="s">
        <v>74</v>
      </c>
      <c r="O499" s="64" t="s">
        <v>542</v>
      </c>
      <c r="P499" s="69"/>
      <c r="Q499" s="69"/>
      <c r="R499" s="124"/>
      <c r="S499" s="123"/>
      <c r="T499" s="124"/>
      <c r="U499" s="75"/>
      <c r="V499" s="674">
        <v>0</v>
      </c>
      <c r="W499" s="75"/>
      <c r="X499" s="75"/>
      <c r="Y499" s="834">
        <f t="shared" si="87"/>
        <v>0</v>
      </c>
      <c r="Z499" s="75">
        <v>1</v>
      </c>
      <c r="AA499" s="75"/>
      <c r="AB499" s="75"/>
      <c r="AC499" s="75"/>
      <c r="AD499" s="75"/>
      <c r="AE499" s="592"/>
      <c r="AF499" s="347" t="s">
        <v>166</v>
      </c>
      <c r="AG499" s="510">
        <v>0</v>
      </c>
      <c r="AH499" s="370">
        <v>0</v>
      </c>
      <c r="AI499" s="75"/>
      <c r="AJ499" s="75"/>
      <c r="AK499" s="75"/>
      <c r="AL499" s="75"/>
      <c r="AM499" s="75"/>
      <c r="AN499" s="64" t="s">
        <v>39</v>
      </c>
      <c r="AO499" s="64"/>
      <c r="AP499" s="64"/>
      <c r="AQ499" s="189"/>
      <c r="AR499" s="64"/>
      <c r="AS499" s="476"/>
      <c r="AT499" s="64"/>
      <c r="AU499" s="646"/>
      <c r="AV499" s="185"/>
    </row>
    <row r="500" spans="1:48" ht="30" outlineLevel="4" x14ac:dyDescent="0.25">
      <c r="A500" s="63" t="str">
        <f t="shared" si="67"/>
        <v>1.3.1.9.29.63</v>
      </c>
      <c r="B500" s="64">
        <v>1</v>
      </c>
      <c r="C500" s="64">
        <v>3</v>
      </c>
      <c r="D500" s="64">
        <v>1</v>
      </c>
      <c r="E500" s="64">
        <v>9</v>
      </c>
      <c r="F500" s="64">
        <v>29</v>
      </c>
      <c r="G500" s="64">
        <v>63</v>
      </c>
      <c r="H500" s="65"/>
      <c r="I500" s="65"/>
      <c r="J500" s="65"/>
      <c r="K500" s="86" t="s">
        <v>546</v>
      </c>
      <c r="L500" s="64" t="s">
        <v>72</v>
      </c>
      <c r="M500" s="64" t="s">
        <v>73</v>
      </c>
      <c r="N500" s="64" t="s">
        <v>74</v>
      </c>
      <c r="O500" s="64" t="s">
        <v>542</v>
      </c>
      <c r="P500" s="69"/>
      <c r="Q500" s="69"/>
      <c r="R500" s="124"/>
      <c r="S500" s="123"/>
      <c r="T500" s="124"/>
      <c r="U500" s="75"/>
      <c r="V500" s="674">
        <v>0</v>
      </c>
      <c r="W500" s="75"/>
      <c r="X500" s="75"/>
      <c r="Y500" s="834">
        <f t="shared" si="87"/>
        <v>0</v>
      </c>
      <c r="Z500" s="75">
        <v>1</v>
      </c>
      <c r="AA500" s="75"/>
      <c r="AB500" s="75"/>
      <c r="AC500" s="75"/>
      <c r="AD500" s="75"/>
      <c r="AE500" s="592"/>
      <c r="AF500" s="347" t="s">
        <v>166</v>
      </c>
      <c r="AG500" s="510">
        <v>0</v>
      </c>
      <c r="AH500" s="370">
        <v>0</v>
      </c>
      <c r="AI500" s="75"/>
      <c r="AJ500" s="75"/>
      <c r="AK500" s="75"/>
      <c r="AL500" s="75"/>
      <c r="AM500" s="75"/>
      <c r="AN500" s="64" t="s">
        <v>39</v>
      </c>
      <c r="AO500" s="64"/>
      <c r="AP500" s="64"/>
      <c r="AQ500" s="189"/>
      <c r="AR500" s="64"/>
      <c r="AS500" s="476"/>
      <c r="AT500" s="64"/>
      <c r="AU500" s="646"/>
      <c r="AV500" s="185"/>
    </row>
    <row r="501" spans="1:48" ht="30" outlineLevel="4" x14ac:dyDescent="0.25">
      <c r="A501" s="63" t="str">
        <f t="shared" si="67"/>
        <v>1.3.1.9.29.64</v>
      </c>
      <c r="B501" s="64">
        <v>1</v>
      </c>
      <c r="C501" s="64">
        <v>3</v>
      </c>
      <c r="D501" s="64">
        <v>1</v>
      </c>
      <c r="E501" s="64">
        <v>9</v>
      </c>
      <c r="F501" s="64">
        <v>29</v>
      </c>
      <c r="G501" s="64">
        <v>64</v>
      </c>
      <c r="H501" s="65"/>
      <c r="I501" s="65"/>
      <c r="J501" s="65"/>
      <c r="K501" s="86" t="s">
        <v>547</v>
      </c>
      <c r="L501" s="64" t="s">
        <v>72</v>
      </c>
      <c r="M501" s="64" t="s">
        <v>73</v>
      </c>
      <c r="N501" s="64" t="s">
        <v>74</v>
      </c>
      <c r="O501" s="64" t="s">
        <v>542</v>
      </c>
      <c r="P501" s="69"/>
      <c r="Q501" s="69"/>
      <c r="R501" s="124"/>
      <c r="S501" s="123"/>
      <c r="T501" s="124"/>
      <c r="U501" s="75"/>
      <c r="V501" s="674">
        <v>0</v>
      </c>
      <c r="W501" s="75"/>
      <c r="X501" s="75"/>
      <c r="Y501" s="834">
        <f t="shared" si="87"/>
        <v>0</v>
      </c>
      <c r="Z501" s="75">
        <v>1</v>
      </c>
      <c r="AA501" s="75"/>
      <c r="AB501" s="75"/>
      <c r="AC501" s="75"/>
      <c r="AD501" s="75"/>
      <c r="AE501" s="592"/>
      <c r="AF501" s="347" t="s">
        <v>166</v>
      </c>
      <c r="AG501" s="510">
        <v>0</v>
      </c>
      <c r="AH501" s="370">
        <v>0</v>
      </c>
      <c r="AI501" s="75"/>
      <c r="AJ501" s="75"/>
      <c r="AK501" s="75"/>
      <c r="AL501" s="75"/>
      <c r="AM501" s="75"/>
      <c r="AN501" s="64" t="s">
        <v>39</v>
      </c>
      <c r="AO501" s="64"/>
      <c r="AP501" s="64"/>
      <c r="AQ501" s="189"/>
      <c r="AR501" s="64"/>
      <c r="AS501" s="476"/>
      <c r="AT501" s="64"/>
      <c r="AU501" s="646"/>
      <c r="AV501" s="185"/>
    </row>
    <row r="502" spans="1:48" ht="15.6" customHeight="1" outlineLevel="4" x14ac:dyDescent="0.25">
      <c r="A502" s="63" t="str">
        <f t="shared" si="67"/>
        <v>1.3.1.9.30.58</v>
      </c>
      <c r="B502" s="64">
        <v>1</v>
      </c>
      <c r="C502" s="64">
        <v>3</v>
      </c>
      <c r="D502" s="64">
        <v>1</v>
      </c>
      <c r="E502" s="64">
        <v>9</v>
      </c>
      <c r="F502" s="64">
        <v>30</v>
      </c>
      <c r="G502" s="64">
        <v>58</v>
      </c>
      <c r="H502" s="65"/>
      <c r="I502" s="65"/>
      <c r="J502" s="65"/>
      <c r="K502" s="86" t="s">
        <v>548</v>
      </c>
      <c r="L502" s="64" t="s">
        <v>72</v>
      </c>
      <c r="M502" s="64" t="s">
        <v>73</v>
      </c>
      <c r="N502" s="64" t="s">
        <v>74</v>
      </c>
      <c r="O502" s="64" t="s">
        <v>542</v>
      </c>
      <c r="P502" s="69">
        <v>44200</v>
      </c>
      <c r="Q502" s="69">
        <v>44351</v>
      </c>
      <c r="R502" s="124">
        <v>964341</v>
      </c>
      <c r="S502" s="123" t="s">
        <v>535</v>
      </c>
      <c r="T502" s="124">
        <v>964341</v>
      </c>
      <c r="U502" s="75"/>
      <c r="V502" s="674">
        <v>0</v>
      </c>
      <c r="W502" s="75"/>
      <c r="X502" s="75"/>
      <c r="Y502" s="834">
        <f t="shared" si="87"/>
        <v>0</v>
      </c>
      <c r="Z502" s="75"/>
      <c r="AA502" s="75"/>
      <c r="AB502" s="75"/>
      <c r="AC502" s="75"/>
      <c r="AD502" s="75"/>
      <c r="AE502" s="592"/>
      <c r="AF502" s="348" t="s">
        <v>549</v>
      </c>
      <c r="AG502" s="510">
        <v>0</v>
      </c>
      <c r="AH502" s="370">
        <v>0</v>
      </c>
      <c r="AI502" s="75"/>
      <c r="AJ502" s="75"/>
      <c r="AK502" s="75"/>
      <c r="AL502" s="75"/>
      <c r="AM502" s="75"/>
      <c r="AN502" s="64" t="s">
        <v>39</v>
      </c>
      <c r="AO502" s="64"/>
      <c r="AP502" s="64"/>
      <c r="AQ502" s="189"/>
      <c r="AR502" s="64"/>
      <c r="AS502" s="476"/>
      <c r="AT502" s="64"/>
      <c r="AU502" s="646"/>
      <c r="AV502" s="185"/>
    </row>
    <row r="503" spans="1:48" outlineLevel="4" x14ac:dyDescent="0.25">
      <c r="A503" s="63" t="str">
        <f t="shared" si="67"/>
        <v>1.3.1.9.30.59</v>
      </c>
      <c r="B503" s="64">
        <v>1</v>
      </c>
      <c r="C503" s="64">
        <v>3</v>
      </c>
      <c r="D503" s="64">
        <v>1</v>
      </c>
      <c r="E503" s="64">
        <v>9</v>
      </c>
      <c r="F503" s="64">
        <v>30</v>
      </c>
      <c r="G503" s="64">
        <v>59</v>
      </c>
      <c r="H503" s="65"/>
      <c r="I503" s="65"/>
      <c r="J503" s="65"/>
      <c r="K503" s="125" t="s">
        <v>550</v>
      </c>
      <c r="L503" s="64" t="s">
        <v>72</v>
      </c>
      <c r="M503" s="64" t="s">
        <v>73</v>
      </c>
      <c r="N503" s="64" t="s">
        <v>74</v>
      </c>
      <c r="O503" s="64" t="s">
        <v>542</v>
      </c>
      <c r="P503" s="69">
        <v>44200</v>
      </c>
      <c r="Q503" s="69">
        <v>44351</v>
      </c>
      <c r="R503" s="124">
        <v>964342</v>
      </c>
      <c r="S503" s="123"/>
      <c r="T503" s="124"/>
      <c r="U503" s="75"/>
      <c r="V503" s="674">
        <v>0</v>
      </c>
      <c r="W503" s="75"/>
      <c r="X503" s="75"/>
      <c r="Y503" s="834">
        <f t="shared" ref="Y503:Y565" si="103">+AJ503-V503</f>
        <v>0</v>
      </c>
      <c r="Z503" s="75"/>
      <c r="AA503" s="75"/>
      <c r="AB503" s="75"/>
      <c r="AC503" s="75"/>
      <c r="AD503" s="75"/>
      <c r="AE503" s="592"/>
      <c r="AF503" s="348"/>
      <c r="AG503" s="510">
        <v>0</v>
      </c>
      <c r="AH503" s="370">
        <v>0</v>
      </c>
      <c r="AI503" s="75"/>
      <c r="AJ503" s="75"/>
      <c r="AK503" s="75"/>
      <c r="AL503" s="75"/>
      <c r="AM503" s="75"/>
      <c r="AN503" s="64" t="s">
        <v>39</v>
      </c>
      <c r="AO503" s="64"/>
      <c r="AP503" s="64"/>
      <c r="AQ503" s="189"/>
      <c r="AR503" s="64"/>
      <c r="AS503" s="476"/>
      <c r="AT503" s="64"/>
      <c r="AU503" s="646"/>
      <c r="AV503" s="185"/>
    </row>
    <row r="504" spans="1:48" outlineLevel="4" x14ac:dyDescent="0.25">
      <c r="A504" s="63" t="str">
        <f t="shared" si="67"/>
        <v>1.3.1.9.30.60</v>
      </c>
      <c r="B504" s="64">
        <v>1</v>
      </c>
      <c r="C504" s="64">
        <v>3</v>
      </c>
      <c r="D504" s="64">
        <v>1</v>
      </c>
      <c r="E504" s="64">
        <v>9</v>
      </c>
      <c r="F504" s="64">
        <v>30</v>
      </c>
      <c r="G504" s="64">
        <v>60</v>
      </c>
      <c r="H504" s="65"/>
      <c r="I504" s="65"/>
      <c r="J504" s="65"/>
      <c r="K504" s="125" t="s">
        <v>551</v>
      </c>
      <c r="L504" s="64" t="s">
        <v>72</v>
      </c>
      <c r="M504" s="64" t="s">
        <v>73</v>
      </c>
      <c r="N504" s="64" t="s">
        <v>74</v>
      </c>
      <c r="O504" s="64" t="s">
        <v>542</v>
      </c>
      <c r="P504" s="69">
        <v>44200</v>
      </c>
      <c r="Q504" s="69">
        <v>44351</v>
      </c>
      <c r="R504" s="124">
        <v>964343</v>
      </c>
      <c r="S504" s="123"/>
      <c r="T504" s="124"/>
      <c r="U504" s="75"/>
      <c r="V504" s="674">
        <v>0</v>
      </c>
      <c r="W504" s="75"/>
      <c r="X504" s="75"/>
      <c r="Y504" s="834">
        <f t="shared" si="103"/>
        <v>0</v>
      </c>
      <c r="Z504" s="75"/>
      <c r="AA504" s="75"/>
      <c r="AB504" s="75"/>
      <c r="AC504" s="75"/>
      <c r="AD504" s="75"/>
      <c r="AE504" s="592"/>
      <c r="AF504" s="348"/>
      <c r="AG504" s="510">
        <v>0</v>
      </c>
      <c r="AH504" s="370">
        <v>0</v>
      </c>
      <c r="AI504" s="75"/>
      <c r="AJ504" s="75"/>
      <c r="AK504" s="75"/>
      <c r="AL504" s="75"/>
      <c r="AM504" s="75"/>
      <c r="AN504" s="64" t="s">
        <v>39</v>
      </c>
      <c r="AO504" s="64"/>
      <c r="AP504" s="64"/>
      <c r="AQ504" s="189"/>
      <c r="AR504" s="64"/>
      <c r="AS504" s="476"/>
      <c r="AT504" s="64"/>
      <c r="AU504" s="646"/>
      <c r="AV504" s="185"/>
    </row>
    <row r="505" spans="1:48" outlineLevel="4" x14ac:dyDescent="0.25">
      <c r="A505" s="63" t="str">
        <f t="shared" si="67"/>
        <v>1.3.1.9.30.61</v>
      </c>
      <c r="B505" s="64">
        <v>1</v>
      </c>
      <c r="C505" s="64">
        <v>3</v>
      </c>
      <c r="D505" s="64">
        <v>1</v>
      </c>
      <c r="E505" s="64">
        <v>9</v>
      </c>
      <c r="F505" s="64">
        <v>30</v>
      </c>
      <c r="G505" s="64">
        <v>61</v>
      </c>
      <c r="H505" s="65"/>
      <c r="I505" s="65"/>
      <c r="J505" s="65"/>
      <c r="K505" s="125" t="s">
        <v>552</v>
      </c>
      <c r="L505" s="64" t="s">
        <v>72</v>
      </c>
      <c r="M505" s="64" t="s">
        <v>73</v>
      </c>
      <c r="N505" s="64" t="s">
        <v>74</v>
      </c>
      <c r="O505" s="64" t="s">
        <v>542</v>
      </c>
      <c r="P505" s="69">
        <v>44200</v>
      </c>
      <c r="Q505" s="69">
        <v>44351</v>
      </c>
      <c r="R505" s="124">
        <v>964344</v>
      </c>
      <c r="S505" s="123"/>
      <c r="T505" s="124"/>
      <c r="U505" s="75"/>
      <c r="V505" s="674">
        <v>0</v>
      </c>
      <c r="W505" s="75"/>
      <c r="X505" s="75"/>
      <c r="Y505" s="834">
        <f t="shared" si="103"/>
        <v>0</v>
      </c>
      <c r="Z505" s="75"/>
      <c r="AA505" s="75"/>
      <c r="AB505" s="75"/>
      <c r="AC505" s="75"/>
      <c r="AD505" s="75"/>
      <c r="AE505" s="592"/>
      <c r="AF505" s="348"/>
      <c r="AG505" s="510">
        <v>0</v>
      </c>
      <c r="AH505" s="370">
        <v>0</v>
      </c>
      <c r="AI505" s="75"/>
      <c r="AJ505" s="75"/>
      <c r="AK505" s="75"/>
      <c r="AL505" s="75"/>
      <c r="AM505" s="75"/>
      <c r="AN505" s="64" t="s">
        <v>39</v>
      </c>
      <c r="AO505" s="64"/>
      <c r="AP505" s="64"/>
      <c r="AQ505" s="189"/>
      <c r="AR505" s="64"/>
      <c r="AS505" s="476"/>
      <c r="AT505" s="64"/>
      <c r="AU505" s="646"/>
      <c r="AV505" s="185"/>
    </row>
    <row r="506" spans="1:48" outlineLevel="4" x14ac:dyDescent="0.25">
      <c r="A506" s="63" t="str">
        <f t="shared" si="67"/>
        <v>1.3.1.9.30.62</v>
      </c>
      <c r="B506" s="64">
        <v>1</v>
      </c>
      <c r="C506" s="64">
        <v>3</v>
      </c>
      <c r="D506" s="64">
        <v>1</v>
      </c>
      <c r="E506" s="64">
        <v>9</v>
      </c>
      <c r="F506" s="64">
        <v>30</v>
      </c>
      <c r="G506" s="64">
        <v>62</v>
      </c>
      <c r="H506" s="65"/>
      <c r="I506" s="65"/>
      <c r="J506" s="65"/>
      <c r="K506" s="125" t="s">
        <v>1746</v>
      </c>
      <c r="L506" s="64" t="s">
        <v>72</v>
      </c>
      <c r="M506" s="64" t="s">
        <v>73</v>
      </c>
      <c r="N506" s="64" t="s">
        <v>74</v>
      </c>
      <c r="O506" s="64" t="s">
        <v>542</v>
      </c>
      <c r="P506" s="69">
        <v>44200</v>
      </c>
      <c r="Q506" s="69">
        <v>44351</v>
      </c>
      <c r="R506" s="124">
        <v>964345</v>
      </c>
      <c r="S506" s="123"/>
      <c r="T506" s="124"/>
      <c r="U506" s="75"/>
      <c r="V506" s="674">
        <v>0</v>
      </c>
      <c r="W506" s="75"/>
      <c r="X506" s="75"/>
      <c r="Y506" s="834">
        <f t="shared" si="103"/>
        <v>0</v>
      </c>
      <c r="Z506" s="75"/>
      <c r="AA506" s="75"/>
      <c r="AB506" s="75"/>
      <c r="AC506" s="75"/>
      <c r="AD506" s="75"/>
      <c r="AE506" s="592"/>
      <c r="AF506" s="348"/>
      <c r="AG506" s="129">
        <v>0</v>
      </c>
      <c r="AH506" s="370">
        <v>0</v>
      </c>
      <c r="AI506" s="75"/>
      <c r="AJ506" s="75"/>
      <c r="AK506" s="75"/>
      <c r="AL506" s="75"/>
      <c r="AM506" s="75"/>
      <c r="AN506" s="64" t="s">
        <v>39</v>
      </c>
      <c r="AO506" s="64"/>
      <c r="AP506" s="64"/>
      <c r="AQ506" s="189"/>
      <c r="AR506" s="64"/>
      <c r="AS506" s="476"/>
      <c r="AT506" s="64"/>
      <c r="AU506" s="646"/>
      <c r="AV506" s="185"/>
    </row>
    <row r="507" spans="1:48" outlineLevel="4" x14ac:dyDescent="0.25">
      <c r="A507" s="63" t="str">
        <f t="shared" si="67"/>
        <v>1.3.1.9.30.63</v>
      </c>
      <c r="B507" s="64">
        <v>1</v>
      </c>
      <c r="C507" s="64">
        <v>3</v>
      </c>
      <c r="D507" s="64">
        <v>1</v>
      </c>
      <c r="E507" s="64">
        <v>9</v>
      </c>
      <c r="F507" s="64">
        <v>30</v>
      </c>
      <c r="G507" s="64">
        <v>63</v>
      </c>
      <c r="H507" s="65"/>
      <c r="I507" s="65"/>
      <c r="J507" s="65"/>
      <c r="K507" s="125" t="s">
        <v>553</v>
      </c>
      <c r="L507" s="64" t="s">
        <v>72</v>
      </c>
      <c r="M507" s="64" t="s">
        <v>73</v>
      </c>
      <c r="N507" s="64" t="s">
        <v>74</v>
      </c>
      <c r="O507" s="64" t="s">
        <v>542</v>
      </c>
      <c r="P507" s="69">
        <v>44200</v>
      </c>
      <c r="Q507" s="69">
        <v>44351</v>
      </c>
      <c r="R507" s="124">
        <v>964346</v>
      </c>
      <c r="S507" s="123"/>
      <c r="T507" s="124"/>
      <c r="U507" s="75"/>
      <c r="V507" s="674">
        <v>0</v>
      </c>
      <c r="W507" s="75"/>
      <c r="X507" s="75"/>
      <c r="Y507" s="834">
        <f t="shared" si="103"/>
        <v>0</v>
      </c>
      <c r="Z507" s="75"/>
      <c r="AA507" s="75"/>
      <c r="AB507" s="75"/>
      <c r="AC507" s="75"/>
      <c r="AD507" s="75"/>
      <c r="AE507" s="592"/>
      <c r="AF507" s="348"/>
      <c r="AG507" s="129">
        <v>0</v>
      </c>
      <c r="AH507" s="370">
        <v>0</v>
      </c>
      <c r="AI507" s="75"/>
      <c r="AJ507" s="75"/>
      <c r="AK507" s="75"/>
      <c r="AL507" s="75"/>
      <c r="AM507" s="75"/>
      <c r="AN507" s="64" t="s">
        <v>39</v>
      </c>
      <c r="AO507" s="64"/>
      <c r="AP507" s="64"/>
      <c r="AQ507" s="189"/>
      <c r="AR507" s="64"/>
      <c r="AS507" s="476"/>
      <c r="AT507" s="64"/>
      <c r="AU507" s="646"/>
      <c r="AV507" s="185"/>
    </row>
    <row r="508" spans="1:48" outlineLevel="4" x14ac:dyDescent="0.25">
      <c r="A508" s="63" t="str">
        <f t="shared" si="67"/>
        <v>1.3.1.9.30.64</v>
      </c>
      <c r="B508" s="64">
        <v>1</v>
      </c>
      <c r="C508" s="64">
        <v>3</v>
      </c>
      <c r="D508" s="64">
        <v>1</v>
      </c>
      <c r="E508" s="64">
        <v>9</v>
      </c>
      <c r="F508" s="64">
        <v>30</v>
      </c>
      <c r="G508" s="64">
        <v>64</v>
      </c>
      <c r="H508" s="65"/>
      <c r="I508" s="65"/>
      <c r="J508" s="65"/>
      <c r="K508" s="125" t="s">
        <v>554</v>
      </c>
      <c r="L508" s="64" t="s">
        <v>72</v>
      </c>
      <c r="M508" s="64" t="s">
        <v>73</v>
      </c>
      <c r="N508" s="64" t="s">
        <v>74</v>
      </c>
      <c r="O508" s="64" t="s">
        <v>542</v>
      </c>
      <c r="P508" s="69">
        <v>44200</v>
      </c>
      <c r="Q508" s="69">
        <v>44351</v>
      </c>
      <c r="R508" s="124">
        <v>964346</v>
      </c>
      <c r="S508" s="123"/>
      <c r="T508" s="124"/>
      <c r="U508" s="75"/>
      <c r="V508" s="674">
        <v>0</v>
      </c>
      <c r="W508" s="75"/>
      <c r="X508" s="75"/>
      <c r="Y508" s="834">
        <f t="shared" si="103"/>
        <v>0</v>
      </c>
      <c r="Z508" s="75"/>
      <c r="AA508" s="75"/>
      <c r="AB508" s="75"/>
      <c r="AC508" s="75"/>
      <c r="AD508" s="75"/>
      <c r="AE508" s="592"/>
      <c r="AF508" s="348"/>
      <c r="AG508" s="129">
        <v>0</v>
      </c>
      <c r="AH508" s="370">
        <v>0</v>
      </c>
      <c r="AI508" s="75"/>
      <c r="AJ508" s="75"/>
      <c r="AK508" s="75"/>
      <c r="AL508" s="75"/>
      <c r="AM508" s="75"/>
      <c r="AN508" s="64" t="s">
        <v>39</v>
      </c>
      <c r="AO508" s="64"/>
      <c r="AP508" s="64"/>
      <c r="AQ508" s="189"/>
      <c r="AR508" s="64"/>
      <c r="AS508" s="476"/>
      <c r="AT508" s="64"/>
      <c r="AU508" s="646"/>
      <c r="AV508" s="185"/>
    </row>
    <row r="509" spans="1:48" ht="30" outlineLevel="4" x14ac:dyDescent="0.25">
      <c r="A509" s="63" t="str">
        <f t="shared" si="67"/>
        <v>1.3.1.9.31.58</v>
      </c>
      <c r="B509" s="64">
        <v>1</v>
      </c>
      <c r="C509" s="64">
        <v>3</v>
      </c>
      <c r="D509" s="64">
        <v>1</v>
      </c>
      <c r="E509" s="64">
        <v>9</v>
      </c>
      <c r="F509" s="64">
        <v>31</v>
      </c>
      <c r="G509" s="64">
        <v>58</v>
      </c>
      <c r="H509" s="65"/>
      <c r="I509" s="65"/>
      <c r="J509" s="65"/>
      <c r="K509" s="86" t="s">
        <v>555</v>
      </c>
      <c r="L509" s="64" t="s">
        <v>72</v>
      </c>
      <c r="M509" s="64" t="s">
        <v>73</v>
      </c>
      <c r="N509" s="64" t="s">
        <v>74</v>
      </c>
      <c r="O509" s="64" t="s">
        <v>542</v>
      </c>
      <c r="P509" s="69">
        <v>44200</v>
      </c>
      <c r="Q509" s="69">
        <v>44351</v>
      </c>
      <c r="R509" s="124">
        <f>3050*17</f>
        <v>51850</v>
      </c>
      <c r="S509" s="123" t="s">
        <v>535</v>
      </c>
      <c r="T509" s="124">
        <v>51850</v>
      </c>
      <c r="U509" s="75"/>
      <c r="V509" s="674">
        <v>0</v>
      </c>
      <c r="W509" s="75"/>
      <c r="X509" s="75"/>
      <c r="Y509" s="834">
        <f t="shared" si="103"/>
        <v>0</v>
      </c>
      <c r="Z509" s="75"/>
      <c r="AA509" s="75"/>
      <c r="AB509" s="75"/>
      <c r="AC509" s="75"/>
      <c r="AD509" s="75"/>
      <c r="AE509" s="592"/>
      <c r="AF509" s="347"/>
      <c r="AG509" s="75">
        <v>0</v>
      </c>
      <c r="AH509" s="370">
        <v>0</v>
      </c>
      <c r="AI509" s="75"/>
      <c r="AJ509" s="75"/>
      <c r="AK509" s="75"/>
      <c r="AL509" s="75"/>
      <c r="AM509" s="75"/>
      <c r="AN509" s="64" t="s">
        <v>39</v>
      </c>
      <c r="AO509" s="64"/>
      <c r="AP509" s="64"/>
      <c r="AQ509" s="189"/>
      <c r="AR509" s="64"/>
      <c r="AS509" s="476"/>
      <c r="AT509" s="64"/>
      <c r="AU509" s="646"/>
      <c r="AV509" s="441"/>
    </row>
    <row r="510" spans="1:48" outlineLevel="4" x14ac:dyDescent="0.25">
      <c r="A510" s="63" t="str">
        <f t="shared" si="67"/>
        <v>1.3.1.9.31.59</v>
      </c>
      <c r="B510" s="64">
        <v>1</v>
      </c>
      <c r="C510" s="64">
        <v>3</v>
      </c>
      <c r="D510" s="64">
        <v>1</v>
      </c>
      <c r="E510" s="64">
        <v>9</v>
      </c>
      <c r="F510" s="64">
        <v>31</v>
      </c>
      <c r="G510" s="64">
        <v>59</v>
      </c>
      <c r="H510" s="65"/>
      <c r="I510" s="65"/>
      <c r="J510" s="65"/>
      <c r="K510" s="125" t="s">
        <v>556</v>
      </c>
      <c r="L510" s="64" t="s">
        <v>72</v>
      </c>
      <c r="M510" s="64" t="s">
        <v>73</v>
      </c>
      <c r="N510" s="64" t="s">
        <v>74</v>
      </c>
      <c r="O510" s="64" t="s">
        <v>542</v>
      </c>
      <c r="P510" s="69">
        <v>44200</v>
      </c>
      <c r="Q510" s="69">
        <v>44351</v>
      </c>
      <c r="R510" s="124">
        <f t="shared" ref="R510:R515" si="104">3050*17</f>
        <v>51850</v>
      </c>
      <c r="S510" s="123"/>
      <c r="T510" s="124"/>
      <c r="U510" s="75"/>
      <c r="V510" s="674">
        <v>0</v>
      </c>
      <c r="W510" s="75"/>
      <c r="X510" s="75"/>
      <c r="Y510" s="834">
        <f t="shared" si="103"/>
        <v>0</v>
      </c>
      <c r="Z510" s="75"/>
      <c r="AA510" s="75"/>
      <c r="AB510" s="75"/>
      <c r="AC510" s="75"/>
      <c r="AD510" s="75"/>
      <c r="AE510" s="592"/>
      <c r="AF510" s="347"/>
      <c r="AG510" s="75">
        <v>0</v>
      </c>
      <c r="AH510" s="370">
        <v>0</v>
      </c>
      <c r="AI510" s="75"/>
      <c r="AJ510" s="75"/>
      <c r="AK510" s="75"/>
      <c r="AL510" s="75"/>
      <c r="AM510" s="75"/>
      <c r="AN510" s="64" t="s">
        <v>39</v>
      </c>
      <c r="AO510" s="64"/>
      <c r="AP510" s="64"/>
      <c r="AQ510" s="189"/>
      <c r="AR510" s="64"/>
      <c r="AS510" s="476"/>
      <c r="AT510" s="64"/>
      <c r="AU510" s="646"/>
      <c r="AV510" s="441"/>
    </row>
    <row r="511" spans="1:48" outlineLevel="4" x14ac:dyDescent="0.25">
      <c r="A511" s="63" t="str">
        <f t="shared" si="67"/>
        <v>1.3.1.9.31.60</v>
      </c>
      <c r="B511" s="64">
        <v>1</v>
      </c>
      <c r="C511" s="64">
        <v>3</v>
      </c>
      <c r="D511" s="64">
        <v>1</v>
      </c>
      <c r="E511" s="64">
        <v>9</v>
      </c>
      <c r="F511" s="64">
        <v>31</v>
      </c>
      <c r="G511" s="64">
        <v>60</v>
      </c>
      <c r="H511" s="65"/>
      <c r="I511" s="65"/>
      <c r="J511" s="65"/>
      <c r="K511" s="125" t="s">
        <v>557</v>
      </c>
      <c r="L511" s="64" t="s">
        <v>72</v>
      </c>
      <c r="M511" s="64" t="s">
        <v>73</v>
      </c>
      <c r="N511" s="64" t="s">
        <v>74</v>
      </c>
      <c r="O511" s="64" t="s">
        <v>542</v>
      </c>
      <c r="P511" s="69">
        <v>44200</v>
      </c>
      <c r="Q511" s="69">
        <v>44351</v>
      </c>
      <c r="R511" s="124">
        <f t="shared" si="104"/>
        <v>51850</v>
      </c>
      <c r="S511" s="123"/>
      <c r="T511" s="124"/>
      <c r="U511" s="75"/>
      <c r="V511" s="674">
        <v>0</v>
      </c>
      <c r="W511" s="75"/>
      <c r="X511" s="75"/>
      <c r="Y511" s="834">
        <f t="shared" si="103"/>
        <v>0</v>
      </c>
      <c r="Z511" s="75"/>
      <c r="AA511" s="75"/>
      <c r="AB511" s="75"/>
      <c r="AC511" s="75"/>
      <c r="AD511" s="75"/>
      <c r="AE511" s="592"/>
      <c r="AF511" s="347"/>
      <c r="AG511" s="75">
        <v>0</v>
      </c>
      <c r="AH511" s="370">
        <v>0</v>
      </c>
      <c r="AI511" s="75"/>
      <c r="AJ511" s="75"/>
      <c r="AK511" s="75"/>
      <c r="AL511" s="75"/>
      <c r="AM511" s="75"/>
      <c r="AN511" s="64" t="s">
        <v>39</v>
      </c>
      <c r="AO511" s="64"/>
      <c r="AP511" s="64"/>
      <c r="AQ511" s="189"/>
      <c r="AR511" s="64"/>
      <c r="AS511" s="476"/>
      <c r="AT511" s="64"/>
      <c r="AU511" s="646"/>
      <c r="AV511" s="441"/>
    </row>
    <row r="512" spans="1:48" outlineLevel="4" x14ac:dyDescent="0.25">
      <c r="A512" s="63" t="str">
        <f t="shared" si="67"/>
        <v>1.3.1.9.31.61</v>
      </c>
      <c r="B512" s="64">
        <v>1</v>
      </c>
      <c r="C512" s="64">
        <v>3</v>
      </c>
      <c r="D512" s="64">
        <v>1</v>
      </c>
      <c r="E512" s="64">
        <v>9</v>
      </c>
      <c r="F512" s="64">
        <v>31</v>
      </c>
      <c r="G512" s="64">
        <v>61</v>
      </c>
      <c r="H512" s="65"/>
      <c r="I512" s="65"/>
      <c r="J512" s="65"/>
      <c r="K512" s="125" t="s">
        <v>558</v>
      </c>
      <c r="L512" s="64" t="s">
        <v>72</v>
      </c>
      <c r="M512" s="64" t="s">
        <v>73</v>
      </c>
      <c r="N512" s="64" t="s">
        <v>74</v>
      </c>
      <c r="O512" s="64" t="s">
        <v>542</v>
      </c>
      <c r="P512" s="69">
        <v>44200</v>
      </c>
      <c r="Q512" s="69">
        <v>44351</v>
      </c>
      <c r="R512" s="124">
        <f t="shared" si="104"/>
        <v>51850</v>
      </c>
      <c r="S512" s="123"/>
      <c r="T512" s="124"/>
      <c r="U512" s="75"/>
      <c r="V512" s="674">
        <v>0</v>
      </c>
      <c r="W512" s="75"/>
      <c r="X512" s="75"/>
      <c r="Y512" s="834">
        <f t="shared" si="103"/>
        <v>0</v>
      </c>
      <c r="Z512" s="75"/>
      <c r="AA512" s="75"/>
      <c r="AB512" s="75"/>
      <c r="AC512" s="75"/>
      <c r="AD512" s="75"/>
      <c r="AE512" s="592"/>
      <c r="AF512" s="347"/>
      <c r="AG512" s="75">
        <v>0</v>
      </c>
      <c r="AH512" s="370">
        <v>0</v>
      </c>
      <c r="AI512" s="75"/>
      <c r="AJ512" s="75"/>
      <c r="AK512" s="75"/>
      <c r="AL512" s="75"/>
      <c r="AM512" s="75"/>
      <c r="AN512" s="64" t="s">
        <v>39</v>
      </c>
      <c r="AO512" s="64"/>
      <c r="AP512" s="64"/>
      <c r="AQ512" s="189"/>
      <c r="AR512" s="64"/>
      <c r="AS512" s="476"/>
      <c r="AT512" s="64"/>
      <c r="AU512" s="646"/>
      <c r="AV512" s="441"/>
    </row>
    <row r="513" spans="1:48" outlineLevel="4" x14ac:dyDescent="0.25">
      <c r="A513" s="63" t="str">
        <f t="shared" si="67"/>
        <v>1.3.1.9.31.62</v>
      </c>
      <c r="B513" s="64">
        <v>1</v>
      </c>
      <c r="C513" s="64">
        <v>3</v>
      </c>
      <c r="D513" s="64">
        <v>1</v>
      </c>
      <c r="E513" s="64">
        <v>9</v>
      </c>
      <c r="F513" s="64">
        <v>31</v>
      </c>
      <c r="G513" s="64">
        <v>62</v>
      </c>
      <c r="H513" s="65"/>
      <c r="I513" s="65"/>
      <c r="J513" s="65"/>
      <c r="K513" s="125" t="s">
        <v>1747</v>
      </c>
      <c r="L513" s="64" t="s">
        <v>72</v>
      </c>
      <c r="M513" s="64" t="s">
        <v>73</v>
      </c>
      <c r="N513" s="64" t="s">
        <v>74</v>
      </c>
      <c r="O513" s="64" t="s">
        <v>542</v>
      </c>
      <c r="P513" s="69">
        <v>44200</v>
      </c>
      <c r="Q513" s="69">
        <v>44351</v>
      </c>
      <c r="R513" s="124">
        <f t="shared" si="104"/>
        <v>51850</v>
      </c>
      <c r="S513" s="123"/>
      <c r="T513" s="124"/>
      <c r="U513" s="75"/>
      <c r="V513" s="674">
        <v>0</v>
      </c>
      <c r="W513" s="75"/>
      <c r="X513" s="75"/>
      <c r="Y513" s="834">
        <f t="shared" si="103"/>
        <v>0</v>
      </c>
      <c r="Z513" s="75"/>
      <c r="AA513" s="75"/>
      <c r="AB513" s="75"/>
      <c r="AC513" s="75"/>
      <c r="AD513" s="75"/>
      <c r="AE513" s="592"/>
      <c r="AF513" s="347"/>
      <c r="AG513" s="75">
        <v>0</v>
      </c>
      <c r="AH513" s="370">
        <v>0</v>
      </c>
      <c r="AI513" s="75"/>
      <c r="AJ513" s="75"/>
      <c r="AK513" s="75"/>
      <c r="AL513" s="75"/>
      <c r="AM513" s="75"/>
      <c r="AN513" s="64" t="s">
        <v>39</v>
      </c>
      <c r="AO513" s="64"/>
      <c r="AP513" s="64"/>
      <c r="AQ513" s="189"/>
      <c r="AR513" s="64"/>
      <c r="AS513" s="476"/>
      <c r="AT513" s="64"/>
      <c r="AU513" s="646"/>
      <c r="AV513" s="441"/>
    </row>
    <row r="514" spans="1:48" outlineLevel="4" x14ac:dyDescent="0.25">
      <c r="A514" s="63" t="str">
        <f t="shared" si="67"/>
        <v>1.3.1.9.31.63</v>
      </c>
      <c r="B514" s="64">
        <v>1</v>
      </c>
      <c r="C514" s="64">
        <v>3</v>
      </c>
      <c r="D514" s="64">
        <v>1</v>
      </c>
      <c r="E514" s="64">
        <v>9</v>
      </c>
      <c r="F514" s="64">
        <v>31</v>
      </c>
      <c r="G514" s="64">
        <v>63</v>
      </c>
      <c r="H514" s="65"/>
      <c r="I514" s="65"/>
      <c r="J514" s="65"/>
      <c r="K514" s="125" t="s">
        <v>559</v>
      </c>
      <c r="L514" s="64" t="s">
        <v>72</v>
      </c>
      <c r="M514" s="64" t="s">
        <v>73</v>
      </c>
      <c r="N514" s="64" t="s">
        <v>74</v>
      </c>
      <c r="O514" s="64" t="s">
        <v>542</v>
      </c>
      <c r="P514" s="69">
        <v>44200</v>
      </c>
      <c r="Q514" s="69">
        <v>44351</v>
      </c>
      <c r="R514" s="124">
        <f t="shared" si="104"/>
        <v>51850</v>
      </c>
      <c r="S514" s="123"/>
      <c r="T514" s="124"/>
      <c r="U514" s="75"/>
      <c r="V514" s="674">
        <v>0</v>
      </c>
      <c r="W514" s="75"/>
      <c r="X514" s="75"/>
      <c r="Y514" s="834">
        <f t="shared" si="103"/>
        <v>0</v>
      </c>
      <c r="Z514" s="75"/>
      <c r="AA514" s="75"/>
      <c r="AB514" s="75"/>
      <c r="AC514" s="75"/>
      <c r="AD514" s="75"/>
      <c r="AE514" s="592"/>
      <c r="AF514" s="347"/>
      <c r="AG514" s="75">
        <v>0</v>
      </c>
      <c r="AH514" s="370">
        <v>0</v>
      </c>
      <c r="AI514" s="75"/>
      <c r="AJ514" s="75"/>
      <c r="AK514" s="75"/>
      <c r="AL514" s="75"/>
      <c r="AM514" s="75"/>
      <c r="AN514" s="64" t="s">
        <v>39</v>
      </c>
      <c r="AO514" s="64"/>
      <c r="AP514" s="64"/>
      <c r="AQ514" s="189"/>
      <c r="AR514" s="64"/>
      <c r="AS514" s="476"/>
      <c r="AT514" s="64"/>
      <c r="AU514" s="646"/>
      <c r="AV514" s="441"/>
    </row>
    <row r="515" spans="1:48" outlineLevel="4" x14ac:dyDescent="0.25">
      <c r="A515" s="63" t="str">
        <f t="shared" si="67"/>
        <v>1.3.1.9.31.64</v>
      </c>
      <c r="B515" s="64">
        <v>1</v>
      </c>
      <c r="C515" s="64">
        <v>3</v>
      </c>
      <c r="D515" s="64">
        <v>1</v>
      </c>
      <c r="E515" s="64">
        <v>9</v>
      </c>
      <c r="F515" s="64">
        <v>31</v>
      </c>
      <c r="G515" s="64">
        <v>64</v>
      </c>
      <c r="H515" s="65"/>
      <c r="I515" s="65"/>
      <c r="J515" s="65"/>
      <c r="K515" s="125" t="s">
        <v>560</v>
      </c>
      <c r="L515" s="64" t="s">
        <v>72</v>
      </c>
      <c r="M515" s="64" t="s">
        <v>73</v>
      </c>
      <c r="N515" s="64" t="s">
        <v>74</v>
      </c>
      <c r="O515" s="64" t="s">
        <v>542</v>
      </c>
      <c r="P515" s="69">
        <v>44200</v>
      </c>
      <c r="Q515" s="69">
        <v>44351</v>
      </c>
      <c r="R515" s="124">
        <f t="shared" si="104"/>
        <v>51850</v>
      </c>
      <c r="S515" s="123"/>
      <c r="T515" s="124"/>
      <c r="U515" s="75"/>
      <c r="V515" s="674">
        <v>0</v>
      </c>
      <c r="W515" s="75"/>
      <c r="X515" s="75"/>
      <c r="Y515" s="834">
        <f t="shared" si="103"/>
        <v>0</v>
      </c>
      <c r="Z515" s="75"/>
      <c r="AA515" s="75"/>
      <c r="AB515" s="75"/>
      <c r="AC515" s="75"/>
      <c r="AD515" s="75"/>
      <c r="AE515" s="592"/>
      <c r="AF515" s="347"/>
      <c r="AG515" s="75">
        <v>0</v>
      </c>
      <c r="AH515" s="370">
        <v>0</v>
      </c>
      <c r="AI515" s="75"/>
      <c r="AJ515" s="75"/>
      <c r="AK515" s="75"/>
      <c r="AL515" s="75"/>
      <c r="AM515" s="75"/>
      <c r="AN515" s="64" t="s">
        <v>39</v>
      </c>
      <c r="AO515" s="64"/>
      <c r="AP515" s="64"/>
      <c r="AQ515" s="189"/>
      <c r="AR515" s="64"/>
      <c r="AS515" s="476"/>
      <c r="AT515" s="64"/>
      <c r="AU515" s="646"/>
      <c r="AV515" s="441"/>
    </row>
    <row r="516" spans="1:48" ht="30" outlineLevel="4" x14ac:dyDescent="0.25">
      <c r="A516" s="63" t="str">
        <f>CONCATENATE(B516,".",C516,".",D516,".",E516,".",F516,".",G516)</f>
        <v>1.3.0.9.32.58-64</v>
      </c>
      <c r="B516" s="64">
        <v>1</v>
      </c>
      <c r="C516" s="64">
        <v>3</v>
      </c>
      <c r="D516" s="64">
        <v>0</v>
      </c>
      <c r="E516" s="64">
        <v>9</v>
      </c>
      <c r="F516" s="64">
        <v>32</v>
      </c>
      <c r="G516" s="64" t="s">
        <v>64</v>
      </c>
      <c r="H516" s="65"/>
      <c r="I516" s="65"/>
      <c r="J516" s="65"/>
      <c r="K516" s="67" t="s">
        <v>561</v>
      </c>
      <c r="L516" s="64" t="s">
        <v>72</v>
      </c>
      <c r="M516" s="64" t="s">
        <v>562</v>
      </c>
      <c r="N516" s="64" t="s">
        <v>226</v>
      </c>
      <c r="O516" s="64" t="s">
        <v>361</v>
      </c>
      <c r="P516" s="69">
        <v>44200</v>
      </c>
      <c r="Q516" s="69">
        <v>44351</v>
      </c>
      <c r="R516" s="124">
        <f>70*300</f>
        <v>21000</v>
      </c>
      <c r="S516" s="123" t="s">
        <v>535</v>
      </c>
      <c r="T516" s="124">
        <v>0</v>
      </c>
      <c r="U516" s="75"/>
      <c r="V516" s="674">
        <v>0</v>
      </c>
      <c r="W516" s="75"/>
      <c r="X516" s="75"/>
      <c r="Y516" s="834">
        <f t="shared" si="103"/>
        <v>0</v>
      </c>
      <c r="Z516" s="75">
        <v>10000</v>
      </c>
      <c r="AA516" s="75"/>
      <c r="AB516" s="75"/>
      <c r="AC516" s="75">
        <v>11000</v>
      </c>
      <c r="AD516" s="75"/>
      <c r="AE516" s="592"/>
      <c r="AF516" s="348" t="s">
        <v>563</v>
      </c>
      <c r="AG516" s="129">
        <v>0</v>
      </c>
      <c r="AH516" s="370">
        <v>0</v>
      </c>
      <c r="AI516" s="75"/>
      <c r="AJ516" s="75"/>
      <c r="AK516" s="75"/>
      <c r="AL516" s="75"/>
      <c r="AM516" s="75"/>
      <c r="AN516" s="64" t="s">
        <v>39</v>
      </c>
      <c r="AO516" s="64"/>
      <c r="AP516" s="64"/>
      <c r="AQ516" s="189"/>
      <c r="AR516" s="64"/>
      <c r="AS516" s="476"/>
      <c r="AT516" s="64"/>
      <c r="AU516" s="646"/>
      <c r="AV516" s="335" t="s">
        <v>127</v>
      </c>
    </row>
    <row r="517" spans="1:48" ht="45" outlineLevel="4" x14ac:dyDescent="0.25">
      <c r="A517" s="63" t="str">
        <f>CONCATENATE(B517,".",C517,".",D517,".",E517,".",F517,".",G517)</f>
        <v>1.3.0.9.33.58</v>
      </c>
      <c r="B517" s="64">
        <v>1</v>
      </c>
      <c r="C517" s="64">
        <v>3</v>
      </c>
      <c r="D517" s="64">
        <v>0</v>
      </c>
      <c r="E517" s="64">
        <v>9</v>
      </c>
      <c r="F517" s="64">
        <v>33</v>
      </c>
      <c r="G517" s="64">
        <v>58</v>
      </c>
      <c r="H517" s="65"/>
      <c r="I517" s="65"/>
      <c r="J517" s="65"/>
      <c r="K517" s="67" t="s">
        <v>564</v>
      </c>
      <c r="L517" s="64" t="s">
        <v>359</v>
      </c>
      <c r="M517" s="64" t="s">
        <v>272</v>
      </c>
      <c r="N517" s="64" t="s">
        <v>360</v>
      </c>
      <c r="O517" s="64" t="s">
        <v>361</v>
      </c>
      <c r="P517" s="147">
        <v>44197</v>
      </c>
      <c r="Q517" s="147">
        <v>44561</v>
      </c>
      <c r="R517" s="124">
        <v>20</v>
      </c>
      <c r="S517" s="123"/>
      <c r="T517" s="124">
        <v>3</v>
      </c>
      <c r="U517" s="75">
        <f>+AH517/4</f>
        <v>50000</v>
      </c>
      <c r="V517" s="674">
        <v>0</v>
      </c>
      <c r="W517" s="75">
        <v>1</v>
      </c>
      <c r="X517" s="75">
        <f>+AH517/4</f>
        <v>50000</v>
      </c>
      <c r="Y517" s="834">
        <f t="shared" si="103"/>
        <v>1656000.6800000002</v>
      </c>
      <c r="Z517" s="75"/>
      <c r="AA517" s="75">
        <f>+AH517/4</f>
        <v>50000</v>
      </c>
      <c r="AB517" s="75"/>
      <c r="AC517" s="75"/>
      <c r="AD517" s="75">
        <f>+AH517/4</f>
        <v>50000</v>
      </c>
      <c r="AE517" s="592"/>
      <c r="AF517" s="348" t="s">
        <v>362</v>
      </c>
      <c r="AG517" s="129">
        <v>300000</v>
      </c>
      <c r="AH517" s="370">
        <v>200000</v>
      </c>
      <c r="AI517" s="75"/>
      <c r="AJ517" s="75">
        <f>506786.4+100000.03+105819.59+943394.66</f>
        <v>1656000.6800000002</v>
      </c>
      <c r="AK517" s="75"/>
      <c r="AL517" s="75"/>
      <c r="AM517" s="75"/>
      <c r="AN517" s="64" t="s">
        <v>39</v>
      </c>
      <c r="AO517" s="64" t="s">
        <v>1819</v>
      </c>
      <c r="AP517" s="68" t="s">
        <v>2231</v>
      </c>
      <c r="AQ517" s="873" t="s">
        <v>2233</v>
      </c>
      <c r="AR517" s="544" t="s">
        <v>2234</v>
      </c>
      <c r="AS517" s="880" t="s">
        <v>2235</v>
      </c>
      <c r="AT517" s="68" t="s">
        <v>2232</v>
      </c>
      <c r="AU517" s="879" t="s">
        <v>2230</v>
      </c>
      <c r="AV517" s="335"/>
    </row>
    <row r="518" spans="1:48" ht="45" outlineLevel="4" x14ac:dyDescent="0.25">
      <c r="A518" s="63" t="str">
        <f t="shared" ref="A518:A523" si="105">CONCATENATE(B518,".",C518,".",D518,".",E518,".",F518,".",G518)</f>
        <v>1.3.0.9.33.59</v>
      </c>
      <c r="B518" s="64">
        <v>1</v>
      </c>
      <c r="C518" s="64">
        <v>3</v>
      </c>
      <c r="D518" s="64">
        <v>0</v>
      </c>
      <c r="E518" s="64">
        <v>9</v>
      </c>
      <c r="F518" s="64">
        <v>33</v>
      </c>
      <c r="G518" s="64">
        <v>59</v>
      </c>
      <c r="H518" s="65"/>
      <c r="I518" s="65"/>
      <c r="J518" s="65"/>
      <c r="K518" s="67" t="s">
        <v>565</v>
      </c>
      <c r="L518" s="64" t="s">
        <v>359</v>
      </c>
      <c r="M518" s="64" t="s">
        <v>272</v>
      </c>
      <c r="N518" s="64" t="s">
        <v>360</v>
      </c>
      <c r="O518" s="64" t="s">
        <v>361</v>
      </c>
      <c r="P518" s="147">
        <v>44197</v>
      </c>
      <c r="Q518" s="147">
        <v>44561</v>
      </c>
      <c r="R518" s="124">
        <v>1</v>
      </c>
      <c r="S518" s="123"/>
      <c r="T518" s="124">
        <v>1</v>
      </c>
      <c r="U518" s="75">
        <f t="shared" ref="U518:U544" si="106">+AH518/4</f>
        <v>50000</v>
      </c>
      <c r="V518" s="674">
        <v>0</v>
      </c>
      <c r="W518" s="75"/>
      <c r="X518" s="75">
        <f t="shared" ref="X518:X544" si="107">+AH518/4</f>
        <v>50000</v>
      </c>
      <c r="Y518" s="834">
        <f t="shared" si="103"/>
        <v>1455632.65</v>
      </c>
      <c r="Z518" s="75"/>
      <c r="AA518" s="75">
        <f t="shared" ref="AA518:AA544" si="108">+AH518/4</f>
        <v>50000</v>
      </c>
      <c r="AB518" s="75"/>
      <c r="AC518" s="75"/>
      <c r="AD518" s="75">
        <f t="shared" ref="AD518:AD544" si="109">+AH518/4</f>
        <v>50000</v>
      </c>
      <c r="AE518" s="592"/>
      <c r="AF518" s="348" t="s">
        <v>362</v>
      </c>
      <c r="AG518" s="129">
        <v>300000</v>
      </c>
      <c r="AH518" s="370">
        <v>200000</v>
      </c>
      <c r="AI518" s="75"/>
      <c r="AJ518" s="75">
        <f>506786.4+315238.52+633607.73</f>
        <v>1455632.65</v>
      </c>
      <c r="AK518" s="75"/>
      <c r="AL518" s="75"/>
      <c r="AM518" s="75"/>
      <c r="AN518" s="64" t="s">
        <v>39</v>
      </c>
      <c r="AO518" s="64" t="s">
        <v>1819</v>
      </c>
      <c r="AP518" s="64" t="s">
        <v>2198</v>
      </c>
      <c r="AQ518" s="189" t="s">
        <v>2199</v>
      </c>
      <c r="AR518" s="69">
        <v>44615</v>
      </c>
      <c r="AS518" s="865">
        <v>44704</v>
      </c>
      <c r="AT518" s="64" t="s">
        <v>2200</v>
      </c>
      <c r="AU518" s="879" t="s">
        <v>2203</v>
      </c>
      <c r="AV518" s="335"/>
    </row>
    <row r="519" spans="1:48" ht="45" outlineLevel="4" x14ac:dyDescent="0.25">
      <c r="A519" s="63" t="str">
        <f t="shared" si="105"/>
        <v>1.3.0.9.33.60</v>
      </c>
      <c r="B519" s="64">
        <v>1</v>
      </c>
      <c r="C519" s="64">
        <v>3</v>
      </c>
      <c r="D519" s="64">
        <v>0</v>
      </c>
      <c r="E519" s="64">
        <v>9</v>
      </c>
      <c r="F519" s="64">
        <v>33</v>
      </c>
      <c r="G519" s="64">
        <v>60</v>
      </c>
      <c r="H519" s="65"/>
      <c r="I519" s="65"/>
      <c r="J519" s="65"/>
      <c r="K519" s="67" t="s">
        <v>566</v>
      </c>
      <c r="L519" s="64" t="s">
        <v>359</v>
      </c>
      <c r="M519" s="64" t="s">
        <v>272</v>
      </c>
      <c r="N519" s="64" t="s">
        <v>360</v>
      </c>
      <c r="O519" s="64" t="s">
        <v>361</v>
      </c>
      <c r="P519" s="147">
        <v>44197</v>
      </c>
      <c r="Q519" s="147">
        <v>44561</v>
      </c>
      <c r="R519" s="124">
        <v>1</v>
      </c>
      <c r="S519" s="123"/>
      <c r="T519" s="124">
        <v>1</v>
      </c>
      <c r="U519" s="75">
        <f t="shared" si="106"/>
        <v>50000</v>
      </c>
      <c r="V519" s="674">
        <v>0</v>
      </c>
      <c r="W519" s="75"/>
      <c r="X519" s="75">
        <f t="shared" si="107"/>
        <v>50000</v>
      </c>
      <c r="Y519" s="834">
        <f t="shared" si="103"/>
        <v>631537.42999999993</v>
      </c>
      <c r="Z519" s="75"/>
      <c r="AA519" s="75">
        <f t="shared" si="108"/>
        <v>50000</v>
      </c>
      <c r="AB519" s="75"/>
      <c r="AC519" s="75"/>
      <c r="AD519" s="75">
        <f t="shared" si="109"/>
        <v>50000</v>
      </c>
      <c r="AE519" s="592"/>
      <c r="AF519" s="348" t="s">
        <v>362</v>
      </c>
      <c r="AG519" s="129">
        <v>300000</v>
      </c>
      <c r="AH519" s="370">
        <v>200000</v>
      </c>
      <c r="AI519" s="75"/>
      <c r="AJ519" s="75">
        <f>506786.4+24219.71+100531.32</f>
        <v>631537.42999999993</v>
      </c>
      <c r="AK519" s="75"/>
      <c r="AL519" s="75"/>
      <c r="AM519" s="75"/>
      <c r="AN519" s="64" t="s">
        <v>39</v>
      </c>
      <c r="AO519" s="64" t="s">
        <v>1819</v>
      </c>
      <c r="AP519" s="64" t="s">
        <v>2198</v>
      </c>
      <c r="AQ519" s="189" t="s">
        <v>2199</v>
      </c>
      <c r="AR519" s="69">
        <v>44615</v>
      </c>
      <c r="AS519" s="865">
        <v>44704</v>
      </c>
      <c r="AT519" s="64" t="s">
        <v>2200</v>
      </c>
      <c r="AU519" s="879" t="s">
        <v>2203</v>
      </c>
      <c r="AV519" s="335"/>
    </row>
    <row r="520" spans="1:48" ht="45" outlineLevel="4" x14ac:dyDescent="0.25">
      <c r="A520" s="63" t="str">
        <f t="shared" si="105"/>
        <v>1.3.0.9.33.61</v>
      </c>
      <c r="B520" s="64">
        <v>1</v>
      </c>
      <c r="C520" s="64">
        <v>3</v>
      </c>
      <c r="D520" s="64">
        <v>0</v>
      </c>
      <c r="E520" s="64">
        <v>9</v>
      </c>
      <c r="F520" s="64">
        <v>33</v>
      </c>
      <c r="G520" s="64">
        <v>61</v>
      </c>
      <c r="H520" s="65"/>
      <c r="I520" s="65"/>
      <c r="J520" s="65"/>
      <c r="K520" s="67" t="s">
        <v>567</v>
      </c>
      <c r="L520" s="64" t="s">
        <v>359</v>
      </c>
      <c r="M520" s="64" t="s">
        <v>272</v>
      </c>
      <c r="N520" s="64" t="s">
        <v>360</v>
      </c>
      <c r="O520" s="64" t="s">
        <v>361</v>
      </c>
      <c r="P520" s="147">
        <v>44197</v>
      </c>
      <c r="Q520" s="147">
        <v>44561</v>
      </c>
      <c r="R520" s="124">
        <v>1</v>
      </c>
      <c r="S520" s="123"/>
      <c r="T520" s="124">
        <v>1</v>
      </c>
      <c r="U520" s="75">
        <f t="shared" si="106"/>
        <v>50000</v>
      </c>
      <c r="V520" s="674">
        <v>0</v>
      </c>
      <c r="W520" s="75"/>
      <c r="X520" s="75">
        <f t="shared" si="107"/>
        <v>50000</v>
      </c>
      <c r="Y520" s="834">
        <f t="shared" si="103"/>
        <v>731537.69099999999</v>
      </c>
      <c r="Z520" s="75"/>
      <c r="AA520" s="75">
        <f t="shared" si="108"/>
        <v>50000</v>
      </c>
      <c r="AB520" s="75"/>
      <c r="AC520" s="75"/>
      <c r="AD520" s="75">
        <f t="shared" si="109"/>
        <v>50000</v>
      </c>
      <c r="AE520" s="592"/>
      <c r="AF520" s="348" t="s">
        <v>362</v>
      </c>
      <c r="AG520" s="129">
        <v>300000</v>
      </c>
      <c r="AH520" s="370">
        <v>200000</v>
      </c>
      <c r="AI520" s="75"/>
      <c r="AJ520" s="75">
        <f>506786.4+74219.771+150531.52</f>
        <v>731537.69099999999</v>
      </c>
      <c r="AK520" s="75"/>
      <c r="AL520" s="75"/>
      <c r="AM520" s="75"/>
      <c r="AN520" s="64" t="s">
        <v>39</v>
      </c>
      <c r="AO520" s="64" t="s">
        <v>1819</v>
      </c>
      <c r="AP520" s="64" t="s">
        <v>2198</v>
      </c>
      <c r="AQ520" s="189" t="s">
        <v>2199</v>
      </c>
      <c r="AR520" s="69">
        <v>44615</v>
      </c>
      <c r="AS520" s="865">
        <v>44704</v>
      </c>
      <c r="AT520" s="64" t="s">
        <v>2200</v>
      </c>
      <c r="AU520" s="879" t="s">
        <v>2203</v>
      </c>
      <c r="AV520" s="335"/>
    </row>
    <row r="521" spans="1:48" ht="45" outlineLevel="4" x14ac:dyDescent="0.25">
      <c r="A521" s="63" t="str">
        <f t="shared" si="105"/>
        <v>1.3.0.9.33.62</v>
      </c>
      <c r="B521" s="64">
        <v>1</v>
      </c>
      <c r="C521" s="64">
        <v>3</v>
      </c>
      <c r="D521" s="64">
        <v>0</v>
      </c>
      <c r="E521" s="64">
        <v>9</v>
      </c>
      <c r="F521" s="64">
        <v>33</v>
      </c>
      <c r="G521" s="64">
        <v>62</v>
      </c>
      <c r="H521" s="65"/>
      <c r="I521" s="65"/>
      <c r="J521" s="65"/>
      <c r="K521" s="67" t="s">
        <v>1748</v>
      </c>
      <c r="L521" s="64" t="s">
        <v>359</v>
      </c>
      <c r="M521" s="64" t="s">
        <v>272</v>
      </c>
      <c r="N521" s="64" t="s">
        <v>360</v>
      </c>
      <c r="O521" s="64" t="s">
        <v>361</v>
      </c>
      <c r="P521" s="147">
        <v>44197</v>
      </c>
      <c r="Q521" s="147">
        <v>44561</v>
      </c>
      <c r="R521" s="124">
        <v>1</v>
      </c>
      <c r="S521" s="123"/>
      <c r="T521" s="124">
        <v>1</v>
      </c>
      <c r="U521" s="75">
        <f t="shared" si="106"/>
        <v>50000</v>
      </c>
      <c r="V521" s="674">
        <v>0</v>
      </c>
      <c r="W521" s="75"/>
      <c r="X521" s="75">
        <f t="shared" si="107"/>
        <v>50000</v>
      </c>
      <c r="Y521" s="834">
        <f t="shared" si="103"/>
        <v>605632.71</v>
      </c>
      <c r="Z521" s="75"/>
      <c r="AA521" s="75">
        <f t="shared" si="108"/>
        <v>50000</v>
      </c>
      <c r="AB521" s="75"/>
      <c r="AC521" s="75"/>
      <c r="AD521" s="75">
        <f t="shared" si="109"/>
        <v>50000</v>
      </c>
      <c r="AE521" s="592"/>
      <c r="AF521" s="348" t="s">
        <v>362</v>
      </c>
      <c r="AG521" s="129">
        <v>300000</v>
      </c>
      <c r="AH521" s="370">
        <v>200000</v>
      </c>
      <c r="AI521" s="75"/>
      <c r="AJ521" s="75">
        <f>506786.4+49219.71+49626.6</f>
        <v>605632.71</v>
      </c>
      <c r="AK521" s="75"/>
      <c r="AL521" s="75"/>
      <c r="AM521" s="75"/>
      <c r="AN521" s="64" t="s">
        <v>39</v>
      </c>
      <c r="AO521" s="64" t="s">
        <v>1819</v>
      </c>
      <c r="AP521" s="64" t="s">
        <v>2198</v>
      </c>
      <c r="AQ521" s="189" t="s">
        <v>2199</v>
      </c>
      <c r="AR521" s="69">
        <v>44615</v>
      </c>
      <c r="AS521" s="865">
        <v>44704</v>
      </c>
      <c r="AT521" s="64" t="s">
        <v>2200</v>
      </c>
      <c r="AU521" s="879" t="s">
        <v>2203</v>
      </c>
      <c r="AV521" s="335"/>
    </row>
    <row r="522" spans="1:48" ht="45" outlineLevel="4" x14ac:dyDescent="0.25">
      <c r="A522" s="63" t="str">
        <f t="shared" si="105"/>
        <v>1.3.0.9.33.63</v>
      </c>
      <c r="B522" s="64">
        <v>1</v>
      </c>
      <c r="C522" s="64">
        <v>3</v>
      </c>
      <c r="D522" s="64">
        <v>0</v>
      </c>
      <c r="E522" s="64">
        <v>9</v>
      </c>
      <c r="F522" s="64">
        <v>33</v>
      </c>
      <c r="G522" s="64">
        <v>63</v>
      </c>
      <c r="H522" s="65"/>
      <c r="I522" s="65"/>
      <c r="J522" s="65"/>
      <c r="K522" s="67" t="s">
        <v>568</v>
      </c>
      <c r="L522" s="64" t="s">
        <v>359</v>
      </c>
      <c r="M522" s="64" t="s">
        <v>272</v>
      </c>
      <c r="N522" s="64" t="s">
        <v>360</v>
      </c>
      <c r="O522" s="64" t="s">
        <v>361</v>
      </c>
      <c r="P522" s="147">
        <v>44197</v>
      </c>
      <c r="Q522" s="147">
        <v>44561</v>
      </c>
      <c r="R522" s="170"/>
      <c r="S522" s="170"/>
      <c r="T522" s="170"/>
      <c r="U522" s="75">
        <f t="shared" si="106"/>
        <v>50000</v>
      </c>
      <c r="V522" s="674">
        <v>0</v>
      </c>
      <c r="W522" s="97"/>
      <c r="X522" s="75">
        <f t="shared" si="107"/>
        <v>50000</v>
      </c>
      <c r="Y522" s="834">
        <f t="shared" si="103"/>
        <v>587684.82999999996</v>
      </c>
      <c r="Z522" s="97"/>
      <c r="AA522" s="75">
        <f t="shared" si="108"/>
        <v>50000</v>
      </c>
      <c r="AB522" s="75"/>
      <c r="AC522" s="75"/>
      <c r="AD522" s="75">
        <f t="shared" si="109"/>
        <v>50000</v>
      </c>
      <c r="AE522" s="592"/>
      <c r="AF522" s="348"/>
      <c r="AG522" s="129">
        <v>300000</v>
      </c>
      <c r="AH522" s="370">
        <v>200000</v>
      </c>
      <c r="AI522" s="75"/>
      <c r="AJ522" s="75">
        <f>506786.4+31661.35+49237.08</f>
        <v>587684.82999999996</v>
      </c>
      <c r="AK522" s="75"/>
      <c r="AL522" s="75"/>
      <c r="AM522" s="75"/>
      <c r="AN522" s="64" t="s">
        <v>39</v>
      </c>
      <c r="AO522" s="64" t="s">
        <v>1819</v>
      </c>
      <c r="AP522" s="64" t="s">
        <v>2198</v>
      </c>
      <c r="AQ522" s="189" t="s">
        <v>2199</v>
      </c>
      <c r="AR522" s="69">
        <v>44615</v>
      </c>
      <c r="AS522" s="865">
        <v>44704</v>
      </c>
      <c r="AT522" s="64" t="s">
        <v>2200</v>
      </c>
      <c r="AU522" s="879" t="s">
        <v>2203</v>
      </c>
      <c r="AV522" s="441"/>
    </row>
    <row r="523" spans="1:48" ht="45" outlineLevel="4" x14ac:dyDescent="0.25">
      <c r="A523" s="63" t="str">
        <f t="shared" si="105"/>
        <v>1.3.0.9.33.64</v>
      </c>
      <c r="B523" s="64">
        <v>1</v>
      </c>
      <c r="C523" s="64">
        <v>3</v>
      </c>
      <c r="D523" s="64">
        <v>0</v>
      </c>
      <c r="E523" s="64">
        <v>9</v>
      </c>
      <c r="F523" s="64">
        <v>33</v>
      </c>
      <c r="G523" s="64">
        <v>64</v>
      </c>
      <c r="H523" s="65"/>
      <c r="I523" s="65"/>
      <c r="J523" s="65"/>
      <c r="K523" s="67" t="s">
        <v>569</v>
      </c>
      <c r="L523" s="64" t="s">
        <v>359</v>
      </c>
      <c r="M523" s="64" t="s">
        <v>272</v>
      </c>
      <c r="N523" s="64" t="s">
        <v>360</v>
      </c>
      <c r="O523" s="64" t="s">
        <v>361</v>
      </c>
      <c r="P523" s="147">
        <v>44197</v>
      </c>
      <c r="Q523" s="147">
        <v>44561</v>
      </c>
      <c r="R523" s="124">
        <v>1</v>
      </c>
      <c r="S523" s="123"/>
      <c r="T523" s="124">
        <v>1</v>
      </c>
      <c r="U523" s="75">
        <f t="shared" si="106"/>
        <v>50000</v>
      </c>
      <c r="V523" s="674">
        <v>0</v>
      </c>
      <c r="W523" s="75"/>
      <c r="X523" s="75">
        <f t="shared" si="107"/>
        <v>50000</v>
      </c>
      <c r="Y523" s="834">
        <f t="shared" si="103"/>
        <v>605631.91</v>
      </c>
      <c r="Z523" s="75"/>
      <c r="AA523" s="75">
        <f t="shared" si="108"/>
        <v>50000</v>
      </c>
      <c r="AB523" s="75"/>
      <c r="AC523" s="75"/>
      <c r="AD523" s="75">
        <f t="shared" si="109"/>
        <v>50000</v>
      </c>
      <c r="AE523" s="592"/>
      <c r="AF523" s="348" t="s">
        <v>362</v>
      </c>
      <c r="AG523" s="129">
        <v>300000</v>
      </c>
      <c r="AH523" s="370">
        <v>200000</v>
      </c>
      <c r="AI523" s="75"/>
      <c r="AJ523" s="75">
        <f>506786.4+55219.71+43625.8</f>
        <v>605631.91</v>
      </c>
      <c r="AK523" s="75"/>
      <c r="AL523" s="75"/>
      <c r="AM523" s="75"/>
      <c r="AN523" s="64" t="s">
        <v>39</v>
      </c>
      <c r="AO523" s="64" t="s">
        <v>1819</v>
      </c>
      <c r="AP523" s="64" t="s">
        <v>2198</v>
      </c>
      <c r="AQ523" s="189" t="s">
        <v>2199</v>
      </c>
      <c r="AR523" s="69">
        <v>44615</v>
      </c>
      <c r="AS523" s="865">
        <v>44704</v>
      </c>
      <c r="AT523" s="64" t="s">
        <v>2200</v>
      </c>
      <c r="AU523" s="879" t="s">
        <v>2203</v>
      </c>
      <c r="AV523" s="335"/>
    </row>
    <row r="524" spans="1:48" ht="30" outlineLevel="4" x14ac:dyDescent="0.25">
      <c r="A524" s="63" t="str">
        <f>CONCATENATE(B524,".",C524,".",D524,".",E524,".",F524,".",G524)</f>
        <v>1.3.0.9.34.58</v>
      </c>
      <c r="B524" s="64">
        <v>1</v>
      </c>
      <c r="C524" s="64">
        <v>3</v>
      </c>
      <c r="D524" s="64">
        <v>0</v>
      </c>
      <c r="E524" s="64">
        <v>9</v>
      </c>
      <c r="F524" s="64">
        <v>34</v>
      </c>
      <c r="G524" s="64">
        <v>58</v>
      </c>
      <c r="H524" s="65"/>
      <c r="I524" s="65"/>
      <c r="J524" s="65"/>
      <c r="K524" s="67" t="s">
        <v>570</v>
      </c>
      <c r="L524" s="64" t="s">
        <v>359</v>
      </c>
      <c r="M524" s="64" t="s">
        <v>571</v>
      </c>
      <c r="N524" s="64" t="s">
        <v>360</v>
      </c>
      <c r="O524" s="64" t="s">
        <v>361</v>
      </c>
      <c r="P524" s="147">
        <v>44197</v>
      </c>
      <c r="Q524" s="147">
        <v>44561</v>
      </c>
      <c r="R524" s="124">
        <v>20</v>
      </c>
      <c r="S524" s="123"/>
      <c r="T524" s="124">
        <v>11</v>
      </c>
      <c r="U524" s="75">
        <f t="shared" si="106"/>
        <v>75000</v>
      </c>
      <c r="V524" s="674">
        <v>0</v>
      </c>
      <c r="W524" s="75"/>
      <c r="X524" s="75">
        <f t="shared" si="107"/>
        <v>75000</v>
      </c>
      <c r="Y524" s="834">
        <f t="shared" si="103"/>
        <v>66494.759999999995</v>
      </c>
      <c r="Z524" s="75"/>
      <c r="AA524" s="75">
        <f t="shared" si="108"/>
        <v>75000</v>
      </c>
      <c r="AB524" s="75"/>
      <c r="AC524" s="75"/>
      <c r="AD524" s="75">
        <f t="shared" si="109"/>
        <v>75000</v>
      </c>
      <c r="AE524" s="592"/>
      <c r="AF524" s="348" t="s">
        <v>572</v>
      </c>
      <c r="AG524" s="129">
        <v>300000</v>
      </c>
      <c r="AH524" s="370">
        <v>300000</v>
      </c>
      <c r="AI524" s="75"/>
      <c r="AJ524" s="75">
        <f>16725.06+5329.68+44440.02</f>
        <v>66494.759999999995</v>
      </c>
      <c r="AK524" s="75"/>
      <c r="AL524" s="75"/>
      <c r="AM524" s="75"/>
      <c r="AN524" s="64" t="s">
        <v>39</v>
      </c>
      <c r="AO524" s="64" t="s">
        <v>1819</v>
      </c>
      <c r="AP524" s="1331" t="s">
        <v>2219</v>
      </c>
      <c r="AQ524" s="164" t="s">
        <v>2022</v>
      </c>
      <c r="AR524" s="69">
        <v>44637</v>
      </c>
      <c r="AS524" s="865">
        <v>44637</v>
      </c>
      <c r="AT524" s="69">
        <v>44637</v>
      </c>
      <c r="AU524" s="879" t="s">
        <v>2218</v>
      </c>
      <c r="AV524" s="1331" t="s">
        <v>2018</v>
      </c>
    </row>
    <row r="525" spans="1:48" ht="30" outlineLevel="4" x14ac:dyDescent="0.25">
      <c r="A525" s="63" t="str">
        <f t="shared" ref="A525:A612" si="110">CONCATENATE(B525,".",C525,".",D525,".",E525,".",F525,".",G525)</f>
        <v>1.3.0.9.34.59</v>
      </c>
      <c r="B525" s="64">
        <v>1</v>
      </c>
      <c r="C525" s="64">
        <v>3</v>
      </c>
      <c r="D525" s="64">
        <v>0</v>
      </c>
      <c r="E525" s="64">
        <v>9</v>
      </c>
      <c r="F525" s="64">
        <v>34</v>
      </c>
      <c r="G525" s="64">
        <v>59</v>
      </c>
      <c r="H525" s="65"/>
      <c r="I525" s="65"/>
      <c r="J525" s="65"/>
      <c r="K525" s="67" t="s">
        <v>573</v>
      </c>
      <c r="L525" s="64" t="s">
        <v>359</v>
      </c>
      <c r="M525" s="64" t="s">
        <v>571</v>
      </c>
      <c r="N525" s="64" t="s">
        <v>360</v>
      </c>
      <c r="O525" s="64" t="s">
        <v>361</v>
      </c>
      <c r="P525" s="147">
        <v>44197</v>
      </c>
      <c r="Q525" s="147">
        <v>44561</v>
      </c>
      <c r="R525" s="124">
        <v>1</v>
      </c>
      <c r="S525" s="123"/>
      <c r="T525" s="124"/>
      <c r="U525" s="75">
        <f t="shared" si="106"/>
        <v>50000</v>
      </c>
      <c r="V525" s="674">
        <v>0</v>
      </c>
      <c r="W525" s="75">
        <v>1</v>
      </c>
      <c r="X525" s="75">
        <f t="shared" si="107"/>
        <v>50000</v>
      </c>
      <c r="Y525" s="834">
        <f t="shared" si="103"/>
        <v>66494.740000000005</v>
      </c>
      <c r="Z525" s="75"/>
      <c r="AA525" s="75">
        <f t="shared" si="108"/>
        <v>50000</v>
      </c>
      <c r="AB525" s="75"/>
      <c r="AC525" s="75"/>
      <c r="AD525" s="75">
        <f t="shared" si="109"/>
        <v>50000</v>
      </c>
      <c r="AE525" s="592"/>
      <c r="AF525" s="348"/>
      <c r="AG525" s="129">
        <v>200000</v>
      </c>
      <c r="AH525" s="370">
        <v>200000</v>
      </c>
      <c r="AI525" s="75"/>
      <c r="AJ525" s="75">
        <f>16725.06+5329.68+44440</f>
        <v>66494.740000000005</v>
      </c>
      <c r="AK525" s="75"/>
      <c r="AL525" s="75"/>
      <c r="AM525" s="75"/>
      <c r="AN525" s="64" t="s">
        <v>39</v>
      </c>
      <c r="AO525" s="64" t="s">
        <v>1819</v>
      </c>
      <c r="AP525" s="1334"/>
      <c r="AQ525" s="164" t="s">
        <v>2023</v>
      </c>
      <c r="AR525" s="69">
        <v>44638</v>
      </c>
      <c r="AS525" s="865">
        <v>44638</v>
      </c>
      <c r="AT525" s="69">
        <v>44638</v>
      </c>
      <c r="AU525" s="879" t="s">
        <v>2218</v>
      </c>
      <c r="AV525" s="1332"/>
    </row>
    <row r="526" spans="1:48" ht="30" outlineLevel="4" x14ac:dyDescent="0.25">
      <c r="A526" s="63" t="str">
        <f t="shared" si="110"/>
        <v>1.3.0.9.34.60</v>
      </c>
      <c r="B526" s="64">
        <v>1</v>
      </c>
      <c r="C526" s="64">
        <v>3</v>
      </c>
      <c r="D526" s="64">
        <v>0</v>
      </c>
      <c r="E526" s="64">
        <v>9</v>
      </c>
      <c r="F526" s="64">
        <v>34</v>
      </c>
      <c r="G526" s="64">
        <v>60</v>
      </c>
      <c r="H526" s="65"/>
      <c r="I526" s="65"/>
      <c r="J526" s="65"/>
      <c r="K526" s="67" t="s">
        <v>574</v>
      </c>
      <c r="L526" s="64" t="s">
        <v>359</v>
      </c>
      <c r="M526" s="64" t="s">
        <v>571</v>
      </c>
      <c r="N526" s="64" t="s">
        <v>360</v>
      </c>
      <c r="O526" s="64" t="s">
        <v>361</v>
      </c>
      <c r="P526" s="147">
        <v>44197</v>
      </c>
      <c r="Q526" s="147">
        <v>44561</v>
      </c>
      <c r="R526" s="124">
        <v>1</v>
      </c>
      <c r="S526" s="123"/>
      <c r="T526" s="124"/>
      <c r="U526" s="75">
        <f t="shared" si="106"/>
        <v>50000</v>
      </c>
      <c r="V526" s="674">
        <v>0</v>
      </c>
      <c r="W526" s="75">
        <v>1</v>
      </c>
      <c r="X526" s="75">
        <f t="shared" si="107"/>
        <v>50000</v>
      </c>
      <c r="Y526" s="834">
        <f t="shared" si="103"/>
        <v>66494.740000000005</v>
      </c>
      <c r="Z526" s="75"/>
      <c r="AA526" s="75">
        <f t="shared" si="108"/>
        <v>50000</v>
      </c>
      <c r="AB526" s="75"/>
      <c r="AC526" s="75"/>
      <c r="AD526" s="75">
        <f t="shared" si="109"/>
        <v>50000</v>
      </c>
      <c r="AE526" s="592"/>
      <c r="AF526" s="348"/>
      <c r="AG526" s="129">
        <v>200000</v>
      </c>
      <c r="AH526" s="370">
        <v>200000</v>
      </c>
      <c r="AI526" s="75"/>
      <c r="AJ526" s="75">
        <f>16725.06+5329.68+44440</f>
        <v>66494.740000000005</v>
      </c>
      <c r="AK526" s="75"/>
      <c r="AL526" s="75"/>
      <c r="AM526" s="75"/>
      <c r="AN526" s="64" t="s">
        <v>39</v>
      </c>
      <c r="AO526" s="64" t="s">
        <v>1819</v>
      </c>
      <c r="AP526" s="1334"/>
      <c r="AQ526" s="863" t="s">
        <v>2183</v>
      </c>
      <c r="AR526" s="69">
        <v>44691</v>
      </c>
      <c r="AS526" s="865">
        <v>44722</v>
      </c>
      <c r="AT526" s="69">
        <v>44691</v>
      </c>
      <c r="AU526" s="879" t="s">
        <v>2218</v>
      </c>
      <c r="AV526" s="1332"/>
    </row>
    <row r="527" spans="1:48" ht="30" outlineLevel="4" x14ac:dyDescent="0.25">
      <c r="A527" s="63" t="str">
        <f t="shared" si="110"/>
        <v>1.3.0.9.34.61</v>
      </c>
      <c r="B527" s="64">
        <v>1</v>
      </c>
      <c r="C527" s="64">
        <v>3</v>
      </c>
      <c r="D527" s="64">
        <v>0</v>
      </c>
      <c r="E527" s="64">
        <v>9</v>
      </c>
      <c r="F527" s="64">
        <v>34</v>
      </c>
      <c r="G527" s="64">
        <v>61</v>
      </c>
      <c r="H527" s="65"/>
      <c r="I527" s="65"/>
      <c r="J527" s="65"/>
      <c r="K527" s="67" t="s">
        <v>575</v>
      </c>
      <c r="L527" s="64" t="s">
        <v>359</v>
      </c>
      <c r="M527" s="64" t="s">
        <v>571</v>
      </c>
      <c r="N527" s="64" t="s">
        <v>360</v>
      </c>
      <c r="O527" s="64" t="s">
        <v>361</v>
      </c>
      <c r="P527" s="147">
        <v>44197</v>
      </c>
      <c r="Q527" s="147">
        <v>44561</v>
      </c>
      <c r="R527" s="124"/>
      <c r="S527" s="123"/>
      <c r="T527" s="124"/>
      <c r="U527" s="75">
        <f t="shared" si="106"/>
        <v>50000</v>
      </c>
      <c r="V527" s="674">
        <v>0</v>
      </c>
      <c r="W527" s="75"/>
      <c r="X527" s="75">
        <f t="shared" si="107"/>
        <v>50000</v>
      </c>
      <c r="Y527" s="834">
        <f t="shared" si="103"/>
        <v>66494.740000000005</v>
      </c>
      <c r="Z527" s="75"/>
      <c r="AA527" s="75">
        <f t="shared" si="108"/>
        <v>50000</v>
      </c>
      <c r="AB527" s="75"/>
      <c r="AC527" s="75"/>
      <c r="AD527" s="75">
        <f t="shared" si="109"/>
        <v>50000</v>
      </c>
      <c r="AE527" s="592"/>
      <c r="AF527" s="348"/>
      <c r="AG527" s="129">
        <v>200000</v>
      </c>
      <c r="AH527" s="370">
        <v>200000</v>
      </c>
      <c r="AI527" s="75"/>
      <c r="AJ527" s="75">
        <f>16725.06+5329.68+44440</f>
        <v>66494.740000000005</v>
      </c>
      <c r="AK527" s="75"/>
      <c r="AL527" s="75"/>
      <c r="AM527" s="75"/>
      <c r="AN527" s="64" t="s">
        <v>39</v>
      </c>
      <c r="AO527" s="64" t="s">
        <v>1819</v>
      </c>
      <c r="AP527" s="1334"/>
      <c r="AQ527" s="863" t="s">
        <v>2220</v>
      </c>
      <c r="AR527" s="64" t="s">
        <v>2221</v>
      </c>
      <c r="AS527" s="865">
        <v>44874</v>
      </c>
      <c r="AT527" s="69">
        <v>44711</v>
      </c>
      <c r="AU527" s="879" t="s">
        <v>2218</v>
      </c>
      <c r="AV527" s="1332"/>
    </row>
    <row r="528" spans="1:48" ht="30" outlineLevel="4" x14ac:dyDescent="0.25">
      <c r="A528" s="63" t="str">
        <f t="shared" si="110"/>
        <v>1.3.0.9.34.62</v>
      </c>
      <c r="B528" s="64">
        <v>1</v>
      </c>
      <c r="C528" s="64">
        <v>3</v>
      </c>
      <c r="D528" s="64">
        <v>0</v>
      </c>
      <c r="E528" s="64">
        <v>9</v>
      </c>
      <c r="F528" s="64">
        <v>34</v>
      </c>
      <c r="G528" s="64">
        <v>62</v>
      </c>
      <c r="H528" s="65"/>
      <c r="I528" s="65"/>
      <c r="J528" s="65"/>
      <c r="K528" s="67" t="s">
        <v>1749</v>
      </c>
      <c r="L528" s="64" t="s">
        <v>359</v>
      </c>
      <c r="M528" s="64" t="s">
        <v>571</v>
      </c>
      <c r="N528" s="64" t="s">
        <v>360</v>
      </c>
      <c r="O528" s="64" t="s">
        <v>361</v>
      </c>
      <c r="P528" s="147">
        <v>44197</v>
      </c>
      <c r="Q528" s="147">
        <v>44561</v>
      </c>
      <c r="R528" s="124"/>
      <c r="S528" s="123"/>
      <c r="T528" s="124"/>
      <c r="U528" s="75">
        <f t="shared" si="106"/>
        <v>50000</v>
      </c>
      <c r="V528" s="674">
        <v>0</v>
      </c>
      <c r="W528" s="75"/>
      <c r="X528" s="75">
        <f t="shared" si="107"/>
        <v>50000</v>
      </c>
      <c r="Y528" s="834">
        <f t="shared" si="103"/>
        <v>66494.73000000001</v>
      </c>
      <c r="Z528" s="75"/>
      <c r="AA528" s="75">
        <f t="shared" si="108"/>
        <v>50000</v>
      </c>
      <c r="AB528" s="75"/>
      <c r="AC528" s="75"/>
      <c r="AD528" s="75">
        <f t="shared" si="109"/>
        <v>50000</v>
      </c>
      <c r="AE528" s="592"/>
      <c r="AF528" s="348"/>
      <c r="AG528" s="129">
        <v>200000</v>
      </c>
      <c r="AH528" s="370">
        <v>200000</v>
      </c>
      <c r="AI528" s="75"/>
      <c r="AJ528" s="75">
        <f>16725.06+5329.67+44440</f>
        <v>66494.73000000001</v>
      </c>
      <c r="AK528" s="75"/>
      <c r="AL528" s="75"/>
      <c r="AM528" s="75"/>
      <c r="AN528" s="64" t="s">
        <v>39</v>
      </c>
      <c r="AO528" s="64" t="s">
        <v>1819</v>
      </c>
      <c r="AP528" s="1334"/>
      <c r="AQ528" s="863"/>
      <c r="AR528" s="64"/>
      <c r="AS528" s="476"/>
      <c r="AT528" s="64"/>
      <c r="AU528" s="879" t="s">
        <v>2218</v>
      </c>
      <c r="AV528" s="1332"/>
    </row>
    <row r="529" spans="1:48" ht="30" outlineLevel="4" x14ac:dyDescent="0.25">
      <c r="A529" s="63" t="str">
        <f t="shared" si="110"/>
        <v>1.3.0.9.34.63</v>
      </c>
      <c r="B529" s="64">
        <v>1</v>
      </c>
      <c r="C529" s="64">
        <v>3</v>
      </c>
      <c r="D529" s="64">
        <v>0</v>
      </c>
      <c r="E529" s="64">
        <v>9</v>
      </c>
      <c r="F529" s="64">
        <v>34</v>
      </c>
      <c r="G529" s="64">
        <v>63</v>
      </c>
      <c r="H529" s="65"/>
      <c r="I529" s="65"/>
      <c r="J529" s="65"/>
      <c r="K529" s="67" t="s">
        <v>576</v>
      </c>
      <c r="L529" s="64" t="s">
        <v>359</v>
      </c>
      <c r="M529" s="64" t="s">
        <v>571</v>
      </c>
      <c r="N529" s="64" t="s">
        <v>360</v>
      </c>
      <c r="O529" s="64" t="s">
        <v>361</v>
      </c>
      <c r="P529" s="147">
        <v>44197</v>
      </c>
      <c r="Q529" s="147">
        <v>44561</v>
      </c>
      <c r="R529" s="124"/>
      <c r="S529" s="123"/>
      <c r="T529" s="124"/>
      <c r="U529" s="75">
        <f t="shared" si="106"/>
        <v>50000</v>
      </c>
      <c r="V529" s="674">
        <v>0</v>
      </c>
      <c r="W529" s="75"/>
      <c r="X529" s="75">
        <f t="shared" si="107"/>
        <v>50000</v>
      </c>
      <c r="Y529" s="834">
        <f t="shared" si="103"/>
        <v>66494.740000000005</v>
      </c>
      <c r="Z529" s="75"/>
      <c r="AA529" s="75">
        <f t="shared" si="108"/>
        <v>50000</v>
      </c>
      <c r="AB529" s="75"/>
      <c r="AC529" s="75"/>
      <c r="AD529" s="75">
        <f t="shared" si="109"/>
        <v>50000</v>
      </c>
      <c r="AE529" s="592"/>
      <c r="AF529" s="348"/>
      <c r="AG529" s="129">
        <v>200000</v>
      </c>
      <c r="AH529" s="370">
        <v>200000</v>
      </c>
      <c r="AI529" s="75"/>
      <c r="AJ529" s="75">
        <f>16725.06+5329.68+44440</f>
        <v>66494.740000000005</v>
      </c>
      <c r="AK529" s="75"/>
      <c r="AL529" s="75"/>
      <c r="AM529" s="75"/>
      <c r="AN529" s="64" t="s">
        <v>39</v>
      </c>
      <c r="AO529" s="64" t="s">
        <v>1819</v>
      </c>
      <c r="AP529" s="1334"/>
      <c r="AQ529" s="863"/>
      <c r="AR529" s="64"/>
      <c r="AS529" s="476"/>
      <c r="AT529" s="64"/>
      <c r="AU529" s="879" t="s">
        <v>2218</v>
      </c>
      <c r="AV529" s="1332"/>
    </row>
    <row r="530" spans="1:48" ht="30" outlineLevel="4" x14ac:dyDescent="0.25">
      <c r="A530" s="63" t="str">
        <f t="shared" si="110"/>
        <v>1.3.0.9.34.64</v>
      </c>
      <c r="B530" s="64">
        <v>1</v>
      </c>
      <c r="C530" s="64">
        <v>3</v>
      </c>
      <c r="D530" s="64">
        <v>0</v>
      </c>
      <c r="E530" s="64">
        <v>9</v>
      </c>
      <c r="F530" s="64">
        <v>34</v>
      </c>
      <c r="G530" s="64">
        <v>64</v>
      </c>
      <c r="H530" s="65"/>
      <c r="I530" s="65"/>
      <c r="J530" s="65"/>
      <c r="K530" s="67" t="s">
        <v>577</v>
      </c>
      <c r="L530" s="64" t="s">
        <v>359</v>
      </c>
      <c r="M530" s="64" t="s">
        <v>571</v>
      </c>
      <c r="N530" s="64" t="s">
        <v>360</v>
      </c>
      <c r="O530" s="64" t="s">
        <v>361</v>
      </c>
      <c r="P530" s="147">
        <v>44197</v>
      </c>
      <c r="Q530" s="147">
        <v>44561</v>
      </c>
      <c r="R530" s="124"/>
      <c r="S530" s="123"/>
      <c r="T530" s="124"/>
      <c r="U530" s="75">
        <f t="shared" si="106"/>
        <v>50000</v>
      </c>
      <c r="V530" s="674">
        <v>0</v>
      </c>
      <c r="W530" s="75"/>
      <c r="X530" s="75">
        <f t="shared" si="107"/>
        <v>50000</v>
      </c>
      <c r="Y530" s="834">
        <f t="shared" si="103"/>
        <v>66494.740000000005</v>
      </c>
      <c r="Z530" s="75"/>
      <c r="AA530" s="75">
        <f t="shared" si="108"/>
        <v>50000</v>
      </c>
      <c r="AB530" s="75"/>
      <c r="AC530" s="75"/>
      <c r="AD530" s="75">
        <f t="shared" si="109"/>
        <v>50000</v>
      </c>
      <c r="AE530" s="592"/>
      <c r="AF530" s="348"/>
      <c r="AG530" s="129">
        <v>200000</v>
      </c>
      <c r="AH530" s="370">
        <v>200000</v>
      </c>
      <c r="AI530" s="75"/>
      <c r="AJ530" s="75">
        <f>16725.06+5329.68+44440</f>
        <v>66494.740000000005</v>
      </c>
      <c r="AK530" s="75"/>
      <c r="AL530" s="75"/>
      <c r="AM530" s="75"/>
      <c r="AN530" s="64" t="s">
        <v>39</v>
      </c>
      <c r="AO530" s="64" t="s">
        <v>1819</v>
      </c>
      <c r="AP530" s="1335"/>
      <c r="AQ530" s="864"/>
      <c r="AR530" s="64"/>
      <c r="AS530" s="476"/>
      <c r="AT530" s="64"/>
      <c r="AU530" s="879" t="s">
        <v>2218</v>
      </c>
      <c r="AV530" s="1333"/>
    </row>
    <row r="531" spans="1:48" ht="30" outlineLevel="4" x14ac:dyDescent="0.25">
      <c r="A531" s="63" t="str">
        <f t="shared" si="110"/>
        <v>1.3.0.9.35.58</v>
      </c>
      <c r="B531" s="64">
        <v>1</v>
      </c>
      <c r="C531" s="64">
        <v>3</v>
      </c>
      <c r="D531" s="64">
        <v>0</v>
      </c>
      <c r="E531" s="64">
        <v>9</v>
      </c>
      <c r="F531" s="64">
        <v>35</v>
      </c>
      <c r="G531" s="64">
        <v>58</v>
      </c>
      <c r="H531" s="65"/>
      <c r="I531" s="65"/>
      <c r="J531" s="65"/>
      <c r="K531" s="67" t="s">
        <v>578</v>
      </c>
      <c r="L531" s="64" t="s">
        <v>359</v>
      </c>
      <c r="M531" s="64" t="s">
        <v>271</v>
      </c>
      <c r="N531" s="64" t="s">
        <v>360</v>
      </c>
      <c r="O531" s="64" t="s">
        <v>361</v>
      </c>
      <c r="P531" s="147">
        <v>44197</v>
      </c>
      <c r="Q531" s="147">
        <v>44561</v>
      </c>
      <c r="R531" s="124"/>
      <c r="S531" s="123"/>
      <c r="T531" s="124"/>
      <c r="U531" s="75">
        <f t="shared" si="106"/>
        <v>0</v>
      </c>
      <c r="V531" s="674">
        <v>0</v>
      </c>
      <c r="W531" s="75"/>
      <c r="X531" s="75">
        <f t="shared" si="107"/>
        <v>0</v>
      </c>
      <c r="Y531" s="834">
        <f t="shared" si="103"/>
        <v>0</v>
      </c>
      <c r="Z531" s="75"/>
      <c r="AA531" s="75">
        <f t="shared" si="108"/>
        <v>0</v>
      </c>
      <c r="AB531" s="75"/>
      <c r="AC531" s="75"/>
      <c r="AD531" s="75">
        <f t="shared" si="109"/>
        <v>0</v>
      </c>
      <c r="AE531" s="592"/>
      <c r="AF531" s="348"/>
      <c r="AG531" s="510">
        <v>0</v>
      </c>
      <c r="AH531" s="370">
        <v>0</v>
      </c>
      <c r="AI531" s="75"/>
      <c r="AJ531" s="75"/>
      <c r="AK531" s="75"/>
      <c r="AL531" s="75"/>
      <c r="AM531" s="75"/>
      <c r="AN531" s="64" t="s">
        <v>39</v>
      </c>
      <c r="AO531" s="64"/>
      <c r="AP531" s="64"/>
      <c r="AQ531" s="189"/>
      <c r="AR531" s="64"/>
      <c r="AS531" s="476"/>
      <c r="AT531" s="64"/>
      <c r="AU531" s="646"/>
      <c r="AV531" s="335" t="s">
        <v>127</v>
      </c>
    </row>
    <row r="532" spans="1:48" outlineLevel="4" x14ac:dyDescent="0.25">
      <c r="A532" s="63" t="str">
        <f t="shared" si="110"/>
        <v>1.3.0.9.35.59</v>
      </c>
      <c r="B532" s="64">
        <v>1</v>
      </c>
      <c r="C532" s="64">
        <v>3</v>
      </c>
      <c r="D532" s="64">
        <v>0</v>
      </c>
      <c r="E532" s="64">
        <v>9</v>
      </c>
      <c r="F532" s="64">
        <v>35</v>
      </c>
      <c r="G532" s="64">
        <v>59</v>
      </c>
      <c r="H532" s="65"/>
      <c r="I532" s="65"/>
      <c r="J532" s="65"/>
      <c r="K532" s="65" t="s">
        <v>579</v>
      </c>
      <c r="L532" s="64" t="s">
        <v>359</v>
      </c>
      <c r="M532" s="64" t="s">
        <v>271</v>
      </c>
      <c r="N532" s="64" t="s">
        <v>360</v>
      </c>
      <c r="O532" s="64" t="s">
        <v>361</v>
      </c>
      <c r="P532" s="147">
        <v>44197</v>
      </c>
      <c r="Q532" s="147">
        <v>44561</v>
      </c>
      <c r="R532" s="124"/>
      <c r="S532" s="123"/>
      <c r="T532" s="124"/>
      <c r="U532" s="75">
        <f t="shared" si="106"/>
        <v>0</v>
      </c>
      <c r="V532" s="674">
        <v>0</v>
      </c>
      <c r="W532" s="75"/>
      <c r="X532" s="75">
        <f t="shared" si="107"/>
        <v>0</v>
      </c>
      <c r="Y532" s="834">
        <f t="shared" si="103"/>
        <v>0</v>
      </c>
      <c r="Z532" s="75"/>
      <c r="AA532" s="75">
        <f t="shared" si="108"/>
        <v>0</v>
      </c>
      <c r="AB532" s="75"/>
      <c r="AC532" s="75"/>
      <c r="AD532" s="75">
        <f t="shared" si="109"/>
        <v>0</v>
      </c>
      <c r="AE532" s="592"/>
      <c r="AF532" s="348"/>
      <c r="AG532" s="510">
        <v>0</v>
      </c>
      <c r="AH532" s="370">
        <v>0</v>
      </c>
      <c r="AI532" s="75"/>
      <c r="AJ532" s="75"/>
      <c r="AK532" s="75"/>
      <c r="AL532" s="75"/>
      <c r="AM532" s="75"/>
      <c r="AN532" s="64" t="s">
        <v>39</v>
      </c>
      <c r="AO532" s="64"/>
      <c r="AP532" s="64"/>
      <c r="AQ532" s="189"/>
      <c r="AR532" s="64"/>
      <c r="AS532" s="476"/>
      <c r="AT532" s="64"/>
      <c r="AU532" s="646"/>
      <c r="AV532" s="335" t="s">
        <v>127</v>
      </c>
    </row>
    <row r="533" spans="1:48" outlineLevel="4" x14ac:dyDescent="0.25">
      <c r="A533" s="63" t="str">
        <f t="shared" si="110"/>
        <v>1.3.0.9.35.60</v>
      </c>
      <c r="B533" s="64">
        <v>1</v>
      </c>
      <c r="C533" s="64">
        <v>3</v>
      </c>
      <c r="D533" s="64">
        <v>0</v>
      </c>
      <c r="E533" s="64">
        <v>9</v>
      </c>
      <c r="F533" s="64">
        <v>35</v>
      </c>
      <c r="G533" s="64">
        <v>60</v>
      </c>
      <c r="H533" s="65"/>
      <c r="I533" s="65"/>
      <c r="J533" s="65"/>
      <c r="K533" s="65" t="s">
        <v>580</v>
      </c>
      <c r="L533" s="64" t="s">
        <v>359</v>
      </c>
      <c r="M533" s="64" t="s">
        <v>271</v>
      </c>
      <c r="N533" s="64" t="s">
        <v>360</v>
      </c>
      <c r="O533" s="64" t="s">
        <v>361</v>
      </c>
      <c r="P533" s="147">
        <v>44197</v>
      </c>
      <c r="Q533" s="147">
        <v>44561</v>
      </c>
      <c r="R533" s="124">
        <v>1</v>
      </c>
      <c r="S533" s="123"/>
      <c r="T533" s="124"/>
      <c r="U533" s="75">
        <f t="shared" si="106"/>
        <v>0</v>
      </c>
      <c r="V533" s="674">
        <v>0</v>
      </c>
      <c r="W533" s="75">
        <v>1</v>
      </c>
      <c r="X533" s="75">
        <f t="shared" si="107"/>
        <v>0</v>
      </c>
      <c r="Y533" s="834">
        <f t="shared" si="103"/>
        <v>0</v>
      </c>
      <c r="Z533" s="75"/>
      <c r="AA533" s="75">
        <f t="shared" si="108"/>
        <v>0</v>
      </c>
      <c r="AB533" s="75"/>
      <c r="AC533" s="75"/>
      <c r="AD533" s="75">
        <f t="shared" si="109"/>
        <v>0</v>
      </c>
      <c r="AE533" s="592"/>
      <c r="AF533" s="348" t="s">
        <v>581</v>
      </c>
      <c r="AG533" s="510">
        <v>0</v>
      </c>
      <c r="AH533" s="370">
        <v>0</v>
      </c>
      <c r="AI533" s="75"/>
      <c r="AJ533" s="75"/>
      <c r="AK533" s="75"/>
      <c r="AL533" s="75"/>
      <c r="AM533" s="75"/>
      <c r="AN533" s="64" t="s">
        <v>39</v>
      </c>
      <c r="AO533" s="64"/>
      <c r="AP533" s="64"/>
      <c r="AQ533" s="189"/>
      <c r="AR533" s="64"/>
      <c r="AS533" s="476"/>
      <c r="AT533" s="64"/>
      <c r="AU533" s="646"/>
      <c r="AV533" s="335" t="s">
        <v>127</v>
      </c>
    </row>
    <row r="534" spans="1:48" outlineLevel="4" x14ac:dyDescent="0.25">
      <c r="A534" s="63" t="str">
        <f t="shared" si="110"/>
        <v>1.3.0.9.35.61</v>
      </c>
      <c r="B534" s="64">
        <v>1</v>
      </c>
      <c r="C534" s="64">
        <v>3</v>
      </c>
      <c r="D534" s="64">
        <v>0</v>
      </c>
      <c r="E534" s="64">
        <v>9</v>
      </c>
      <c r="F534" s="64">
        <v>35</v>
      </c>
      <c r="G534" s="64">
        <v>61</v>
      </c>
      <c r="H534" s="65"/>
      <c r="I534" s="65"/>
      <c r="J534" s="65"/>
      <c r="K534" s="65" t="s">
        <v>582</v>
      </c>
      <c r="L534" s="64" t="s">
        <v>359</v>
      </c>
      <c r="M534" s="64" t="s">
        <v>271</v>
      </c>
      <c r="N534" s="64" t="s">
        <v>360</v>
      </c>
      <c r="O534" s="64" t="s">
        <v>361</v>
      </c>
      <c r="P534" s="147">
        <v>44197</v>
      </c>
      <c r="Q534" s="147">
        <v>44561</v>
      </c>
      <c r="R534" s="124"/>
      <c r="S534" s="123"/>
      <c r="T534" s="124"/>
      <c r="U534" s="75">
        <f t="shared" si="106"/>
        <v>0</v>
      </c>
      <c r="V534" s="674">
        <v>0</v>
      </c>
      <c r="W534" s="75"/>
      <c r="X534" s="75">
        <f t="shared" si="107"/>
        <v>0</v>
      </c>
      <c r="Y534" s="834">
        <f t="shared" si="103"/>
        <v>0</v>
      </c>
      <c r="Z534" s="75"/>
      <c r="AA534" s="75">
        <f t="shared" si="108"/>
        <v>0</v>
      </c>
      <c r="AB534" s="75"/>
      <c r="AC534" s="75"/>
      <c r="AD534" s="75">
        <f t="shared" si="109"/>
        <v>0</v>
      </c>
      <c r="AE534" s="592"/>
      <c r="AF534" s="348"/>
      <c r="AG534" s="510">
        <v>0</v>
      </c>
      <c r="AH534" s="370">
        <v>0</v>
      </c>
      <c r="AI534" s="75"/>
      <c r="AJ534" s="75"/>
      <c r="AK534" s="75"/>
      <c r="AL534" s="75"/>
      <c r="AM534" s="75"/>
      <c r="AN534" s="64" t="s">
        <v>39</v>
      </c>
      <c r="AO534" s="64"/>
      <c r="AP534" s="64"/>
      <c r="AQ534" s="189"/>
      <c r="AR534" s="64"/>
      <c r="AS534" s="476"/>
      <c r="AT534" s="64"/>
      <c r="AU534" s="646"/>
      <c r="AV534" s="335" t="s">
        <v>127</v>
      </c>
    </row>
    <row r="535" spans="1:48" outlineLevel="4" x14ac:dyDescent="0.25">
      <c r="A535" s="63" t="str">
        <f t="shared" si="110"/>
        <v>1.3.0.9.35.62</v>
      </c>
      <c r="B535" s="64">
        <v>1</v>
      </c>
      <c r="C535" s="64">
        <v>3</v>
      </c>
      <c r="D535" s="64">
        <v>0</v>
      </c>
      <c r="E535" s="64">
        <v>9</v>
      </c>
      <c r="F535" s="64">
        <v>35</v>
      </c>
      <c r="G535" s="64">
        <v>62</v>
      </c>
      <c r="H535" s="65"/>
      <c r="I535" s="65"/>
      <c r="J535" s="65"/>
      <c r="K535" s="65" t="s">
        <v>1750</v>
      </c>
      <c r="L535" s="64" t="s">
        <v>359</v>
      </c>
      <c r="M535" s="64" t="s">
        <v>271</v>
      </c>
      <c r="N535" s="64" t="s">
        <v>360</v>
      </c>
      <c r="O535" s="64" t="s">
        <v>361</v>
      </c>
      <c r="P535" s="147">
        <v>44197</v>
      </c>
      <c r="Q535" s="147">
        <v>44561</v>
      </c>
      <c r="R535" s="124"/>
      <c r="S535" s="123"/>
      <c r="T535" s="124"/>
      <c r="U535" s="75">
        <f t="shared" si="106"/>
        <v>0</v>
      </c>
      <c r="V535" s="674">
        <v>0</v>
      </c>
      <c r="W535" s="75"/>
      <c r="X535" s="75">
        <f t="shared" si="107"/>
        <v>0</v>
      </c>
      <c r="Y535" s="834">
        <f t="shared" si="103"/>
        <v>0</v>
      </c>
      <c r="Z535" s="75"/>
      <c r="AA535" s="75">
        <f t="shared" si="108"/>
        <v>0</v>
      </c>
      <c r="AB535" s="75"/>
      <c r="AC535" s="75"/>
      <c r="AD535" s="75">
        <f t="shared" si="109"/>
        <v>0</v>
      </c>
      <c r="AE535" s="592"/>
      <c r="AF535" s="348"/>
      <c r="AG535" s="510">
        <v>0</v>
      </c>
      <c r="AH535" s="370">
        <v>0</v>
      </c>
      <c r="AI535" s="75"/>
      <c r="AJ535" s="75"/>
      <c r="AK535" s="75"/>
      <c r="AL535" s="75"/>
      <c r="AM535" s="75"/>
      <c r="AN535" s="64" t="s">
        <v>39</v>
      </c>
      <c r="AO535" s="64"/>
      <c r="AP535" s="64"/>
      <c r="AQ535" s="189"/>
      <c r="AR535" s="64"/>
      <c r="AS535" s="476"/>
      <c r="AT535" s="64"/>
      <c r="AU535" s="646"/>
      <c r="AV535" s="335" t="s">
        <v>127</v>
      </c>
    </row>
    <row r="536" spans="1:48" outlineLevel="4" x14ac:dyDescent="0.25">
      <c r="A536" s="63" t="str">
        <f t="shared" si="110"/>
        <v>1.3.0.9.35.63</v>
      </c>
      <c r="B536" s="64">
        <v>1</v>
      </c>
      <c r="C536" s="64">
        <v>3</v>
      </c>
      <c r="D536" s="64">
        <v>0</v>
      </c>
      <c r="E536" s="64">
        <v>9</v>
      </c>
      <c r="F536" s="64">
        <v>35</v>
      </c>
      <c r="G536" s="64">
        <v>63</v>
      </c>
      <c r="H536" s="65"/>
      <c r="I536" s="65"/>
      <c r="J536" s="65"/>
      <c r="K536" s="65" t="s">
        <v>583</v>
      </c>
      <c r="L536" s="64" t="s">
        <v>359</v>
      </c>
      <c r="M536" s="64" t="s">
        <v>271</v>
      </c>
      <c r="N536" s="64" t="s">
        <v>360</v>
      </c>
      <c r="O536" s="64" t="s">
        <v>361</v>
      </c>
      <c r="P536" s="147">
        <v>44197</v>
      </c>
      <c r="Q536" s="147">
        <v>44561</v>
      </c>
      <c r="R536" s="124">
        <v>1</v>
      </c>
      <c r="S536" s="123"/>
      <c r="T536" s="124"/>
      <c r="U536" s="75">
        <f t="shared" si="106"/>
        <v>0</v>
      </c>
      <c r="V536" s="674">
        <v>0</v>
      </c>
      <c r="W536" s="75"/>
      <c r="X536" s="75">
        <f t="shared" si="107"/>
        <v>0</v>
      </c>
      <c r="Y536" s="834">
        <f t="shared" si="103"/>
        <v>0</v>
      </c>
      <c r="Z536" s="75"/>
      <c r="AA536" s="75">
        <f t="shared" si="108"/>
        <v>0</v>
      </c>
      <c r="AB536" s="75"/>
      <c r="AC536" s="75"/>
      <c r="AD536" s="75">
        <f t="shared" si="109"/>
        <v>0</v>
      </c>
      <c r="AE536" s="592"/>
      <c r="AF536" s="348" t="s">
        <v>584</v>
      </c>
      <c r="AG536" s="510">
        <v>0</v>
      </c>
      <c r="AH536" s="370">
        <v>0</v>
      </c>
      <c r="AI536" s="75"/>
      <c r="AJ536" s="75"/>
      <c r="AK536" s="75"/>
      <c r="AL536" s="75"/>
      <c r="AM536" s="75"/>
      <c r="AN536" s="64" t="s">
        <v>39</v>
      </c>
      <c r="AO536" s="64"/>
      <c r="AP536" s="64"/>
      <c r="AQ536" s="189"/>
      <c r="AR536" s="64"/>
      <c r="AS536" s="476"/>
      <c r="AT536" s="64"/>
      <c r="AU536" s="646"/>
      <c r="AV536" s="335" t="s">
        <v>127</v>
      </c>
    </row>
    <row r="537" spans="1:48" outlineLevel="4" x14ac:dyDescent="0.25">
      <c r="A537" s="63" t="str">
        <f t="shared" si="110"/>
        <v>1.3.0.9.35.64</v>
      </c>
      <c r="B537" s="64">
        <v>1</v>
      </c>
      <c r="C537" s="64">
        <v>3</v>
      </c>
      <c r="D537" s="64">
        <v>0</v>
      </c>
      <c r="E537" s="64">
        <v>9</v>
      </c>
      <c r="F537" s="64">
        <v>35</v>
      </c>
      <c r="G537" s="64">
        <v>64</v>
      </c>
      <c r="H537" s="65"/>
      <c r="I537" s="65"/>
      <c r="J537" s="65"/>
      <c r="K537" s="65" t="s">
        <v>585</v>
      </c>
      <c r="L537" s="64" t="s">
        <v>359</v>
      </c>
      <c r="M537" s="64" t="s">
        <v>271</v>
      </c>
      <c r="N537" s="64" t="s">
        <v>360</v>
      </c>
      <c r="O537" s="64" t="s">
        <v>361</v>
      </c>
      <c r="P537" s="147">
        <v>44197</v>
      </c>
      <c r="Q537" s="147">
        <v>44561</v>
      </c>
      <c r="R537" s="124">
        <v>1</v>
      </c>
      <c r="S537" s="123"/>
      <c r="T537" s="124"/>
      <c r="U537" s="75">
        <f t="shared" si="106"/>
        <v>0</v>
      </c>
      <c r="V537" s="674">
        <v>0</v>
      </c>
      <c r="W537" s="75"/>
      <c r="X537" s="75">
        <f t="shared" si="107"/>
        <v>0</v>
      </c>
      <c r="Y537" s="834">
        <f t="shared" si="103"/>
        <v>0</v>
      </c>
      <c r="Z537" s="75"/>
      <c r="AA537" s="75">
        <f t="shared" si="108"/>
        <v>0</v>
      </c>
      <c r="AB537" s="75"/>
      <c r="AC537" s="75"/>
      <c r="AD537" s="75">
        <f t="shared" si="109"/>
        <v>0</v>
      </c>
      <c r="AE537" s="592"/>
      <c r="AF537" s="348" t="s">
        <v>581</v>
      </c>
      <c r="AG537" s="510">
        <v>0</v>
      </c>
      <c r="AH537" s="370">
        <v>0</v>
      </c>
      <c r="AI537" s="75"/>
      <c r="AJ537" s="75"/>
      <c r="AK537" s="75"/>
      <c r="AL537" s="75"/>
      <c r="AM537" s="75"/>
      <c r="AN537" s="64" t="s">
        <v>39</v>
      </c>
      <c r="AO537" s="64"/>
      <c r="AP537" s="64"/>
      <c r="AQ537" s="189"/>
      <c r="AR537" s="64"/>
      <c r="AS537" s="476"/>
      <c r="AT537" s="64"/>
      <c r="AU537" s="646"/>
      <c r="AV537" s="335" t="s">
        <v>127</v>
      </c>
    </row>
    <row r="538" spans="1:48" outlineLevel="4" x14ac:dyDescent="0.25">
      <c r="A538" s="63" t="str">
        <f t="shared" si="110"/>
        <v>1.3.0.9.36.58</v>
      </c>
      <c r="B538" s="64">
        <v>1</v>
      </c>
      <c r="C538" s="64">
        <v>3</v>
      </c>
      <c r="D538" s="64">
        <v>0</v>
      </c>
      <c r="E538" s="64">
        <v>9</v>
      </c>
      <c r="F538" s="64">
        <v>36</v>
      </c>
      <c r="G538" s="64">
        <v>58</v>
      </c>
      <c r="H538" s="65"/>
      <c r="I538" s="65"/>
      <c r="J538" s="65"/>
      <c r="K538" s="65" t="s">
        <v>586</v>
      </c>
      <c r="L538" s="64" t="s">
        <v>72</v>
      </c>
      <c r="M538" s="64" t="s">
        <v>587</v>
      </c>
      <c r="N538" s="64" t="s">
        <v>288</v>
      </c>
      <c r="O538" s="64" t="s">
        <v>72</v>
      </c>
      <c r="P538" s="147">
        <v>44197</v>
      </c>
      <c r="Q538" s="147">
        <v>44561</v>
      </c>
      <c r="R538" s="124">
        <v>12</v>
      </c>
      <c r="S538" s="123"/>
      <c r="T538" s="124">
        <v>3</v>
      </c>
      <c r="U538" s="75">
        <f t="shared" si="106"/>
        <v>0</v>
      </c>
      <c r="V538" s="674">
        <v>0</v>
      </c>
      <c r="W538" s="75">
        <v>3</v>
      </c>
      <c r="X538" s="75">
        <f t="shared" si="107"/>
        <v>0</v>
      </c>
      <c r="Y538" s="834">
        <f t="shared" si="103"/>
        <v>0</v>
      </c>
      <c r="Z538" s="75">
        <v>3</v>
      </c>
      <c r="AA538" s="75">
        <f t="shared" si="108"/>
        <v>0</v>
      </c>
      <c r="AB538" s="75"/>
      <c r="AC538" s="75">
        <v>3</v>
      </c>
      <c r="AD538" s="75">
        <f t="shared" si="109"/>
        <v>0</v>
      </c>
      <c r="AE538" s="592"/>
      <c r="AF538" s="354" t="s">
        <v>588</v>
      </c>
      <c r="AG538" s="510">
        <v>100000</v>
      </c>
      <c r="AH538" s="370">
        <v>0</v>
      </c>
      <c r="AI538" s="75"/>
      <c r="AJ538" s="75"/>
      <c r="AK538" s="75"/>
      <c r="AL538" s="75"/>
      <c r="AM538" s="75"/>
      <c r="AN538" s="64" t="s">
        <v>39</v>
      </c>
      <c r="AO538" s="64"/>
      <c r="AP538" s="64"/>
      <c r="AQ538" s="189"/>
      <c r="AR538" s="64"/>
      <c r="AS538" s="476"/>
      <c r="AT538" s="64"/>
      <c r="AU538" s="646"/>
      <c r="AV538" s="335" t="s">
        <v>589</v>
      </c>
    </row>
    <row r="539" spans="1:48" outlineLevel="4" x14ac:dyDescent="0.25">
      <c r="A539" s="63" t="str">
        <f t="shared" si="110"/>
        <v>1.3.0.9.36.59</v>
      </c>
      <c r="B539" s="64">
        <v>1</v>
      </c>
      <c r="C539" s="64">
        <v>3</v>
      </c>
      <c r="D539" s="64">
        <v>0</v>
      </c>
      <c r="E539" s="64">
        <v>9</v>
      </c>
      <c r="F539" s="64">
        <v>36</v>
      </c>
      <c r="G539" s="64">
        <v>59</v>
      </c>
      <c r="H539" s="65"/>
      <c r="I539" s="65"/>
      <c r="J539" s="65"/>
      <c r="K539" s="65" t="s">
        <v>590</v>
      </c>
      <c r="L539" s="64" t="s">
        <v>72</v>
      </c>
      <c r="M539" s="64" t="s">
        <v>587</v>
      </c>
      <c r="N539" s="64" t="s">
        <v>288</v>
      </c>
      <c r="O539" s="64" t="s">
        <v>72</v>
      </c>
      <c r="P539" s="147">
        <v>44197</v>
      </c>
      <c r="Q539" s="147">
        <v>44561</v>
      </c>
      <c r="R539" s="124">
        <v>12</v>
      </c>
      <c r="S539" s="124">
        <v>3</v>
      </c>
      <c r="T539" s="124">
        <v>3</v>
      </c>
      <c r="U539" s="75">
        <f t="shared" si="106"/>
        <v>0</v>
      </c>
      <c r="V539" s="674">
        <v>0</v>
      </c>
      <c r="W539" s="75">
        <v>3</v>
      </c>
      <c r="X539" s="75">
        <f t="shared" si="107"/>
        <v>0</v>
      </c>
      <c r="Y539" s="834">
        <f t="shared" si="103"/>
        <v>0</v>
      </c>
      <c r="Z539" s="75">
        <v>3</v>
      </c>
      <c r="AA539" s="75">
        <f t="shared" si="108"/>
        <v>0</v>
      </c>
      <c r="AB539" s="75"/>
      <c r="AC539" s="75">
        <v>3</v>
      </c>
      <c r="AD539" s="75">
        <f t="shared" si="109"/>
        <v>0</v>
      </c>
      <c r="AE539" s="592"/>
      <c r="AF539" s="354" t="s">
        <v>588</v>
      </c>
      <c r="AG539" s="510">
        <v>100000</v>
      </c>
      <c r="AH539" s="370">
        <v>0</v>
      </c>
      <c r="AI539" s="78"/>
      <c r="AJ539" s="78"/>
      <c r="AK539" s="157"/>
      <c r="AL539" s="157"/>
      <c r="AM539" s="157"/>
      <c r="AN539" s="64" t="s">
        <v>39</v>
      </c>
      <c r="AO539" s="64"/>
      <c r="AP539" s="64"/>
      <c r="AQ539" s="189"/>
      <c r="AR539" s="64"/>
      <c r="AS539" s="476"/>
      <c r="AT539" s="64"/>
      <c r="AU539" s="646"/>
      <c r="AV539" s="335" t="s">
        <v>589</v>
      </c>
    </row>
    <row r="540" spans="1:48" outlineLevel="4" x14ac:dyDescent="0.25">
      <c r="A540" s="63" t="str">
        <f t="shared" si="110"/>
        <v>1.3.0.9.36.60</v>
      </c>
      <c r="B540" s="64">
        <v>1</v>
      </c>
      <c r="C540" s="64">
        <v>3</v>
      </c>
      <c r="D540" s="64">
        <v>0</v>
      </c>
      <c r="E540" s="64">
        <v>9</v>
      </c>
      <c r="F540" s="64">
        <v>36</v>
      </c>
      <c r="G540" s="64">
        <v>60</v>
      </c>
      <c r="H540" s="65"/>
      <c r="I540" s="65"/>
      <c r="J540" s="65"/>
      <c r="K540" s="65" t="s">
        <v>591</v>
      </c>
      <c r="L540" s="64" t="s">
        <v>72</v>
      </c>
      <c r="M540" s="64" t="s">
        <v>587</v>
      </c>
      <c r="N540" s="64" t="s">
        <v>288</v>
      </c>
      <c r="O540" s="64" t="s">
        <v>72</v>
      </c>
      <c r="P540" s="147">
        <v>44197</v>
      </c>
      <c r="Q540" s="147">
        <v>44561</v>
      </c>
      <c r="R540" s="124">
        <v>12</v>
      </c>
      <c r="S540" s="124">
        <v>3</v>
      </c>
      <c r="T540" s="124">
        <v>3</v>
      </c>
      <c r="U540" s="75">
        <f t="shared" si="106"/>
        <v>0</v>
      </c>
      <c r="V540" s="674">
        <v>0</v>
      </c>
      <c r="W540" s="75">
        <v>3</v>
      </c>
      <c r="X540" s="75">
        <f t="shared" si="107"/>
        <v>0</v>
      </c>
      <c r="Y540" s="834">
        <f t="shared" si="103"/>
        <v>0</v>
      </c>
      <c r="Z540" s="75">
        <v>3</v>
      </c>
      <c r="AA540" s="75">
        <f t="shared" si="108"/>
        <v>0</v>
      </c>
      <c r="AB540" s="75"/>
      <c r="AC540" s="75">
        <v>3</v>
      </c>
      <c r="AD540" s="75">
        <f t="shared" si="109"/>
        <v>0</v>
      </c>
      <c r="AE540" s="592"/>
      <c r="AF540" s="354" t="s">
        <v>588</v>
      </c>
      <c r="AG540" s="510">
        <v>100000</v>
      </c>
      <c r="AH540" s="370">
        <v>0</v>
      </c>
      <c r="AI540" s="78"/>
      <c r="AJ540" s="78"/>
      <c r="AK540" s="75"/>
      <c r="AL540" s="75"/>
      <c r="AM540" s="75"/>
      <c r="AN540" s="64" t="s">
        <v>39</v>
      </c>
      <c r="AO540" s="64"/>
      <c r="AP540" s="64"/>
      <c r="AQ540" s="189"/>
      <c r="AR540" s="64"/>
      <c r="AS540" s="476"/>
      <c r="AT540" s="64"/>
      <c r="AU540" s="646"/>
      <c r="AV540" s="335" t="s">
        <v>589</v>
      </c>
    </row>
    <row r="541" spans="1:48" outlineLevel="4" x14ac:dyDescent="0.25">
      <c r="A541" s="63" t="str">
        <f t="shared" si="110"/>
        <v>1.3.0.9.36.61</v>
      </c>
      <c r="B541" s="64">
        <v>1</v>
      </c>
      <c r="C541" s="64">
        <v>3</v>
      </c>
      <c r="D541" s="64">
        <v>0</v>
      </c>
      <c r="E541" s="64">
        <v>9</v>
      </c>
      <c r="F541" s="64">
        <v>36</v>
      </c>
      <c r="G541" s="64">
        <v>61</v>
      </c>
      <c r="H541" s="65"/>
      <c r="I541" s="65"/>
      <c r="J541" s="65"/>
      <c r="K541" s="65" t="s">
        <v>592</v>
      </c>
      <c r="L541" s="64" t="s">
        <v>72</v>
      </c>
      <c r="M541" s="64" t="s">
        <v>587</v>
      </c>
      <c r="N541" s="64" t="s">
        <v>288</v>
      </c>
      <c r="O541" s="64" t="s">
        <v>72</v>
      </c>
      <c r="P541" s="147">
        <v>44197</v>
      </c>
      <c r="Q541" s="147">
        <v>44561</v>
      </c>
      <c r="R541" s="124">
        <v>12</v>
      </c>
      <c r="S541" s="124">
        <v>3</v>
      </c>
      <c r="T541" s="124">
        <v>3</v>
      </c>
      <c r="U541" s="75">
        <f t="shared" si="106"/>
        <v>0</v>
      </c>
      <c r="V541" s="674">
        <v>0</v>
      </c>
      <c r="W541" s="75">
        <v>3</v>
      </c>
      <c r="X541" s="75">
        <f t="shared" si="107"/>
        <v>0</v>
      </c>
      <c r="Y541" s="834">
        <f t="shared" si="103"/>
        <v>0</v>
      </c>
      <c r="Z541" s="75">
        <v>3</v>
      </c>
      <c r="AA541" s="75">
        <f t="shared" si="108"/>
        <v>0</v>
      </c>
      <c r="AB541" s="75"/>
      <c r="AC541" s="75">
        <v>3</v>
      </c>
      <c r="AD541" s="75">
        <f t="shared" si="109"/>
        <v>0</v>
      </c>
      <c r="AE541" s="592"/>
      <c r="AF541" s="354" t="s">
        <v>588</v>
      </c>
      <c r="AG541" s="510">
        <v>100000</v>
      </c>
      <c r="AH541" s="370">
        <v>0</v>
      </c>
      <c r="AI541" s="78"/>
      <c r="AJ541" s="78"/>
      <c r="AK541" s="75"/>
      <c r="AL541" s="75"/>
      <c r="AM541" s="75"/>
      <c r="AN541" s="64" t="s">
        <v>39</v>
      </c>
      <c r="AO541" s="64"/>
      <c r="AP541" s="64"/>
      <c r="AQ541" s="189"/>
      <c r="AR541" s="64"/>
      <c r="AS541" s="476"/>
      <c r="AT541" s="64"/>
      <c r="AU541" s="646"/>
      <c r="AV541" s="335" t="s">
        <v>589</v>
      </c>
    </row>
    <row r="542" spans="1:48" outlineLevel="4" x14ac:dyDescent="0.25">
      <c r="A542" s="63" t="str">
        <f t="shared" si="110"/>
        <v>1.3.0.9.36.62</v>
      </c>
      <c r="B542" s="64">
        <v>1</v>
      </c>
      <c r="C542" s="64">
        <v>3</v>
      </c>
      <c r="D542" s="64">
        <v>0</v>
      </c>
      <c r="E542" s="64">
        <v>9</v>
      </c>
      <c r="F542" s="64">
        <v>36</v>
      </c>
      <c r="G542" s="64">
        <v>62</v>
      </c>
      <c r="H542" s="65"/>
      <c r="I542" s="65"/>
      <c r="J542" s="65"/>
      <c r="K542" s="65" t="s">
        <v>1751</v>
      </c>
      <c r="L542" s="64" t="s">
        <v>72</v>
      </c>
      <c r="M542" s="64" t="s">
        <v>587</v>
      </c>
      <c r="N542" s="64" t="s">
        <v>288</v>
      </c>
      <c r="O542" s="64" t="s">
        <v>72</v>
      </c>
      <c r="P542" s="147">
        <v>44197</v>
      </c>
      <c r="Q542" s="147">
        <v>44561</v>
      </c>
      <c r="R542" s="124">
        <v>12</v>
      </c>
      <c r="S542" s="124">
        <v>3</v>
      </c>
      <c r="T542" s="124">
        <v>3</v>
      </c>
      <c r="U542" s="75">
        <f t="shared" si="106"/>
        <v>0</v>
      </c>
      <c r="V542" s="674">
        <v>0</v>
      </c>
      <c r="W542" s="75">
        <v>3</v>
      </c>
      <c r="X542" s="75">
        <f t="shared" si="107"/>
        <v>0</v>
      </c>
      <c r="Y542" s="834">
        <f t="shared" si="103"/>
        <v>0</v>
      </c>
      <c r="Z542" s="75">
        <v>3</v>
      </c>
      <c r="AA542" s="75">
        <f t="shared" si="108"/>
        <v>0</v>
      </c>
      <c r="AB542" s="75"/>
      <c r="AC542" s="75">
        <v>3</v>
      </c>
      <c r="AD542" s="75">
        <f t="shared" si="109"/>
        <v>0</v>
      </c>
      <c r="AE542" s="592"/>
      <c r="AF542" s="354" t="s">
        <v>588</v>
      </c>
      <c r="AG542" s="510">
        <v>100000</v>
      </c>
      <c r="AH542" s="370">
        <v>0</v>
      </c>
      <c r="AI542" s="78"/>
      <c r="AJ542" s="78"/>
      <c r="AK542" s="157"/>
      <c r="AL542" s="157"/>
      <c r="AM542" s="157"/>
      <c r="AN542" s="64" t="s">
        <v>39</v>
      </c>
      <c r="AO542" s="64"/>
      <c r="AP542" s="64"/>
      <c r="AQ542" s="189"/>
      <c r="AR542" s="64"/>
      <c r="AS542" s="476"/>
      <c r="AT542" s="64"/>
      <c r="AU542" s="646"/>
      <c r="AV542" s="335" t="s">
        <v>589</v>
      </c>
    </row>
    <row r="543" spans="1:48" outlineLevel="4" x14ac:dyDescent="0.25">
      <c r="A543" s="63" t="str">
        <f t="shared" si="110"/>
        <v>1.3.0.9.36.63</v>
      </c>
      <c r="B543" s="64">
        <v>1</v>
      </c>
      <c r="C543" s="64">
        <v>3</v>
      </c>
      <c r="D543" s="64">
        <v>0</v>
      </c>
      <c r="E543" s="64">
        <v>9</v>
      </c>
      <c r="F543" s="64">
        <v>36</v>
      </c>
      <c r="G543" s="64">
        <v>63</v>
      </c>
      <c r="H543" s="65"/>
      <c r="I543" s="65"/>
      <c r="J543" s="65"/>
      <c r="K543" s="65" t="s">
        <v>593</v>
      </c>
      <c r="L543" s="64" t="s">
        <v>72</v>
      </c>
      <c r="M543" s="64" t="s">
        <v>587</v>
      </c>
      <c r="N543" s="64" t="s">
        <v>288</v>
      </c>
      <c r="O543" s="64" t="s">
        <v>72</v>
      </c>
      <c r="P543" s="147">
        <v>44197</v>
      </c>
      <c r="Q543" s="147">
        <v>44561</v>
      </c>
      <c r="R543" s="124">
        <v>12</v>
      </c>
      <c r="S543" s="124">
        <v>3</v>
      </c>
      <c r="T543" s="124">
        <v>3</v>
      </c>
      <c r="U543" s="75">
        <f t="shared" si="106"/>
        <v>0</v>
      </c>
      <c r="V543" s="674">
        <v>0</v>
      </c>
      <c r="W543" s="75">
        <v>3</v>
      </c>
      <c r="X543" s="75">
        <f t="shared" si="107"/>
        <v>0</v>
      </c>
      <c r="Y543" s="834">
        <f t="shared" si="103"/>
        <v>0</v>
      </c>
      <c r="Z543" s="75">
        <v>3</v>
      </c>
      <c r="AA543" s="75">
        <f t="shared" si="108"/>
        <v>0</v>
      </c>
      <c r="AB543" s="75"/>
      <c r="AC543" s="75">
        <v>3</v>
      </c>
      <c r="AD543" s="75">
        <f t="shared" si="109"/>
        <v>0</v>
      </c>
      <c r="AE543" s="592"/>
      <c r="AF543" s="354" t="s">
        <v>588</v>
      </c>
      <c r="AG543" s="510">
        <v>100000</v>
      </c>
      <c r="AH543" s="370">
        <v>0</v>
      </c>
      <c r="AI543" s="78"/>
      <c r="AJ543" s="78"/>
      <c r="AK543" s="157"/>
      <c r="AL543" s="157"/>
      <c r="AM543" s="157"/>
      <c r="AN543" s="64" t="s">
        <v>39</v>
      </c>
      <c r="AO543" s="64"/>
      <c r="AP543" s="64"/>
      <c r="AQ543" s="189"/>
      <c r="AR543" s="64"/>
      <c r="AS543" s="476"/>
      <c r="AT543" s="64"/>
      <c r="AU543" s="646"/>
      <c r="AV543" s="335" t="s">
        <v>589</v>
      </c>
    </row>
    <row r="544" spans="1:48" outlineLevel="4" x14ac:dyDescent="0.25">
      <c r="A544" s="63" t="str">
        <f t="shared" si="110"/>
        <v>1.3.0.9.36.64</v>
      </c>
      <c r="B544" s="64">
        <v>1</v>
      </c>
      <c r="C544" s="64">
        <v>3</v>
      </c>
      <c r="D544" s="64">
        <v>0</v>
      </c>
      <c r="E544" s="64">
        <v>9</v>
      </c>
      <c r="F544" s="64">
        <v>36</v>
      </c>
      <c r="G544" s="64">
        <v>64</v>
      </c>
      <c r="H544" s="65"/>
      <c r="I544" s="65"/>
      <c r="J544" s="65"/>
      <c r="K544" s="65" t="s">
        <v>594</v>
      </c>
      <c r="L544" s="64" t="s">
        <v>72</v>
      </c>
      <c r="M544" s="64" t="s">
        <v>587</v>
      </c>
      <c r="N544" s="64" t="s">
        <v>288</v>
      </c>
      <c r="O544" s="64" t="s">
        <v>72</v>
      </c>
      <c r="P544" s="147">
        <v>44197</v>
      </c>
      <c r="Q544" s="147">
        <v>44561</v>
      </c>
      <c r="R544" s="124">
        <v>12</v>
      </c>
      <c r="S544" s="124">
        <v>3</v>
      </c>
      <c r="T544" s="124">
        <v>3</v>
      </c>
      <c r="U544" s="75">
        <f t="shared" si="106"/>
        <v>0</v>
      </c>
      <c r="V544" s="674">
        <v>0</v>
      </c>
      <c r="W544" s="75">
        <v>3</v>
      </c>
      <c r="X544" s="75">
        <f t="shared" si="107"/>
        <v>0</v>
      </c>
      <c r="Y544" s="834">
        <f t="shared" si="103"/>
        <v>0</v>
      </c>
      <c r="Z544" s="75">
        <v>3</v>
      </c>
      <c r="AA544" s="75">
        <f t="shared" si="108"/>
        <v>0</v>
      </c>
      <c r="AB544" s="75"/>
      <c r="AC544" s="75">
        <v>3</v>
      </c>
      <c r="AD544" s="75">
        <f t="shared" si="109"/>
        <v>0</v>
      </c>
      <c r="AE544" s="592"/>
      <c r="AF544" s="354" t="s">
        <v>588</v>
      </c>
      <c r="AG544" s="510">
        <v>100000</v>
      </c>
      <c r="AH544" s="370">
        <v>0</v>
      </c>
      <c r="AI544" s="75"/>
      <c r="AJ544" s="75"/>
      <c r="AK544" s="75"/>
      <c r="AL544" s="75"/>
      <c r="AM544" s="75"/>
      <c r="AN544" s="64" t="s">
        <v>39</v>
      </c>
      <c r="AO544" s="64"/>
      <c r="AP544" s="64"/>
      <c r="AQ544" s="189"/>
      <c r="AR544" s="64"/>
      <c r="AS544" s="476"/>
      <c r="AT544" s="64"/>
      <c r="AU544" s="646"/>
      <c r="AV544" s="335" t="s">
        <v>589</v>
      </c>
    </row>
    <row r="545" spans="1:48" outlineLevel="4" x14ac:dyDescent="0.25">
      <c r="A545" s="63" t="str">
        <f t="shared" si="110"/>
        <v>1.3.1.9.37.58</v>
      </c>
      <c r="B545" s="64">
        <v>1</v>
      </c>
      <c r="C545" s="64">
        <v>3</v>
      </c>
      <c r="D545" s="64">
        <v>1</v>
      </c>
      <c r="E545" s="64">
        <v>9</v>
      </c>
      <c r="F545" s="64">
        <v>37</v>
      </c>
      <c r="G545" s="64">
        <v>58</v>
      </c>
      <c r="H545" s="65"/>
      <c r="I545" s="65"/>
      <c r="J545" s="65"/>
      <c r="K545" s="65" t="s">
        <v>595</v>
      </c>
      <c r="L545" s="64"/>
      <c r="M545" s="128" t="s">
        <v>596</v>
      </c>
      <c r="N545" s="64"/>
      <c r="O545" s="64"/>
      <c r="P545" s="147"/>
      <c r="Q545" s="147"/>
      <c r="R545" s="124"/>
      <c r="S545" s="124"/>
      <c r="T545" s="124"/>
      <c r="U545" s="75"/>
      <c r="V545" s="674">
        <v>0</v>
      </c>
      <c r="W545" s="75"/>
      <c r="X545" s="75">
        <f>+AH545/2</f>
        <v>28571.428571428572</v>
      </c>
      <c r="Y545" s="834">
        <f t="shared" si="103"/>
        <v>0</v>
      </c>
      <c r="Z545" s="75"/>
      <c r="AA545" s="75">
        <f>+AH545/2</f>
        <v>28571.428571428572</v>
      </c>
      <c r="AB545" s="75"/>
      <c r="AC545" s="75"/>
      <c r="AD545" s="75"/>
      <c r="AE545" s="592"/>
      <c r="AF545" s="354"/>
      <c r="AG545" s="510">
        <v>0</v>
      </c>
      <c r="AH545" s="370">
        <f>400000/7</f>
        <v>57142.857142857145</v>
      </c>
      <c r="AI545" s="75"/>
      <c r="AJ545" s="75"/>
      <c r="AK545" s="75"/>
      <c r="AL545" s="75"/>
      <c r="AM545" s="75"/>
      <c r="AN545" s="64"/>
      <c r="AO545" s="165"/>
      <c r="AP545" s="165"/>
      <c r="AQ545" s="413"/>
      <c r="AR545" s="64"/>
      <c r="AS545" s="475"/>
      <c r="AT545" s="64"/>
      <c r="AU545" s="646"/>
      <c r="AV545" s="1274" t="s">
        <v>597</v>
      </c>
    </row>
    <row r="546" spans="1:48" outlineLevel="4" x14ac:dyDescent="0.25">
      <c r="A546" s="63" t="str">
        <f t="shared" si="110"/>
        <v>1.3.1.9.37.59</v>
      </c>
      <c r="B546" s="64">
        <v>1</v>
      </c>
      <c r="C546" s="64">
        <v>3</v>
      </c>
      <c r="D546" s="64">
        <v>1</v>
      </c>
      <c r="E546" s="64">
        <v>9</v>
      </c>
      <c r="F546" s="64">
        <v>37</v>
      </c>
      <c r="G546" s="64">
        <v>59</v>
      </c>
      <c r="H546" s="65"/>
      <c r="I546" s="65"/>
      <c r="J546" s="65"/>
      <c r="K546" s="65" t="s">
        <v>598</v>
      </c>
      <c r="L546" s="64"/>
      <c r="M546" s="128" t="s">
        <v>596</v>
      </c>
      <c r="N546" s="64"/>
      <c r="O546" s="64"/>
      <c r="P546" s="147"/>
      <c r="Q546" s="147"/>
      <c r="R546" s="124"/>
      <c r="S546" s="124"/>
      <c r="T546" s="124"/>
      <c r="U546" s="75"/>
      <c r="V546" s="674">
        <v>0</v>
      </c>
      <c r="W546" s="75"/>
      <c r="X546" s="75">
        <f t="shared" ref="X546:X551" si="111">+AH546/2</f>
        <v>28571.428571428572</v>
      </c>
      <c r="Y546" s="834">
        <f t="shared" si="103"/>
        <v>0</v>
      </c>
      <c r="Z546" s="75"/>
      <c r="AA546" s="75">
        <f t="shared" ref="AA546:AA551" si="112">+AH546/2</f>
        <v>28571.428571428572</v>
      </c>
      <c r="AB546" s="75"/>
      <c r="AC546" s="75"/>
      <c r="AD546" s="75"/>
      <c r="AE546" s="592"/>
      <c r="AF546" s="354"/>
      <c r="AG546" s="510">
        <v>0</v>
      </c>
      <c r="AH546" s="370">
        <f t="shared" ref="AH546:AH551" si="113">400000/7</f>
        <v>57142.857142857145</v>
      </c>
      <c r="AI546" s="75"/>
      <c r="AJ546" s="75"/>
      <c r="AK546" s="75"/>
      <c r="AL546" s="75"/>
      <c r="AM546" s="75"/>
      <c r="AN546" s="64"/>
      <c r="AO546" s="165"/>
      <c r="AP546" s="165"/>
      <c r="AQ546" s="413"/>
      <c r="AR546" s="64"/>
      <c r="AS546" s="475"/>
      <c r="AT546" s="64"/>
      <c r="AU546" s="646"/>
      <c r="AV546" s="1274"/>
    </row>
    <row r="547" spans="1:48" outlineLevel="4" x14ac:dyDescent="0.25">
      <c r="A547" s="63" t="str">
        <f t="shared" si="110"/>
        <v>1.3.1.9.37.60</v>
      </c>
      <c r="B547" s="64">
        <v>1</v>
      </c>
      <c r="C547" s="64">
        <v>3</v>
      </c>
      <c r="D547" s="64">
        <v>1</v>
      </c>
      <c r="E547" s="64">
        <v>9</v>
      </c>
      <c r="F547" s="64">
        <v>37</v>
      </c>
      <c r="G547" s="64">
        <v>60</v>
      </c>
      <c r="H547" s="65"/>
      <c r="I547" s="65"/>
      <c r="J547" s="65"/>
      <c r="K547" s="65" t="s">
        <v>599</v>
      </c>
      <c r="L547" s="64"/>
      <c r="M547" s="128" t="s">
        <v>596</v>
      </c>
      <c r="N547" s="64"/>
      <c r="O547" s="64"/>
      <c r="P547" s="147"/>
      <c r="Q547" s="147"/>
      <c r="R547" s="124"/>
      <c r="S547" s="124"/>
      <c r="T547" s="124"/>
      <c r="U547" s="75"/>
      <c r="V547" s="674">
        <v>0</v>
      </c>
      <c r="W547" s="75"/>
      <c r="X547" s="75">
        <f t="shared" si="111"/>
        <v>28571.428571428572</v>
      </c>
      <c r="Y547" s="834">
        <f t="shared" si="103"/>
        <v>0</v>
      </c>
      <c r="Z547" s="75"/>
      <c r="AA547" s="75">
        <f t="shared" si="112"/>
        <v>28571.428571428572</v>
      </c>
      <c r="AB547" s="75"/>
      <c r="AC547" s="75"/>
      <c r="AD547" s="75"/>
      <c r="AE547" s="592"/>
      <c r="AF547" s="354"/>
      <c r="AG547" s="510">
        <v>0</v>
      </c>
      <c r="AH547" s="370">
        <f t="shared" si="113"/>
        <v>57142.857142857145</v>
      </c>
      <c r="AI547" s="75"/>
      <c r="AJ547" s="75"/>
      <c r="AK547" s="75"/>
      <c r="AL547" s="75"/>
      <c r="AM547" s="75"/>
      <c r="AN547" s="64"/>
      <c r="AO547" s="165"/>
      <c r="AP547" s="165"/>
      <c r="AQ547" s="413"/>
      <c r="AR547" s="64"/>
      <c r="AS547" s="475"/>
      <c r="AT547" s="64"/>
      <c r="AU547" s="646"/>
      <c r="AV547" s="1274"/>
    </row>
    <row r="548" spans="1:48" outlineLevel="4" x14ac:dyDescent="0.25">
      <c r="A548" s="63" t="str">
        <f t="shared" si="110"/>
        <v>1.3.1.9.37.61</v>
      </c>
      <c r="B548" s="64">
        <v>1</v>
      </c>
      <c r="C548" s="64">
        <v>3</v>
      </c>
      <c r="D548" s="64">
        <v>1</v>
      </c>
      <c r="E548" s="64">
        <v>9</v>
      </c>
      <c r="F548" s="64">
        <v>37</v>
      </c>
      <c r="G548" s="64">
        <v>61</v>
      </c>
      <c r="H548" s="65"/>
      <c r="I548" s="65"/>
      <c r="J548" s="65"/>
      <c r="K548" s="65" t="s">
        <v>600</v>
      </c>
      <c r="L548" s="64"/>
      <c r="M548" s="128" t="s">
        <v>596</v>
      </c>
      <c r="N548" s="64"/>
      <c r="O548" s="64"/>
      <c r="P548" s="147"/>
      <c r="Q548" s="147"/>
      <c r="R548" s="124"/>
      <c r="S548" s="124"/>
      <c r="T548" s="124"/>
      <c r="U548" s="75"/>
      <c r="V548" s="674">
        <v>0</v>
      </c>
      <c r="W548" s="75"/>
      <c r="X548" s="75">
        <f t="shared" si="111"/>
        <v>28571.428571428572</v>
      </c>
      <c r="Y548" s="834">
        <f t="shared" si="103"/>
        <v>0</v>
      </c>
      <c r="Z548" s="75"/>
      <c r="AA548" s="75">
        <f t="shared" si="112"/>
        <v>28571.428571428572</v>
      </c>
      <c r="AB548" s="75"/>
      <c r="AC548" s="75"/>
      <c r="AD548" s="75"/>
      <c r="AE548" s="592"/>
      <c r="AF548" s="354"/>
      <c r="AG548" s="510">
        <v>0</v>
      </c>
      <c r="AH548" s="370">
        <f t="shared" si="113"/>
        <v>57142.857142857145</v>
      </c>
      <c r="AI548" s="75"/>
      <c r="AJ548" s="75"/>
      <c r="AK548" s="75"/>
      <c r="AL548" s="75"/>
      <c r="AM548" s="75"/>
      <c r="AN548" s="64"/>
      <c r="AO548" s="165"/>
      <c r="AP548" s="165"/>
      <c r="AQ548" s="413"/>
      <c r="AR548" s="64"/>
      <c r="AS548" s="475"/>
      <c r="AT548" s="64"/>
      <c r="AU548" s="646"/>
      <c r="AV548" s="1274"/>
    </row>
    <row r="549" spans="1:48" outlineLevel="4" x14ac:dyDescent="0.25">
      <c r="A549" s="63" t="str">
        <f t="shared" si="110"/>
        <v>1.3.1.9.37.62</v>
      </c>
      <c r="B549" s="64">
        <v>1</v>
      </c>
      <c r="C549" s="64">
        <v>3</v>
      </c>
      <c r="D549" s="64">
        <v>1</v>
      </c>
      <c r="E549" s="64">
        <v>9</v>
      </c>
      <c r="F549" s="64">
        <v>37</v>
      </c>
      <c r="G549" s="64">
        <v>62</v>
      </c>
      <c r="H549" s="65"/>
      <c r="I549" s="65"/>
      <c r="J549" s="65"/>
      <c r="K549" s="65" t="s">
        <v>1752</v>
      </c>
      <c r="L549" s="64"/>
      <c r="M549" s="128" t="s">
        <v>596</v>
      </c>
      <c r="N549" s="64"/>
      <c r="O549" s="64"/>
      <c r="P549" s="147"/>
      <c r="Q549" s="147"/>
      <c r="R549" s="124"/>
      <c r="S549" s="124"/>
      <c r="T549" s="124"/>
      <c r="U549" s="75"/>
      <c r="V549" s="674">
        <v>0</v>
      </c>
      <c r="W549" s="75"/>
      <c r="X549" s="75">
        <f t="shared" si="111"/>
        <v>28571.428571428572</v>
      </c>
      <c r="Y549" s="834">
        <f t="shared" si="103"/>
        <v>0</v>
      </c>
      <c r="Z549" s="75"/>
      <c r="AA549" s="75">
        <f t="shared" si="112"/>
        <v>28571.428571428572</v>
      </c>
      <c r="AB549" s="75"/>
      <c r="AC549" s="75"/>
      <c r="AD549" s="75"/>
      <c r="AE549" s="592"/>
      <c r="AF549" s="354"/>
      <c r="AG549" s="510">
        <v>0</v>
      </c>
      <c r="AH549" s="370">
        <f t="shared" si="113"/>
        <v>57142.857142857145</v>
      </c>
      <c r="AI549" s="75"/>
      <c r="AJ549" s="75"/>
      <c r="AK549" s="75"/>
      <c r="AL549" s="75"/>
      <c r="AM549" s="75"/>
      <c r="AN549" s="64"/>
      <c r="AO549" s="165"/>
      <c r="AP549" s="165"/>
      <c r="AQ549" s="413"/>
      <c r="AR549" s="64"/>
      <c r="AS549" s="475"/>
      <c r="AT549" s="64"/>
      <c r="AU549" s="646"/>
      <c r="AV549" s="1274"/>
    </row>
    <row r="550" spans="1:48" outlineLevel="4" x14ac:dyDescent="0.25">
      <c r="A550" s="63" t="str">
        <f t="shared" si="110"/>
        <v>1.3.1.9.37.63</v>
      </c>
      <c r="B550" s="64">
        <v>1</v>
      </c>
      <c r="C550" s="64">
        <v>3</v>
      </c>
      <c r="D550" s="64">
        <v>1</v>
      </c>
      <c r="E550" s="64">
        <v>9</v>
      </c>
      <c r="F550" s="64">
        <v>37</v>
      </c>
      <c r="G550" s="64">
        <v>63</v>
      </c>
      <c r="H550" s="65"/>
      <c r="I550" s="65"/>
      <c r="J550" s="65"/>
      <c r="K550" s="65" t="s">
        <v>601</v>
      </c>
      <c r="L550" s="64"/>
      <c r="M550" s="128" t="s">
        <v>596</v>
      </c>
      <c r="N550" s="64"/>
      <c r="O550" s="64"/>
      <c r="P550" s="147"/>
      <c r="Q550" s="147"/>
      <c r="R550" s="124"/>
      <c r="S550" s="124"/>
      <c r="T550" s="124"/>
      <c r="U550" s="75"/>
      <c r="V550" s="674">
        <v>0</v>
      </c>
      <c r="W550" s="75"/>
      <c r="X550" s="75">
        <f t="shared" si="111"/>
        <v>28571.428571428572</v>
      </c>
      <c r="Y550" s="834">
        <f t="shared" si="103"/>
        <v>0</v>
      </c>
      <c r="Z550" s="75"/>
      <c r="AA550" s="75">
        <f t="shared" si="112"/>
        <v>28571.428571428572</v>
      </c>
      <c r="AB550" s="75"/>
      <c r="AC550" s="75"/>
      <c r="AD550" s="75"/>
      <c r="AE550" s="592"/>
      <c r="AF550" s="354"/>
      <c r="AG550" s="510">
        <v>0</v>
      </c>
      <c r="AH550" s="370">
        <f t="shared" si="113"/>
        <v>57142.857142857145</v>
      </c>
      <c r="AI550" s="75"/>
      <c r="AJ550" s="75"/>
      <c r="AK550" s="75"/>
      <c r="AL550" s="75"/>
      <c r="AM550" s="75"/>
      <c r="AN550" s="64"/>
      <c r="AO550" s="165"/>
      <c r="AP550" s="165"/>
      <c r="AQ550" s="413"/>
      <c r="AR550" s="64"/>
      <c r="AS550" s="475"/>
      <c r="AT550" s="64"/>
      <c r="AU550" s="646"/>
      <c r="AV550" s="1274"/>
    </row>
    <row r="551" spans="1:48" outlineLevel="4" x14ac:dyDescent="0.25">
      <c r="A551" s="63" t="str">
        <f t="shared" si="110"/>
        <v>1.3.1.9.37.64</v>
      </c>
      <c r="B551" s="64">
        <v>1</v>
      </c>
      <c r="C551" s="64">
        <v>3</v>
      </c>
      <c r="D551" s="64">
        <v>1</v>
      </c>
      <c r="E551" s="64">
        <v>9</v>
      </c>
      <c r="F551" s="64">
        <v>37</v>
      </c>
      <c r="G551" s="64">
        <v>64</v>
      </c>
      <c r="H551" s="65"/>
      <c r="I551" s="65"/>
      <c r="J551" s="65"/>
      <c r="K551" s="65" t="s">
        <v>602</v>
      </c>
      <c r="L551" s="64"/>
      <c r="M551" s="128" t="s">
        <v>596</v>
      </c>
      <c r="N551" s="64"/>
      <c r="O551" s="64"/>
      <c r="P551" s="147"/>
      <c r="Q551" s="147"/>
      <c r="R551" s="124"/>
      <c r="S551" s="124"/>
      <c r="T551" s="124"/>
      <c r="U551" s="75"/>
      <c r="V551" s="674">
        <v>0</v>
      </c>
      <c r="W551" s="75"/>
      <c r="X551" s="75">
        <f t="shared" si="111"/>
        <v>28571.428571428572</v>
      </c>
      <c r="Y551" s="834">
        <f t="shared" si="103"/>
        <v>0</v>
      </c>
      <c r="Z551" s="75"/>
      <c r="AA551" s="75">
        <f t="shared" si="112"/>
        <v>28571.428571428572</v>
      </c>
      <c r="AB551" s="75"/>
      <c r="AC551" s="75"/>
      <c r="AD551" s="75"/>
      <c r="AE551" s="592"/>
      <c r="AF551" s="354"/>
      <c r="AG551" s="510">
        <v>0</v>
      </c>
      <c r="AH551" s="370">
        <f t="shared" si="113"/>
        <v>57142.857142857145</v>
      </c>
      <c r="AI551" s="75"/>
      <c r="AJ551" s="75"/>
      <c r="AK551" s="75"/>
      <c r="AL551" s="75"/>
      <c r="AM551" s="75"/>
      <c r="AN551" s="64"/>
      <c r="AO551" s="165"/>
      <c r="AP551" s="165"/>
      <c r="AQ551" s="413"/>
      <c r="AR551" s="64"/>
      <c r="AS551" s="475"/>
      <c r="AT551" s="64"/>
      <c r="AU551" s="646"/>
      <c r="AV551" s="1274"/>
    </row>
    <row r="552" spans="1:48" ht="60" customHeight="1" outlineLevel="4" x14ac:dyDescent="0.25">
      <c r="A552" s="63" t="str">
        <f t="shared" si="110"/>
        <v>1.3.1.9.38.58</v>
      </c>
      <c r="B552" s="64">
        <v>1</v>
      </c>
      <c r="C552" s="64">
        <v>3</v>
      </c>
      <c r="D552" s="64">
        <v>1</v>
      </c>
      <c r="E552" s="64">
        <v>9</v>
      </c>
      <c r="F552" s="64">
        <v>38</v>
      </c>
      <c r="G552" s="64">
        <v>58</v>
      </c>
      <c r="H552" s="65"/>
      <c r="I552" s="65"/>
      <c r="J552" s="65"/>
      <c r="K552" s="65" t="s">
        <v>603</v>
      </c>
      <c r="L552" s="64"/>
      <c r="M552" s="128" t="s">
        <v>604</v>
      </c>
      <c r="N552" s="64"/>
      <c r="O552" s="64"/>
      <c r="P552" s="147"/>
      <c r="Q552" s="147"/>
      <c r="R552" s="124"/>
      <c r="S552" s="124"/>
      <c r="T552" s="124"/>
      <c r="U552" s="75"/>
      <c r="V552" s="674">
        <v>0</v>
      </c>
      <c r="W552" s="75"/>
      <c r="X552" s="75">
        <f>+AH552/2</f>
        <v>2107142.8571428573</v>
      </c>
      <c r="Y552" s="834">
        <f t="shared" si="103"/>
        <v>1187742.1499999999</v>
      </c>
      <c r="Z552" s="75"/>
      <c r="AA552" s="75">
        <f>+AH552/2</f>
        <v>2107142.8571428573</v>
      </c>
      <c r="AB552" s="75"/>
      <c r="AC552" s="75"/>
      <c r="AD552" s="75"/>
      <c r="AE552" s="592"/>
      <c r="AF552" s="354"/>
      <c r="AG552" s="510">
        <v>0</v>
      </c>
      <c r="AH552" s="370">
        <f>29500000/7</f>
        <v>4214285.7142857146</v>
      </c>
      <c r="AI552" s="75"/>
      <c r="AJ552" s="75">
        <f>580645.71+85942.86+85714.29+98325+337114.29</f>
        <v>1187742.1499999999</v>
      </c>
      <c r="AK552" s="75"/>
      <c r="AL552" s="75"/>
      <c r="AM552" s="75"/>
      <c r="AN552" s="64" t="s">
        <v>39</v>
      </c>
      <c r="AO552" s="165" t="s">
        <v>1819</v>
      </c>
      <c r="AP552" s="165" t="s">
        <v>1917</v>
      </c>
      <c r="AQ552" s="882" t="s">
        <v>2152</v>
      </c>
      <c r="AR552" s="64">
        <v>2022</v>
      </c>
      <c r="AS552" s="475">
        <v>2023</v>
      </c>
      <c r="AT552" s="64" t="s">
        <v>2029</v>
      </c>
      <c r="AU552" s="879" t="s">
        <v>2151</v>
      </c>
      <c r="AV552" s="1274" t="s">
        <v>605</v>
      </c>
    </row>
    <row r="553" spans="1:48" ht="60" outlineLevel="4" x14ac:dyDescent="0.25">
      <c r="A553" s="63" t="str">
        <f t="shared" si="110"/>
        <v>1.3.1.9.38.59</v>
      </c>
      <c r="B553" s="64">
        <v>1</v>
      </c>
      <c r="C553" s="64">
        <v>3</v>
      </c>
      <c r="D553" s="64">
        <v>1</v>
      </c>
      <c r="E553" s="64">
        <v>9</v>
      </c>
      <c r="F553" s="64">
        <v>38</v>
      </c>
      <c r="G553" s="64">
        <v>59</v>
      </c>
      <c r="H553" s="65"/>
      <c r="I553" s="65"/>
      <c r="J553" s="65"/>
      <c r="K553" s="65" t="s">
        <v>606</v>
      </c>
      <c r="L553" s="64"/>
      <c r="M553" s="128" t="s">
        <v>604</v>
      </c>
      <c r="N553" s="64"/>
      <c r="O553" s="64"/>
      <c r="P553" s="147"/>
      <c r="Q553" s="147"/>
      <c r="R553" s="124"/>
      <c r="S553" s="124"/>
      <c r="T553" s="124"/>
      <c r="U553" s="75"/>
      <c r="V553" s="674">
        <v>0</v>
      </c>
      <c r="W553" s="75"/>
      <c r="X553" s="75">
        <f t="shared" ref="X553:X558" si="114">+AH553/2</f>
        <v>2107142.8571428573</v>
      </c>
      <c r="Y553" s="834">
        <f t="shared" si="103"/>
        <v>1107822.1599999999</v>
      </c>
      <c r="Z553" s="75"/>
      <c r="AA553" s="75">
        <f t="shared" ref="AA553:AA558" si="115">+AH553/2</f>
        <v>2107142.8571428573</v>
      </c>
      <c r="AB553" s="75"/>
      <c r="AC553" s="75"/>
      <c r="AD553" s="75"/>
      <c r="AE553" s="592"/>
      <c r="AF553" s="354"/>
      <c r="AG553" s="510">
        <v>0</v>
      </c>
      <c r="AH553" s="370">
        <f t="shared" ref="AH553:AH558" si="116">29500000/7</f>
        <v>4214285.7142857146</v>
      </c>
      <c r="AI553" s="75"/>
      <c r="AJ553" s="75">
        <f>500725.74+85942.84+85714.29+98325+337114.29</f>
        <v>1107822.1599999999</v>
      </c>
      <c r="AK553" s="75"/>
      <c r="AL553" s="75"/>
      <c r="AM553" s="75"/>
      <c r="AN553" s="64" t="s">
        <v>39</v>
      </c>
      <c r="AO553" s="165" t="s">
        <v>1819</v>
      </c>
      <c r="AP553" s="165" t="s">
        <v>1917</v>
      </c>
      <c r="AQ553" s="882" t="s">
        <v>2152</v>
      </c>
      <c r="AR553" s="64">
        <v>2022</v>
      </c>
      <c r="AS553" s="475">
        <v>2023</v>
      </c>
      <c r="AT553" s="64" t="s">
        <v>2029</v>
      </c>
      <c r="AU553" s="879" t="s">
        <v>2151</v>
      </c>
      <c r="AV553" s="1274"/>
    </row>
    <row r="554" spans="1:48" ht="60" outlineLevel="4" x14ac:dyDescent="0.25">
      <c r="A554" s="63" t="str">
        <f t="shared" si="110"/>
        <v>1.3.1.9.38.60</v>
      </c>
      <c r="B554" s="64">
        <v>1</v>
      </c>
      <c r="C554" s="64">
        <v>3</v>
      </c>
      <c r="D554" s="64">
        <v>1</v>
      </c>
      <c r="E554" s="64">
        <v>9</v>
      </c>
      <c r="F554" s="64">
        <v>38</v>
      </c>
      <c r="G554" s="64">
        <v>60</v>
      </c>
      <c r="H554" s="65"/>
      <c r="I554" s="65"/>
      <c r="J554" s="65"/>
      <c r="K554" s="65" t="s">
        <v>607</v>
      </c>
      <c r="L554" s="64"/>
      <c r="M554" s="128" t="s">
        <v>604</v>
      </c>
      <c r="N554" s="64"/>
      <c r="O554" s="64"/>
      <c r="P554" s="147"/>
      <c r="Q554" s="147"/>
      <c r="R554" s="124"/>
      <c r="S554" s="124"/>
      <c r="T554" s="124"/>
      <c r="U554" s="75"/>
      <c r="V554" s="674">
        <v>0</v>
      </c>
      <c r="W554" s="75"/>
      <c r="X554" s="75">
        <f t="shared" si="114"/>
        <v>2107142.8571428573</v>
      </c>
      <c r="Y554" s="834">
        <f t="shared" si="103"/>
        <v>1107822.1500000001</v>
      </c>
      <c r="Z554" s="75"/>
      <c r="AA554" s="75">
        <f t="shared" si="115"/>
        <v>2107142.8571428573</v>
      </c>
      <c r="AB554" s="75"/>
      <c r="AC554" s="75"/>
      <c r="AD554" s="75"/>
      <c r="AE554" s="592"/>
      <c r="AF554" s="348"/>
      <c r="AG554" s="510">
        <v>0</v>
      </c>
      <c r="AH554" s="370">
        <f t="shared" si="116"/>
        <v>4214285.7142857146</v>
      </c>
      <c r="AI554" s="75"/>
      <c r="AJ554" s="75">
        <f t="shared" ref="AJ554:AJ556" si="117">500725.71+85942.86+85714.29+98325+337114.29</f>
        <v>1107822.1500000001</v>
      </c>
      <c r="AK554" s="75"/>
      <c r="AL554" s="75"/>
      <c r="AM554" s="75"/>
      <c r="AN554" s="64" t="s">
        <v>39</v>
      </c>
      <c r="AO554" s="165" t="s">
        <v>1819</v>
      </c>
      <c r="AP554" s="165" t="s">
        <v>1917</v>
      </c>
      <c r="AQ554" s="882" t="s">
        <v>2152</v>
      </c>
      <c r="AR554" s="64">
        <v>2022</v>
      </c>
      <c r="AS554" s="475">
        <v>2023</v>
      </c>
      <c r="AT554" s="64" t="s">
        <v>2029</v>
      </c>
      <c r="AU554" s="879" t="s">
        <v>2151</v>
      </c>
      <c r="AV554" s="1274"/>
    </row>
    <row r="555" spans="1:48" ht="60" outlineLevel="4" x14ac:dyDescent="0.25">
      <c r="A555" s="63" t="str">
        <f t="shared" si="110"/>
        <v>1.3.1.9.38.61</v>
      </c>
      <c r="B555" s="64">
        <v>1</v>
      </c>
      <c r="C555" s="64">
        <v>3</v>
      </c>
      <c r="D555" s="64">
        <v>1</v>
      </c>
      <c r="E555" s="64">
        <v>9</v>
      </c>
      <c r="F555" s="64">
        <v>38</v>
      </c>
      <c r="G555" s="64">
        <v>61</v>
      </c>
      <c r="H555" s="65"/>
      <c r="I555" s="65"/>
      <c r="J555" s="65"/>
      <c r="K555" s="65" t="s">
        <v>608</v>
      </c>
      <c r="L555" s="64"/>
      <c r="M555" s="128" t="s">
        <v>604</v>
      </c>
      <c r="N555" s="64"/>
      <c r="O555" s="64"/>
      <c r="P555" s="147"/>
      <c r="Q555" s="147"/>
      <c r="R555" s="124"/>
      <c r="S555" s="124"/>
      <c r="T555" s="124"/>
      <c r="U555" s="75"/>
      <c r="V555" s="674">
        <v>0</v>
      </c>
      <c r="W555" s="75"/>
      <c r="X555" s="75">
        <f t="shared" si="114"/>
        <v>2107142.8571428573</v>
      </c>
      <c r="Y555" s="834">
        <f t="shared" si="103"/>
        <v>1107822.1200000001</v>
      </c>
      <c r="Z555" s="75"/>
      <c r="AA555" s="75">
        <f t="shared" si="115"/>
        <v>2107142.8571428573</v>
      </c>
      <c r="AB555" s="75"/>
      <c r="AC555" s="75"/>
      <c r="AD555" s="75"/>
      <c r="AE555" s="592"/>
      <c r="AF555" s="348"/>
      <c r="AG555" s="510">
        <v>0</v>
      </c>
      <c r="AH555" s="370">
        <f t="shared" si="116"/>
        <v>4214285.7142857146</v>
      </c>
      <c r="AI555" s="75"/>
      <c r="AJ555" s="75">
        <f>500725.71+85942.86+85714.26+98325+337114.29</f>
        <v>1107822.1200000001</v>
      </c>
      <c r="AK555" s="75"/>
      <c r="AL555" s="75"/>
      <c r="AM555" s="75"/>
      <c r="AN555" s="64" t="s">
        <v>39</v>
      </c>
      <c r="AO555" s="165" t="s">
        <v>1819</v>
      </c>
      <c r="AP555" s="165" t="s">
        <v>1917</v>
      </c>
      <c r="AQ555" s="882" t="s">
        <v>2152</v>
      </c>
      <c r="AR555" s="64">
        <v>2022</v>
      </c>
      <c r="AS555" s="475">
        <v>2023</v>
      </c>
      <c r="AT555" s="64" t="s">
        <v>2029</v>
      </c>
      <c r="AU555" s="879" t="s">
        <v>2151</v>
      </c>
      <c r="AV555" s="1274"/>
    </row>
    <row r="556" spans="1:48" ht="60" outlineLevel="4" x14ac:dyDescent="0.25">
      <c r="A556" s="63" t="str">
        <f t="shared" si="110"/>
        <v>1.3.1.9.38.62</v>
      </c>
      <c r="B556" s="64">
        <v>1</v>
      </c>
      <c r="C556" s="64">
        <v>3</v>
      </c>
      <c r="D556" s="64">
        <v>1</v>
      </c>
      <c r="E556" s="64">
        <v>9</v>
      </c>
      <c r="F556" s="64">
        <v>38</v>
      </c>
      <c r="G556" s="64">
        <v>62</v>
      </c>
      <c r="H556" s="65"/>
      <c r="I556" s="65"/>
      <c r="J556" s="65"/>
      <c r="K556" s="65" t="s">
        <v>1753</v>
      </c>
      <c r="L556" s="64"/>
      <c r="M556" s="128" t="s">
        <v>604</v>
      </c>
      <c r="N556" s="64"/>
      <c r="O556" s="64"/>
      <c r="P556" s="147"/>
      <c r="Q556" s="147"/>
      <c r="R556" s="124"/>
      <c r="S556" s="124"/>
      <c r="T556" s="124"/>
      <c r="U556" s="75"/>
      <c r="V556" s="674">
        <v>0</v>
      </c>
      <c r="W556" s="75"/>
      <c r="X556" s="75">
        <f t="shared" si="114"/>
        <v>2107142.8571428573</v>
      </c>
      <c r="Y556" s="834">
        <f t="shared" si="103"/>
        <v>1107822.1500000001</v>
      </c>
      <c r="Z556" s="75"/>
      <c r="AA556" s="75">
        <f t="shared" si="115"/>
        <v>2107142.8571428573</v>
      </c>
      <c r="AB556" s="75"/>
      <c r="AC556" s="75"/>
      <c r="AD556" s="75"/>
      <c r="AE556" s="592"/>
      <c r="AF556" s="348"/>
      <c r="AG556" s="510">
        <v>0</v>
      </c>
      <c r="AH556" s="370">
        <f t="shared" si="116"/>
        <v>4214285.7142857146</v>
      </c>
      <c r="AI556" s="75"/>
      <c r="AJ556" s="75">
        <f t="shared" si="117"/>
        <v>1107822.1500000001</v>
      </c>
      <c r="AK556" s="75"/>
      <c r="AL556" s="75"/>
      <c r="AM556" s="75"/>
      <c r="AN556" s="64" t="s">
        <v>39</v>
      </c>
      <c r="AO556" s="165" t="s">
        <v>1819</v>
      </c>
      <c r="AP556" s="165" t="s">
        <v>1917</v>
      </c>
      <c r="AQ556" s="882" t="s">
        <v>2152</v>
      </c>
      <c r="AR556" s="64">
        <v>2022</v>
      </c>
      <c r="AS556" s="475">
        <v>2023</v>
      </c>
      <c r="AT556" s="64" t="s">
        <v>2029</v>
      </c>
      <c r="AU556" s="879" t="s">
        <v>2151</v>
      </c>
      <c r="AV556" s="1274"/>
    </row>
    <row r="557" spans="1:48" ht="60" outlineLevel="4" x14ac:dyDescent="0.25">
      <c r="A557" s="63" t="str">
        <f t="shared" si="110"/>
        <v>1.3.1.9.38.63</v>
      </c>
      <c r="B557" s="64">
        <v>1</v>
      </c>
      <c r="C557" s="64">
        <v>3</v>
      </c>
      <c r="D557" s="64">
        <v>1</v>
      </c>
      <c r="E557" s="64">
        <v>9</v>
      </c>
      <c r="F557" s="64">
        <v>38</v>
      </c>
      <c r="G557" s="64">
        <v>63</v>
      </c>
      <c r="H557" s="65"/>
      <c r="I557" s="65"/>
      <c r="J557" s="65"/>
      <c r="K557" s="65" t="s">
        <v>609</v>
      </c>
      <c r="L557" s="64"/>
      <c r="M557" s="128" t="s">
        <v>604</v>
      </c>
      <c r="N557" s="64"/>
      <c r="O557" s="64"/>
      <c r="P557" s="147"/>
      <c r="Q557" s="147"/>
      <c r="R557" s="124"/>
      <c r="S557" s="124"/>
      <c r="T557" s="124"/>
      <c r="U557" s="75"/>
      <c r="V557" s="674">
        <v>0</v>
      </c>
      <c r="W557" s="75"/>
      <c r="X557" s="75">
        <f t="shared" si="114"/>
        <v>2107142.8571428573</v>
      </c>
      <c r="Y557" s="834">
        <f t="shared" si="103"/>
        <v>1009497.1500000001</v>
      </c>
      <c r="Z557" s="75"/>
      <c r="AA557" s="75">
        <f t="shared" si="115"/>
        <v>2107142.8571428573</v>
      </c>
      <c r="AB557" s="75"/>
      <c r="AC557" s="75"/>
      <c r="AD557" s="75"/>
      <c r="AE557" s="592"/>
      <c r="AF557" s="348"/>
      <c r="AG557" s="510">
        <v>0</v>
      </c>
      <c r="AH557" s="370">
        <f t="shared" si="116"/>
        <v>4214285.7142857146</v>
      </c>
      <c r="AI557" s="75"/>
      <c r="AJ557" s="75">
        <f>500725.71+85942.86+85714.29+337114.29</f>
        <v>1009497.1500000001</v>
      </c>
      <c r="AK557" s="75"/>
      <c r="AL557" s="75"/>
      <c r="AM557" s="75"/>
      <c r="AN557" s="64" t="s">
        <v>39</v>
      </c>
      <c r="AO557" s="165" t="s">
        <v>1819</v>
      </c>
      <c r="AP557" s="165" t="s">
        <v>1917</v>
      </c>
      <c r="AQ557" s="882" t="s">
        <v>2152</v>
      </c>
      <c r="AR557" s="64">
        <v>2022</v>
      </c>
      <c r="AS557" s="475">
        <v>2023</v>
      </c>
      <c r="AT557" s="64" t="s">
        <v>2029</v>
      </c>
      <c r="AU557" s="879" t="s">
        <v>2249</v>
      </c>
      <c r="AV557" s="1274"/>
    </row>
    <row r="558" spans="1:48" ht="60" outlineLevel="4" x14ac:dyDescent="0.25">
      <c r="A558" s="63" t="str">
        <f t="shared" si="110"/>
        <v>1.3.1.9.38.64</v>
      </c>
      <c r="B558" s="64">
        <v>1</v>
      </c>
      <c r="C558" s="64">
        <v>3</v>
      </c>
      <c r="D558" s="64">
        <v>1</v>
      </c>
      <c r="E558" s="64">
        <v>9</v>
      </c>
      <c r="F558" s="64">
        <v>38</v>
      </c>
      <c r="G558" s="64">
        <v>64</v>
      </c>
      <c r="H558" s="65"/>
      <c r="I558" s="65"/>
      <c r="J558" s="65"/>
      <c r="K558" s="65" t="s">
        <v>610</v>
      </c>
      <c r="L558" s="64"/>
      <c r="M558" s="128" t="s">
        <v>604</v>
      </c>
      <c r="N558" s="64"/>
      <c r="O558" s="64"/>
      <c r="P558" s="147"/>
      <c r="Q558" s="147"/>
      <c r="R558" s="124"/>
      <c r="S558" s="124"/>
      <c r="T558" s="124"/>
      <c r="U558" s="75"/>
      <c r="V558" s="674">
        <v>0</v>
      </c>
      <c r="W558" s="75"/>
      <c r="X558" s="75">
        <f t="shared" si="114"/>
        <v>2107142.8571428573</v>
      </c>
      <c r="Y558" s="834">
        <f t="shared" si="103"/>
        <v>1107822.1200000001</v>
      </c>
      <c r="Z558" s="75"/>
      <c r="AA558" s="75">
        <f t="shared" si="115"/>
        <v>2107142.8571428573</v>
      </c>
      <c r="AB558" s="75"/>
      <c r="AC558" s="75"/>
      <c r="AD558" s="75"/>
      <c r="AE558" s="592"/>
      <c r="AF558" s="348"/>
      <c r="AG558" s="510">
        <v>0</v>
      </c>
      <c r="AH558" s="370">
        <f t="shared" si="116"/>
        <v>4214285.7142857146</v>
      </c>
      <c r="AI558" s="75"/>
      <c r="AJ558" s="75">
        <f>500725.71+85942.86+85714.29+98325+337114.26</f>
        <v>1107822.1200000001</v>
      </c>
      <c r="AK558" s="75"/>
      <c r="AL558" s="75"/>
      <c r="AM558" s="75"/>
      <c r="AN558" s="64" t="s">
        <v>39</v>
      </c>
      <c r="AO558" s="165" t="s">
        <v>1819</v>
      </c>
      <c r="AP558" s="165" t="s">
        <v>1917</v>
      </c>
      <c r="AQ558" s="882" t="s">
        <v>2152</v>
      </c>
      <c r="AR558" s="64">
        <v>2022</v>
      </c>
      <c r="AS558" s="475">
        <v>2023</v>
      </c>
      <c r="AT558" s="64" t="s">
        <v>2029</v>
      </c>
      <c r="AU558" s="879" t="s">
        <v>2151</v>
      </c>
      <c r="AV558" s="1274"/>
    </row>
    <row r="559" spans="1:48" outlineLevel="4" x14ac:dyDescent="0.25">
      <c r="A559" s="63" t="str">
        <f t="shared" si="110"/>
        <v>1.3.0.9.39.58</v>
      </c>
      <c r="B559" s="64">
        <v>1</v>
      </c>
      <c r="C559" s="64">
        <v>3</v>
      </c>
      <c r="D559" s="64">
        <v>0</v>
      </c>
      <c r="E559" s="64">
        <v>9</v>
      </c>
      <c r="F559" s="64">
        <v>39</v>
      </c>
      <c r="G559" s="64">
        <v>58</v>
      </c>
      <c r="H559" s="65"/>
      <c r="I559" s="65"/>
      <c r="J559" s="65"/>
      <c r="K559" s="65" t="s">
        <v>1847</v>
      </c>
      <c r="L559" s="64"/>
      <c r="M559" s="128"/>
      <c r="N559" s="64"/>
      <c r="O559" s="64"/>
      <c r="P559" s="147"/>
      <c r="Q559" s="147"/>
      <c r="R559" s="124"/>
      <c r="S559" s="124"/>
      <c r="T559" s="124"/>
      <c r="U559" s="75"/>
      <c r="V559" s="674">
        <v>0</v>
      </c>
      <c r="W559" s="75"/>
      <c r="X559" s="75"/>
      <c r="Y559" s="834">
        <f t="shared" si="103"/>
        <v>0</v>
      </c>
      <c r="Z559" s="75"/>
      <c r="AA559" s="75"/>
      <c r="AB559" s="75"/>
      <c r="AC559" s="75"/>
      <c r="AD559" s="75"/>
      <c r="AE559" s="592"/>
      <c r="AF559" s="348"/>
      <c r="AG559" s="510">
        <v>0</v>
      </c>
      <c r="AH559" s="370">
        <v>0</v>
      </c>
      <c r="AI559" s="370"/>
      <c r="AJ559" s="370"/>
      <c r="AK559" s="75"/>
      <c r="AL559" s="75"/>
      <c r="AM559" s="75"/>
      <c r="AN559" s="64"/>
      <c r="AO559" s="165"/>
      <c r="AP559" s="165"/>
      <c r="AQ559" s="413"/>
      <c r="AR559" s="64"/>
      <c r="AS559" s="475"/>
      <c r="AT559" s="64"/>
      <c r="AU559" s="646"/>
      <c r="AV559" s="432"/>
    </row>
    <row r="560" spans="1:48" outlineLevel="4" x14ac:dyDescent="0.25">
      <c r="A560" s="63" t="str">
        <f t="shared" si="110"/>
        <v>1.3.0.9.39.59</v>
      </c>
      <c r="B560" s="64">
        <v>1</v>
      </c>
      <c r="C560" s="64">
        <v>3</v>
      </c>
      <c r="D560" s="64">
        <v>0</v>
      </c>
      <c r="E560" s="64">
        <v>9</v>
      </c>
      <c r="F560" s="64">
        <v>39</v>
      </c>
      <c r="G560" s="64">
        <v>59</v>
      </c>
      <c r="H560" s="65"/>
      <c r="I560" s="65"/>
      <c r="J560" s="65"/>
      <c r="K560" s="65" t="s">
        <v>1848</v>
      </c>
      <c r="L560" s="64"/>
      <c r="M560" s="128"/>
      <c r="N560" s="64"/>
      <c r="O560" s="64"/>
      <c r="P560" s="147"/>
      <c r="Q560" s="147"/>
      <c r="R560" s="124"/>
      <c r="S560" s="124"/>
      <c r="T560" s="124"/>
      <c r="U560" s="75"/>
      <c r="V560" s="674">
        <v>0</v>
      </c>
      <c r="W560" s="75"/>
      <c r="X560" s="75"/>
      <c r="Y560" s="834">
        <f t="shared" si="103"/>
        <v>0</v>
      </c>
      <c r="Z560" s="75"/>
      <c r="AA560" s="75"/>
      <c r="AB560" s="75"/>
      <c r="AC560" s="75"/>
      <c r="AD560" s="75"/>
      <c r="AE560" s="592"/>
      <c r="AF560" s="348"/>
      <c r="AG560" s="510">
        <v>0</v>
      </c>
      <c r="AH560" s="370">
        <v>0</v>
      </c>
      <c r="AI560" s="370"/>
      <c r="AJ560" s="370"/>
      <c r="AK560" s="75"/>
      <c r="AL560" s="75"/>
      <c r="AM560" s="75"/>
      <c r="AN560" s="64"/>
      <c r="AO560" s="165"/>
      <c r="AP560" s="165"/>
      <c r="AQ560" s="413"/>
      <c r="AR560" s="64"/>
      <c r="AS560" s="475"/>
      <c r="AT560" s="64"/>
      <c r="AU560" s="646"/>
      <c r="AV560" s="432"/>
    </row>
    <row r="561" spans="1:48" outlineLevel="4" x14ac:dyDescent="0.25">
      <c r="A561" s="63" t="str">
        <f t="shared" si="110"/>
        <v>1.3.0.9.39.60</v>
      </c>
      <c r="B561" s="64">
        <v>1</v>
      </c>
      <c r="C561" s="64">
        <v>3</v>
      </c>
      <c r="D561" s="64">
        <v>0</v>
      </c>
      <c r="E561" s="64">
        <v>9</v>
      </c>
      <c r="F561" s="64">
        <v>39</v>
      </c>
      <c r="G561" s="64">
        <v>60</v>
      </c>
      <c r="H561" s="65"/>
      <c r="I561" s="65"/>
      <c r="J561" s="65"/>
      <c r="K561" s="65" t="s">
        <v>1849</v>
      </c>
      <c r="L561" s="64"/>
      <c r="M561" s="128"/>
      <c r="N561" s="64"/>
      <c r="O561" s="64"/>
      <c r="P561" s="147"/>
      <c r="Q561" s="147"/>
      <c r="R561" s="124"/>
      <c r="S561" s="124"/>
      <c r="T561" s="124"/>
      <c r="U561" s="75"/>
      <c r="V561" s="674">
        <v>0</v>
      </c>
      <c r="W561" s="75"/>
      <c r="X561" s="75"/>
      <c r="Y561" s="834">
        <f t="shared" si="103"/>
        <v>0</v>
      </c>
      <c r="Z561" s="75"/>
      <c r="AA561" s="75"/>
      <c r="AB561" s="75"/>
      <c r="AC561" s="75"/>
      <c r="AD561" s="75"/>
      <c r="AE561" s="592"/>
      <c r="AF561" s="348"/>
      <c r="AG561" s="510">
        <v>0</v>
      </c>
      <c r="AH561" s="370">
        <v>0</v>
      </c>
      <c r="AI561" s="370"/>
      <c r="AJ561" s="370"/>
      <c r="AK561" s="75"/>
      <c r="AL561" s="75"/>
      <c r="AM561" s="75"/>
      <c r="AN561" s="64"/>
      <c r="AO561" s="165"/>
      <c r="AP561" s="165"/>
      <c r="AQ561" s="413"/>
      <c r="AR561" s="64"/>
      <c r="AS561" s="475"/>
      <c r="AT561" s="64"/>
      <c r="AU561" s="646"/>
      <c r="AV561" s="432"/>
    </row>
    <row r="562" spans="1:48" outlineLevel="4" x14ac:dyDescent="0.25">
      <c r="A562" s="63" t="str">
        <f t="shared" si="110"/>
        <v>1.3.0.9.39.61</v>
      </c>
      <c r="B562" s="64">
        <v>1</v>
      </c>
      <c r="C562" s="64">
        <v>3</v>
      </c>
      <c r="D562" s="64">
        <v>0</v>
      </c>
      <c r="E562" s="64">
        <v>9</v>
      </c>
      <c r="F562" s="64">
        <v>39</v>
      </c>
      <c r="G562" s="64">
        <v>61</v>
      </c>
      <c r="H562" s="65"/>
      <c r="I562" s="65"/>
      <c r="J562" s="65"/>
      <c r="K562" s="65" t="s">
        <v>1850</v>
      </c>
      <c r="L562" s="64"/>
      <c r="M562" s="128"/>
      <c r="N562" s="64"/>
      <c r="O562" s="64"/>
      <c r="P562" s="147"/>
      <c r="Q562" s="147"/>
      <c r="R562" s="124"/>
      <c r="S562" s="124"/>
      <c r="T562" s="124"/>
      <c r="U562" s="75"/>
      <c r="V562" s="674">
        <v>0</v>
      </c>
      <c r="W562" s="75"/>
      <c r="X562" s="75"/>
      <c r="Y562" s="834">
        <f t="shared" si="103"/>
        <v>0</v>
      </c>
      <c r="Z562" s="75"/>
      <c r="AA562" s="75"/>
      <c r="AB562" s="75"/>
      <c r="AC562" s="75"/>
      <c r="AD562" s="75"/>
      <c r="AE562" s="592"/>
      <c r="AF562" s="348"/>
      <c r="AG562" s="510">
        <v>0</v>
      </c>
      <c r="AH562" s="370">
        <v>0</v>
      </c>
      <c r="AI562" s="370"/>
      <c r="AJ562" s="370"/>
      <c r="AK562" s="75"/>
      <c r="AL562" s="75"/>
      <c r="AM562" s="75"/>
      <c r="AN562" s="64"/>
      <c r="AO562" s="165"/>
      <c r="AP562" s="165"/>
      <c r="AQ562" s="413"/>
      <c r="AR562" s="64"/>
      <c r="AS562" s="475"/>
      <c r="AT562" s="64"/>
      <c r="AU562" s="646"/>
      <c r="AV562" s="432"/>
    </row>
    <row r="563" spans="1:48" outlineLevel="4" x14ac:dyDescent="0.25">
      <c r="A563" s="63" t="str">
        <f t="shared" si="110"/>
        <v>1.3.0.9.39.62</v>
      </c>
      <c r="B563" s="64">
        <v>1</v>
      </c>
      <c r="C563" s="64">
        <v>3</v>
      </c>
      <c r="D563" s="64">
        <v>0</v>
      </c>
      <c r="E563" s="64">
        <v>9</v>
      </c>
      <c r="F563" s="64">
        <v>39</v>
      </c>
      <c r="G563" s="64">
        <v>62</v>
      </c>
      <c r="H563" s="65"/>
      <c r="I563" s="65"/>
      <c r="J563" s="65"/>
      <c r="K563" s="65" t="s">
        <v>1851</v>
      </c>
      <c r="L563" s="64"/>
      <c r="M563" s="128"/>
      <c r="N563" s="64"/>
      <c r="O563" s="64"/>
      <c r="P563" s="147"/>
      <c r="Q563" s="147"/>
      <c r="R563" s="124"/>
      <c r="S563" s="124"/>
      <c r="T563" s="124"/>
      <c r="U563" s="75"/>
      <c r="V563" s="674">
        <v>0</v>
      </c>
      <c r="W563" s="75"/>
      <c r="X563" s="75"/>
      <c r="Y563" s="834">
        <f t="shared" si="103"/>
        <v>0</v>
      </c>
      <c r="Z563" s="75"/>
      <c r="AA563" s="75"/>
      <c r="AB563" s="75"/>
      <c r="AC563" s="75"/>
      <c r="AD563" s="75"/>
      <c r="AE563" s="592"/>
      <c r="AF563" s="348"/>
      <c r="AG563" s="510">
        <v>0</v>
      </c>
      <c r="AH563" s="370">
        <v>0</v>
      </c>
      <c r="AI563" s="370"/>
      <c r="AJ563" s="370"/>
      <c r="AK563" s="75"/>
      <c r="AL563" s="75"/>
      <c r="AM563" s="75"/>
      <c r="AN563" s="64"/>
      <c r="AO563" s="165"/>
      <c r="AP563" s="165"/>
      <c r="AQ563" s="413"/>
      <c r="AR563" s="64"/>
      <c r="AS563" s="475"/>
      <c r="AT563" s="64"/>
      <c r="AU563" s="646"/>
      <c r="AV563" s="432"/>
    </row>
    <row r="564" spans="1:48" outlineLevel="4" x14ac:dyDescent="0.25">
      <c r="A564" s="63" t="str">
        <f t="shared" si="110"/>
        <v>1.3.0.9.39.63</v>
      </c>
      <c r="B564" s="64">
        <v>1</v>
      </c>
      <c r="C564" s="64">
        <v>3</v>
      </c>
      <c r="D564" s="64">
        <v>0</v>
      </c>
      <c r="E564" s="64">
        <v>9</v>
      </c>
      <c r="F564" s="64">
        <v>39</v>
      </c>
      <c r="G564" s="64">
        <v>63</v>
      </c>
      <c r="H564" s="65"/>
      <c r="I564" s="65"/>
      <c r="J564" s="65"/>
      <c r="K564" s="65" t="s">
        <v>1852</v>
      </c>
      <c r="L564" s="64"/>
      <c r="M564" s="128"/>
      <c r="N564" s="64"/>
      <c r="O564" s="64"/>
      <c r="P564" s="147"/>
      <c r="Q564" s="147"/>
      <c r="R564" s="124"/>
      <c r="S564" s="124"/>
      <c r="T564" s="124"/>
      <c r="U564" s="75"/>
      <c r="V564" s="674">
        <v>0</v>
      </c>
      <c r="W564" s="75"/>
      <c r="X564" s="75"/>
      <c r="Y564" s="834">
        <f t="shared" si="103"/>
        <v>0</v>
      </c>
      <c r="Z564" s="75"/>
      <c r="AA564" s="75"/>
      <c r="AB564" s="75"/>
      <c r="AC564" s="75"/>
      <c r="AD564" s="75"/>
      <c r="AE564" s="592"/>
      <c r="AF564" s="348"/>
      <c r="AG564" s="510">
        <v>0</v>
      </c>
      <c r="AH564" s="370">
        <v>0</v>
      </c>
      <c r="AI564" s="370"/>
      <c r="AJ564" s="370"/>
      <c r="AK564" s="75"/>
      <c r="AL564" s="75"/>
      <c r="AM564" s="75"/>
      <c r="AN564" s="64"/>
      <c r="AO564" s="165"/>
      <c r="AP564" s="165"/>
      <c r="AQ564" s="413"/>
      <c r="AR564" s="64"/>
      <c r="AS564" s="475"/>
      <c r="AT564" s="64"/>
      <c r="AU564" s="646"/>
      <c r="AV564" s="432"/>
    </row>
    <row r="565" spans="1:48" outlineLevel="4" x14ac:dyDescent="0.25">
      <c r="A565" s="63" t="str">
        <f t="shared" si="110"/>
        <v>1.3.0.9.39.64</v>
      </c>
      <c r="B565" s="64">
        <v>1</v>
      </c>
      <c r="C565" s="64">
        <v>3</v>
      </c>
      <c r="D565" s="64">
        <v>0</v>
      </c>
      <c r="E565" s="64">
        <v>9</v>
      </c>
      <c r="F565" s="64">
        <v>39</v>
      </c>
      <c r="G565" s="64">
        <v>64</v>
      </c>
      <c r="H565" s="65"/>
      <c r="I565" s="65"/>
      <c r="J565" s="65"/>
      <c r="K565" s="65" t="s">
        <v>1853</v>
      </c>
      <c r="L565" s="64"/>
      <c r="M565" s="128"/>
      <c r="N565" s="64"/>
      <c r="O565" s="64"/>
      <c r="P565" s="147"/>
      <c r="Q565" s="147"/>
      <c r="R565" s="124"/>
      <c r="S565" s="124"/>
      <c r="T565" s="124"/>
      <c r="U565" s="75"/>
      <c r="V565" s="674">
        <v>0</v>
      </c>
      <c r="W565" s="75"/>
      <c r="X565" s="75"/>
      <c r="Y565" s="834">
        <f t="shared" si="103"/>
        <v>0</v>
      </c>
      <c r="Z565" s="75"/>
      <c r="AA565" s="75"/>
      <c r="AB565" s="75"/>
      <c r="AC565" s="75"/>
      <c r="AD565" s="75"/>
      <c r="AE565" s="592"/>
      <c r="AF565" s="348"/>
      <c r="AG565" s="510">
        <v>0</v>
      </c>
      <c r="AH565" s="370">
        <v>0</v>
      </c>
      <c r="AI565" s="370"/>
      <c r="AJ565" s="370"/>
      <c r="AK565" s="75"/>
      <c r="AL565" s="75"/>
      <c r="AM565" s="75"/>
      <c r="AN565" s="64"/>
      <c r="AO565" s="165"/>
      <c r="AP565" s="165"/>
      <c r="AQ565" s="413"/>
      <c r="AR565" s="64"/>
      <c r="AS565" s="475"/>
      <c r="AT565" s="64"/>
      <c r="AU565" s="646"/>
      <c r="AV565" s="432"/>
    </row>
    <row r="566" spans="1:48" s="153" customFormat="1" ht="67.5" customHeight="1" outlineLevel="1" x14ac:dyDescent="0.25">
      <c r="A566" s="173" t="str">
        <f t="shared" si="110"/>
        <v>1.3.1.10.0.0</v>
      </c>
      <c r="B566" s="174">
        <v>1</v>
      </c>
      <c r="C566" s="174">
        <v>3</v>
      </c>
      <c r="D566" s="174">
        <v>1</v>
      </c>
      <c r="E566" s="174">
        <v>10</v>
      </c>
      <c r="F566" s="174">
        <v>0</v>
      </c>
      <c r="G566" s="174">
        <v>0</v>
      </c>
      <c r="H566" s="175"/>
      <c r="I566" s="175"/>
      <c r="J566" s="175" t="s">
        <v>611</v>
      </c>
      <c r="K566" s="176"/>
      <c r="L566" s="174" t="s">
        <v>612</v>
      </c>
      <c r="M566" s="174" t="s">
        <v>299</v>
      </c>
      <c r="N566" s="174" t="s">
        <v>613</v>
      </c>
      <c r="O566" s="174" t="s">
        <v>241</v>
      </c>
      <c r="P566" s="173"/>
      <c r="Q566" s="177"/>
      <c r="R566" s="177"/>
      <c r="S566" s="177"/>
      <c r="T566" s="177"/>
      <c r="U566" s="178">
        <f>SUM(U567:U572)</f>
        <v>571220.80000000005</v>
      </c>
      <c r="V566" s="678">
        <f>SUM(V567:V572)</f>
        <v>0</v>
      </c>
      <c r="W566" s="178"/>
      <c r="X566" s="178">
        <f>SUM(X567:X572)</f>
        <v>571220.80000000005</v>
      </c>
      <c r="Y566" s="843">
        <f>SUM(Y567:Y572)</f>
        <v>506220.79999999999</v>
      </c>
      <c r="Z566" s="139"/>
      <c r="AA566" s="139">
        <f>SUM(AA567:AA572)</f>
        <v>0</v>
      </c>
      <c r="AB566" s="139"/>
      <c r="AC566" s="139"/>
      <c r="AD566" s="139">
        <f>SUM(AD567:AD572)</f>
        <v>73666</v>
      </c>
      <c r="AE566" s="601"/>
      <c r="AF566" s="345"/>
      <c r="AG566" s="511">
        <f>SUM(AG567:AG572)</f>
        <v>35000</v>
      </c>
      <c r="AH566" s="369">
        <f>SUM(AH567:AH572)</f>
        <v>2284883.2000000002</v>
      </c>
      <c r="AI566" s="511">
        <f>SUM(AI567:AI572)</f>
        <v>0</v>
      </c>
      <c r="AJ566" s="511">
        <f>SUM(AJ567:AJ572)</f>
        <v>506220.79999999999</v>
      </c>
      <c r="AK566" s="61"/>
      <c r="AL566" s="61"/>
      <c r="AM566" s="61"/>
      <c r="AN566" s="174" t="s">
        <v>39</v>
      </c>
      <c r="AO566" s="174"/>
      <c r="AP566" s="174"/>
      <c r="AQ566" s="417"/>
      <c r="AR566" s="174"/>
      <c r="AS566" s="482"/>
      <c r="AT566" s="174"/>
      <c r="AU566" s="665"/>
      <c r="AV566" s="428" t="s">
        <v>1790</v>
      </c>
    </row>
    <row r="567" spans="1:48" ht="29.1" customHeight="1" outlineLevel="4" x14ac:dyDescent="0.25">
      <c r="A567" s="63" t="str">
        <f t="shared" si="110"/>
        <v>1.3.1.10.1.58-64</v>
      </c>
      <c r="B567" s="64">
        <v>1</v>
      </c>
      <c r="C567" s="64">
        <v>3</v>
      </c>
      <c r="D567" s="64">
        <v>1</v>
      </c>
      <c r="E567" s="64">
        <v>10</v>
      </c>
      <c r="F567" s="64">
        <v>1</v>
      </c>
      <c r="G567" s="64" t="s">
        <v>64</v>
      </c>
      <c r="H567" s="65"/>
      <c r="I567" s="65"/>
      <c r="J567" s="65"/>
      <c r="K567" s="67" t="s">
        <v>614</v>
      </c>
      <c r="L567" s="64" t="s">
        <v>612</v>
      </c>
      <c r="M567" s="68" t="s">
        <v>615</v>
      </c>
      <c r="N567" s="64" t="s">
        <v>613</v>
      </c>
      <c r="O567" s="64" t="s">
        <v>241</v>
      </c>
      <c r="P567" s="69">
        <v>44197</v>
      </c>
      <c r="Q567" s="69">
        <v>44255</v>
      </c>
      <c r="R567" s="64">
        <v>14</v>
      </c>
      <c r="S567" s="67" t="s">
        <v>616</v>
      </c>
      <c r="T567" s="64" t="s">
        <v>330</v>
      </c>
      <c r="U567" s="75"/>
      <c r="V567" s="674">
        <v>0</v>
      </c>
      <c r="W567" s="75"/>
      <c r="X567" s="75"/>
      <c r="Y567" s="834">
        <f t="shared" ref="Y567:Y572" si="118">+AJ567-V567</f>
        <v>0</v>
      </c>
      <c r="Z567" s="75"/>
      <c r="AA567" s="949">
        <v>0</v>
      </c>
      <c r="AB567" s="325"/>
      <c r="AC567" s="75"/>
      <c r="AD567" s="75">
        <v>8666</v>
      </c>
      <c r="AE567" s="592"/>
      <c r="AF567" s="259"/>
      <c r="AG567" s="506">
        <v>0</v>
      </c>
      <c r="AH567" s="370">
        <v>0</v>
      </c>
      <c r="AI567" s="75"/>
      <c r="AJ567" s="75"/>
      <c r="AK567" s="75"/>
      <c r="AL567" s="75"/>
      <c r="AM567" s="75"/>
      <c r="AN567" s="64" t="s">
        <v>39</v>
      </c>
      <c r="AO567" s="64"/>
      <c r="AP567" s="64"/>
      <c r="AQ567" s="189"/>
      <c r="AR567" s="64"/>
      <c r="AS567" s="476"/>
      <c r="AT567" s="64"/>
      <c r="AU567" s="646"/>
      <c r="AV567" s="443"/>
    </row>
    <row r="568" spans="1:48" ht="50.1" customHeight="1" outlineLevel="4" x14ac:dyDescent="0.25">
      <c r="A568" s="63" t="str">
        <f t="shared" si="110"/>
        <v>1.3.1.10.2.58-64</v>
      </c>
      <c r="B568" s="64">
        <v>1</v>
      </c>
      <c r="C568" s="64">
        <v>3</v>
      </c>
      <c r="D568" s="64">
        <v>1</v>
      </c>
      <c r="E568" s="64">
        <v>10</v>
      </c>
      <c r="F568" s="64">
        <v>2</v>
      </c>
      <c r="G568" s="64" t="s">
        <v>64</v>
      </c>
      <c r="H568" s="65"/>
      <c r="I568" s="65"/>
      <c r="J568" s="65"/>
      <c r="K568" s="67" t="s">
        <v>617</v>
      </c>
      <c r="L568" s="64" t="s">
        <v>612</v>
      </c>
      <c r="M568" s="68" t="s">
        <v>618</v>
      </c>
      <c r="N568" s="64" t="s">
        <v>613</v>
      </c>
      <c r="O568" s="64" t="s">
        <v>241</v>
      </c>
      <c r="P568" s="69">
        <v>44501</v>
      </c>
      <c r="Q568" s="69">
        <v>44803</v>
      </c>
      <c r="R568" s="64">
        <v>1</v>
      </c>
      <c r="S568" s="67" t="s">
        <v>619</v>
      </c>
      <c r="T568" s="64"/>
      <c r="U568" s="179">
        <v>506220.79999999999</v>
      </c>
      <c r="V568" s="674">
        <v>0</v>
      </c>
      <c r="W568" s="179"/>
      <c r="X568" s="179">
        <v>506220.79999999999</v>
      </c>
      <c r="Y568" s="834">
        <f t="shared" si="118"/>
        <v>506220.79999999999</v>
      </c>
      <c r="Z568" s="179"/>
      <c r="AA568" s="949">
        <v>0</v>
      </c>
      <c r="AB568" s="325"/>
      <c r="AC568" s="75"/>
      <c r="AD568" s="75">
        <f>+AA567*15%</f>
        <v>0</v>
      </c>
      <c r="AE568" s="592"/>
      <c r="AF568" s="259"/>
      <c r="AG568" s="506">
        <v>0</v>
      </c>
      <c r="AH568" s="370">
        <v>2024883.2</v>
      </c>
      <c r="AI568" s="75"/>
      <c r="AJ568" s="75">
        <v>506220.79999999999</v>
      </c>
      <c r="AK568" s="75"/>
      <c r="AL568" s="75"/>
      <c r="AM568" s="75"/>
      <c r="AN568" s="64" t="s">
        <v>39</v>
      </c>
      <c r="AO568" s="64" t="s">
        <v>1819</v>
      </c>
      <c r="AP568" s="64" t="s">
        <v>2119</v>
      </c>
      <c r="AQ568" s="189" t="s">
        <v>2120</v>
      </c>
      <c r="AR568" s="64">
        <v>2020</v>
      </c>
      <c r="AS568" s="865">
        <v>44864</v>
      </c>
      <c r="AT568" s="64"/>
      <c r="AU568" s="879">
        <v>1394</v>
      </c>
      <c r="AV568" s="335" t="s">
        <v>620</v>
      </c>
    </row>
    <row r="569" spans="1:48" ht="37.35" customHeight="1" outlineLevel="4" x14ac:dyDescent="0.25">
      <c r="A569" s="63" t="str">
        <f t="shared" si="110"/>
        <v>1.3.1.10.3.58-64</v>
      </c>
      <c r="B569" s="64">
        <v>1</v>
      </c>
      <c r="C569" s="64">
        <v>3</v>
      </c>
      <c r="D569" s="64">
        <v>1</v>
      </c>
      <c r="E569" s="64">
        <v>10</v>
      </c>
      <c r="F569" s="64">
        <v>3</v>
      </c>
      <c r="G569" s="64" t="s">
        <v>64</v>
      </c>
      <c r="H569" s="65"/>
      <c r="I569" s="65"/>
      <c r="J569" s="65"/>
      <c r="K569" s="67" t="s">
        <v>621</v>
      </c>
      <c r="L569" s="64" t="s">
        <v>612</v>
      </c>
      <c r="M569" s="68" t="s">
        <v>622</v>
      </c>
      <c r="N569" s="68" t="s">
        <v>623</v>
      </c>
      <c r="O569" s="64" t="s">
        <v>241</v>
      </c>
      <c r="P569" s="69"/>
      <c r="Q569" s="69"/>
      <c r="R569" s="63"/>
      <c r="S569" s="63"/>
      <c r="T569" s="63"/>
      <c r="U569" s="75"/>
      <c r="V569" s="674">
        <v>0</v>
      </c>
      <c r="W569" s="75"/>
      <c r="X569" s="75"/>
      <c r="Y569" s="834">
        <f t="shared" si="118"/>
        <v>0</v>
      </c>
      <c r="Z569" s="75"/>
      <c r="AA569" s="949">
        <v>0</v>
      </c>
      <c r="AB569" s="325"/>
      <c r="AC569" s="75"/>
      <c r="AD569" s="75">
        <f>+AA567*10%</f>
        <v>0</v>
      </c>
      <c r="AE569" s="592"/>
      <c r="AF569" s="259"/>
      <c r="AG569" s="506">
        <v>0</v>
      </c>
      <c r="AH569" s="370">
        <v>0</v>
      </c>
      <c r="AI569" s="75"/>
      <c r="AJ569" s="75"/>
      <c r="AK569" s="75"/>
      <c r="AL569" s="75"/>
      <c r="AM569" s="75"/>
      <c r="AN569" s="64" t="s">
        <v>39</v>
      </c>
      <c r="AO569" s="64"/>
      <c r="AP569" s="64"/>
      <c r="AQ569" s="189"/>
      <c r="AR569" s="64"/>
      <c r="AS569" s="476"/>
      <c r="AT569" s="64"/>
      <c r="AU569" s="646"/>
      <c r="AV569" s="185"/>
    </row>
    <row r="570" spans="1:48" ht="29.1" customHeight="1" outlineLevel="4" x14ac:dyDescent="0.25">
      <c r="A570" s="63" t="str">
        <f t="shared" si="110"/>
        <v>1.3.1.10.4.58-64</v>
      </c>
      <c r="B570" s="64">
        <v>1</v>
      </c>
      <c r="C570" s="64">
        <v>3</v>
      </c>
      <c r="D570" s="64">
        <v>1</v>
      </c>
      <c r="E570" s="64">
        <v>10</v>
      </c>
      <c r="F570" s="64">
        <v>4</v>
      </c>
      <c r="G570" s="64" t="s">
        <v>64</v>
      </c>
      <c r="H570" s="65"/>
      <c r="I570" s="65"/>
      <c r="J570" s="65"/>
      <c r="K570" s="67" t="s">
        <v>624</v>
      </c>
      <c r="L570" s="64" t="s">
        <v>612</v>
      </c>
      <c r="M570" s="64" t="s">
        <v>625</v>
      </c>
      <c r="N570" s="68" t="s">
        <v>623</v>
      </c>
      <c r="O570" s="64" t="s">
        <v>241</v>
      </c>
      <c r="P570" s="69"/>
      <c r="Q570" s="69"/>
      <c r="R570" s="63"/>
      <c r="S570" s="63"/>
      <c r="T570" s="63"/>
      <c r="U570" s="75"/>
      <c r="V570" s="674">
        <v>0</v>
      </c>
      <c r="W570" s="75"/>
      <c r="X570" s="75"/>
      <c r="Y570" s="834">
        <f t="shared" si="118"/>
        <v>0</v>
      </c>
      <c r="Z570" s="75"/>
      <c r="AA570" s="949">
        <v>0</v>
      </c>
      <c r="AB570" s="325"/>
      <c r="AC570" s="75"/>
      <c r="AD570" s="75">
        <f>+AA567*10%</f>
        <v>0</v>
      </c>
      <c r="AE570" s="592"/>
      <c r="AF570" s="259"/>
      <c r="AG570" s="506">
        <v>0</v>
      </c>
      <c r="AH570" s="370">
        <v>0</v>
      </c>
      <c r="AI570" s="75"/>
      <c r="AJ570" s="75"/>
      <c r="AK570" s="75"/>
      <c r="AL570" s="75"/>
      <c r="AM570" s="75"/>
      <c r="AN570" s="64" t="s">
        <v>39</v>
      </c>
      <c r="AO570" s="64"/>
      <c r="AP570" s="64"/>
      <c r="AQ570" s="189"/>
      <c r="AR570" s="64"/>
      <c r="AS570" s="476"/>
      <c r="AT570" s="64"/>
      <c r="AU570" s="646"/>
      <c r="AV570" s="185"/>
    </row>
    <row r="571" spans="1:48" ht="43.35" customHeight="1" outlineLevel="4" x14ac:dyDescent="0.25">
      <c r="A571" s="63" t="str">
        <f t="shared" si="110"/>
        <v>1.3.1.10.5.58-64</v>
      </c>
      <c r="B571" s="64">
        <v>1</v>
      </c>
      <c r="C571" s="64">
        <v>3</v>
      </c>
      <c r="D571" s="64">
        <v>1</v>
      </c>
      <c r="E571" s="64">
        <v>10</v>
      </c>
      <c r="F571" s="64">
        <v>5</v>
      </c>
      <c r="G571" s="64" t="s">
        <v>64</v>
      </c>
      <c r="H571" s="65"/>
      <c r="I571" s="65"/>
      <c r="J571" s="65"/>
      <c r="K571" s="67" t="s">
        <v>626</v>
      </c>
      <c r="L571" s="64"/>
      <c r="M571" s="64"/>
      <c r="N571" s="68"/>
      <c r="O571" s="64"/>
      <c r="P571" s="69"/>
      <c r="Q571" s="69"/>
      <c r="R571" s="63"/>
      <c r="S571" s="63"/>
      <c r="T571" s="63"/>
      <c r="U571" s="75"/>
      <c r="V571" s="674">
        <v>0</v>
      </c>
      <c r="W571" s="75"/>
      <c r="X571" s="75"/>
      <c r="Y571" s="834">
        <f t="shared" si="118"/>
        <v>0</v>
      </c>
      <c r="Z571" s="75"/>
      <c r="AA571" s="949">
        <v>0</v>
      </c>
      <c r="AB571" s="325"/>
      <c r="AC571" s="75"/>
      <c r="AD571" s="75">
        <f>+AA567*5%</f>
        <v>0</v>
      </c>
      <c r="AE571" s="592"/>
      <c r="AF571" s="259"/>
      <c r="AG571" s="506">
        <v>0</v>
      </c>
      <c r="AH571" s="370">
        <v>0</v>
      </c>
      <c r="AI571" s="75"/>
      <c r="AJ571" s="75"/>
      <c r="AK571" s="75"/>
      <c r="AL571" s="75"/>
      <c r="AM571" s="75"/>
      <c r="AN571" s="64" t="s">
        <v>39</v>
      </c>
      <c r="AO571" s="64"/>
      <c r="AP571" s="64"/>
      <c r="AQ571" s="189"/>
      <c r="AR571" s="64"/>
      <c r="AS571" s="476"/>
      <c r="AT571" s="64"/>
      <c r="AU571" s="646"/>
      <c r="AV571" s="335" t="s">
        <v>627</v>
      </c>
    </row>
    <row r="572" spans="1:48" outlineLevel="4" x14ac:dyDescent="0.25">
      <c r="A572" s="63" t="str">
        <f t="shared" si="110"/>
        <v>1.3.1.10.6.58-64</v>
      </c>
      <c r="B572" s="64">
        <v>1</v>
      </c>
      <c r="C572" s="64">
        <v>3</v>
      </c>
      <c r="D572" s="64">
        <v>1</v>
      </c>
      <c r="E572" s="64">
        <v>10</v>
      </c>
      <c r="F572" s="64">
        <v>6</v>
      </c>
      <c r="G572" s="64" t="s">
        <v>64</v>
      </c>
      <c r="H572" s="65"/>
      <c r="I572" s="65"/>
      <c r="J572" s="65"/>
      <c r="K572" s="67" t="s">
        <v>628</v>
      </c>
      <c r="L572" s="64"/>
      <c r="M572" s="64"/>
      <c r="N572" s="68"/>
      <c r="O572" s="64"/>
      <c r="P572" s="69"/>
      <c r="Q572" s="69"/>
      <c r="R572" s="63"/>
      <c r="S572" s="63"/>
      <c r="T572" s="63"/>
      <c r="U572" s="75">
        <f>+AH572/4</f>
        <v>65000</v>
      </c>
      <c r="V572" s="674">
        <v>0</v>
      </c>
      <c r="W572" s="75"/>
      <c r="X572" s="75">
        <f>+AH572/4</f>
        <v>65000</v>
      </c>
      <c r="Y572" s="834">
        <f t="shared" si="118"/>
        <v>0</v>
      </c>
      <c r="Z572" s="75"/>
      <c r="AA572" s="949">
        <v>0</v>
      </c>
      <c r="AB572" s="325"/>
      <c r="AC572" s="75"/>
      <c r="AD572" s="75">
        <f>+AH572/4</f>
        <v>65000</v>
      </c>
      <c r="AE572" s="592"/>
      <c r="AF572" s="259"/>
      <c r="AG572" s="504">
        <v>35000</v>
      </c>
      <c r="AH572" s="370">
        <v>260000</v>
      </c>
      <c r="AI572" s="75"/>
      <c r="AJ572" s="75"/>
      <c r="AK572" s="75"/>
      <c r="AL572" s="75"/>
      <c r="AM572" s="75"/>
      <c r="AN572" s="64" t="s">
        <v>39</v>
      </c>
      <c r="AO572" s="64" t="s">
        <v>649</v>
      </c>
      <c r="AP572" s="64" t="s">
        <v>649</v>
      </c>
      <c r="AQ572" s="533" t="s">
        <v>649</v>
      </c>
      <c r="AR572" s="554">
        <v>44562</v>
      </c>
      <c r="AS572" s="554">
        <v>44926</v>
      </c>
      <c r="AT572" s="64" t="s">
        <v>1814</v>
      </c>
      <c r="AU572" s="646"/>
      <c r="AV572" s="335" t="s">
        <v>1791</v>
      </c>
    </row>
    <row r="573" spans="1:48" s="180" customFormat="1" ht="66" customHeight="1" outlineLevel="1" x14ac:dyDescent="0.25">
      <c r="A573" s="173" t="str">
        <f t="shared" si="110"/>
        <v>1.3.1.11.0.0</v>
      </c>
      <c r="B573" s="174">
        <v>1</v>
      </c>
      <c r="C573" s="174">
        <v>3</v>
      </c>
      <c r="D573" s="174">
        <v>1</v>
      </c>
      <c r="E573" s="174">
        <v>11</v>
      </c>
      <c r="F573" s="174">
        <v>0</v>
      </c>
      <c r="G573" s="174">
        <v>0</v>
      </c>
      <c r="H573" s="175"/>
      <c r="I573" s="175"/>
      <c r="J573" s="175" t="s">
        <v>629</v>
      </c>
      <c r="K573" s="176"/>
      <c r="L573" s="81" t="s">
        <v>630</v>
      </c>
      <c r="M573" s="81" t="s">
        <v>562</v>
      </c>
      <c r="N573" s="81" t="s">
        <v>631</v>
      </c>
      <c r="O573" s="81" t="s">
        <v>241</v>
      </c>
      <c r="P573" s="114"/>
      <c r="Q573" s="114"/>
      <c r="R573" s="81"/>
      <c r="S573" s="114"/>
      <c r="T573" s="81"/>
      <c r="U573" s="61">
        <f t="shared" ref="U573:AG573" si="119">SUM(U574:U584)</f>
        <v>65000</v>
      </c>
      <c r="V573" s="675">
        <f t="shared" si="119"/>
        <v>0</v>
      </c>
      <c r="W573" s="61">
        <f t="shared" si="119"/>
        <v>0</v>
      </c>
      <c r="X573" s="61">
        <f t="shared" si="119"/>
        <v>65000</v>
      </c>
      <c r="Y573" s="838">
        <f t="shared" si="119"/>
        <v>0</v>
      </c>
      <c r="Z573" s="61">
        <f t="shared" si="119"/>
        <v>0</v>
      </c>
      <c r="AA573" s="61">
        <f t="shared" si="119"/>
        <v>65000</v>
      </c>
      <c r="AB573" s="61">
        <f t="shared" si="119"/>
        <v>0</v>
      </c>
      <c r="AC573" s="61">
        <f t="shared" si="119"/>
        <v>0</v>
      </c>
      <c r="AD573" s="61">
        <f t="shared" si="119"/>
        <v>65000</v>
      </c>
      <c r="AE573" s="61">
        <f t="shared" si="119"/>
        <v>0</v>
      </c>
      <c r="AF573" s="61">
        <f t="shared" si="119"/>
        <v>0</v>
      </c>
      <c r="AG573" s="61">
        <f t="shared" si="119"/>
        <v>35000</v>
      </c>
      <c r="AH573" s="369">
        <f>SUM(AH574:AH584)</f>
        <v>260000</v>
      </c>
      <c r="AI573" s="511">
        <f>SUM(AI574:AI584)</f>
        <v>0</v>
      </c>
      <c r="AJ573" s="511">
        <f>SUM(AJ574:AJ584)</f>
        <v>0</v>
      </c>
      <c r="AK573" s="61"/>
      <c r="AL573" s="61"/>
      <c r="AM573" s="61"/>
      <c r="AN573" s="81" t="s">
        <v>39</v>
      </c>
      <c r="AO573" s="81"/>
      <c r="AP573" s="81"/>
      <c r="AQ573" s="412"/>
      <c r="AR573" s="81"/>
      <c r="AS573" s="474"/>
      <c r="AT573" s="81"/>
      <c r="AU573" s="663"/>
      <c r="AV573" s="428" t="s">
        <v>1792</v>
      </c>
    </row>
    <row r="574" spans="1:48" ht="39.75" customHeight="1" outlineLevel="3" x14ac:dyDescent="0.25">
      <c r="A574" s="63" t="str">
        <f t="shared" si="110"/>
        <v>1.3.1.11.1.58-64</v>
      </c>
      <c r="B574" s="64">
        <v>1</v>
      </c>
      <c r="C574" s="64">
        <v>3</v>
      </c>
      <c r="D574" s="64">
        <v>1</v>
      </c>
      <c r="E574" s="64">
        <v>11</v>
      </c>
      <c r="F574" s="64">
        <v>1</v>
      </c>
      <c r="G574" s="64" t="s">
        <v>64</v>
      </c>
      <c r="H574" s="65"/>
      <c r="I574" s="65"/>
      <c r="J574" s="65"/>
      <c r="K574" s="67" t="s">
        <v>632</v>
      </c>
      <c r="L574" s="64" t="s">
        <v>630</v>
      </c>
      <c r="M574" s="68" t="s">
        <v>633</v>
      </c>
      <c r="N574" s="68" t="s">
        <v>631</v>
      </c>
      <c r="O574" s="64" t="s">
        <v>634</v>
      </c>
      <c r="P574" s="63">
        <v>43862</v>
      </c>
      <c r="Q574" s="63" t="s">
        <v>635</v>
      </c>
      <c r="R574" s="64">
        <v>1</v>
      </c>
      <c r="S574" s="67" t="s">
        <v>636</v>
      </c>
      <c r="T574" s="64"/>
      <c r="U574" s="75"/>
      <c r="V574" s="674">
        <v>0</v>
      </c>
      <c r="W574" s="75"/>
      <c r="X574" s="75"/>
      <c r="Y574" s="834">
        <f t="shared" ref="Y574:Y584" si="120">+AJ574-V574</f>
        <v>0</v>
      </c>
      <c r="Z574" s="75"/>
      <c r="AA574" s="75"/>
      <c r="AB574" s="75"/>
      <c r="AC574" s="75"/>
      <c r="AD574" s="75"/>
      <c r="AE574" s="592"/>
      <c r="AF574" s="259"/>
      <c r="AG574" s="510">
        <v>0</v>
      </c>
      <c r="AH574" s="370">
        <v>0</v>
      </c>
      <c r="AI574" s="75"/>
      <c r="AJ574" s="75"/>
      <c r="AK574" s="75"/>
      <c r="AL574" s="75"/>
      <c r="AM574" s="75"/>
      <c r="AN574" s="64" t="s">
        <v>39</v>
      </c>
      <c r="AO574" s="64"/>
      <c r="AP574" s="64"/>
      <c r="AQ574" s="189"/>
      <c r="AR574" s="64"/>
      <c r="AS574" s="476"/>
      <c r="AT574" s="64"/>
      <c r="AU574" s="646"/>
      <c r="AV574" s="185"/>
    </row>
    <row r="575" spans="1:48" ht="30" outlineLevel="3" x14ac:dyDescent="0.25">
      <c r="A575" s="63" t="str">
        <f t="shared" si="110"/>
        <v>1.3.1.11.2.58</v>
      </c>
      <c r="B575" s="64">
        <v>1</v>
      </c>
      <c r="C575" s="64">
        <v>3</v>
      </c>
      <c r="D575" s="64">
        <v>1</v>
      </c>
      <c r="E575" s="64">
        <v>11</v>
      </c>
      <c r="F575" s="64">
        <v>2</v>
      </c>
      <c r="G575" s="64">
        <v>58</v>
      </c>
      <c r="H575" s="65"/>
      <c r="I575" s="65"/>
      <c r="J575" s="65"/>
      <c r="K575" s="67" t="s">
        <v>637</v>
      </c>
      <c r="L575" s="64" t="s">
        <v>630</v>
      </c>
      <c r="M575" s="64" t="s">
        <v>562</v>
      </c>
      <c r="N575" s="68" t="s">
        <v>631</v>
      </c>
      <c r="O575" s="64" t="s">
        <v>241</v>
      </c>
      <c r="P575" s="63">
        <v>43800</v>
      </c>
      <c r="Q575" s="63">
        <v>44166</v>
      </c>
      <c r="R575" s="64">
        <v>1</v>
      </c>
      <c r="S575" s="67" t="s">
        <v>619</v>
      </c>
      <c r="T575" s="64"/>
      <c r="U575" s="75"/>
      <c r="V575" s="674">
        <v>0</v>
      </c>
      <c r="W575" s="75"/>
      <c r="X575" s="75"/>
      <c r="Y575" s="834">
        <f t="shared" si="120"/>
        <v>0</v>
      </c>
      <c r="Z575" s="75"/>
      <c r="AA575" s="75"/>
      <c r="AB575" s="75"/>
      <c r="AC575" s="75"/>
      <c r="AD575" s="75"/>
      <c r="AE575" s="592"/>
      <c r="AF575" s="259"/>
      <c r="AG575" s="510">
        <v>0</v>
      </c>
      <c r="AH575" s="370">
        <v>0</v>
      </c>
      <c r="AI575" s="75"/>
      <c r="AJ575" s="75"/>
      <c r="AK575" s="75"/>
      <c r="AL575" s="75"/>
      <c r="AM575" s="75"/>
      <c r="AN575" s="64" t="s">
        <v>39</v>
      </c>
      <c r="AO575" s="64"/>
      <c r="AP575" s="64"/>
      <c r="AQ575" s="189"/>
      <c r="AR575" s="64"/>
      <c r="AS575" s="476"/>
      <c r="AT575" s="64"/>
      <c r="AU575" s="646"/>
      <c r="AV575" s="443"/>
    </row>
    <row r="576" spans="1:48" ht="37.5" customHeight="1" outlineLevel="3" x14ac:dyDescent="0.25">
      <c r="A576" s="63" t="str">
        <f t="shared" si="110"/>
        <v>1.3.1.11.2.59</v>
      </c>
      <c r="B576" s="64">
        <v>1</v>
      </c>
      <c r="C576" s="64">
        <v>3</v>
      </c>
      <c r="D576" s="64">
        <v>1</v>
      </c>
      <c r="E576" s="64">
        <v>11</v>
      </c>
      <c r="F576" s="64">
        <v>2</v>
      </c>
      <c r="G576" s="64">
        <v>59</v>
      </c>
      <c r="H576" s="65"/>
      <c r="I576" s="65"/>
      <c r="J576" s="65"/>
      <c r="K576" s="67" t="s">
        <v>637</v>
      </c>
      <c r="L576" s="64"/>
      <c r="M576" s="64"/>
      <c r="N576" s="68"/>
      <c r="O576" s="64"/>
      <c r="P576" s="170"/>
      <c r="Q576" s="170"/>
      <c r="R576" s="64"/>
      <c r="S576" s="67"/>
      <c r="T576" s="64"/>
      <c r="U576" s="75"/>
      <c r="V576" s="674">
        <v>0</v>
      </c>
      <c r="W576" s="75"/>
      <c r="X576" s="75"/>
      <c r="Y576" s="834">
        <f t="shared" si="120"/>
        <v>0</v>
      </c>
      <c r="Z576" s="75"/>
      <c r="AA576" s="75"/>
      <c r="AB576" s="75"/>
      <c r="AC576" s="75"/>
      <c r="AD576" s="75"/>
      <c r="AE576" s="592"/>
      <c r="AF576" s="259"/>
      <c r="AG576" s="510">
        <v>0</v>
      </c>
      <c r="AH576" s="370">
        <v>0</v>
      </c>
      <c r="AI576" s="75"/>
      <c r="AJ576" s="75"/>
      <c r="AK576" s="75"/>
      <c r="AL576" s="75"/>
      <c r="AM576" s="75"/>
      <c r="AN576" s="64" t="s">
        <v>39</v>
      </c>
      <c r="AO576" s="64"/>
      <c r="AP576" s="64"/>
      <c r="AQ576" s="189"/>
      <c r="AR576" s="64"/>
      <c r="AS576" s="476"/>
      <c r="AT576" s="64"/>
      <c r="AU576" s="646"/>
      <c r="AV576" s="443"/>
    </row>
    <row r="577" spans="1:48" ht="37.5" customHeight="1" outlineLevel="3" x14ac:dyDescent="0.25">
      <c r="A577" s="63" t="str">
        <f t="shared" si="110"/>
        <v>1.3.1.11.2.60</v>
      </c>
      <c r="B577" s="64">
        <v>1</v>
      </c>
      <c r="C577" s="64">
        <v>3</v>
      </c>
      <c r="D577" s="64">
        <v>1</v>
      </c>
      <c r="E577" s="64">
        <v>11</v>
      </c>
      <c r="F577" s="64">
        <v>2</v>
      </c>
      <c r="G577" s="64">
        <v>60</v>
      </c>
      <c r="H577" s="65"/>
      <c r="I577" s="65"/>
      <c r="J577" s="65"/>
      <c r="K577" s="67" t="s">
        <v>637</v>
      </c>
      <c r="L577" s="64"/>
      <c r="M577" s="64"/>
      <c r="N577" s="68"/>
      <c r="O577" s="64"/>
      <c r="P577" s="170"/>
      <c r="Q577" s="170"/>
      <c r="R577" s="64"/>
      <c r="S577" s="67"/>
      <c r="T577" s="64"/>
      <c r="U577" s="75"/>
      <c r="V577" s="674">
        <v>0</v>
      </c>
      <c r="W577" s="75"/>
      <c r="X577" s="75"/>
      <c r="Y577" s="834">
        <f t="shared" si="120"/>
        <v>0</v>
      </c>
      <c r="Z577" s="75"/>
      <c r="AA577" s="75"/>
      <c r="AB577" s="75"/>
      <c r="AC577" s="75"/>
      <c r="AD577" s="75"/>
      <c r="AE577" s="592"/>
      <c r="AF577" s="259"/>
      <c r="AG577" s="510">
        <v>0</v>
      </c>
      <c r="AH577" s="370">
        <v>0</v>
      </c>
      <c r="AI577" s="75"/>
      <c r="AJ577" s="75"/>
      <c r="AK577" s="75"/>
      <c r="AL577" s="75"/>
      <c r="AM577" s="75"/>
      <c r="AN577" s="64" t="s">
        <v>39</v>
      </c>
      <c r="AO577" s="64"/>
      <c r="AP577" s="64"/>
      <c r="AQ577" s="189"/>
      <c r="AR577" s="64"/>
      <c r="AS577" s="476"/>
      <c r="AT577" s="64"/>
      <c r="AU577" s="646"/>
      <c r="AV577" s="443"/>
    </row>
    <row r="578" spans="1:48" ht="37.5" customHeight="1" outlineLevel="3" x14ac:dyDescent="0.25">
      <c r="A578" s="63" t="str">
        <f t="shared" si="110"/>
        <v>1.3.1.11.2.61</v>
      </c>
      <c r="B578" s="64">
        <v>1</v>
      </c>
      <c r="C578" s="64">
        <v>3</v>
      </c>
      <c r="D578" s="64">
        <v>1</v>
      </c>
      <c r="E578" s="64">
        <v>11</v>
      </c>
      <c r="F578" s="64">
        <v>2</v>
      </c>
      <c r="G578" s="64">
        <v>61</v>
      </c>
      <c r="H578" s="65"/>
      <c r="I578" s="65"/>
      <c r="J578" s="65"/>
      <c r="K578" s="67" t="s">
        <v>637</v>
      </c>
      <c r="L578" s="64"/>
      <c r="M578" s="64"/>
      <c r="N578" s="68"/>
      <c r="O578" s="64"/>
      <c r="P578" s="170"/>
      <c r="Q578" s="170"/>
      <c r="R578" s="64"/>
      <c r="S578" s="67"/>
      <c r="T578" s="64"/>
      <c r="U578" s="75"/>
      <c r="V578" s="674">
        <v>0</v>
      </c>
      <c r="W578" s="75"/>
      <c r="X578" s="75"/>
      <c r="Y578" s="834">
        <f t="shared" si="120"/>
        <v>0</v>
      </c>
      <c r="Z578" s="75"/>
      <c r="AA578" s="75"/>
      <c r="AB578" s="75"/>
      <c r="AC578" s="75"/>
      <c r="AD578" s="75"/>
      <c r="AE578" s="592"/>
      <c r="AF578" s="259"/>
      <c r="AG578" s="510">
        <v>0</v>
      </c>
      <c r="AH578" s="370">
        <v>0</v>
      </c>
      <c r="AI578" s="75"/>
      <c r="AJ578" s="75"/>
      <c r="AK578" s="75"/>
      <c r="AL578" s="75"/>
      <c r="AM578" s="75"/>
      <c r="AN578" s="64" t="s">
        <v>39</v>
      </c>
      <c r="AO578" s="64"/>
      <c r="AP578" s="64"/>
      <c r="AQ578" s="189"/>
      <c r="AR578" s="64"/>
      <c r="AS578" s="476"/>
      <c r="AT578" s="64"/>
      <c r="AU578" s="646"/>
      <c r="AV578" s="443"/>
    </row>
    <row r="579" spans="1:48" ht="37.5" customHeight="1" outlineLevel="3" x14ac:dyDescent="0.25">
      <c r="A579" s="63" t="str">
        <f t="shared" si="110"/>
        <v>1.3.1.11.2.62</v>
      </c>
      <c r="B579" s="64">
        <v>1</v>
      </c>
      <c r="C579" s="64">
        <v>3</v>
      </c>
      <c r="D579" s="64">
        <v>1</v>
      </c>
      <c r="E579" s="64">
        <v>11</v>
      </c>
      <c r="F579" s="64">
        <v>2</v>
      </c>
      <c r="G579" s="64">
        <v>62</v>
      </c>
      <c r="H579" s="65"/>
      <c r="I579" s="65"/>
      <c r="J579" s="65"/>
      <c r="K579" s="67" t="s">
        <v>637</v>
      </c>
      <c r="L579" s="64"/>
      <c r="M579" s="64"/>
      <c r="N579" s="68"/>
      <c r="O579" s="64"/>
      <c r="P579" s="170"/>
      <c r="Q579" s="170"/>
      <c r="R579" s="64"/>
      <c r="S579" s="67"/>
      <c r="T579" s="64"/>
      <c r="U579" s="75"/>
      <c r="V579" s="674">
        <v>0</v>
      </c>
      <c r="W579" s="75"/>
      <c r="X579" s="75"/>
      <c r="Y579" s="834">
        <f t="shared" si="120"/>
        <v>0</v>
      </c>
      <c r="Z579" s="75"/>
      <c r="AA579" s="75"/>
      <c r="AB579" s="75"/>
      <c r="AC579" s="75"/>
      <c r="AD579" s="75"/>
      <c r="AE579" s="592"/>
      <c r="AF579" s="259"/>
      <c r="AG579" s="510">
        <v>0</v>
      </c>
      <c r="AH579" s="370">
        <v>0</v>
      </c>
      <c r="AI579" s="75"/>
      <c r="AJ579" s="75"/>
      <c r="AK579" s="75"/>
      <c r="AL579" s="75"/>
      <c r="AM579" s="75"/>
      <c r="AN579" s="64" t="s">
        <v>39</v>
      </c>
      <c r="AO579" s="64"/>
      <c r="AP579" s="64"/>
      <c r="AQ579" s="189"/>
      <c r="AR579" s="64"/>
      <c r="AS579" s="476"/>
      <c r="AT579" s="64"/>
      <c r="AU579" s="646"/>
      <c r="AV579" s="443"/>
    </row>
    <row r="580" spans="1:48" ht="37.5" customHeight="1" outlineLevel="3" x14ac:dyDescent="0.25">
      <c r="A580" s="63" t="str">
        <f t="shared" si="110"/>
        <v>1.3.1.11.2.63</v>
      </c>
      <c r="B580" s="64">
        <v>1</v>
      </c>
      <c r="C580" s="64">
        <v>3</v>
      </c>
      <c r="D580" s="64">
        <v>1</v>
      </c>
      <c r="E580" s="64">
        <v>11</v>
      </c>
      <c r="F580" s="64">
        <v>2</v>
      </c>
      <c r="G580" s="64">
        <v>63</v>
      </c>
      <c r="H580" s="65"/>
      <c r="I580" s="65"/>
      <c r="J580" s="65"/>
      <c r="K580" s="67" t="s">
        <v>637</v>
      </c>
      <c r="L580" s="64"/>
      <c r="M580" s="64"/>
      <c r="N580" s="68"/>
      <c r="O580" s="64"/>
      <c r="P580" s="170"/>
      <c r="Q580" s="170"/>
      <c r="R580" s="64"/>
      <c r="S580" s="67"/>
      <c r="T580" s="64"/>
      <c r="U580" s="75"/>
      <c r="V580" s="674">
        <v>0</v>
      </c>
      <c r="W580" s="75"/>
      <c r="X580" s="75"/>
      <c r="Y580" s="834">
        <f t="shared" si="120"/>
        <v>0</v>
      </c>
      <c r="Z580" s="75"/>
      <c r="AA580" s="75"/>
      <c r="AB580" s="75"/>
      <c r="AC580" s="75"/>
      <c r="AD580" s="75"/>
      <c r="AE580" s="592"/>
      <c r="AF580" s="259"/>
      <c r="AG580" s="510">
        <v>0</v>
      </c>
      <c r="AH580" s="370">
        <v>0</v>
      </c>
      <c r="AI580" s="75"/>
      <c r="AJ580" s="75"/>
      <c r="AK580" s="75"/>
      <c r="AL580" s="75"/>
      <c r="AM580" s="75"/>
      <c r="AN580" s="64" t="s">
        <v>39</v>
      </c>
      <c r="AO580" s="64"/>
      <c r="AP580" s="64"/>
      <c r="AQ580" s="189"/>
      <c r="AR580" s="64"/>
      <c r="AS580" s="476"/>
      <c r="AT580" s="64"/>
      <c r="AU580" s="646"/>
      <c r="AV580" s="443"/>
    </row>
    <row r="581" spans="1:48" ht="37.5" customHeight="1" outlineLevel="3" x14ac:dyDescent="0.25">
      <c r="A581" s="63" t="str">
        <f t="shared" si="110"/>
        <v>1.3.1.11.2.64</v>
      </c>
      <c r="B581" s="64">
        <v>1</v>
      </c>
      <c r="C581" s="64">
        <v>3</v>
      </c>
      <c r="D581" s="64">
        <v>1</v>
      </c>
      <c r="E581" s="64">
        <v>11</v>
      </c>
      <c r="F581" s="64">
        <v>2</v>
      </c>
      <c r="G581" s="64">
        <v>64</v>
      </c>
      <c r="H581" s="65"/>
      <c r="I581" s="65"/>
      <c r="J581" s="65"/>
      <c r="K581" s="67" t="s">
        <v>637</v>
      </c>
      <c r="L581" s="64"/>
      <c r="M581" s="64"/>
      <c r="N581" s="68"/>
      <c r="O581" s="64"/>
      <c r="P581" s="170"/>
      <c r="Q581" s="170"/>
      <c r="R581" s="64"/>
      <c r="S581" s="67"/>
      <c r="T581" s="64"/>
      <c r="U581" s="75"/>
      <c r="V581" s="674">
        <v>0</v>
      </c>
      <c r="W581" s="75"/>
      <c r="X581" s="75"/>
      <c r="Y581" s="834">
        <f t="shared" si="120"/>
        <v>0</v>
      </c>
      <c r="Z581" s="75"/>
      <c r="AA581" s="75"/>
      <c r="AB581" s="75"/>
      <c r="AC581" s="75"/>
      <c r="AD581" s="75"/>
      <c r="AE581" s="592"/>
      <c r="AF581" s="259"/>
      <c r="AG581" s="510">
        <v>0</v>
      </c>
      <c r="AH581" s="370">
        <v>0</v>
      </c>
      <c r="AI581" s="75"/>
      <c r="AJ581" s="75"/>
      <c r="AK581" s="75"/>
      <c r="AL581" s="75"/>
      <c r="AM581" s="75"/>
      <c r="AN581" s="64" t="s">
        <v>39</v>
      </c>
      <c r="AO581" s="64"/>
      <c r="AP581" s="64"/>
      <c r="AQ581" s="189"/>
      <c r="AR581" s="64"/>
      <c r="AS581" s="476"/>
      <c r="AT581" s="64"/>
      <c r="AU581" s="646"/>
      <c r="AV581" s="443"/>
    </row>
    <row r="582" spans="1:48" ht="30" outlineLevel="3" x14ac:dyDescent="0.25">
      <c r="A582" s="63" t="str">
        <f t="shared" si="110"/>
        <v>1.3.1.11.3.58-64</v>
      </c>
      <c r="B582" s="64">
        <v>1</v>
      </c>
      <c r="C582" s="64">
        <v>3</v>
      </c>
      <c r="D582" s="64">
        <v>1</v>
      </c>
      <c r="E582" s="64">
        <v>11</v>
      </c>
      <c r="F582" s="64">
        <v>3</v>
      </c>
      <c r="G582" s="64" t="s">
        <v>64</v>
      </c>
      <c r="H582" s="65"/>
      <c r="I582" s="65"/>
      <c r="J582" s="65"/>
      <c r="K582" s="67" t="s">
        <v>638</v>
      </c>
      <c r="L582" s="64" t="s">
        <v>630</v>
      </c>
      <c r="M582" s="64" t="s">
        <v>299</v>
      </c>
      <c r="N582" s="68" t="s">
        <v>631</v>
      </c>
      <c r="O582" s="64" t="s">
        <v>359</v>
      </c>
      <c r="P582" s="63"/>
      <c r="Q582" s="63"/>
      <c r="R582" s="64">
        <v>7</v>
      </c>
      <c r="S582" s="67" t="s">
        <v>639</v>
      </c>
      <c r="T582" s="64"/>
      <c r="U582" s="75"/>
      <c r="V582" s="674">
        <v>0</v>
      </c>
      <c r="W582" s="75"/>
      <c r="X582" s="75"/>
      <c r="Y582" s="834">
        <f t="shared" si="120"/>
        <v>0</v>
      </c>
      <c r="Z582" s="75"/>
      <c r="AA582" s="75"/>
      <c r="AB582" s="75"/>
      <c r="AC582" s="75"/>
      <c r="AD582" s="75"/>
      <c r="AE582" s="592"/>
      <c r="AF582" s="259"/>
      <c r="AG582" s="510">
        <v>0</v>
      </c>
      <c r="AH582" s="370">
        <v>0</v>
      </c>
      <c r="AI582" s="75"/>
      <c r="AJ582" s="75"/>
      <c r="AK582" s="75"/>
      <c r="AL582" s="75"/>
      <c r="AM582" s="75"/>
      <c r="AN582" s="64" t="s">
        <v>39</v>
      </c>
      <c r="AO582" s="64"/>
      <c r="AP582" s="64"/>
      <c r="AQ582" s="189"/>
      <c r="AR582" s="64"/>
      <c r="AS582" s="476"/>
      <c r="AT582" s="64"/>
      <c r="AU582" s="646"/>
      <c r="AV582" s="443"/>
    </row>
    <row r="583" spans="1:48" ht="31.5" customHeight="1" outlineLevel="3" x14ac:dyDescent="0.25">
      <c r="A583" s="63" t="str">
        <f t="shared" si="110"/>
        <v>1.3.1.11.4.58-64</v>
      </c>
      <c r="B583" s="64">
        <v>1</v>
      </c>
      <c r="C583" s="64">
        <v>3</v>
      </c>
      <c r="D583" s="64">
        <v>1</v>
      </c>
      <c r="E583" s="64">
        <v>11</v>
      </c>
      <c r="F583" s="64">
        <v>4</v>
      </c>
      <c r="G583" s="64" t="s">
        <v>64</v>
      </c>
      <c r="H583" s="65"/>
      <c r="I583" s="65"/>
      <c r="J583" s="65"/>
      <c r="K583" s="67" t="s">
        <v>640</v>
      </c>
      <c r="L583" s="64" t="s">
        <v>630</v>
      </c>
      <c r="M583" s="64" t="s">
        <v>641</v>
      </c>
      <c r="N583" s="68" t="s">
        <v>631</v>
      </c>
      <c r="O583" s="64" t="s">
        <v>359</v>
      </c>
      <c r="P583" s="64"/>
      <c r="Q583" s="64"/>
      <c r="R583" s="64"/>
      <c r="S583" s="65"/>
      <c r="T583" s="64"/>
      <c r="U583" s="75"/>
      <c r="V583" s="674">
        <v>0</v>
      </c>
      <c r="W583" s="75"/>
      <c r="X583" s="75"/>
      <c r="Y583" s="834">
        <f t="shared" si="120"/>
        <v>0</v>
      </c>
      <c r="Z583" s="75"/>
      <c r="AA583" s="75"/>
      <c r="AB583" s="75"/>
      <c r="AC583" s="75"/>
      <c r="AD583" s="75"/>
      <c r="AE583" s="592"/>
      <c r="AF583" s="259"/>
      <c r="AG583" s="510">
        <v>0</v>
      </c>
      <c r="AH583" s="370">
        <v>0</v>
      </c>
      <c r="AI583" s="75"/>
      <c r="AJ583" s="75"/>
      <c r="AK583" s="75"/>
      <c r="AL583" s="75"/>
      <c r="AM583" s="75"/>
      <c r="AN583" s="64" t="s">
        <v>39</v>
      </c>
      <c r="AO583" s="64"/>
      <c r="AP583" s="64"/>
      <c r="AQ583" s="189"/>
      <c r="AR583" s="64"/>
      <c r="AS583" s="476"/>
      <c r="AT583" s="64"/>
      <c r="AU583" s="646"/>
      <c r="AV583" s="185"/>
    </row>
    <row r="584" spans="1:48" ht="39.6" customHeight="1" outlineLevel="4" x14ac:dyDescent="0.25">
      <c r="A584" s="63" t="str">
        <f t="shared" si="110"/>
        <v>1.3.1.11.5.58-64</v>
      </c>
      <c r="B584" s="64">
        <v>1</v>
      </c>
      <c r="C584" s="64">
        <v>3</v>
      </c>
      <c r="D584" s="64">
        <v>1</v>
      </c>
      <c r="E584" s="64">
        <v>11</v>
      </c>
      <c r="F584" s="64">
        <v>5</v>
      </c>
      <c r="G584" s="64" t="s">
        <v>64</v>
      </c>
      <c r="H584" s="65"/>
      <c r="I584" s="65"/>
      <c r="J584" s="65"/>
      <c r="K584" s="67" t="s">
        <v>628</v>
      </c>
      <c r="L584" s="64"/>
      <c r="M584" s="64"/>
      <c r="N584" s="68"/>
      <c r="O584" s="64"/>
      <c r="P584" s="69"/>
      <c r="Q584" s="69"/>
      <c r="R584" s="63"/>
      <c r="S584" s="63"/>
      <c r="T584" s="63"/>
      <c r="U584" s="75">
        <f>+AH584/4</f>
        <v>65000</v>
      </c>
      <c r="V584" s="674">
        <v>0</v>
      </c>
      <c r="W584" s="75"/>
      <c r="X584" s="75">
        <f>+AH584/4</f>
        <v>65000</v>
      </c>
      <c r="Y584" s="834">
        <f t="shared" si="120"/>
        <v>0</v>
      </c>
      <c r="Z584" s="75"/>
      <c r="AA584" s="75">
        <f>+AH584/4</f>
        <v>65000</v>
      </c>
      <c r="AB584" s="75"/>
      <c r="AC584" s="75"/>
      <c r="AD584" s="75">
        <f>+AH584/4</f>
        <v>65000</v>
      </c>
      <c r="AE584" s="592"/>
      <c r="AF584" s="259"/>
      <c r="AG584" s="510">
        <v>35000</v>
      </c>
      <c r="AH584" s="370">
        <v>260000</v>
      </c>
      <c r="AI584" s="75"/>
      <c r="AJ584" s="75"/>
      <c r="AK584" s="75"/>
      <c r="AL584" s="75"/>
      <c r="AM584" s="75"/>
      <c r="AN584" s="64" t="s">
        <v>39</v>
      </c>
      <c r="AO584" s="64" t="s">
        <v>649</v>
      </c>
      <c r="AP584" s="64" t="s">
        <v>649</v>
      </c>
      <c r="AQ584" s="533" t="s">
        <v>649</v>
      </c>
      <c r="AR584" s="554">
        <v>44562</v>
      </c>
      <c r="AS584" s="554">
        <v>44926</v>
      </c>
      <c r="AT584" s="64" t="s">
        <v>1814</v>
      </c>
      <c r="AU584" s="646"/>
      <c r="AV584" s="335" t="s">
        <v>1793</v>
      </c>
    </row>
    <row r="585" spans="1:48" s="153" customFormat="1" ht="25.5" customHeight="1" outlineLevel="1" x14ac:dyDescent="0.25">
      <c r="A585" s="173" t="str">
        <f t="shared" si="110"/>
        <v>1.3.0.12.0.0</v>
      </c>
      <c r="B585" s="174">
        <v>1</v>
      </c>
      <c r="C585" s="174">
        <v>3</v>
      </c>
      <c r="D585" s="174">
        <v>0</v>
      </c>
      <c r="E585" s="174">
        <v>12</v>
      </c>
      <c r="F585" s="174">
        <v>0</v>
      </c>
      <c r="G585" s="174">
        <v>0</v>
      </c>
      <c r="H585" s="175"/>
      <c r="I585" s="175"/>
      <c r="J585" s="175" t="s">
        <v>642</v>
      </c>
      <c r="K585" s="176"/>
      <c r="L585" s="81" t="s">
        <v>643</v>
      </c>
      <c r="M585" s="81" t="s">
        <v>644</v>
      </c>
      <c r="N585" s="81" t="s">
        <v>265</v>
      </c>
      <c r="O585" s="81" t="s">
        <v>645</v>
      </c>
      <c r="P585" s="115">
        <v>44571</v>
      </c>
      <c r="Q585" s="115">
        <v>44925</v>
      </c>
      <c r="R585" s="81">
        <f>+SUM(R586:R592)</f>
        <v>2891.5</v>
      </c>
      <c r="S585" s="114" t="s">
        <v>646</v>
      </c>
      <c r="T585" s="181">
        <f>+SUM(T586:T592)</f>
        <v>43372500</v>
      </c>
      <c r="U585" s="369">
        <f>+SUM(U586:U592)</f>
        <v>0</v>
      </c>
      <c r="V585" s="677">
        <f>+SUM(V586:V592)</f>
        <v>0</v>
      </c>
      <c r="W585" s="369">
        <f t="shared" ref="W585:AG585" si="121">+SUM(W586:W592)</f>
        <v>0</v>
      </c>
      <c r="X585" s="369">
        <f t="shared" si="121"/>
        <v>0</v>
      </c>
      <c r="Y585" s="840">
        <f t="shared" si="121"/>
        <v>0</v>
      </c>
      <c r="Z585" s="369">
        <f t="shared" si="121"/>
        <v>0</v>
      </c>
      <c r="AA585" s="369">
        <f t="shared" si="121"/>
        <v>0</v>
      </c>
      <c r="AB585" s="369">
        <f t="shared" si="121"/>
        <v>0</v>
      </c>
      <c r="AC585" s="369">
        <f t="shared" si="121"/>
        <v>43372500</v>
      </c>
      <c r="AD585" s="369">
        <f t="shared" si="121"/>
        <v>0</v>
      </c>
      <c r="AE585" s="369">
        <f t="shared" si="121"/>
        <v>0</v>
      </c>
      <c r="AF585" s="369">
        <f t="shared" si="121"/>
        <v>0</v>
      </c>
      <c r="AG585" s="369">
        <f t="shared" si="121"/>
        <v>171929255.68000001</v>
      </c>
      <c r="AH585" s="369">
        <f>+SUM(AH586:AH592)</f>
        <v>0</v>
      </c>
      <c r="AI585" s="511">
        <f>+SUM(AI586:AI592)</f>
        <v>0</v>
      </c>
      <c r="AJ585" s="511">
        <f>+SUM(AJ586:AJ592)</f>
        <v>0</v>
      </c>
      <c r="AK585" s="61"/>
      <c r="AL585" s="61"/>
      <c r="AM585" s="61"/>
      <c r="AN585" s="81" t="s">
        <v>181</v>
      </c>
      <c r="AO585" s="81"/>
      <c r="AP585" s="81"/>
      <c r="AQ585" s="412"/>
      <c r="AR585" s="81"/>
      <c r="AS585" s="474"/>
      <c r="AT585" s="81"/>
      <c r="AU585" s="663"/>
      <c r="AV585" s="430" t="s">
        <v>647</v>
      </c>
    </row>
    <row r="586" spans="1:48" ht="18.75" customHeight="1" outlineLevel="3" x14ac:dyDescent="0.25">
      <c r="A586" s="63" t="str">
        <f t="shared" si="110"/>
        <v>1.3.0.12.1.58</v>
      </c>
      <c r="B586" s="64">
        <v>1</v>
      </c>
      <c r="C586" s="64">
        <v>3</v>
      </c>
      <c r="D586" s="64">
        <v>0</v>
      </c>
      <c r="E586" s="64">
        <v>12</v>
      </c>
      <c r="F586" s="64">
        <v>1</v>
      </c>
      <c r="G586" s="100">
        <v>58</v>
      </c>
      <c r="H586" s="65"/>
      <c r="I586" s="65"/>
      <c r="J586" s="65"/>
      <c r="K586" s="65" t="s">
        <v>648</v>
      </c>
      <c r="L586" s="64" t="s">
        <v>72</v>
      </c>
      <c r="M586" s="64" t="s">
        <v>644</v>
      </c>
      <c r="N586" s="64" t="s">
        <v>265</v>
      </c>
      <c r="O586" s="64" t="s">
        <v>645</v>
      </c>
      <c r="P586" s="69">
        <v>44591</v>
      </c>
      <c r="Q586" s="69">
        <v>44925</v>
      </c>
      <c r="R586" s="136">
        <f>791/2</f>
        <v>395.5</v>
      </c>
      <c r="S586" s="65" t="s">
        <v>646</v>
      </c>
      <c r="T586" s="182">
        <f>+R586*5000*3</f>
        <v>5932500</v>
      </c>
      <c r="U586" s="370">
        <v>0</v>
      </c>
      <c r="V586" s="687">
        <v>0</v>
      </c>
      <c r="W586" s="183"/>
      <c r="X586" s="183"/>
      <c r="Y586" s="834">
        <f t="shared" ref="Y586:Y592" si="122">+AJ586-V586</f>
        <v>0</v>
      </c>
      <c r="Z586" s="183"/>
      <c r="AA586" s="183"/>
      <c r="AB586" s="183"/>
      <c r="AC586" s="75">
        <f t="shared" ref="AC586:AC592" si="123">+R586*5000*3</f>
        <v>5932500</v>
      </c>
      <c r="AD586" s="75"/>
      <c r="AE586" s="592"/>
      <c r="AF586" s="259" t="s">
        <v>649</v>
      </c>
      <c r="AG586" s="504">
        <v>22460000</v>
      </c>
      <c r="AH586" s="370">
        <v>0</v>
      </c>
      <c r="AI586" s="75"/>
      <c r="AJ586" s="75"/>
      <c r="AK586" s="75"/>
      <c r="AL586" s="75"/>
      <c r="AM586" s="75"/>
      <c r="AN586" s="64" t="s">
        <v>181</v>
      </c>
      <c r="AO586" s="165"/>
      <c r="AP586" s="165"/>
      <c r="AQ586" s="413"/>
      <c r="AR586" s="64"/>
      <c r="AS586" s="475"/>
      <c r="AT586" s="64"/>
      <c r="AU586" s="646"/>
      <c r="AV586" s="1274" t="s">
        <v>650</v>
      </c>
    </row>
    <row r="587" spans="1:48" ht="18.75" customHeight="1" outlineLevel="3" x14ac:dyDescent="0.25">
      <c r="A587" s="63" t="str">
        <f t="shared" si="110"/>
        <v>1.3.0.12.2.59</v>
      </c>
      <c r="B587" s="64">
        <v>1</v>
      </c>
      <c r="C587" s="64">
        <v>3</v>
      </c>
      <c r="D587" s="64">
        <v>0</v>
      </c>
      <c r="E587" s="64">
        <v>12</v>
      </c>
      <c r="F587" s="64">
        <v>2</v>
      </c>
      <c r="G587" s="100">
        <v>59</v>
      </c>
      <c r="H587" s="65"/>
      <c r="I587" s="65"/>
      <c r="J587" s="65"/>
      <c r="K587" s="65" t="s">
        <v>651</v>
      </c>
      <c r="L587" s="64" t="s">
        <v>72</v>
      </c>
      <c r="M587" s="64" t="s">
        <v>644</v>
      </c>
      <c r="N587" s="64" t="s">
        <v>265</v>
      </c>
      <c r="O587" s="64" t="s">
        <v>645</v>
      </c>
      <c r="P587" s="69">
        <v>44591</v>
      </c>
      <c r="Q587" s="69">
        <v>44925</v>
      </c>
      <c r="R587" s="136">
        <f>511/2</f>
        <v>255.5</v>
      </c>
      <c r="S587" s="65" t="s">
        <v>646</v>
      </c>
      <c r="T587" s="182">
        <f t="shared" ref="T587:T592" si="124">+R587*5000*3</f>
        <v>3832500</v>
      </c>
      <c r="U587" s="370">
        <v>0</v>
      </c>
      <c r="V587" s="687">
        <v>0</v>
      </c>
      <c r="W587" s="183"/>
      <c r="X587" s="183"/>
      <c r="Y587" s="834">
        <f t="shared" si="122"/>
        <v>0</v>
      </c>
      <c r="Z587" s="183"/>
      <c r="AA587" s="183"/>
      <c r="AB587" s="183"/>
      <c r="AC587" s="75">
        <f t="shared" si="123"/>
        <v>3832500</v>
      </c>
      <c r="AD587" s="75"/>
      <c r="AE587" s="592"/>
      <c r="AF587" s="259" t="s">
        <v>649</v>
      </c>
      <c r="AG587" s="504">
        <v>20750000</v>
      </c>
      <c r="AH587" s="370">
        <v>0</v>
      </c>
      <c r="AI587" s="75"/>
      <c r="AJ587" s="75"/>
      <c r="AK587" s="75"/>
      <c r="AL587" s="75"/>
      <c r="AM587" s="75"/>
      <c r="AN587" s="64" t="s">
        <v>181</v>
      </c>
      <c r="AO587" s="165"/>
      <c r="AP587" s="165"/>
      <c r="AQ587" s="413"/>
      <c r="AR587" s="64"/>
      <c r="AS587" s="475"/>
      <c r="AT587" s="64"/>
      <c r="AU587" s="646"/>
      <c r="AV587" s="1274"/>
    </row>
    <row r="588" spans="1:48" ht="18.75" customHeight="1" outlineLevel="3" x14ac:dyDescent="0.25">
      <c r="A588" s="63" t="str">
        <f t="shared" si="110"/>
        <v>1.3.0.12.3.63</v>
      </c>
      <c r="B588" s="64">
        <v>1</v>
      </c>
      <c r="C588" s="64">
        <v>3</v>
      </c>
      <c r="D588" s="64">
        <v>0</v>
      </c>
      <c r="E588" s="64">
        <v>12</v>
      </c>
      <c r="F588" s="64">
        <v>3</v>
      </c>
      <c r="G588" s="100">
        <v>63</v>
      </c>
      <c r="H588" s="65"/>
      <c r="I588" s="65"/>
      <c r="J588" s="65"/>
      <c r="K588" s="65" t="s">
        <v>652</v>
      </c>
      <c r="L588" s="64" t="s">
        <v>72</v>
      </c>
      <c r="M588" s="64" t="s">
        <v>644</v>
      </c>
      <c r="N588" s="64" t="s">
        <v>265</v>
      </c>
      <c r="O588" s="64" t="s">
        <v>645</v>
      </c>
      <c r="P588" s="69">
        <v>44591</v>
      </c>
      <c r="Q588" s="69">
        <v>44925</v>
      </c>
      <c r="R588" s="136">
        <f>549/2</f>
        <v>274.5</v>
      </c>
      <c r="S588" s="65" t="s">
        <v>646</v>
      </c>
      <c r="T588" s="182">
        <f t="shared" si="124"/>
        <v>4117500</v>
      </c>
      <c r="U588" s="370">
        <v>0</v>
      </c>
      <c r="V588" s="687">
        <v>0</v>
      </c>
      <c r="W588" s="183"/>
      <c r="X588" s="183"/>
      <c r="Y588" s="834">
        <f t="shared" si="122"/>
        <v>0</v>
      </c>
      <c r="Z588" s="183"/>
      <c r="AA588" s="183"/>
      <c r="AB588" s="183"/>
      <c r="AC588" s="75">
        <f t="shared" si="123"/>
        <v>4117500</v>
      </c>
      <c r="AD588" s="75"/>
      <c r="AE588" s="592"/>
      <c r="AF588" s="259" t="s">
        <v>649</v>
      </c>
      <c r="AG588" s="504">
        <v>20940000</v>
      </c>
      <c r="AH588" s="370">
        <v>0</v>
      </c>
      <c r="AI588" s="75"/>
      <c r="AJ588" s="75"/>
      <c r="AK588" s="75"/>
      <c r="AL588" s="75"/>
      <c r="AM588" s="75"/>
      <c r="AN588" s="64" t="s">
        <v>181</v>
      </c>
      <c r="AO588" s="165"/>
      <c r="AP588" s="165"/>
      <c r="AQ588" s="413"/>
      <c r="AR588" s="64"/>
      <c r="AS588" s="475"/>
      <c r="AT588" s="64"/>
      <c r="AU588" s="646"/>
      <c r="AV588" s="1274"/>
    </row>
    <row r="589" spans="1:48" ht="18.75" customHeight="1" outlineLevel="3" x14ac:dyDescent="0.25">
      <c r="A589" s="63" t="str">
        <f t="shared" si="110"/>
        <v>1.3.0.12.4.64</v>
      </c>
      <c r="B589" s="64">
        <v>1</v>
      </c>
      <c r="C589" s="64">
        <v>3</v>
      </c>
      <c r="D589" s="64">
        <v>0</v>
      </c>
      <c r="E589" s="64">
        <v>12</v>
      </c>
      <c r="F589" s="64">
        <v>4</v>
      </c>
      <c r="G589" s="100">
        <v>64</v>
      </c>
      <c r="H589" s="65"/>
      <c r="I589" s="65"/>
      <c r="J589" s="65"/>
      <c r="K589" s="65" t="s">
        <v>653</v>
      </c>
      <c r="L589" s="64" t="s">
        <v>72</v>
      </c>
      <c r="M589" s="64" t="s">
        <v>644</v>
      </c>
      <c r="N589" s="64" t="s">
        <v>265</v>
      </c>
      <c r="O589" s="64" t="s">
        <v>645</v>
      </c>
      <c r="P589" s="69">
        <v>44591</v>
      </c>
      <c r="Q589" s="69">
        <v>44925</v>
      </c>
      <c r="R589" s="136">
        <f>565/2</f>
        <v>282.5</v>
      </c>
      <c r="S589" s="65" t="s">
        <v>646</v>
      </c>
      <c r="T589" s="182">
        <f t="shared" si="124"/>
        <v>4237500</v>
      </c>
      <c r="U589" s="370">
        <v>0</v>
      </c>
      <c r="V589" s="687">
        <v>0</v>
      </c>
      <c r="W589" s="183"/>
      <c r="X589" s="183"/>
      <c r="Y589" s="834">
        <f t="shared" si="122"/>
        <v>0</v>
      </c>
      <c r="Z589" s="183"/>
      <c r="AA589" s="183"/>
      <c r="AB589" s="183"/>
      <c r="AC589" s="75">
        <f t="shared" si="123"/>
        <v>4237500</v>
      </c>
      <c r="AD589" s="75"/>
      <c r="AE589" s="592"/>
      <c r="AF589" s="259" t="s">
        <v>649</v>
      </c>
      <c r="AG589" s="504">
        <v>17900000</v>
      </c>
      <c r="AH589" s="370">
        <v>0</v>
      </c>
      <c r="AI589" s="75"/>
      <c r="AJ589" s="75"/>
      <c r="AK589" s="75"/>
      <c r="AL589" s="75"/>
      <c r="AM589" s="75"/>
      <c r="AN589" s="64" t="s">
        <v>181</v>
      </c>
      <c r="AO589" s="165"/>
      <c r="AP589" s="165"/>
      <c r="AQ589" s="413"/>
      <c r="AR589" s="64"/>
      <c r="AS589" s="475"/>
      <c r="AT589" s="64"/>
      <c r="AU589" s="646"/>
      <c r="AV589" s="1274"/>
    </row>
    <row r="590" spans="1:48" ht="18.75" customHeight="1" outlineLevel="3" x14ac:dyDescent="0.25">
      <c r="A590" s="63" t="str">
        <f t="shared" si="110"/>
        <v>1.3.0.12.5.61</v>
      </c>
      <c r="B590" s="64">
        <v>1</v>
      </c>
      <c r="C590" s="64">
        <v>3</v>
      </c>
      <c r="D590" s="64">
        <v>0</v>
      </c>
      <c r="E590" s="64">
        <v>12</v>
      </c>
      <c r="F590" s="64">
        <v>5</v>
      </c>
      <c r="G590" s="100">
        <v>61</v>
      </c>
      <c r="H590" s="65"/>
      <c r="I590" s="65"/>
      <c r="J590" s="65"/>
      <c r="K590" s="65" t="s">
        <v>654</v>
      </c>
      <c r="L590" s="64" t="s">
        <v>72</v>
      </c>
      <c r="M590" s="64" t="s">
        <v>644</v>
      </c>
      <c r="N590" s="64" t="s">
        <v>265</v>
      </c>
      <c r="O590" s="64" t="s">
        <v>645</v>
      </c>
      <c r="P590" s="69">
        <v>44591</v>
      </c>
      <c r="Q590" s="69">
        <v>44925</v>
      </c>
      <c r="R590" s="136">
        <f>1087/2</f>
        <v>543.5</v>
      </c>
      <c r="S590" s="65" t="s">
        <v>646</v>
      </c>
      <c r="T590" s="182">
        <f t="shared" si="124"/>
        <v>8152500</v>
      </c>
      <c r="U590" s="370">
        <v>0</v>
      </c>
      <c r="V590" s="687">
        <v>0</v>
      </c>
      <c r="W590" s="183"/>
      <c r="X590" s="183"/>
      <c r="Y590" s="834">
        <f t="shared" si="122"/>
        <v>0</v>
      </c>
      <c r="Z590" s="183"/>
      <c r="AA590" s="183"/>
      <c r="AB590" s="183"/>
      <c r="AC590" s="75">
        <f t="shared" si="123"/>
        <v>8152500</v>
      </c>
      <c r="AD590" s="75"/>
      <c r="AE590" s="592"/>
      <c r="AF590" s="259" t="s">
        <v>649</v>
      </c>
      <c r="AG590" s="504">
        <v>32220000</v>
      </c>
      <c r="AH590" s="370">
        <v>0</v>
      </c>
      <c r="AI590" s="75"/>
      <c r="AJ590" s="75"/>
      <c r="AK590" s="75"/>
      <c r="AL590" s="75"/>
      <c r="AM590" s="75"/>
      <c r="AN590" s="64" t="s">
        <v>181</v>
      </c>
      <c r="AO590" s="165"/>
      <c r="AP590" s="165"/>
      <c r="AQ590" s="413"/>
      <c r="AR590" s="64"/>
      <c r="AS590" s="475"/>
      <c r="AT590" s="64"/>
      <c r="AU590" s="646"/>
      <c r="AV590" s="1274"/>
    </row>
    <row r="591" spans="1:48" ht="18.75" customHeight="1" outlineLevel="3" x14ac:dyDescent="0.25">
      <c r="A591" s="63" t="str">
        <f t="shared" si="110"/>
        <v>1.3.0.12.6.62</v>
      </c>
      <c r="B591" s="64">
        <v>1</v>
      </c>
      <c r="C591" s="64">
        <v>3</v>
      </c>
      <c r="D591" s="64">
        <v>0</v>
      </c>
      <c r="E591" s="64">
        <v>12</v>
      </c>
      <c r="F591" s="64">
        <v>6</v>
      </c>
      <c r="G591" s="100">
        <v>62</v>
      </c>
      <c r="H591" s="65"/>
      <c r="I591" s="65"/>
      <c r="J591" s="65"/>
      <c r="K591" s="65" t="s">
        <v>655</v>
      </c>
      <c r="L591" s="64" t="s">
        <v>72</v>
      </c>
      <c r="M591" s="64" t="s">
        <v>644</v>
      </c>
      <c r="N591" s="64" t="s">
        <v>265</v>
      </c>
      <c r="O591" s="64" t="s">
        <v>645</v>
      </c>
      <c r="P591" s="69">
        <v>44591</v>
      </c>
      <c r="Q591" s="69">
        <v>44925</v>
      </c>
      <c r="R591" s="136">
        <f>799/2</f>
        <v>399.5</v>
      </c>
      <c r="S591" s="65" t="s">
        <v>646</v>
      </c>
      <c r="T591" s="182">
        <f t="shared" si="124"/>
        <v>5992500</v>
      </c>
      <c r="U591" s="370">
        <v>0</v>
      </c>
      <c r="V591" s="687">
        <v>0</v>
      </c>
      <c r="W591" s="183"/>
      <c r="X591" s="183"/>
      <c r="Y591" s="834">
        <f t="shared" si="122"/>
        <v>0</v>
      </c>
      <c r="Z591" s="183"/>
      <c r="AA591" s="183"/>
      <c r="AB591" s="183"/>
      <c r="AC591" s="75">
        <f t="shared" si="123"/>
        <v>5992500</v>
      </c>
      <c r="AD591" s="75"/>
      <c r="AE591" s="592"/>
      <c r="AF591" s="259" t="s">
        <v>649</v>
      </c>
      <c r="AG591" s="504">
        <v>32000000</v>
      </c>
      <c r="AH591" s="370">
        <v>0</v>
      </c>
      <c r="AI591" s="75"/>
      <c r="AJ591" s="75"/>
      <c r="AK591" s="75"/>
      <c r="AL591" s="75"/>
      <c r="AM591" s="75"/>
      <c r="AN591" s="64" t="s">
        <v>181</v>
      </c>
      <c r="AO591" s="165"/>
      <c r="AP591" s="165"/>
      <c r="AQ591" s="413"/>
      <c r="AR591" s="64"/>
      <c r="AS591" s="475"/>
      <c r="AT591" s="64"/>
      <c r="AU591" s="646"/>
      <c r="AV591" s="1274"/>
    </row>
    <row r="592" spans="1:48" ht="18.75" customHeight="1" outlineLevel="3" x14ac:dyDescent="0.25">
      <c r="A592" s="63" t="str">
        <f t="shared" si="110"/>
        <v>1.3.0.12.7.60</v>
      </c>
      <c r="B592" s="64">
        <v>1</v>
      </c>
      <c r="C592" s="64">
        <v>3</v>
      </c>
      <c r="D592" s="64">
        <v>0</v>
      </c>
      <c r="E592" s="64">
        <v>12</v>
      </c>
      <c r="F592" s="64">
        <v>7</v>
      </c>
      <c r="G592" s="100">
        <v>60</v>
      </c>
      <c r="H592" s="65"/>
      <c r="I592" s="65"/>
      <c r="J592" s="65"/>
      <c r="K592" s="65" t="s">
        <v>656</v>
      </c>
      <c r="L592" s="64" t="s">
        <v>72</v>
      </c>
      <c r="M592" s="64" t="s">
        <v>644</v>
      </c>
      <c r="N592" s="64" t="s">
        <v>265</v>
      </c>
      <c r="O592" s="64" t="s">
        <v>645</v>
      </c>
      <c r="P592" s="69">
        <v>44591</v>
      </c>
      <c r="Q592" s="69">
        <v>44925</v>
      </c>
      <c r="R592" s="136">
        <f>1481/2</f>
        <v>740.5</v>
      </c>
      <c r="S592" s="65" t="s">
        <v>646</v>
      </c>
      <c r="T592" s="182">
        <f t="shared" si="124"/>
        <v>11107500</v>
      </c>
      <c r="U592" s="370">
        <v>0</v>
      </c>
      <c r="V592" s="687">
        <v>0</v>
      </c>
      <c r="W592" s="183"/>
      <c r="X592" s="183"/>
      <c r="Y592" s="834">
        <f t="shared" si="122"/>
        <v>0</v>
      </c>
      <c r="Z592" s="183"/>
      <c r="AA592" s="183"/>
      <c r="AB592" s="183"/>
      <c r="AC592" s="75">
        <f t="shared" si="123"/>
        <v>11107500</v>
      </c>
      <c r="AD592" s="75"/>
      <c r="AE592" s="592"/>
      <c r="AF592" s="259" t="s">
        <v>649</v>
      </c>
      <c r="AG592" s="504">
        <v>25659255.68</v>
      </c>
      <c r="AH592" s="370">
        <v>0</v>
      </c>
      <c r="AI592" s="75"/>
      <c r="AJ592" s="75"/>
      <c r="AK592" s="75"/>
      <c r="AL592" s="75"/>
      <c r="AM592" s="75"/>
      <c r="AN592" s="64" t="s">
        <v>181</v>
      </c>
      <c r="AO592" s="165"/>
      <c r="AP592" s="165"/>
      <c r="AQ592" s="413"/>
      <c r="AR592" s="64"/>
      <c r="AS592" s="475"/>
      <c r="AT592" s="64"/>
      <c r="AU592" s="646"/>
      <c r="AV592" s="1274"/>
    </row>
    <row r="593" spans="1:48" s="153" customFormat="1" ht="27" customHeight="1" outlineLevel="1" x14ac:dyDescent="0.25">
      <c r="A593" s="173" t="str">
        <f t="shared" si="110"/>
        <v>1.3.0.13.0.51</v>
      </c>
      <c r="B593" s="174">
        <v>1</v>
      </c>
      <c r="C593" s="174">
        <v>3</v>
      </c>
      <c r="D593" s="174">
        <v>0</v>
      </c>
      <c r="E593" s="174">
        <v>13</v>
      </c>
      <c r="F593" s="174">
        <v>0</v>
      </c>
      <c r="G593" s="174">
        <v>51</v>
      </c>
      <c r="H593" s="175"/>
      <c r="I593" s="175"/>
      <c r="J593" s="175" t="s">
        <v>657</v>
      </c>
      <c r="K593" s="176"/>
      <c r="L593" s="81" t="s">
        <v>236</v>
      </c>
      <c r="M593" s="81">
        <v>0</v>
      </c>
      <c r="N593" s="81">
        <v>0</v>
      </c>
      <c r="O593" s="81">
        <v>0</v>
      </c>
      <c r="P593" s="81"/>
      <c r="Q593" s="81"/>
      <c r="R593" s="119">
        <f>R597+R596+R595+R594</f>
        <v>0</v>
      </c>
      <c r="S593" s="120" t="s">
        <v>242</v>
      </c>
      <c r="T593" s="119">
        <f>T597+T596+T595+T594</f>
        <v>0</v>
      </c>
      <c r="U593" s="369">
        <f>+SUM(U594:U598)</f>
        <v>0</v>
      </c>
      <c r="V593" s="677">
        <f>+SUM(V594:V598)</f>
        <v>0</v>
      </c>
      <c r="W593" s="61">
        <f>W597+W596+W595+W594</f>
        <v>0</v>
      </c>
      <c r="X593" s="61">
        <f>SUM(X594:X598)</f>
        <v>0</v>
      </c>
      <c r="Y593" s="838">
        <f>SUM(Y594:Y598)</f>
        <v>0</v>
      </c>
      <c r="Z593" s="61">
        <f>Z597+Z596+Z595+Z594</f>
        <v>0</v>
      </c>
      <c r="AA593" s="61"/>
      <c r="AB593" s="61"/>
      <c r="AC593" s="61">
        <f>AC597+AC596+AC595+AC594</f>
        <v>0</v>
      </c>
      <c r="AD593" s="61"/>
      <c r="AE593" s="594"/>
      <c r="AF593" s="346">
        <f>AF595</f>
        <v>0</v>
      </c>
      <c r="AG593" s="511">
        <f>+SUM(AG594:AG598)</f>
        <v>0</v>
      </c>
      <c r="AH593" s="369">
        <f>+SUM(AH594:AH598)</f>
        <v>0</v>
      </c>
      <c r="AI593" s="511">
        <f>+SUM(AI594:AI598)</f>
        <v>0</v>
      </c>
      <c r="AJ593" s="511">
        <f>+SUM(AJ594:AJ598)</f>
        <v>0</v>
      </c>
      <c r="AK593" s="61"/>
      <c r="AL593" s="61"/>
      <c r="AM593" s="61"/>
      <c r="AN593" s="81" t="s">
        <v>181</v>
      </c>
      <c r="AO593" s="81"/>
      <c r="AP593" s="81"/>
      <c r="AQ593" s="412"/>
      <c r="AR593" s="81"/>
      <c r="AS593" s="474"/>
      <c r="AT593" s="81"/>
      <c r="AU593" s="663"/>
      <c r="AV593" s="444" t="s">
        <v>658</v>
      </c>
    </row>
    <row r="594" spans="1:48" outlineLevel="3" x14ac:dyDescent="0.25">
      <c r="A594" s="63" t="str">
        <f t="shared" si="110"/>
        <v>1.3.0.13.1.51</v>
      </c>
      <c r="B594" s="64">
        <v>1</v>
      </c>
      <c r="C594" s="64">
        <v>3</v>
      </c>
      <c r="D594" s="64">
        <v>0</v>
      </c>
      <c r="E594" s="64">
        <v>13</v>
      </c>
      <c r="F594" s="64">
        <v>1</v>
      </c>
      <c r="G594" s="189">
        <v>51</v>
      </c>
      <c r="H594" s="65"/>
      <c r="I594" s="65"/>
      <c r="J594" s="66"/>
      <c r="K594" s="185" t="s">
        <v>245</v>
      </c>
      <c r="L594" s="64" t="s">
        <v>246</v>
      </c>
      <c r="M594" s="64" t="s">
        <v>240</v>
      </c>
      <c r="N594" s="64" t="s">
        <v>247</v>
      </c>
      <c r="O594" s="64" t="s">
        <v>241</v>
      </c>
      <c r="P594" s="186"/>
      <c r="Q594" s="186"/>
      <c r="R594" s="186"/>
      <c r="S594" s="187" t="s">
        <v>248</v>
      </c>
      <c r="T594" s="186"/>
      <c r="U594" s="370">
        <v>0</v>
      </c>
      <c r="V594" s="687">
        <v>0</v>
      </c>
      <c r="W594" s="75"/>
      <c r="X594" s="75"/>
      <c r="Y594" s="834">
        <f>+AJ594-V594</f>
        <v>0</v>
      </c>
      <c r="Z594" s="75"/>
      <c r="AA594" s="75"/>
      <c r="AB594" s="75"/>
      <c r="AC594" s="75"/>
      <c r="AD594" s="75"/>
      <c r="AE594" s="592"/>
      <c r="AF594" s="355"/>
      <c r="AG594" s="510">
        <v>0</v>
      </c>
      <c r="AH594" s="370">
        <v>0</v>
      </c>
      <c r="AI594" s="75"/>
      <c r="AJ594" s="75"/>
      <c r="AK594" s="75"/>
      <c r="AL594" s="75"/>
      <c r="AM594" s="75"/>
      <c r="AN594" s="64" t="s">
        <v>181</v>
      </c>
      <c r="AO594" s="64"/>
      <c r="AP594" s="64"/>
      <c r="AQ594" s="189"/>
      <c r="AR594" s="64"/>
      <c r="AS594" s="476"/>
      <c r="AT594" s="64"/>
      <c r="AU594" s="646"/>
      <c r="AV594" s="185"/>
    </row>
    <row r="595" spans="1:48" outlineLevel="3" x14ac:dyDescent="0.25">
      <c r="A595" s="63" t="str">
        <f t="shared" si="110"/>
        <v>1.3.0.13.2.51</v>
      </c>
      <c r="B595" s="64">
        <v>1</v>
      </c>
      <c r="C595" s="64">
        <v>3</v>
      </c>
      <c r="D595" s="64">
        <v>0</v>
      </c>
      <c r="E595" s="64">
        <v>13</v>
      </c>
      <c r="F595" s="64">
        <v>2</v>
      </c>
      <c r="G595" s="189">
        <v>51</v>
      </c>
      <c r="H595" s="65"/>
      <c r="I595" s="65"/>
      <c r="J595" s="65"/>
      <c r="K595" s="185" t="s">
        <v>251</v>
      </c>
      <c r="L595" s="64" t="s">
        <v>246</v>
      </c>
      <c r="M595" s="64" t="s">
        <v>240</v>
      </c>
      <c r="N595" s="64" t="s">
        <v>247</v>
      </c>
      <c r="O595" s="64" t="s">
        <v>241</v>
      </c>
      <c r="P595" s="69"/>
      <c r="Q595" s="69"/>
      <c r="R595" s="188"/>
      <c r="S595" s="187" t="s">
        <v>248</v>
      </c>
      <c r="T595" s="186"/>
      <c r="U595" s="370">
        <v>0</v>
      </c>
      <c r="V595" s="687">
        <v>0</v>
      </c>
      <c r="W595" s="75"/>
      <c r="X595" s="75"/>
      <c r="Y595" s="834">
        <f>+AJ595-V595</f>
        <v>0</v>
      </c>
      <c r="Z595" s="75"/>
      <c r="AA595" s="75"/>
      <c r="AB595" s="75"/>
      <c r="AC595" s="75"/>
      <c r="AD595" s="75"/>
      <c r="AE595" s="592"/>
      <c r="AF595" s="355"/>
      <c r="AG595" s="510">
        <v>0</v>
      </c>
      <c r="AH595" s="370">
        <v>0</v>
      </c>
      <c r="AI595" s="75"/>
      <c r="AJ595" s="75"/>
      <c r="AK595" s="75"/>
      <c r="AL595" s="75"/>
      <c r="AM595" s="75"/>
      <c r="AN595" s="64" t="s">
        <v>181</v>
      </c>
      <c r="AO595" s="64"/>
      <c r="AP595" s="64"/>
      <c r="AQ595" s="189"/>
      <c r="AR595" s="64"/>
      <c r="AS595" s="476"/>
      <c r="AT595" s="64"/>
      <c r="AU595" s="646"/>
      <c r="AV595" s="185"/>
    </row>
    <row r="596" spans="1:48" outlineLevel="3" x14ac:dyDescent="0.25">
      <c r="A596" s="63" t="str">
        <f t="shared" si="110"/>
        <v>1.3.0.13.3.51</v>
      </c>
      <c r="B596" s="64">
        <v>1</v>
      </c>
      <c r="C596" s="64">
        <v>3</v>
      </c>
      <c r="D596" s="64">
        <v>0</v>
      </c>
      <c r="E596" s="64">
        <v>13</v>
      </c>
      <c r="F596" s="64">
        <v>3</v>
      </c>
      <c r="G596" s="189">
        <v>51</v>
      </c>
      <c r="H596" s="65"/>
      <c r="I596" s="65"/>
      <c r="J596" s="66"/>
      <c r="K596" s="185" t="s">
        <v>255</v>
      </c>
      <c r="L596" s="64" t="s">
        <v>246</v>
      </c>
      <c r="M596" s="64" t="s">
        <v>256</v>
      </c>
      <c r="N596" s="64" t="s">
        <v>257</v>
      </c>
      <c r="O596" s="64" t="s">
        <v>241</v>
      </c>
      <c r="P596" s="69"/>
      <c r="Q596" s="190"/>
      <c r="R596" s="186"/>
      <c r="S596" s="187" t="s">
        <v>258</v>
      </c>
      <c r="T596" s="186"/>
      <c r="U596" s="370">
        <v>0</v>
      </c>
      <c r="V596" s="687">
        <v>0</v>
      </c>
      <c r="W596" s="75"/>
      <c r="X596" s="75"/>
      <c r="Y596" s="834">
        <f>+AJ596-V596</f>
        <v>0</v>
      </c>
      <c r="Z596" s="75"/>
      <c r="AA596" s="75"/>
      <c r="AB596" s="75"/>
      <c r="AC596" s="75"/>
      <c r="AD596" s="75"/>
      <c r="AE596" s="592"/>
      <c r="AF596" s="356"/>
      <c r="AG596" s="510">
        <v>0</v>
      </c>
      <c r="AH596" s="370">
        <v>0</v>
      </c>
      <c r="AI596" s="75"/>
      <c r="AJ596" s="75"/>
      <c r="AK596" s="75"/>
      <c r="AL596" s="75"/>
      <c r="AM596" s="75"/>
      <c r="AN596" s="64" t="s">
        <v>181</v>
      </c>
      <c r="AO596" s="64" t="s">
        <v>1839</v>
      </c>
      <c r="AP596" s="64" t="s">
        <v>649</v>
      </c>
      <c r="AQ596" s="533" t="s">
        <v>649</v>
      </c>
      <c r="AR596" s="554">
        <v>44562</v>
      </c>
      <c r="AS596" s="554">
        <v>44561</v>
      </c>
      <c r="AT596" s="64" t="s">
        <v>1814</v>
      </c>
      <c r="AU596" s="646"/>
      <c r="AV596" s="335"/>
    </row>
    <row r="597" spans="1:48" outlineLevel="3" x14ac:dyDescent="0.25">
      <c r="A597" s="63" t="str">
        <f t="shared" si="110"/>
        <v>1.3.0.13.4.51</v>
      </c>
      <c r="B597" s="64">
        <v>1</v>
      </c>
      <c r="C597" s="64">
        <v>3</v>
      </c>
      <c r="D597" s="64">
        <v>0</v>
      </c>
      <c r="E597" s="64">
        <v>13</v>
      </c>
      <c r="F597" s="64">
        <v>4</v>
      </c>
      <c r="G597" s="189">
        <v>51</v>
      </c>
      <c r="H597" s="65"/>
      <c r="I597" s="65"/>
      <c r="J597" s="66"/>
      <c r="K597" s="185" t="s">
        <v>263</v>
      </c>
      <c r="L597" s="64" t="s">
        <v>264</v>
      </c>
      <c r="M597" s="64" t="s">
        <v>144</v>
      </c>
      <c r="N597" s="64" t="s">
        <v>265</v>
      </c>
      <c r="O597" s="64" t="s">
        <v>266</v>
      </c>
      <c r="P597" s="69"/>
      <c r="Q597" s="69"/>
      <c r="R597" s="186"/>
      <c r="S597" s="187" t="s">
        <v>258</v>
      </c>
      <c r="T597" s="186"/>
      <c r="U597" s="370">
        <v>0</v>
      </c>
      <c r="V597" s="687">
        <v>0</v>
      </c>
      <c r="W597" s="75"/>
      <c r="X597" s="75"/>
      <c r="Y597" s="834">
        <f>+AJ597-V597</f>
        <v>0</v>
      </c>
      <c r="Z597" s="75"/>
      <c r="AA597" s="75"/>
      <c r="AB597" s="75"/>
      <c r="AC597" s="75"/>
      <c r="AD597" s="75"/>
      <c r="AE597" s="592"/>
      <c r="AF597" s="355"/>
      <c r="AG597" s="510">
        <v>0</v>
      </c>
      <c r="AH597" s="370">
        <v>0</v>
      </c>
      <c r="AI597" s="75"/>
      <c r="AJ597" s="75"/>
      <c r="AK597" s="75"/>
      <c r="AL597" s="75"/>
      <c r="AM597" s="75"/>
      <c r="AN597" s="64" t="s">
        <v>181</v>
      </c>
      <c r="AO597" s="64"/>
      <c r="AP597" s="64"/>
      <c r="AQ597" s="189"/>
      <c r="AR597" s="64"/>
      <c r="AS597" s="476"/>
      <c r="AT597" s="64"/>
      <c r="AU597" s="646"/>
      <c r="AV597" s="185"/>
    </row>
    <row r="598" spans="1:48" ht="30" outlineLevel="3" x14ac:dyDescent="0.25">
      <c r="A598" s="63" t="str">
        <f t="shared" si="110"/>
        <v>1.3.0.13.5.51</v>
      </c>
      <c r="B598" s="191">
        <v>1</v>
      </c>
      <c r="C598" s="191">
        <v>3</v>
      </c>
      <c r="D598" s="191">
        <v>0</v>
      </c>
      <c r="E598" s="191">
        <v>13</v>
      </c>
      <c r="F598" s="191">
        <v>5</v>
      </c>
      <c r="G598" s="192">
        <v>51</v>
      </c>
      <c r="H598" s="65"/>
      <c r="I598" s="65"/>
      <c r="J598" s="66"/>
      <c r="K598" s="137" t="s">
        <v>659</v>
      </c>
      <c r="L598" s="64"/>
      <c r="M598" s="64"/>
      <c r="N598" s="64"/>
      <c r="O598" s="64"/>
      <c r="P598" s="186"/>
      <c r="Q598" s="186"/>
      <c r="R598" s="186"/>
      <c r="S598" s="187"/>
      <c r="T598" s="186"/>
      <c r="U598" s="370">
        <v>0</v>
      </c>
      <c r="V598" s="687">
        <v>0</v>
      </c>
      <c r="W598" s="75"/>
      <c r="X598" s="75"/>
      <c r="Y598" s="834">
        <f>+AJ598-V598</f>
        <v>0</v>
      </c>
      <c r="Z598" s="75"/>
      <c r="AA598" s="75"/>
      <c r="AB598" s="75"/>
      <c r="AC598" s="75"/>
      <c r="AD598" s="75"/>
      <c r="AE598" s="592"/>
      <c r="AF598" s="355"/>
      <c r="AG598" s="510">
        <v>0</v>
      </c>
      <c r="AH598" s="370">
        <v>0</v>
      </c>
      <c r="AI598" s="75"/>
      <c r="AJ598" s="75"/>
      <c r="AK598" s="75"/>
      <c r="AL598" s="75"/>
      <c r="AM598" s="75"/>
      <c r="AN598" s="64" t="s">
        <v>181</v>
      </c>
      <c r="AO598" s="64"/>
      <c r="AP598" s="64"/>
      <c r="AQ598" s="189"/>
      <c r="AR598" s="64"/>
      <c r="AS598" s="476"/>
      <c r="AT598" s="64"/>
      <c r="AU598" s="646"/>
      <c r="AV598" s="185"/>
    </row>
    <row r="599" spans="1:48" s="153" customFormat="1" ht="27" customHeight="1" outlineLevel="1" x14ac:dyDescent="0.25">
      <c r="A599" s="148" t="str">
        <f t="shared" si="110"/>
        <v>1.3.0.14.0.1</v>
      </c>
      <c r="B599" s="82">
        <v>1</v>
      </c>
      <c r="C599" s="82">
        <v>3</v>
      </c>
      <c r="D599" s="82">
        <v>0</v>
      </c>
      <c r="E599" s="82">
        <v>14</v>
      </c>
      <c r="F599" s="82">
        <v>0</v>
      </c>
      <c r="G599" s="193">
        <v>1</v>
      </c>
      <c r="H599" s="149"/>
      <c r="I599" s="149"/>
      <c r="J599" s="1260" t="s">
        <v>660</v>
      </c>
      <c r="K599" s="1260"/>
      <c r="L599" s="82" t="s">
        <v>236</v>
      </c>
      <c r="M599" s="82">
        <v>0</v>
      </c>
      <c r="N599" s="82">
        <v>0</v>
      </c>
      <c r="O599" s="82">
        <v>0</v>
      </c>
      <c r="P599" s="82"/>
      <c r="Q599" s="82"/>
      <c r="R599" s="150"/>
      <c r="S599" s="151" t="s">
        <v>242</v>
      </c>
      <c r="T599" s="150"/>
      <c r="U599" s="379">
        <f>SUM(U600:U604)</f>
        <v>0</v>
      </c>
      <c r="V599" s="682">
        <f>SUM(V600:V604)</f>
        <v>0</v>
      </c>
      <c r="W599" s="152">
        <f>SUM(W600:W604)</f>
        <v>0</v>
      </c>
      <c r="X599" s="152">
        <f>SUM(X600:X604)</f>
        <v>0</v>
      </c>
      <c r="Y599" s="844">
        <f>SUM(Y600:Y604)</f>
        <v>0</v>
      </c>
      <c r="Z599" s="152"/>
      <c r="AA599" s="152"/>
      <c r="AB599" s="152"/>
      <c r="AC599" s="152"/>
      <c r="AD599" s="152"/>
      <c r="AE599" s="597"/>
      <c r="AF599" s="351"/>
      <c r="AG599" s="512">
        <f>SUM(AG600:AG604)</f>
        <v>0</v>
      </c>
      <c r="AH599" s="379">
        <f>SUM(AH600:AH604)</f>
        <v>0</v>
      </c>
      <c r="AI599" s="512">
        <f>SUM(AI600:AI604)</f>
        <v>0</v>
      </c>
      <c r="AJ599" s="512">
        <f>SUM(AJ600:AJ604)</f>
        <v>0</v>
      </c>
      <c r="AK599" s="152"/>
      <c r="AL599" s="152"/>
      <c r="AM599" s="152"/>
      <c r="AN599" s="82" t="s">
        <v>181</v>
      </c>
      <c r="AO599" s="82"/>
      <c r="AP599" s="82"/>
      <c r="AQ599" s="365"/>
      <c r="AR599" s="82"/>
      <c r="AS599" s="483"/>
      <c r="AT599" s="82"/>
      <c r="AU599" s="666"/>
      <c r="AV599" s="444" t="s">
        <v>658</v>
      </c>
    </row>
    <row r="600" spans="1:48" outlineLevel="2" x14ac:dyDescent="0.25">
      <c r="A600" s="63" t="str">
        <f t="shared" si="110"/>
        <v>1.3.0.14.1.1</v>
      </c>
      <c r="B600" s="64">
        <v>1</v>
      </c>
      <c r="C600" s="64">
        <v>3</v>
      </c>
      <c r="D600" s="64">
        <v>0</v>
      </c>
      <c r="E600" s="64">
        <v>14</v>
      </c>
      <c r="F600" s="64">
        <v>1</v>
      </c>
      <c r="G600" s="194">
        <v>1</v>
      </c>
      <c r="H600" s="65"/>
      <c r="I600" s="65"/>
      <c r="J600" s="66"/>
      <c r="K600" s="65" t="s">
        <v>245</v>
      </c>
      <c r="L600" s="64" t="s">
        <v>246</v>
      </c>
      <c r="M600" s="64" t="s">
        <v>240</v>
      </c>
      <c r="N600" s="64" t="s">
        <v>247</v>
      </c>
      <c r="O600" s="64" t="s">
        <v>241</v>
      </c>
      <c r="P600" s="64"/>
      <c r="Q600" s="64"/>
      <c r="R600" s="124"/>
      <c r="S600" s="123" t="s">
        <v>248</v>
      </c>
      <c r="T600" s="124">
        <v>0</v>
      </c>
      <c r="U600" s="370">
        <v>0</v>
      </c>
      <c r="V600" s="687">
        <v>0</v>
      </c>
      <c r="W600" s="75"/>
      <c r="X600" s="75"/>
      <c r="Y600" s="834">
        <f>+AJ600-V600</f>
        <v>0</v>
      </c>
      <c r="Z600" s="75"/>
      <c r="AA600" s="75"/>
      <c r="AB600" s="75"/>
      <c r="AC600" s="75"/>
      <c r="AD600" s="75"/>
      <c r="AE600" s="592"/>
      <c r="AF600" s="347"/>
      <c r="AG600" s="510">
        <v>0</v>
      </c>
      <c r="AH600" s="370">
        <v>0</v>
      </c>
      <c r="AI600" s="75"/>
      <c r="AJ600" s="75"/>
      <c r="AK600" s="75"/>
      <c r="AL600" s="75"/>
      <c r="AM600" s="75"/>
      <c r="AN600" s="171" t="s">
        <v>181</v>
      </c>
      <c r="AO600" s="171"/>
      <c r="AP600" s="171"/>
      <c r="AQ600" s="418"/>
      <c r="AS600" s="484"/>
      <c r="AV600" s="185"/>
    </row>
    <row r="601" spans="1:48" outlineLevel="2" x14ac:dyDescent="0.25">
      <c r="A601" s="63" t="str">
        <f t="shared" si="110"/>
        <v>1.3.0.14.2.1</v>
      </c>
      <c r="B601" s="64">
        <v>1</v>
      </c>
      <c r="C601" s="64">
        <v>3</v>
      </c>
      <c r="D601" s="64">
        <v>0</v>
      </c>
      <c r="E601" s="64">
        <v>14</v>
      </c>
      <c r="F601" s="64">
        <v>2</v>
      </c>
      <c r="G601" s="194">
        <v>1</v>
      </c>
      <c r="H601" s="65"/>
      <c r="I601" s="65"/>
      <c r="J601" s="65"/>
      <c r="K601" s="65" t="s">
        <v>251</v>
      </c>
      <c r="L601" s="64" t="s">
        <v>246</v>
      </c>
      <c r="M601" s="64" t="s">
        <v>240</v>
      </c>
      <c r="N601" s="64" t="s">
        <v>252</v>
      </c>
      <c r="O601" s="64" t="s">
        <v>241</v>
      </c>
      <c r="P601" s="69"/>
      <c r="Q601" s="69"/>
      <c r="R601" s="158"/>
      <c r="S601" s="123" t="s">
        <v>248</v>
      </c>
      <c r="T601" s="124"/>
      <c r="U601" s="370">
        <v>0</v>
      </c>
      <c r="V601" s="687">
        <v>0</v>
      </c>
      <c r="W601" s="75"/>
      <c r="X601" s="75"/>
      <c r="Y601" s="834">
        <f>+AJ601-V601</f>
        <v>0</v>
      </c>
      <c r="Z601" s="75"/>
      <c r="AA601" s="75"/>
      <c r="AB601" s="75"/>
      <c r="AC601" s="75"/>
      <c r="AD601" s="75"/>
      <c r="AE601" s="592"/>
      <c r="AF601" s="347"/>
      <c r="AG601" s="510">
        <v>0</v>
      </c>
      <c r="AH601" s="370">
        <v>0</v>
      </c>
      <c r="AI601" s="75"/>
      <c r="AJ601" s="75"/>
      <c r="AK601" s="75"/>
      <c r="AL601" s="75"/>
      <c r="AM601" s="75"/>
      <c r="AN601" s="171" t="s">
        <v>181</v>
      </c>
      <c r="AO601" s="171"/>
      <c r="AP601" s="171"/>
      <c r="AQ601" s="418"/>
      <c r="AS601" s="484"/>
      <c r="AV601" s="185"/>
    </row>
    <row r="602" spans="1:48" outlineLevel="2" x14ac:dyDescent="0.25">
      <c r="A602" s="63" t="str">
        <f t="shared" si="110"/>
        <v>1.3.0.14.3.1</v>
      </c>
      <c r="B602" s="64">
        <v>1</v>
      </c>
      <c r="C602" s="64">
        <v>3</v>
      </c>
      <c r="D602" s="64">
        <v>0</v>
      </c>
      <c r="E602" s="64">
        <v>14</v>
      </c>
      <c r="F602" s="64">
        <v>3</v>
      </c>
      <c r="G602" s="194">
        <v>1</v>
      </c>
      <c r="H602" s="65"/>
      <c r="I602" s="65"/>
      <c r="J602" s="66"/>
      <c r="K602" s="65" t="s">
        <v>255</v>
      </c>
      <c r="L602" s="64" t="s">
        <v>246</v>
      </c>
      <c r="M602" s="64" t="s">
        <v>256</v>
      </c>
      <c r="N602" s="64" t="s">
        <v>257</v>
      </c>
      <c r="O602" s="64" t="s">
        <v>241</v>
      </c>
      <c r="P602" s="69"/>
      <c r="Q602" s="170"/>
      <c r="R602" s="124"/>
      <c r="S602" s="123" t="s">
        <v>258</v>
      </c>
      <c r="T602" s="124"/>
      <c r="U602" s="370">
        <v>0</v>
      </c>
      <c r="V602" s="687">
        <v>0</v>
      </c>
      <c r="W602" s="75"/>
      <c r="X602" s="75"/>
      <c r="Y602" s="834">
        <f>+AJ602-V602</f>
        <v>0</v>
      </c>
      <c r="Z602" s="75"/>
      <c r="AA602" s="75"/>
      <c r="AB602" s="75"/>
      <c r="AC602" s="75"/>
      <c r="AD602" s="75"/>
      <c r="AE602" s="592"/>
      <c r="AF602" s="347"/>
      <c r="AG602" s="510">
        <v>0</v>
      </c>
      <c r="AH602" s="370">
        <v>0</v>
      </c>
      <c r="AI602" s="75"/>
      <c r="AJ602" s="75"/>
      <c r="AK602" s="75"/>
      <c r="AL602" s="75"/>
      <c r="AM602" s="75"/>
      <c r="AN602" s="171" t="s">
        <v>181</v>
      </c>
      <c r="AO602" s="533" t="s">
        <v>1839</v>
      </c>
      <c r="AP602" s="533" t="s">
        <v>649</v>
      </c>
      <c r="AQ602" s="533" t="s">
        <v>649</v>
      </c>
      <c r="AR602" s="554">
        <v>44562</v>
      </c>
      <c r="AS602" s="554">
        <v>44561</v>
      </c>
      <c r="AT602" s="533" t="s">
        <v>1814</v>
      </c>
      <c r="AV602" s="335"/>
    </row>
    <row r="603" spans="1:48" outlineLevel="2" x14ac:dyDescent="0.25">
      <c r="A603" s="63" t="str">
        <f t="shared" si="110"/>
        <v>1.3.0.14.4.1</v>
      </c>
      <c r="B603" s="64">
        <v>1</v>
      </c>
      <c r="C603" s="64">
        <v>3</v>
      </c>
      <c r="D603" s="64">
        <v>0</v>
      </c>
      <c r="E603" s="64">
        <v>14</v>
      </c>
      <c r="F603" s="64">
        <v>4</v>
      </c>
      <c r="G603" s="194">
        <v>1</v>
      </c>
      <c r="H603" s="65"/>
      <c r="I603" s="65"/>
      <c r="J603" s="66"/>
      <c r="K603" s="65" t="s">
        <v>263</v>
      </c>
      <c r="L603" s="64" t="s">
        <v>264</v>
      </c>
      <c r="M603" s="64" t="s">
        <v>76</v>
      </c>
      <c r="N603" s="64" t="s">
        <v>265</v>
      </c>
      <c r="O603" s="64" t="s">
        <v>266</v>
      </c>
      <c r="P603" s="69"/>
      <c r="Q603" s="170"/>
      <c r="R603" s="124"/>
      <c r="S603" s="123" t="s">
        <v>258</v>
      </c>
      <c r="T603" s="124"/>
      <c r="U603" s="370">
        <v>0</v>
      </c>
      <c r="V603" s="687">
        <v>0</v>
      </c>
      <c r="W603" s="75"/>
      <c r="X603" s="75"/>
      <c r="Y603" s="834">
        <f>+AJ603-V603</f>
        <v>0</v>
      </c>
      <c r="Z603" s="75"/>
      <c r="AA603" s="75"/>
      <c r="AB603" s="75"/>
      <c r="AC603" s="75"/>
      <c r="AD603" s="75"/>
      <c r="AE603" s="592"/>
      <c r="AF603" s="347"/>
      <c r="AG603" s="510">
        <v>0</v>
      </c>
      <c r="AH603" s="370">
        <v>0</v>
      </c>
      <c r="AI603" s="75"/>
      <c r="AJ603" s="75"/>
      <c r="AK603" s="75"/>
      <c r="AL603" s="75"/>
      <c r="AM603" s="75"/>
      <c r="AN603" s="64" t="s">
        <v>181</v>
      </c>
      <c r="AO603" s="64"/>
      <c r="AP603" s="64"/>
      <c r="AQ603" s="189"/>
      <c r="AR603" s="64"/>
      <c r="AS603" s="476"/>
      <c r="AT603" s="64"/>
      <c r="AU603" s="646"/>
      <c r="AV603" s="185"/>
    </row>
    <row r="604" spans="1:48" ht="30" outlineLevel="2" x14ac:dyDescent="0.25">
      <c r="A604" s="63" t="str">
        <f t="shared" si="110"/>
        <v>1.3.0.14.5.1</v>
      </c>
      <c r="B604" s="191">
        <v>1</v>
      </c>
      <c r="C604" s="191">
        <v>3</v>
      </c>
      <c r="D604" s="191">
        <v>0</v>
      </c>
      <c r="E604" s="191">
        <v>14</v>
      </c>
      <c r="F604" s="191">
        <v>5</v>
      </c>
      <c r="G604" s="194">
        <v>1</v>
      </c>
      <c r="H604" s="195"/>
      <c r="I604" s="65"/>
      <c r="J604" s="66"/>
      <c r="K604" s="137" t="s">
        <v>659</v>
      </c>
      <c r="L604" s="64"/>
      <c r="M604" s="64"/>
      <c r="N604" s="64"/>
      <c r="O604" s="64"/>
      <c r="P604" s="69"/>
      <c r="Q604" s="170"/>
      <c r="R604" s="124"/>
      <c r="S604" s="123"/>
      <c r="T604" s="124"/>
      <c r="U604" s="370">
        <v>0</v>
      </c>
      <c r="V604" s="687">
        <v>0</v>
      </c>
      <c r="W604" s="75"/>
      <c r="X604" s="75"/>
      <c r="Y604" s="834">
        <f>+AJ604-V604</f>
        <v>0</v>
      </c>
      <c r="Z604" s="75"/>
      <c r="AA604" s="75"/>
      <c r="AB604" s="75"/>
      <c r="AC604" s="75"/>
      <c r="AD604" s="75"/>
      <c r="AE604" s="592"/>
      <c r="AF604" s="347"/>
      <c r="AG604" s="510">
        <v>0</v>
      </c>
      <c r="AH604" s="370">
        <v>0</v>
      </c>
      <c r="AI604" s="75"/>
      <c r="AJ604" s="75"/>
      <c r="AK604" s="75"/>
      <c r="AL604" s="75"/>
      <c r="AM604" s="75"/>
      <c r="AN604" s="64" t="s">
        <v>181</v>
      </c>
      <c r="AO604" s="64"/>
      <c r="AP604" s="64"/>
      <c r="AQ604" s="189"/>
      <c r="AR604" s="64"/>
      <c r="AS604" s="476"/>
      <c r="AT604" s="64"/>
      <c r="AU604" s="646"/>
      <c r="AV604" s="185"/>
    </row>
    <row r="605" spans="1:48" s="153" customFormat="1" ht="30.75" customHeight="1" outlineLevel="1" x14ac:dyDescent="0.25">
      <c r="A605" s="148" t="str">
        <f t="shared" si="110"/>
        <v>1.3.0.15.0.6</v>
      </c>
      <c r="B605" s="82">
        <v>1</v>
      </c>
      <c r="C605" s="82">
        <v>3</v>
      </c>
      <c r="D605" s="82">
        <v>0</v>
      </c>
      <c r="E605" s="82">
        <v>15</v>
      </c>
      <c r="F605" s="82">
        <v>0</v>
      </c>
      <c r="G605" s="82">
        <v>6</v>
      </c>
      <c r="H605" s="149"/>
      <c r="I605" s="149"/>
      <c r="J605" s="1260" t="s">
        <v>661</v>
      </c>
      <c r="K605" s="1260"/>
      <c r="L605" s="82" t="s">
        <v>236</v>
      </c>
      <c r="M605" s="82" t="s">
        <v>240</v>
      </c>
      <c r="N605" s="82" t="s">
        <v>226</v>
      </c>
      <c r="O605" s="82" t="s">
        <v>542</v>
      </c>
      <c r="P605" s="82"/>
      <c r="Q605" s="82"/>
      <c r="R605" s="150">
        <f>R609+R608+R607+R606</f>
        <v>0</v>
      </c>
      <c r="S605" s="151" t="s">
        <v>242</v>
      </c>
      <c r="T605" s="150">
        <f>T609+T608+T607+T606</f>
        <v>0</v>
      </c>
      <c r="U605" s="379">
        <f>+SUM(U606:U610)</f>
        <v>0</v>
      </c>
      <c r="V605" s="682">
        <f>+SUM(V606:V610)</f>
        <v>0</v>
      </c>
      <c r="W605" s="152">
        <f>W609+W608+W607+W606</f>
        <v>0</v>
      </c>
      <c r="X605" s="152">
        <f t="shared" ref="X605:Y605" si="125">X609+X608+X607+X606</f>
        <v>0</v>
      </c>
      <c r="Y605" s="844">
        <f t="shared" si="125"/>
        <v>0</v>
      </c>
      <c r="Z605" s="152">
        <f>Z609+Z608+Z607+Z606</f>
        <v>0</v>
      </c>
      <c r="AA605" s="152"/>
      <c r="AB605" s="152"/>
      <c r="AC605" s="152">
        <f>AC609+AC608+AC607+AC606</f>
        <v>0</v>
      </c>
      <c r="AD605" s="152"/>
      <c r="AE605" s="597"/>
      <c r="AF605" s="351">
        <f>AF607</f>
        <v>0</v>
      </c>
      <c r="AG605" s="512">
        <f>+SUM(AG606:AG610)</f>
        <v>0</v>
      </c>
      <c r="AH605" s="379">
        <f>+SUM(AH606:AH610)</f>
        <v>0</v>
      </c>
      <c r="AI605" s="512">
        <f>+SUM(AI606:AI610)</f>
        <v>0</v>
      </c>
      <c r="AJ605" s="512">
        <f>+SUM(AJ606:AJ610)</f>
        <v>0</v>
      </c>
      <c r="AK605" s="152"/>
      <c r="AL605" s="152"/>
      <c r="AM605" s="152"/>
      <c r="AN605" s="82" t="s">
        <v>181</v>
      </c>
      <c r="AO605" s="82"/>
      <c r="AP605" s="82"/>
      <c r="AQ605" s="365"/>
      <c r="AR605" s="82"/>
      <c r="AS605" s="483"/>
      <c r="AT605" s="82"/>
      <c r="AU605" s="666"/>
      <c r="AV605" s="444"/>
    </row>
    <row r="606" spans="1:48" outlineLevel="4" x14ac:dyDescent="0.25">
      <c r="A606" s="63" t="str">
        <f t="shared" si="110"/>
        <v>1.3.0.15.1.6</v>
      </c>
      <c r="B606" s="64">
        <v>1</v>
      </c>
      <c r="C606" s="64">
        <v>3</v>
      </c>
      <c r="D606" s="64">
        <v>0</v>
      </c>
      <c r="E606" s="64">
        <v>15</v>
      </c>
      <c r="F606" s="64">
        <v>1</v>
      </c>
      <c r="G606" s="64">
        <v>6</v>
      </c>
      <c r="H606" s="65"/>
      <c r="I606" s="65"/>
      <c r="J606" s="66"/>
      <c r="K606" s="65" t="s">
        <v>245</v>
      </c>
      <c r="L606" s="64" t="s">
        <v>246</v>
      </c>
      <c r="M606" s="64" t="s">
        <v>240</v>
      </c>
      <c r="N606" s="64" t="s">
        <v>247</v>
      </c>
      <c r="O606" s="64" t="s">
        <v>241</v>
      </c>
      <c r="P606" s="64"/>
      <c r="Q606" s="64"/>
      <c r="R606" s="124"/>
      <c r="S606" s="123" t="s">
        <v>248</v>
      </c>
      <c r="T606" s="124">
        <v>0</v>
      </c>
      <c r="U606" s="370">
        <v>0</v>
      </c>
      <c r="V606" s="687">
        <v>0</v>
      </c>
      <c r="W606" s="75"/>
      <c r="X606" s="75"/>
      <c r="Y606" s="834">
        <f>+AJ606-V606</f>
        <v>0</v>
      </c>
      <c r="Z606" s="75"/>
      <c r="AA606" s="75"/>
      <c r="AB606" s="75"/>
      <c r="AC606" s="75"/>
      <c r="AD606" s="75"/>
      <c r="AE606" s="592"/>
      <c r="AF606" s="347"/>
      <c r="AG606" s="510">
        <v>0</v>
      </c>
      <c r="AH606" s="370">
        <v>0</v>
      </c>
      <c r="AI606" s="75"/>
      <c r="AJ606" s="75"/>
      <c r="AK606" s="75"/>
      <c r="AL606" s="75"/>
      <c r="AM606" s="75"/>
      <c r="AN606" s="171" t="s">
        <v>181</v>
      </c>
      <c r="AO606" s="171"/>
      <c r="AP606" s="171"/>
      <c r="AQ606" s="418"/>
      <c r="AS606" s="484"/>
      <c r="AV606" s="185"/>
    </row>
    <row r="607" spans="1:48" outlineLevel="4" x14ac:dyDescent="0.25">
      <c r="A607" s="63" t="str">
        <f t="shared" si="110"/>
        <v>1.3.0.15.2.6</v>
      </c>
      <c r="B607" s="64">
        <v>1</v>
      </c>
      <c r="C607" s="64">
        <v>3</v>
      </c>
      <c r="D607" s="64">
        <v>0</v>
      </c>
      <c r="E607" s="64">
        <v>15</v>
      </c>
      <c r="F607" s="64">
        <v>2</v>
      </c>
      <c r="G607" s="64">
        <v>6</v>
      </c>
      <c r="H607" s="65"/>
      <c r="I607" s="65"/>
      <c r="J607" s="65"/>
      <c r="K607" s="65" t="s">
        <v>251</v>
      </c>
      <c r="L607" s="64" t="s">
        <v>246</v>
      </c>
      <c r="M607" s="64" t="s">
        <v>240</v>
      </c>
      <c r="N607" s="64" t="s">
        <v>252</v>
      </c>
      <c r="O607" s="64" t="s">
        <v>241</v>
      </c>
      <c r="P607" s="69"/>
      <c r="Q607" s="196"/>
      <c r="R607" s="158"/>
      <c r="S607" s="123" t="s">
        <v>248</v>
      </c>
      <c r="T607" s="124"/>
      <c r="U607" s="370">
        <v>0</v>
      </c>
      <c r="V607" s="687">
        <v>0</v>
      </c>
      <c r="W607" s="75"/>
      <c r="X607" s="75"/>
      <c r="Y607" s="834">
        <f>+AJ607-V607</f>
        <v>0</v>
      </c>
      <c r="Z607" s="75"/>
      <c r="AA607" s="75"/>
      <c r="AB607" s="75"/>
      <c r="AC607" s="75"/>
      <c r="AD607" s="75"/>
      <c r="AE607" s="592"/>
      <c r="AF607" s="347"/>
      <c r="AG607" s="510">
        <v>0</v>
      </c>
      <c r="AH607" s="370">
        <v>0</v>
      </c>
      <c r="AI607" s="75"/>
      <c r="AJ607" s="75"/>
      <c r="AK607" s="75"/>
      <c r="AL607" s="75"/>
      <c r="AM607" s="75"/>
      <c r="AN607" s="171" t="s">
        <v>181</v>
      </c>
      <c r="AO607" s="171"/>
      <c r="AP607" s="171"/>
      <c r="AQ607" s="418"/>
      <c r="AS607" s="484"/>
      <c r="AV607" s="185"/>
    </row>
    <row r="608" spans="1:48" outlineLevel="4" x14ac:dyDescent="0.25">
      <c r="A608" s="63" t="str">
        <f t="shared" si="110"/>
        <v>1.3.0.15.3.6</v>
      </c>
      <c r="B608" s="64">
        <v>1</v>
      </c>
      <c r="C608" s="64">
        <v>3</v>
      </c>
      <c r="D608" s="64">
        <v>0</v>
      </c>
      <c r="E608" s="64">
        <v>15</v>
      </c>
      <c r="F608" s="64">
        <v>3</v>
      </c>
      <c r="G608" s="64">
        <v>6</v>
      </c>
      <c r="H608" s="65"/>
      <c r="I608" s="65"/>
      <c r="J608" s="66"/>
      <c r="K608" s="65" t="s">
        <v>255</v>
      </c>
      <c r="L608" s="64" t="s">
        <v>246</v>
      </c>
      <c r="M608" s="64" t="s">
        <v>256</v>
      </c>
      <c r="N608" s="64" t="s">
        <v>257</v>
      </c>
      <c r="O608" s="64" t="s">
        <v>241</v>
      </c>
      <c r="P608" s="69"/>
      <c r="Q608" s="170"/>
      <c r="R608" s="124"/>
      <c r="S608" s="123" t="s">
        <v>258</v>
      </c>
      <c r="T608" s="124"/>
      <c r="U608" s="370">
        <v>0</v>
      </c>
      <c r="V608" s="687">
        <v>0</v>
      </c>
      <c r="W608" s="75"/>
      <c r="X608" s="75"/>
      <c r="Y608" s="834">
        <f>+AJ608-V608</f>
        <v>0</v>
      </c>
      <c r="Z608" s="75"/>
      <c r="AA608" s="75"/>
      <c r="AB608" s="75"/>
      <c r="AC608" s="75"/>
      <c r="AD608" s="75"/>
      <c r="AE608" s="592"/>
      <c r="AF608" s="347"/>
      <c r="AG608" s="510">
        <v>0</v>
      </c>
      <c r="AH608" s="370">
        <v>0</v>
      </c>
      <c r="AI608" s="75"/>
      <c r="AJ608" s="75"/>
      <c r="AK608" s="75"/>
      <c r="AL608" s="75"/>
      <c r="AM608" s="75"/>
      <c r="AN608" s="64" t="s">
        <v>181</v>
      </c>
      <c r="AO608" s="64" t="s">
        <v>1839</v>
      </c>
      <c r="AP608" s="64" t="s">
        <v>649</v>
      </c>
      <c r="AQ608" s="533" t="s">
        <v>649</v>
      </c>
      <c r="AR608" s="554">
        <v>44562</v>
      </c>
      <c r="AS608" s="554">
        <v>44561</v>
      </c>
      <c r="AT608" s="64" t="s">
        <v>1814</v>
      </c>
      <c r="AU608" s="646"/>
      <c r="AV608" s="185"/>
    </row>
    <row r="609" spans="1:48" outlineLevel="4" x14ac:dyDescent="0.25">
      <c r="A609" s="63" t="str">
        <f t="shared" si="110"/>
        <v>1.3.0.15.4.6</v>
      </c>
      <c r="B609" s="64">
        <v>1</v>
      </c>
      <c r="C609" s="64">
        <v>3</v>
      </c>
      <c r="D609" s="64">
        <v>0</v>
      </c>
      <c r="E609" s="64">
        <v>15</v>
      </c>
      <c r="F609" s="64">
        <v>4</v>
      </c>
      <c r="G609" s="64">
        <v>6</v>
      </c>
      <c r="H609" s="65"/>
      <c r="I609" s="65"/>
      <c r="J609" s="66"/>
      <c r="K609" s="65" t="s">
        <v>263</v>
      </c>
      <c r="L609" s="64" t="s">
        <v>264</v>
      </c>
      <c r="M609" s="64" t="s">
        <v>144</v>
      </c>
      <c r="N609" s="64" t="s">
        <v>265</v>
      </c>
      <c r="O609" s="64" t="s">
        <v>662</v>
      </c>
      <c r="P609" s="69"/>
      <c r="Q609" s="170"/>
      <c r="R609" s="124"/>
      <c r="S609" s="123" t="s">
        <v>258</v>
      </c>
      <c r="T609" s="124"/>
      <c r="U609" s="370">
        <v>0</v>
      </c>
      <c r="V609" s="687">
        <v>0</v>
      </c>
      <c r="W609" s="75"/>
      <c r="X609" s="75"/>
      <c r="Y609" s="834">
        <f>+AJ609-V609</f>
        <v>0</v>
      </c>
      <c r="Z609" s="75"/>
      <c r="AA609" s="75"/>
      <c r="AB609" s="75"/>
      <c r="AC609" s="75"/>
      <c r="AD609" s="75"/>
      <c r="AE609" s="592"/>
      <c r="AF609" s="347"/>
      <c r="AG609" s="510">
        <v>0</v>
      </c>
      <c r="AH609" s="370">
        <v>0</v>
      </c>
      <c r="AI609" s="75"/>
      <c r="AJ609" s="75"/>
      <c r="AK609" s="75"/>
      <c r="AL609" s="75"/>
      <c r="AM609" s="75"/>
      <c r="AN609" s="64" t="s">
        <v>181</v>
      </c>
      <c r="AO609" s="64"/>
      <c r="AP609" s="64"/>
      <c r="AQ609" s="189"/>
      <c r="AR609" s="64"/>
      <c r="AS609" s="476"/>
      <c r="AT609" s="64"/>
      <c r="AU609" s="646"/>
      <c r="AV609" s="185"/>
    </row>
    <row r="610" spans="1:48" ht="30" outlineLevel="4" x14ac:dyDescent="0.25">
      <c r="A610" s="63" t="str">
        <f t="shared" si="110"/>
        <v>1.3.0.15.5.6</v>
      </c>
      <c r="B610" s="64">
        <v>1</v>
      </c>
      <c r="C610" s="64">
        <v>3</v>
      </c>
      <c r="D610" s="64">
        <v>0</v>
      </c>
      <c r="E610" s="64">
        <v>15</v>
      </c>
      <c r="F610" s="64">
        <v>5</v>
      </c>
      <c r="G610" s="64">
        <v>6</v>
      </c>
      <c r="H610" s="65"/>
      <c r="I610" s="65"/>
      <c r="J610" s="66"/>
      <c r="K610" s="137" t="s">
        <v>659</v>
      </c>
      <c r="L610" s="64"/>
      <c r="M610" s="64"/>
      <c r="N610" s="64"/>
      <c r="O610" s="64"/>
      <c r="P610" s="69"/>
      <c r="Q610" s="170"/>
      <c r="R610" s="124"/>
      <c r="S610" s="123"/>
      <c r="T610" s="124"/>
      <c r="U610" s="370">
        <v>0</v>
      </c>
      <c r="V610" s="687">
        <v>0</v>
      </c>
      <c r="W610" s="75"/>
      <c r="X610" s="75"/>
      <c r="Y610" s="834">
        <f>+AJ610-V610</f>
        <v>0</v>
      </c>
      <c r="Z610" s="75"/>
      <c r="AA610" s="75"/>
      <c r="AB610" s="75"/>
      <c r="AC610" s="75"/>
      <c r="AD610" s="75"/>
      <c r="AE610" s="592"/>
      <c r="AF610" s="347"/>
      <c r="AG610" s="510">
        <v>0</v>
      </c>
      <c r="AH610" s="370">
        <v>0</v>
      </c>
      <c r="AI610" s="75"/>
      <c r="AJ610" s="75"/>
      <c r="AK610" s="75"/>
      <c r="AL610" s="75"/>
      <c r="AM610" s="75"/>
      <c r="AN610" s="64" t="s">
        <v>181</v>
      </c>
      <c r="AO610" s="64"/>
      <c r="AP610" s="64"/>
      <c r="AQ610" s="189"/>
      <c r="AR610" s="64"/>
      <c r="AS610" s="476"/>
      <c r="AT610" s="64"/>
      <c r="AU610" s="646"/>
      <c r="AV610" s="185"/>
    </row>
    <row r="611" spans="1:48" s="153" customFormat="1" ht="27.75" customHeight="1" outlineLevel="1" x14ac:dyDescent="0.25">
      <c r="A611" s="148" t="str">
        <f t="shared" si="110"/>
        <v>1.3.0.16.0.0</v>
      </c>
      <c r="B611" s="82">
        <v>1</v>
      </c>
      <c r="C611" s="82">
        <v>3</v>
      </c>
      <c r="D611" s="82">
        <v>0</v>
      </c>
      <c r="E611" s="82">
        <v>16</v>
      </c>
      <c r="F611" s="82">
        <v>0</v>
      </c>
      <c r="G611" s="82">
        <v>0</v>
      </c>
      <c r="H611" s="149"/>
      <c r="I611" s="149"/>
      <c r="J611" s="1260" t="s">
        <v>663</v>
      </c>
      <c r="K611" s="1260"/>
      <c r="L611" s="82" t="s">
        <v>236</v>
      </c>
      <c r="M611" s="82" t="s">
        <v>240</v>
      </c>
      <c r="N611" s="82" t="s">
        <v>226</v>
      </c>
      <c r="O611" s="82" t="s">
        <v>444</v>
      </c>
      <c r="P611" s="82"/>
      <c r="Q611" s="82"/>
      <c r="R611" s="150">
        <f>R615+R614+R613+R612</f>
        <v>0</v>
      </c>
      <c r="S611" s="151" t="s">
        <v>242</v>
      </c>
      <c r="T611" s="150">
        <f>T615+T614+T613+T612</f>
        <v>0</v>
      </c>
      <c r="U611" s="379">
        <f>SUM(U612:U616)</f>
        <v>0</v>
      </c>
      <c r="V611" s="682">
        <f>SUM(V612:V616)</f>
        <v>0</v>
      </c>
      <c r="W611" s="152">
        <f>W615+W614+W613+W612</f>
        <v>0</v>
      </c>
      <c r="X611" s="152">
        <f t="shared" ref="X611:Y611" si="126">X615+X614+X613+X612</f>
        <v>0</v>
      </c>
      <c r="Y611" s="844">
        <f t="shared" si="126"/>
        <v>0</v>
      </c>
      <c r="Z611" s="152">
        <f>Z615+Z614+Z613+Z612</f>
        <v>0</v>
      </c>
      <c r="AA611" s="152"/>
      <c r="AB611" s="152"/>
      <c r="AC611" s="152">
        <f>AC615+AC614+AC613+AC612</f>
        <v>0</v>
      </c>
      <c r="AD611" s="152"/>
      <c r="AE611" s="597"/>
      <c r="AF611" s="351">
        <f>AF613</f>
        <v>0</v>
      </c>
      <c r="AG611" s="512">
        <f>SUM(AG612:AG616)</f>
        <v>0</v>
      </c>
      <c r="AH611" s="379">
        <f>SUM(AH612:AH616)</f>
        <v>0</v>
      </c>
      <c r="AI611" s="152"/>
      <c r="AJ611" s="152"/>
      <c r="AK611" s="152"/>
      <c r="AL611" s="152"/>
      <c r="AM611" s="152"/>
      <c r="AN611" s="82" t="s">
        <v>181</v>
      </c>
      <c r="AO611" s="82"/>
      <c r="AP611" s="82"/>
      <c r="AQ611" s="365"/>
      <c r="AR611" s="82"/>
      <c r="AS611" s="483"/>
      <c r="AT611" s="82"/>
      <c r="AU611" s="666"/>
      <c r="AV611" s="444" t="s">
        <v>658</v>
      </c>
    </row>
    <row r="612" spans="1:48" outlineLevel="2" x14ac:dyDescent="0.25">
      <c r="A612" s="63" t="str">
        <f t="shared" si="110"/>
        <v>1.3.0.16.1.3</v>
      </c>
      <c r="B612" s="64">
        <v>1</v>
      </c>
      <c r="C612" s="64">
        <v>3</v>
      </c>
      <c r="D612" s="64">
        <v>0</v>
      </c>
      <c r="E612" s="64">
        <v>16</v>
      </c>
      <c r="F612" s="64">
        <v>1</v>
      </c>
      <c r="G612" s="64">
        <v>3</v>
      </c>
      <c r="H612" s="65"/>
      <c r="I612" s="65"/>
      <c r="J612" s="66"/>
      <c r="K612" s="65" t="s">
        <v>245</v>
      </c>
      <c r="L612" s="64" t="s">
        <v>246</v>
      </c>
      <c r="M612" s="64" t="s">
        <v>240</v>
      </c>
      <c r="N612" s="64" t="s">
        <v>247</v>
      </c>
      <c r="O612" s="64" t="s">
        <v>241</v>
      </c>
      <c r="P612" s="64"/>
      <c r="Q612" s="64"/>
      <c r="R612" s="124"/>
      <c r="S612" s="123" t="s">
        <v>248</v>
      </c>
      <c r="T612" s="124">
        <v>0</v>
      </c>
      <c r="U612" s="370">
        <v>0</v>
      </c>
      <c r="V612" s="687">
        <v>0</v>
      </c>
      <c r="W612" s="75"/>
      <c r="X612" s="75"/>
      <c r="Y612" s="834">
        <f>+AJ612-V612</f>
        <v>0</v>
      </c>
      <c r="Z612" s="75"/>
      <c r="AA612" s="75"/>
      <c r="AB612" s="75"/>
      <c r="AC612" s="75"/>
      <c r="AD612" s="75"/>
      <c r="AE612" s="592"/>
      <c r="AF612" s="347"/>
      <c r="AG612" s="510">
        <v>0</v>
      </c>
      <c r="AH612" s="370">
        <v>0</v>
      </c>
      <c r="AI612" s="75"/>
      <c r="AJ612" s="75"/>
      <c r="AK612" s="75"/>
      <c r="AL612" s="75"/>
      <c r="AM612" s="75"/>
      <c r="AN612" s="171" t="s">
        <v>181</v>
      </c>
      <c r="AO612" s="171"/>
      <c r="AP612" s="171"/>
      <c r="AQ612" s="418"/>
      <c r="AS612" s="484"/>
      <c r="AV612" s="185"/>
    </row>
    <row r="613" spans="1:48" outlineLevel="2" x14ac:dyDescent="0.25">
      <c r="A613" s="63" t="str">
        <f t="shared" ref="A613:A868" si="127">CONCATENATE(B613,".",C613,".",D613,".",E613,".",F613,".",G613)</f>
        <v>1.3.0.16.2.3</v>
      </c>
      <c r="B613" s="64">
        <v>1</v>
      </c>
      <c r="C613" s="64">
        <v>3</v>
      </c>
      <c r="D613" s="64">
        <v>0</v>
      </c>
      <c r="E613" s="64">
        <v>16</v>
      </c>
      <c r="F613" s="64">
        <v>2</v>
      </c>
      <c r="G613" s="64">
        <v>3</v>
      </c>
      <c r="H613" s="65"/>
      <c r="I613" s="65"/>
      <c r="J613" s="65"/>
      <c r="K613" s="65" t="s">
        <v>251</v>
      </c>
      <c r="L613" s="64" t="s">
        <v>246</v>
      </c>
      <c r="M613" s="64" t="s">
        <v>240</v>
      </c>
      <c r="N613" s="64" t="s">
        <v>252</v>
      </c>
      <c r="O613" s="64" t="s">
        <v>241</v>
      </c>
      <c r="P613" s="69"/>
      <c r="Q613" s="69"/>
      <c r="R613" s="158"/>
      <c r="S613" s="123" t="s">
        <v>248</v>
      </c>
      <c r="T613" s="124"/>
      <c r="U613" s="370">
        <v>0</v>
      </c>
      <c r="V613" s="687">
        <v>0</v>
      </c>
      <c r="W613" s="75"/>
      <c r="X613" s="75"/>
      <c r="Y613" s="834">
        <f>+AJ613-V613</f>
        <v>0</v>
      </c>
      <c r="Z613" s="75"/>
      <c r="AA613" s="75"/>
      <c r="AB613" s="75"/>
      <c r="AC613" s="75"/>
      <c r="AD613" s="75"/>
      <c r="AE613" s="592"/>
      <c r="AF613" s="347"/>
      <c r="AG613" s="510">
        <v>0</v>
      </c>
      <c r="AH613" s="370">
        <v>0</v>
      </c>
      <c r="AI613" s="75"/>
      <c r="AJ613" s="75"/>
      <c r="AK613" s="75"/>
      <c r="AL613" s="75"/>
      <c r="AM613" s="75"/>
      <c r="AN613" s="64" t="s">
        <v>181</v>
      </c>
      <c r="AO613" s="64"/>
      <c r="AP613" s="64"/>
      <c r="AQ613" s="189"/>
      <c r="AR613" s="64"/>
      <c r="AS613" s="476"/>
      <c r="AT613" s="64"/>
      <c r="AU613" s="646"/>
      <c r="AV613" s="335"/>
    </row>
    <row r="614" spans="1:48" outlineLevel="2" x14ac:dyDescent="0.25">
      <c r="A614" s="63" t="str">
        <f t="shared" si="127"/>
        <v>1.3.0.16.3.3</v>
      </c>
      <c r="B614" s="64">
        <v>1</v>
      </c>
      <c r="C614" s="64">
        <v>3</v>
      </c>
      <c r="D614" s="64">
        <v>0</v>
      </c>
      <c r="E614" s="64">
        <v>16</v>
      </c>
      <c r="F614" s="64">
        <v>3</v>
      </c>
      <c r="G614" s="64">
        <v>3</v>
      </c>
      <c r="H614" s="65"/>
      <c r="I614" s="65"/>
      <c r="J614" s="66"/>
      <c r="K614" s="65" t="s">
        <v>255</v>
      </c>
      <c r="L614" s="64" t="s">
        <v>246</v>
      </c>
      <c r="M614" s="64" t="s">
        <v>256</v>
      </c>
      <c r="N614" s="64" t="s">
        <v>257</v>
      </c>
      <c r="O614" s="64" t="s">
        <v>241</v>
      </c>
      <c r="P614" s="69"/>
      <c r="Q614" s="170"/>
      <c r="R614" s="124"/>
      <c r="S614" s="123" t="s">
        <v>258</v>
      </c>
      <c r="T614" s="124"/>
      <c r="U614" s="370">
        <v>0</v>
      </c>
      <c r="V614" s="687">
        <v>0</v>
      </c>
      <c r="W614" s="75"/>
      <c r="X614" s="75"/>
      <c r="Y614" s="834">
        <f>+AJ614-V614</f>
        <v>0</v>
      </c>
      <c r="Z614" s="75"/>
      <c r="AA614" s="75"/>
      <c r="AB614" s="75"/>
      <c r="AC614" s="75"/>
      <c r="AD614" s="75"/>
      <c r="AE614" s="592"/>
      <c r="AF614" s="347"/>
      <c r="AG614" s="510">
        <v>0</v>
      </c>
      <c r="AH614" s="370">
        <v>0</v>
      </c>
      <c r="AI614" s="75"/>
      <c r="AJ614" s="75"/>
      <c r="AK614" s="75"/>
      <c r="AL614" s="75"/>
      <c r="AM614" s="75"/>
      <c r="AN614" s="171" t="s">
        <v>181</v>
      </c>
      <c r="AO614" s="533" t="s">
        <v>1839</v>
      </c>
      <c r="AP614" s="533" t="s">
        <v>649</v>
      </c>
      <c r="AQ614" s="533" t="s">
        <v>649</v>
      </c>
      <c r="AR614" s="554">
        <v>44562</v>
      </c>
      <c r="AS614" s="554">
        <v>44561</v>
      </c>
      <c r="AT614" s="533" t="s">
        <v>1814</v>
      </c>
      <c r="AV614" s="335" t="s">
        <v>664</v>
      </c>
    </row>
    <row r="615" spans="1:48" outlineLevel="2" x14ac:dyDescent="0.25">
      <c r="A615" s="63" t="str">
        <f t="shared" si="127"/>
        <v>1.3.0.16.4.3</v>
      </c>
      <c r="B615" s="64">
        <v>1</v>
      </c>
      <c r="C615" s="64">
        <v>3</v>
      </c>
      <c r="D615" s="64">
        <v>0</v>
      </c>
      <c r="E615" s="64">
        <v>16</v>
      </c>
      <c r="F615" s="64">
        <v>4</v>
      </c>
      <c r="G615" s="64">
        <v>3</v>
      </c>
      <c r="H615" s="65"/>
      <c r="I615" s="65"/>
      <c r="J615" s="66"/>
      <c r="K615" s="65" t="s">
        <v>263</v>
      </c>
      <c r="L615" s="64" t="s">
        <v>264</v>
      </c>
      <c r="M615" s="64" t="s">
        <v>144</v>
      </c>
      <c r="N615" s="64" t="s">
        <v>665</v>
      </c>
      <c r="O615" s="64" t="s">
        <v>444</v>
      </c>
      <c r="P615" s="69"/>
      <c r="Q615" s="170"/>
      <c r="R615" s="124"/>
      <c r="S615" s="123" t="s">
        <v>258</v>
      </c>
      <c r="T615" s="124"/>
      <c r="U615" s="370">
        <v>0</v>
      </c>
      <c r="V615" s="687">
        <v>0</v>
      </c>
      <c r="W615" s="75"/>
      <c r="X615" s="75"/>
      <c r="Y615" s="834">
        <f>+AJ615-V615</f>
        <v>0</v>
      </c>
      <c r="Z615" s="75"/>
      <c r="AA615" s="75"/>
      <c r="AB615" s="75"/>
      <c r="AC615" s="75"/>
      <c r="AD615" s="75"/>
      <c r="AE615" s="592"/>
      <c r="AF615" s="347"/>
      <c r="AG615" s="510">
        <v>0</v>
      </c>
      <c r="AH615" s="370">
        <v>0</v>
      </c>
      <c r="AI615" s="75"/>
      <c r="AJ615" s="75"/>
      <c r="AK615" s="75"/>
      <c r="AL615" s="75"/>
      <c r="AM615" s="75"/>
      <c r="AN615" s="64" t="s">
        <v>181</v>
      </c>
      <c r="AO615" s="64"/>
      <c r="AP615" s="64"/>
      <c r="AQ615" s="189"/>
      <c r="AR615" s="64"/>
      <c r="AS615" s="476"/>
      <c r="AT615" s="64"/>
      <c r="AU615" s="646"/>
      <c r="AV615" s="185"/>
    </row>
    <row r="616" spans="1:48" ht="30" outlineLevel="2" x14ac:dyDescent="0.25">
      <c r="A616" s="63" t="str">
        <f t="shared" si="127"/>
        <v>1.3.0.16.5.3</v>
      </c>
      <c r="B616" s="64">
        <v>1</v>
      </c>
      <c r="C616" s="64">
        <v>3</v>
      </c>
      <c r="D616" s="64">
        <v>0</v>
      </c>
      <c r="E616" s="64">
        <v>16</v>
      </c>
      <c r="F616" s="64">
        <v>5</v>
      </c>
      <c r="G616" s="64">
        <v>3</v>
      </c>
      <c r="H616" s="65"/>
      <c r="I616" s="65"/>
      <c r="J616" s="66"/>
      <c r="K616" s="137" t="s">
        <v>659</v>
      </c>
      <c r="L616" s="64"/>
      <c r="M616" s="64"/>
      <c r="N616" s="64"/>
      <c r="O616" s="64"/>
      <c r="P616" s="69"/>
      <c r="Q616" s="170"/>
      <c r="R616" s="124"/>
      <c r="S616" s="123"/>
      <c r="T616" s="124"/>
      <c r="U616" s="370">
        <v>0</v>
      </c>
      <c r="V616" s="687">
        <v>0</v>
      </c>
      <c r="W616" s="75"/>
      <c r="X616" s="75"/>
      <c r="Y616" s="834">
        <f>+AJ616-V616</f>
        <v>0</v>
      </c>
      <c r="Z616" s="75"/>
      <c r="AA616" s="75"/>
      <c r="AB616" s="75"/>
      <c r="AC616" s="75"/>
      <c r="AD616" s="75"/>
      <c r="AE616" s="592"/>
      <c r="AF616" s="347"/>
      <c r="AG616" s="510">
        <v>0</v>
      </c>
      <c r="AH616" s="370">
        <v>0</v>
      </c>
      <c r="AI616" s="75"/>
      <c r="AJ616" s="75"/>
      <c r="AK616" s="75"/>
      <c r="AL616" s="75"/>
      <c r="AM616" s="75"/>
      <c r="AN616" s="64" t="s">
        <v>181</v>
      </c>
      <c r="AO616" s="64"/>
      <c r="AP616" s="64"/>
      <c r="AQ616" s="189"/>
      <c r="AR616" s="64"/>
      <c r="AS616" s="476"/>
      <c r="AT616" s="64"/>
      <c r="AU616" s="646"/>
      <c r="AV616" s="185"/>
    </row>
    <row r="617" spans="1:48" s="153" customFormat="1" ht="15" customHeight="1" outlineLevel="1" x14ac:dyDescent="0.25">
      <c r="A617" s="148" t="str">
        <f t="shared" si="127"/>
        <v>1.3.0.17.0.0</v>
      </c>
      <c r="B617" s="82">
        <v>1</v>
      </c>
      <c r="C617" s="82">
        <v>3</v>
      </c>
      <c r="D617" s="82">
        <v>0</v>
      </c>
      <c r="E617" s="82">
        <v>17</v>
      </c>
      <c r="F617" s="82">
        <v>0</v>
      </c>
      <c r="G617" s="82">
        <v>0</v>
      </c>
      <c r="H617" s="149"/>
      <c r="I617" s="149"/>
      <c r="J617" s="1260" t="s">
        <v>666</v>
      </c>
      <c r="K617" s="1260"/>
      <c r="L617" s="82" t="s">
        <v>236</v>
      </c>
      <c r="M617" s="82" t="s">
        <v>667</v>
      </c>
      <c r="N617" s="82" t="s">
        <v>226</v>
      </c>
      <c r="O617" s="82" t="s">
        <v>668</v>
      </c>
      <c r="P617" s="82"/>
      <c r="Q617" s="82"/>
      <c r="R617" s="150">
        <v>0</v>
      </c>
      <c r="S617" s="151" t="s">
        <v>242</v>
      </c>
      <c r="T617" s="150">
        <f>T621+T620+T619+T618</f>
        <v>0</v>
      </c>
      <c r="U617" s="379">
        <f>SUM(U618:U621)</f>
        <v>0</v>
      </c>
      <c r="V617" s="682">
        <f>SUM(V618:V621)</f>
        <v>0</v>
      </c>
      <c r="W617" s="152">
        <f>W626+W625+W624+W623</f>
        <v>0</v>
      </c>
      <c r="X617" s="152">
        <f t="shared" ref="X617:Y617" si="128">X626+X625+X624+X623</f>
        <v>0</v>
      </c>
      <c r="Y617" s="844">
        <f t="shared" si="128"/>
        <v>0</v>
      </c>
      <c r="Z617" s="152">
        <f>Z621+Z620+Z619+Z618</f>
        <v>0</v>
      </c>
      <c r="AA617" s="152"/>
      <c r="AB617" s="152"/>
      <c r="AC617" s="152">
        <f>AC626+AC625+AC624+AC623</f>
        <v>0</v>
      </c>
      <c r="AD617" s="152"/>
      <c r="AE617" s="597"/>
      <c r="AF617" s="357">
        <v>0</v>
      </c>
      <c r="AG617" s="512">
        <f>SUM(AG618:AG621)</f>
        <v>0</v>
      </c>
      <c r="AH617" s="379">
        <f>SUM(AH618:AH621)</f>
        <v>0</v>
      </c>
      <c r="AI617" s="152"/>
      <c r="AJ617" s="152"/>
      <c r="AK617" s="152"/>
      <c r="AL617" s="152"/>
      <c r="AM617" s="152"/>
      <c r="AN617" s="82" t="s">
        <v>181</v>
      </c>
      <c r="AO617" s="82"/>
      <c r="AP617" s="82"/>
      <c r="AQ617" s="365"/>
      <c r="AR617" s="82"/>
      <c r="AS617" s="483"/>
      <c r="AT617" s="82"/>
      <c r="AU617" s="666"/>
      <c r="AV617" s="444"/>
    </row>
    <row r="618" spans="1:48" ht="20.25" customHeight="1" outlineLevel="2" x14ac:dyDescent="0.25">
      <c r="A618" s="63" t="str">
        <f t="shared" si="127"/>
        <v>1.3.0.17.1.3</v>
      </c>
      <c r="B618" s="64">
        <v>1</v>
      </c>
      <c r="C618" s="64">
        <v>3</v>
      </c>
      <c r="D618" s="64">
        <v>0</v>
      </c>
      <c r="E618" s="64">
        <v>17</v>
      </c>
      <c r="F618" s="64">
        <v>1</v>
      </c>
      <c r="G618" s="64">
        <v>3</v>
      </c>
      <c r="H618" s="65"/>
      <c r="I618" s="65"/>
      <c r="J618" s="66"/>
      <c r="K618" s="65" t="s">
        <v>245</v>
      </c>
      <c r="L618" s="64" t="s">
        <v>246</v>
      </c>
      <c r="M618" s="64" t="s">
        <v>240</v>
      </c>
      <c r="N618" s="64" t="s">
        <v>247</v>
      </c>
      <c r="O618" s="64" t="s">
        <v>241</v>
      </c>
      <c r="P618" s="64"/>
      <c r="Q618" s="64"/>
      <c r="R618" s="124"/>
      <c r="S618" s="123" t="s">
        <v>248</v>
      </c>
      <c r="T618" s="124">
        <v>0</v>
      </c>
      <c r="U618" s="370">
        <v>0</v>
      </c>
      <c r="V618" s="687">
        <v>0</v>
      </c>
      <c r="W618" s="75"/>
      <c r="X618" s="75"/>
      <c r="Y618" s="834">
        <f>+AJ618-V618</f>
        <v>0</v>
      </c>
      <c r="Z618" s="75"/>
      <c r="AA618" s="75"/>
      <c r="AB618" s="75"/>
      <c r="AC618" s="75"/>
      <c r="AD618" s="75"/>
      <c r="AE618" s="592"/>
      <c r="AF618" s="347"/>
      <c r="AG618" s="510">
        <v>0</v>
      </c>
      <c r="AH618" s="370">
        <v>0</v>
      </c>
      <c r="AI618" s="75"/>
      <c r="AJ618" s="75"/>
      <c r="AK618" s="75"/>
      <c r="AL618" s="75"/>
      <c r="AM618" s="75"/>
      <c r="AN618" s="171" t="s">
        <v>181</v>
      </c>
      <c r="AO618" s="171"/>
      <c r="AP618" s="171"/>
      <c r="AQ618" s="418"/>
      <c r="AS618" s="484"/>
      <c r="AV618" s="185"/>
    </row>
    <row r="619" spans="1:48" ht="20.25" customHeight="1" outlineLevel="2" x14ac:dyDescent="0.25">
      <c r="A619" s="63" t="str">
        <f t="shared" si="127"/>
        <v>1.3.0.17.2.3</v>
      </c>
      <c r="B619" s="64">
        <v>1</v>
      </c>
      <c r="C619" s="64">
        <v>3</v>
      </c>
      <c r="D619" s="64">
        <v>0</v>
      </c>
      <c r="E619" s="64">
        <v>17</v>
      </c>
      <c r="F619" s="64">
        <v>2</v>
      </c>
      <c r="G619" s="64">
        <v>3</v>
      </c>
      <c r="H619" s="65"/>
      <c r="I619" s="65"/>
      <c r="J619" s="65"/>
      <c r="K619" s="65" t="s">
        <v>251</v>
      </c>
      <c r="L619" s="64" t="s">
        <v>246</v>
      </c>
      <c r="M619" s="64" t="s">
        <v>240</v>
      </c>
      <c r="N619" s="64" t="s">
        <v>252</v>
      </c>
      <c r="O619" s="64" t="s">
        <v>241</v>
      </c>
      <c r="P619" s="69"/>
      <c r="Q619" s="69"/>
      <c r="R619" s="158">
        <v>0</v>
      </c>
      <c r="S619" s="123" t="s">
        <v>248</v>
      </c>
      <c r="T619" s="124"/>
      <c r="U619" s="370">
        <v>0</v>
      </c>
      <c r="V619" s="687">
        <v>0</v>
      </c>
      <c r="W619" s="75"/>
      <c r="X619" s="75"/>
      <c r="Y619" s="834">
        <f>+AJ619-V619</f>
        <v>0</v>
      </c>
      <c r="Z619" s="75"/>
      <c r="AA619" s="75"/>
      <c r="AB619" s="75"/>
      <c r="AC619" s="75"/>
      <c r="AD619" s="75"/>
      <c r="AE619" s="592"/>
      <c r="AF619" s="347">
        <v>0</v>
      </c>
      <c r="AG619" s="510">
        <v>0</v>
      </c>
      <c r="AH619" s="370">
        <v>0</v>
      </c>
      <c r="AI619" s="75"/>
      <c r="AJ619" s="75"/>
      <c r="AK619" s="75"/>
      <c r="AL619" s="75"/>
      <c r="AM619" s="75"/>
      <c r="AN619" s="171" t="s">
        <v>181</v>
      </c>
      <c r="AO619" s="171"/>
      <c r="AP619" s="171"/>
      <c r="AQ619" s="418"/>
      <c r="AS619" s="484"/>
      <c r="AV619" s="185"/>
    </row>
    <row r="620" spans="1:48" ht="20.25" customHeight="1" outlineLevel="2" x14ac:dyDescent="0.25">
      <c r="A620" s="63" t="str">
        <f t="shared" si="127"/>
        <v>1.3.0.17.3.3</v>
      </c>
      <c r="B620" s="64">
        <v>1</v>
      </c>
      <c r="C620" s="64">
        <v>3</v>
      </c>
      <c r="D620" s="64">
        <v>0</v>
      </c>
      <c r="E620" s="64">
        <v>17</v>
      </c>
      <c r="F620" s="64">
        <v>3</v>
      </c>
      <c r="G620" s="64">
        <v>3</v>
      </c>
      <c r="H620" s="65"/>
      <c r="I620" s="65"/>
      <c r="J620" s="66"/>
      <c r="K620" s="65" t="s">
        <v>255</v>
      </c>
      <c r="L620" s="64" t="s">
        <v>246</v>
      </c>
      <c r="M620" s="64" t="s">
        <v>256</v>
      </c>
      <c r="N620" s="64" t="s">
        <v>257</v>
      </c>
      <c r="O620" s="64" t="s">
        <v>241</v>
      </c>
      <c r="P620" s="69"/>
      <c r="Q620" s="170"/>
      <c r="R620" s="124"/>
      <c r="S620" s="123" t="s">
        <v>258</v>
      </c>
      <c r="T620" s="124"/>
      <c r="U620" s="370">
        <v>0</v>
      </c>
      <c r="V620" s="687">
        <v>0</v>
      </c>
      <c r="W620" s="75"/>
      <c r="X620" s="75"/>
      <c r="Y620" s="834">
        <f>+AJ620-V620</f>
        <v>0</v>
      </c>
      <c r="Z620" s="75"/>
      <c r="AA620" s="75"/>
      <c r="AB620" s="75"/>
      <c r="AC620" s="75"/>
      <c r="AD620" s="75"/>
      <c r="AE620" s="592"/>
      <c r="AF620" s="347"/>
      <c r="AG620" s="510">
        <v>0</v>
      </c>
      <c r="AH620" s="370">
        <v>0</v>
      </c>
      <c r="AI620" s="75"/>
      <c r="AJ620" s="75"/>
      <c r="AK620" s="75"/>
      <c r="AL620" s="75"/>
      <c r="AM620" s="75"/>
      <c r="AN620" s="171" t="s">
        <v>181</v>
      </c>
      <c r="AO620" s="533" t="s">
        <v>1839</v>
      </c>
      <c r="AP620" s="533" t="s">
        <v>649</v>
      </c>
      <c r="AQ620" s="533" t="s">
        <v>649</v>
      </c>
      <c r="AR620" s="554">
        <v>44562</v>
      </c>
      <c r="AS620" s="554">
        <v>44561</v>
      </c>
      <c r="AT620" s="533" t="s">
        <v>1814</v>
      </c>
      <c r="AV620" s="185"/>
    </row>
    <row r="621" spans="1:48" ht="20.25" customHeight="1" outlineLevel="2" x14ac:dyDescent="0.25">
      <c r="A621" s="63" t="str">
        <f t="shared" si="127"/>
        <v>1.3.0.17.4.3</v>
      </c>
      <c r="B621" s="64">
        <v>1</v>
      </c>
      <c r="C621" s="64">
        <v>3</v>
      </c>
      <c r="D621" s="64">
        <v>0</v>
      </c>
      <c r="E621" s="64">
        <v>17</v>
      </c>
      <c r="F621" s="64">
        <v>4</v>
      </c>
      <c r="G621" s="64">
        <v>3</v>
      </c>
      <c r="H621" s="65"/>
      <c r="I621" s="65"/>
      <c r="J621" s="66"/>
      <c r="K621" s="65" t="s">
        <v>263</v>
      </c>
      <c r="L621" s="64" t="s">
        <v>264</v>
      </c>
      <c r="M621" s="64" t="s">
        <v>144</v>
      </c>
      <c r="N621" s="64" t="s">
        <v>265</v>
      </c>
      <c r="O621" s="64" t="s">
        <v>266</v>
      </c>
      <c r="P621" s="69"/>
      <c r="Q621" s="197"/>
      <c r="R621" s="124"/>
      <c r="S621" s="123" t="s">
        <v>258</v>
      </c>
      <c r="T621" s="124"/>
      <c r="U621" s="370">
        <v>0</v>
      </c>
      <c r="V621" s="687">
        <v>0</v>
      </c>
      <c r="W621" s="75"/>
      <c r="X621" s="75"/>
      <c r="Y621" s="834">
        <f>+AJ621-V621</f>
        <v>0</v>
      </c>
      <c r="Z621" s="75"/>
      <c r="AA621" s="75"/>
      <c r="AB621" s="75"/>
      <c r="AC621" s="75"/>
      <c r="AD621" s="75"/>
      <c r="AE621" s="592"/>
      <c r="AF621" s="347"/>
      <c r="AG621" s="510">
        <v>0</v>
      </c>
      <c r="AH621" s="370">
        <v>0</v>
      </c>
      <c r="AI621" s="75"/>
      <c r="AJ621" s="75"/>
      <c r="AK621" s="75"/>
      <c r="AL621" s="75"/>
      <c r="AM621" s="75"/>
      <c r="AN621" s="64" t="s">
        <v>181</v>
      </c>
      <c r="AO621" s="64"/>
      <c r="AP621" s="64"/>
      <c r="AQ621" s="189"/>
      <c r="AR621" s="64"/>
      <c r="AS621" s="476"/>
      <c r="AT621" s="64"/>
      <c r="AU621" s="646"/>
      <c r="AV621" s="185"/>
    </row>
    <row r="622" spans="1:48" s="153" customFormat="1" ht="15" customHeight="1" outlineLevel="1" x14ac:dyDescent="0.25">
      <c r="A622" s="148" t="str">
        <f t="shared" si="127"/>
        <v>1.3.0.18.0.0</v>
      </c>
      <c r="B622" s="82">
        <v>1</v>
      </c>
      <c r="C622" s="82">
        <v>3</v>
      </c>
      <c r="D622" s="82">
        <v>0</v>
      </c>
      <c r="E622" s="82">
        <v>18</v>
      </c>
      <c r="F622" s="82">
        <v>0</v>
      </c>
      <c r="G622" s="82">
        <v>0</v>
      </c>
      <c r="H622" s="149"/>
      <c r="I622" s="149"/>
      <c r="J622" s="1260" t="s">
        <v>669</v>
      </c>
      <c r="K622" s="1260"/>
      <c r="L622" s="82" t="s">
        <v>236</v>
      </c>
      <c r="M622" s="82" t="s">
        <v>667</v>
      </c>
      <c r="N622" s="82" t="s">
        <v>226</v>
      </c>
      <c r="O622" s="82" t="s">
        <v>668</v>
      </c>
      <c r="P622" s="82"/>
      <c r="Q622" s="82"/>
      <c r="R622" s="150">
        <f>R626+R625+R624+R623</f>
        <v>0</v>
      </c>
      <c r="S622" s="151" t="s">
        <v>242</v>
      </c>
      <c r="T622" s="150">
        <f>T626+T625+T624+T623</f>
        <v>0</v>
      </c>
      <c r="U622" s="379">
        <f>SUM(U623:U626)</f>
        <v>0</v>
      </c>
      <c r="V622" s="682">
        <f>SUM(V623:V626)</f>
        <v>0</v>
      </c>
      <c r="W622" s="152">
        <f>W626+W625+W624+W623</f>
        <v>0</v>
      </c>
      <c r="X622" s="152">
        <f t="shared" ref="X622:Y622" si="129">X626+X625+X624+X623</f>
        <v>0</v>
      </c>
      <c r="Y622" s="844">
        <f t="shared" si="129"/>
        <v>0</v>
      </c>
      <c r="Z622" s="152">
        <f>Z626+Z625+Z624+Z623</f>
        <v>0</v>
      </c>
      <c r="AA622" s="152"/>
      <c r="AB622" s="152"/>
      <c r="AC622" s="152">
        <f>AC626+AC625+AC624+AC623</f>
        <v>0</v>
      </c>
      <c r="AD622" s="152"/>
      <c r="AE622" s="597"/>
      <c r="AF622" s="357">
        <f>AF624</f>
        <v>0</v>
      </c>
      <c r="AG622" s="512">
        <f>SUM(AG623:AG626)</f>
        <v>0</v>
      </c>
      <c r="AH622" s="379">
        <f>SUM(AH623:AH626)</f>
        <v>0</v>
      </c>
      <c r="AI622" s="152"/>
      <c r="AJ622" s="152"/>
      <c r="AK622" s="152"/>
      <c r="AL622" s="152"/>
      <c r="AM622" s="152"/>
      <c r="AN622" s="82" t="s">
        <v>181</v>
      </c>
      <c r="AO622" s="82"/>
      <c r="AP622" s="82"/>
      <c r="AQ622" s="365"/>
      <c r="AR622" s="82"/>
      <c r="AS622" s="483"/>
      <c r="AT622" s="82"/>
      <c r="AU622" s="666"/>
      <c r="AV622" s="444"/>
    </row>
    <row r="623" spans="1:48" ht="21" customHeight="1" outlineLevel="4" x14ac:dyDescent="0.25">
      <c r="A623" s="63" t="str">
        <f t="shared" si="127"/>
        <v>1.3.0.18.1.9</v>
      </c>
      <c r="B623" s="64">
        <v>1</v>
      </c>
      <c r="C623" s="64">
        <v>3</v>
      </c>
      <c r="D623" s="64">
        <v>0</v>
      </c>
      <c r="E623" s="64">
        <v>18</v>
      </c>
      <c r="F623" s="64">
        <v>1</v>
      </c>
      <c r="G623" s="64">
        <v>9</v>
      </c>
      <c r="H623" s="65"/>
      <c r="I623" s="65"/>
      <c r="J623" s="66"/>
      <c r="K623" s="65" t="s">
        <v>245</v>
      </c>
      <c r="L623" s="64" t="s">
        <v>246</v>
      </c>
      <c r="M623" s="64" t="s">
        <v>240</v>
      </c>
      <c r="N623" s="64" t="s">
        <v>247</v>
      </c>
      <c r="O623" s="64" t="s">
        <v>241</v>
      </c>
      <c r="P623" s="64"/>
      <c r="Q623" s="64"/>
      <c r="R623" s="124"/>
      <c r="S623" s="123" t="s">
        <v>248</v>
      </c>
      <c r="T623" s="124">
        <v>0</v>
      </c>
      <c r="U623" s="370">
        <v>0</v>
      </c>
      <c r="V623" s="687">
        <v>0</v>
      </c>
      <c r="W623" s="75"/>
      <c r="X623" s="75"/>
      <c r="Y623" s="834">
        <f>+AJ623-V623</f>
        <v>0</v>
      </c>
      <c r="Z623" s="75"/>
      <c r="AA623" s="75"/>
      <c r="AB623" s="75"/>
      <c r="AC623" s="75"/>
      <c r="AD623" s="75"/>
      <c r="AE623" s="592"/>
      <c r="AF623" s="347"/>
      <c r="AG623" s="510">
        <v>0</v>
      </c>
      <c r="AH623" s="370">
        <v>0</v>
      </c>
      <c r="AI623" s="75"/>
      <c r="AJ623" s="75"/>
      <c r="AK623" s="75"/>
      <c r="AL623" s="75"/>
      <c r="AM623" s="75"/>
      <c r="AN623" s="64" t="s">
        <v>181</v>
      </c>
      <c r="AO623" s="64"/>
      <c r="AP623" s="64"/>
      <c r="AQ623" s="189"/>
      <c r="AR623" s="64"/>
      <c r="AS623" s="476"/>
      <c r="AT623" s="64"/>
      <c r="AU623" s="646"/>
      <c r="AV623" s="185"/>
    </row>
    <row r="624" spans="1:48" ht="21" customHeight="1" outlineLevel="4" x14ac:dyDescent="0.25">
      <c r="A624" s="63" t="str">
        <f t="shared" si="127"/>
        <v>1.3.0.18.2.9</v>
      </c>
      <c r="B624" s="64">
        <v>1</v>
      </c>
      <c r="C624" s="64">
        <v>3</v>
      </c>
      <c r="D624" s="64">
        <v>0</v>
      </c>
      <c r="E624" s="64">
        <v>18</v>
      </c>
      <c r="F624" s="64">
        <v>2</v>
      </c>
      <c r="G624" s="64">
        <v>9</v>
      </c>
      <c r="H624" s="65"/>
      <c r="I624" s="65"/>
      <c r="J624" s="65"/>
      <c r="K624" s="65" t="s">
        <v>251</v>
      </c>
      <c r="L624" s="64" t="s">
        <v>246</v>
      </c>
      <c r="M624" s="64" t="s">
        <v>240</v>
      </c>
      <c r="N624" s="64" t="s">
        <v>252</v>
      </c>
      <c r="O624" s="64" t="s">
        <v>241</v>
      </c>
      <c r="P624" s="69"/>
      <c r="Q624" s="69"/>
      <c r="R624" s="158">
        <f>+SUM(T624+W624+Z624+AC624)</f>
        <v>0</v>
      </c>
      <c r="S624" s="123" t="s">
        <v>248</v>
      </c>
      <c r="T624" s="124">
        <v>0</v>
      </c>
      <c r="U624" s="370">
        <v>0</v>
      </c>
      <c r="V624" s="687">
        <v>0</v>
      </c>
      <c r="W624" s="75">
        <v>0</v>
      </c>
      <c r="X624" s="75"/>
      <c r="Y624" s="834">
        <f>+AJ624-V624</f>
        <v>0</v>
      </c>
      <c r="Z624" s="75">
        <v>0</v>
      </c>
      <c r="AA624" s="75"/>
      <c r="AB624" s="75"/>
      <c r="AC624" s="75">
        <v>0</v>
      </c>
      <c r="AD624" s="75"/>
      <c r="AE624" s="592"/>
      <c r="AF624" s="347"/>
      <c r="AG624" s="510">
        <v>0</v>
      </c>
      <c r="AH624" s="370">
        <v>0</v>
      </c>
      <c r="AI624" s="75"/>
      <c r="AJ624" s="75"/>
      <c r="AK624" s="75"/>
      <c r="AL624" s="75"/>
      <c r="AM624" s="75"/>
      <c r="AN624" s="64" t="s">
        <v>181</v>
      </c>
      <c r="AO624" s="64"/>
      <c r="AP624" s="64"/>
      <c r="AQ624" s="189"/>
      <c r="AR624" s="64"/>
      <c r="AS624" s="476"/>
      <c r="AT624" s="64"/>
      <c r="AU624" s="646"/>
      <c r="AV624" s="185"/>
    </row>
    <row r="625" spans="1:48" ht="21" customHeight="1" outlineLevel="4" x14ac:dyDescent="0.25">
      <c r="A625" s="63" t="str">
        <f t="shared" si="127"/>
        <v>1.3.0.18.3.9</v>
      </c>
      <c r="B625" s="64">
        <v>1</v>
      </c>
      <c r="C625" s="64">
        <v>3</v>
      </c>
      <c r="D625" s="64">
        <v>0</v>
      </c>
      <c r="E625" s="64">
        <v>18</v>
      </c>
      <c r="F625" s="64">
        <v>3</v>
      </c>
      <c r="G625" s="64">
        <v>9</v>
      </c>
      <c r="H625" s="65"/>
      <c r="I625" s="65"/>
      <c r="J625" s="66"/>
      <c r="K625" s="65" t="s">
        <v>255</v>
      </c>
      <c r="L625" s="64" t="s">
        <v>246</v>
      </c>
      <c r="M625" s="64" t="s">
        <v>256</v>
      </c>
      <c r="N625" s="64" t="s">
        <v>257</v>
      </c>
      <c r="O625" s="64" t="s">
        <v>241</v>
      </c>
      <c r="P625" s="69"/>
      <c r="Q625" s="170"/>
      <c r="R625" s="124"/>
      <c r="S625" s="123" t="s">
        <v>258</v>
      </c>
      <c r="T625" s="124"/>
      <c r="U625" s="370">
        <v>0</v>
      </c>
      <c r="V625" s="687">
        <v>0</v>
      </c>
      <c r="W625" s="75"/>
      <c r="X625" s="75"/>
      <c r="Y625" s="834">
        <f>+AJ625-V625</f>
        <v>0</v>
      </c>
      <c r="Z625" s="75"/>
      <c r="AA625" s="75"/>
      <c r="AB625" s="75"/>
      <c r="AC625" s="75"/>
      <c r="AD625" s="75"/>
      <c r="AE625" s="592"/>
      <c r="AF625" s="347"/>
      <c r="AG625" s="510">
        <v>0</v>
      </c>
      <c r="AH625" s="370">
        <v>0</v>
      </c>
      <c r="AI625" s="75"/>
      <c r="AJ625" s="75"/>
      <c r="AK625" s="75"/>
      <c r="AL625" s="75"/>
      <c r="AM625" s="75"/>
      <c r="AN625" s="64" t="s">
        <v>181</v>
      </c>
      <c r="AO625" s="64" t="s">
        <v>1839</v>
      </c>
      <c r="AP625" s="64" t="s">
        <v>649</v>
      </c>
      <c r="AQ625" s="533" t="s">
        <v>649</v>
      </c>
      <c r="AR625" s="554">
        <v>44562</v>
      </c>
      <c r="AS625" s="554">
        <v>44561</v>
      </c>
      <c r="AT625" s="64" t="s">
        <v>1814</v>
      </c>
      <c r="AU625" s="646"/>
      <c r="AV625" s="185"/>
    </row>
    <row r="626" spans="1:48" ht="21" customHeight="1" outlineLevel="4" x14ac:dyDescent="0.25">
      <c r="A626" s="63" t="str">
        <f t="shared" si="127"/>
        <v>1.3.0.18.4.9</v>
      </c>
      <c r="B626" s="64">
        <v>1</v>
      </c>
      <c r="C626" s="64">
        <v>3</v>
      </c>
      <c r="D626" s="64">
        <v>0</v>
      </c>
      <c r="E626" s="64">
        <v>18</v>
      </c>
      <c r="F626" s="64">
        <v>4</v>
      </c>
      <c r="G626" s="64">
        <v>9</v>
      </c>
      <c r="H626" s="65"/>
      <c r="I626" s="65"/>
      <c r="J626" s="66"/>
      <c r="K626" s="65" t="s">
        <v>263</v>
      </c>
      <c r="L626" s="64" t="s">
        <v>264</v>
      </c>
      <c r="M626" s="64" t="s">
        <v>144</v>
      </c>
      <c r="N626" s="64" t="s">
        <v>265</v>
      </c>
      <c r="O626" s="64" t="s">
        <v>266</v>
      </c>
      <c r="P626" s="69"/>
      <c r="Q626" s="69"/>
      <c r="R626" s="124">
        <v>0</v>
      </c>
      <c r="S626" s="123" t="s">
        <v>258</v>
      </c>
      <c r="T626" s="124"/>
      <c r="U626" s="370">
        <v>0</v>
      </c>
      <c r="V626" s="687">
        <v>0</v>
      </c>
      <c r="W626" s="75"/>
      <c r="X626" s="75"/>
      <c r="Y626" s="834">
        <f>+AJ626-V626</f>
        <v>0</v>
      </c>
      <c r="Z626" s="75"/>
      <c r="AA626" s="75"/>
      <c r="AB626" s="75"/>
      <c r="AC626" s="75"/>
      <c r="AD626" s="75"/>
      <c r="AE626" s="592"/>
      <c r="AF626" s="347"/>
      <c r="AG626" s="510">
        <v>0</v>
      </c>
      <c r="AH626" s="370">
        <v>0</v>
      </c>
      <c r="AI626" s="75"/>
      <c r="AJ626" s="75"/>
      <c r="AK626" s="75"/>
      <c r="AL626" s="75"/>
      <c r="AM626" s="75"/>
      <c r="AN626" s="64" t="s">
        <v>181</v>
      </c>
      <c r="AO626" s="64"/>
      <c r="AP626" s="64"/>
      <c r="AQ626" s="189"/>
      <c r="AR626" s="64"/>
      <c r="AS626" s="476"/>
      <c r="AT626" s="64"/>
      <c r="AU626" s="646"/>
      <c r="AV626" s="185"/>
    </row>
    <row r="627" spans="1:48" s="153" customFormat="1" ht="15" customHeight="1" outlineLevel="1" x14ac:dyDescent="0.25">
      <c r="A627" s="148" t="str">
        <f t="shared" si="127"/>
        <v>1.3.0.19.0.0</v>
      </c>
      <c r="B627" s="82">
        <v>1</v>
      </c>
      <c r="C627" s="82">
        <v>3</v>
      </c>
      <c r="D627" s="82">
        <v>0</v>
      </c>
      <c r="E627" s="82">
        <v>19</v>
      </c>
      <c r="F627" s="82">
        <v>0</v>
      </c>
      <c r="G627" s="82">
        <v>0</v>
      </c>
      <c r="H627" s="149"/>
      <c r="I627" s="149"/>
      <c r="J627" s="1260" t="s">
        <v>670</v>
      </c>
      <c r="K627" s="1260"/>
      <c r="L627" s="82" t="s">
        <v>236</v>
      </c>
      <c r="M627" s="82" t="s">
        <v>240</v>
      </c>
      <c r="N627" s="82" t="s">
        <v>226</v>
      </c>
      <c r="O627" s="82" t="s">
        <v>668</v>
      </c>
      <c r="P627" s="82"/>
      <c r="Q627" s="82"/>
      <c r="R627" s="150"/>
      <c r="S627" s="151"/>
      <c r="T627" s="150"/>
      <c r="U627" s="379">
        <f>+SUM(U628:U631)</f>
        <v>0</v>
      </c>
      <c r="V627" s="682">
        <f>+SUM(V628:V631)</f>
        <v>0</v>
      </c>
      <c r="W627" s="152">
        <f>SUM(W628:W631)</f>
        <v>0</v>
      </c>
      <c r="X627" s="152">
        <f t="shared" ref="X627:Y627" si="130">SUM(X628:X631)</f>
        <v>0</v>
      </c>
      <c r="Y627" s="844">
        <f t="shared" si="130"/>
        <v>0</v>
      </c>
      <c r="Z627" s="152"/>
      <c r="AA627" s="152"/>
      <c r="AB627" s="152"/>
      <c r="AC627" s="152"/>
      <c r="AD627" s="152"/>
      <c r="AE627" s="597"/>
      <c r="AF627" s="351"/>
      <c r="AG627" s="512">
        <f>+SUM(AG628:AG631)</f>
        <v>0</v>
      </c>
      <c r="AH627" s="379">
        <f>+SUM(AH628:AH631)</f>
        <v>0</v>
      </c>
      <c r="AI627" s="152"/>
      <c r="AJ627" s="152"/>
      <c r="AK627" s="152"/>
      <c r="AL627" s="152"/>
      <c r="AM627" s="152"/>
      <c r="AN627" s="82" t="s">
        <v>181</v>
      </c>
      <c r="AO627" s="82"/>
      <c r="AP627" s="82"/>
      <c r="AQ627" s="365"/>
      <c r="AR627" s="82"/>
      <c r="AS627" s="483"/>
      <c r="AT627" s="82"/>
      <c r="AU627" s="666"/>
      <c r="AV627" s="444"/>
    </row>
    <row r="628" spans="1:48" ht="20.25" customHeight="1" outlineLevel="2" x14ac:dyDescent="0.25">
      <c r="A628" s="63" t="str">
        <f t="shared" si="127"/>
        <v>1.3.0.19.1.5</v>
      </c>
      <c r="B628" s="64">
        <v>1</v>
      </c>
      <c r="C628" s="64">
        <v>3</v>
      </c>
      <c r="D628" s="64">
        <v>0</v>
      </c>
      <c r="E628" s="64">
        <v>19</v>
      </c>
      <c r="F628" s="64">
        <v>1</v>
      </c>
      <c r="G628" s="64">
        <v>5</v>
      </c>
      <c r="H628" s="65"/>
      <c r="I628" s="65"/>
      <c r="J628" s="66"/>
      <c r="K628" s="65" t="s">
        <v>245</v>
      </c>
      <c r="L628" s="64" t="s">
        <v>246</v>
      </c>
      <c r="M628" s="64" t="s">
        <v>240</v>
      </c>
      <c r="N628" s="64" t="s">
        <v>247</v>
      </c>
      <c r="O628" s="64" t="s">
        <v>241</v>
      </c>
      <c r="P628" s="64"/>
      <c r="Q628" s="64"/>
      <c r="R628" s="124"/>
      <c r="S628" s="123" t="s">
        <v>248</v>
      </c>
      <c r="T628" s="124">
        <v>0</v>
      </c>
      <c r="U628" s="370">
        <v>0</v>
      </c>
      <c r="V628" s="687">
        <v>0</v>
      </c>
      <c r="W628" s="75"/>
      <c r="X628" s="75"/>
      <c r="Y628" s="834">
        <f>+AJ628-V628</f>
        <v>0</v>
      </c>
      <c r="Z628" s="75"/>
      <c r="AA628" s="75"/>
      <c r="AB628" s="75"/>
      <c r="AC628" s="75"/>
      <c r="AD628" s="75"/>
      <c r="AE628" s="592"/>
      <c r="AF628" s="347"/>
      <c r="AG628" s="510">
        <v>0</v>
      </c>
      <c r="AH628" s="370">
        <v>0</v>
      </c>
      <c r="AI628" s="75"/>
      <c r="AJ628" s="75"/>
      <c r="AK628" s="75"/>
      <c r="AL628" s="75"/>
      <c r="AM628" s="75"/>
      <c r="AN628" s="64" t="s">
        <v>181</v>
      </c>
      <c r="AO628" s="64"/>
      <c r="AP628" s="64"/>
      <c r="AQ628" s="189"/>
      <c r="AR628" s="64"/>
      <c r="AS628" s="476"/>
      <c r="AT628" s="64"/>
      <c r="AU628" s="646"/>
      <c r="AV628" s="185"/>
    </row>
    <row r="629" spans="1:48" ht="20.25" customHeight="1" outlineLevel="2" x14ac:dyDescent="0.25">
      <c r="A629" s="63" t="str">
        <f t="shared" si="127"/>
        <v>1.3.0.19.2.5</v>
      </c>
      <c r="B629" s="64">
        <v>1</v>
      </c>
      <c r="C629" s="64">
        <v>3</v>
      </c>
      <c r="D629" s="64">
        <v>0</v>
      </c>
      <c r="E629" s="64">
        <v>19</v>
      </c>
      <c r="F629" s="64">
        <v>2</v>
      </c>
      <c r="G629" s="64">
        <v>5</v>
      </c>
      <c r="H629" s="65"/>
      <c r="I629" s="65"/>
      <c r="J629" s="65"/>
      <c r="K629" s="65" t="s">
        <v>251</v>
      </c>
      <c r="L629" s="64" t="s">
        <v>246</v>
      </c>
      <c r="M629" s="64" t="s">
        <v>240</v>
      </c>
      <c r="N629" s="64" t="s">
        <v>252</v>
      </c>
      <c r="O629" s="64" t="s">
        <v>241</v>
      </c>
      <c r="P629" s="69"/>
      <c r="Q629" s="69"/>
      <c r="R629" s="124"/>
      <c r="S629" s="123" t="s">
        <v>248</v>
      </c>
      <c r="T629" s="124">
        <v>1000</v>
      </c>
      <c r="U629" s="370">
        <v>0</v>
      </c>
      <c r="V629" s="687">
        <v>0</v>
      </c>
      <c r="W629" s="75">
        <v>0</v>
      </c>
      <c r="X629" s="75"/>
      <c r="Y629" s="834">
        <f>+AJ629-V629</f>
        <v>0</v>
      </c>
      <c r="Z629" s="75">
        <v>0</v>
      </c>
      <c r="AA629" s="75"/>
      <c r="AB629" s="75"/>
      <c r="AC629" s="75">
        <v>0</v>
      </c>
      <c r="AD629" s="75"/>
      <c r="AE629" s="592"/>
      <c r="AF629" s="347">
        <f>+(R629*252)*1.1</f>
        <v>0</v>
      </c>
      <c r="AG629" s="510">
        <v>0</v>
      </c>
      <c r="AH629" s="370">
        <v>0</v>
      </c>
      <c r="AI629" s="75"/>
      <c r="AJ629" s="75"/>
      <c r="AK629" s="75"/>
      <c r="AL629" s="75"/>
      <c r="AM629" s="75"/>
      <c r="AN629" s="64" t="s">
        <v>181</v>
      </c>
      <c r="AO629" s="64"/>
      <c r="AP629" s="64"/>
      <c r="AQ629" s="189"/>
      <c r="AR629" s="64"/>
      <c r="AS629" s="476"/>
      <c r="AT629" s="64"/>
      <c r="AU629" s="646"/>
      <c r="AV629" s="185"/>
    </row>
    <row r="630" spans="1:48" ht="20.25" customHeight="1" outlineLevel="2" x14ac:dyDescent="0.25">
      <c r="A630" s="63" t="str">
        <f t="shared" si="127"/>
        <v>1.3.0.19.3.5</v>
      </c>
      <c r="B630" s="64">
        <v>1</v>
      </c>
      <c r="C630" s="64">
        <v>3</v>
      </c>
      <c r="D630" s="64">
        <v>0</v>
      </c>
      <c r="E630" s="64">
        <v>19</v>
      </c>
      <c r="F630" s="64">
        <v>3</v>
      </c>
      <c r="G630" s="64">
        <v>5</v>
      </c>
      <c r="H630" s="65"/>
      <c r="I630" s="65"/>
      <c r="J630" s="66"/>
      <c r="K630" s="65" t="s">
        <v>255</v>
      </c>
      <c r="L630" s="64" t="s">
        <v>246</v>
      </c>
      <c r="M630" s="64" t="s">
        <v>256</v>
      </c>
      <c r="N630" s="64" t="s">
        <v>671</v>
      </c>
      <c r="O630" s="64" t="s">
        <v>241</v>
      </c>
      <c r="P630" s="170"/>
      <c r="Q630" s="170"/>
      <c r="R630" s="124"/>
      <c r="S630" s="123" t="s">
        <v>672</v>
      </c>
      <c r="T630" s="124"/>
      <c r="U630" s="370">
        <v>0</v>
      </c>
      <c r="V630" s="687">
        <v>0</v>
      </c>
      <c r="W630" s="75"/>
      <c r="X630" s="75"/>
      <c r="Y630" s="834">
        <f>+AJ630-V630</f>
        <v>0</v>
      </c>
      <c r="Z630" s="75"/>
      <c r="AA630" s="75"/>
      <c r="AB630" s="75"/>
      <c r="AC630" s="75"/>
      <c r="AD630" s="75"/>
      <c r="AE630" s="592"/>
      <c r="AF630" s="347"/>
      <c r="AG630" s="510">
        <v>0</v>
      </c>
      <c r="AH630" s="370">
        <v>0</v>
      </c>
      <c r="AI630" s="75"/>
      <c r="AJ630" s="75"/>
      <c r="AK630" s="75"/>
      <c r="AL630" s="75"/>
      <c r="AM630" s="75"/>
      <c r="AN630" s="64" t="s">
        <v>181</v>
      </c>
      <c r="AO630" s="64" t="s">
        <v>1839</v>
      </c>
      <c r="AP630" s="64" t="s">
        <v>649</v>
      </c>
      <c r="AQ630" s="533" t="s">
        <v>649</v>
      </c>
      <c r="AR630" s="554">
        <v>44562</v>
      </c>
      <c r="AS630" s="554">
        <v>44561</v>
      </c>
      <c r="AT630" s="64" t="s">
        <v>1814</v>
      </c>
      <c r="AU630" s="646"/>
      <c r="AV630" s="185"/>
    </row>
    <row r="631" spans="1:48" ht="20.25" customHeight="1" outlineLevel="2" x14ac:dyDescent="0.25">
      <c r="A631" s="63" t="str">
        <f t="shared" si="127"/>
        <v>1.3.0.19.4.5</v>
      </c>
      <c r="B631" s="64">
        <v>1</v>
      </c>
      <c r="C631" s="64">
        <v>3</v>
      </c>
      <c r="D631" s="64">
        <v>0</v>
      </c>
      <c r="E631" s="64">
        <v>19</v>
      </c>
      <c r="F631" s="64">
        <v>4</v>
      </c>
      <c r="G631" s="64">
        <v>5</v>
      </c>
      <c r="H631" s="65"/>
      <c r="I631" s="65"/>
      <c r="J631" s="66"/>
      <c r="K631" s="65" t="s">
        <v>263</v>
      </c>
      <c r="L631" s="64" t="s">
        <v>264</v>
      </c>
      <c r="M631" s="64" t="s">
        <v>76</v>
      </c>
      <c r="N631" s="64" t="s">
        <v>265</v>
      </c>
      <c r="O631" s="64" t="s">
        <v>266</v>
      </c>
      <c r="P631" s="170"/>
      <c r="Q631" s="170"/>
      <c r="R631" s="124"/>
      <c r="S631" s="123" t="s">
        <v>672</v>
      </c>
      <c r="T631" s="124"/>
      <c r="U631" s="370">
        <v>0</v>
      </c>
      <c r="V631" s="687">
        <v>0</v>
      </c>
      <c r="W631" s="75"/>
      <c r="X631" s="75"/>
      <c r="Y631" s="834">
        <f>+AJ631-V631</f>
        <v>0</v>
      </c>
      <c r="Z631" s="75"/>
      <c r="AA631" s="75"/>
      <c r="AB631" s="75"/>
      <c r="AC631" s="75"/>
      <c r="AD631" s="75"/>
      <c r="AE631" s="592"/>
      <c r="AF631" s="347"/>
      <c r="AG631" s="510">
        <v>0</v>
      </c>
      <c r="AH631" s="370">
        <v>0</v>
      </c>
      <c r="AI631" s="75"/>
      <c r="AJ631" s="75"/>
      <c r="AK631" s="75"/>
      <c r="AL631" s="75"/>
      <c r="AM631" s="75"/>
      <c r="AN631" s="64" t="s">
        <v>181</v>
      </c>
      <c r="AO631" s="64"/>
      <c r="AP631" s="64"/>
      <c r="AQ631" s="189"/>
      <c r="AR631" s="64"/>
      <c r="AS631" s="476"/>
      <c r="AT631" s="64"/>
      <c r="AU631" s="646"/>
      <c r="AV631" s="185"/>
    </row>
    <row r="632" spans="1:48" s="153" customFormat="1" ht="15" customHeight="1" outlineLevel="1" x14ac:dyDescent="0.25">
      <c r="A632" s="148" t="str">
        <f t="shared" si="127"/>
        <v>1.3.0.20.0.0</v>
      </c>
      <c r="B632" s="82">
        <v>1</v>
      </c>
      <c r="C632" s="82">
        <v>3</v>
      </c>
      <c r="D632" s="82">
        <v>0</v>
      </c>
      <c r="E632" s="82">
        <v>20</v>
      </c>
      <c r="F632" s="82">
        <v>0</v>
      </c>
      <c r="G632" s="82">
        <v>0</v>
      </c>
      <c r="H632" s="149"/>
      <c r="I632" s="149"/>
      <c r="J632" s="1291" t="s">
        <v>673</v>
      </c>
      <c r="K632" s="1291"/>
      <c r="L632" s="82" t="s">
        <v>236</v>
      </c>
      <c r="M632" s="82" t="s">
        <v>674</v>
      </c>
      <c r="N632" s="82" t="s">
        <v>226</v>
      </c>
      <c r="O632" s="82" t="s">
        <v>668</v>
      </c>
      <c r="P632" s="82"/>
      <c r="Q632" s="82"/>
      <c r="R632" s="150">
        <f>R633</f>
        <v>0</v>
      </c>
      <c r="S632" s="151" t="s">
        <v>248</v>
      </c>
      <c r="T632" s="150">
        <f>T633</f>
        <v>0</v>
      </c>
      <c r="U632" s="379">
        <f>+SUM(U633:U636)</f>
        <v>0</v>
      </c>
      <c r="V632" s="682">
        <f>+SUM(V633:V636)</f>
        <v>0</v>
      </c>
      <c r="W632" s="152">
        <f>SUM(W633:W636)</f>
        <v>0</v>
      </c>
      <c r="X632" s="152">
        <f t="shared" ref="X632:Y632" si="131">SUM(X633:X636)</f>
        <v>0</v>
      </c>
      <c r="Y632" s="844">
        <f t="shared" si="131"/>
        <v>0</v>
      </c>
      <c r="Z632" s="152">
        <f>Z633</f>
        <v>0</v>
      </c>
      <c r="AA632" s="152"/>
      <c r="AB632" s="152"/>
      <c r="AC632" s="152">
        <f>AC633</f>
        <v>0</v>
      </c>
      <c r="AD632" s="152"/>
      <c r="AE632" s="597"/>
      <c r="AF632" s="357">
        <f>AF633</f>
        <v>0</v>
      </c>
      <c r="AG632" s="512">
        <f>+SUM(AG633:AG636)</f>
        <v>0</v>
      </c>
      <c r="AH632" s="379">
        <f>+SUM(AH633:AH636)</f>
        <v>0</v>
      </c>
      <c r="AI632" s="152"/>
      <c r="AJ632" s="152"/>
      <c r="AK632" s="152"/>
      <c r="AL632" s="152"/>
      <c r="AM632" s="152"/>
      <c r="AN632" s="82" t="s">
        <v>181</v>
      </c>
      <c r="AO632" s="82"/>
      <c r="AP632" s="82"/>
      <c r="AQ632" s="365"/>
      <c r="AR632" s="82"/>
      <c r="AS632" s="483"/>
      <c r="AT632" s="82"/>
      <c r="AU632" s="666"/>
      <c r="AV632" s="444"/>
    </row>
    <row r="633" spans="1:48" outlineLevel="2" x14ac:dyDescent="0.25">
      <c r="A633" s="63" t="str">
        <f t="shared" si="127"/>
        <v>1.3.0.20.1.4</v>
      </c>
      <c r="B633" s="64">
        <v>1</v>
      </c>
      <c r="C633" s="64">
        <v>3</v>
      </c>
      <c r="D633" s="64">
        <v>0</v>
      </c>
      <c r="E633" s="64">
        <v>20</v>
      </c>
      <c r="F633" s="64">
        <v>1</v>
      </c>
      <c r="G633" s="64">
        <v>4</v>
      </c>
      <c r="H633" s="65"/>
      <c r="I633" s="65"/>
      <c r="J633" s="65"/>
      <c r="K633" s="65" t="s">
        <v>245</v>
      </c>
      <c r="L633" s="64" t="s">
        <v>246</v>
      </c>
      <c r="M633" s="64" t="s">
        <v>240</v>
      </c>
      <c r="N633" s="64" t="s">
        <v>247</v>
      </c>
      <c r="O633" s="64" t="s">
        <v>241</v>
      </c>
      <c r="P633" s="69"/>
      <c r="Q633" s="69"/>
      <c r="R633" s="158"/>
      <c r="S633" s="123" t="s">
        <v>248</v>
      </c>
      <c r="T633" s="124"/>
      <c r="U633" s="370">
        <v>0</v>
      </c>
      <c r="V633" s="687">
        <v>0</v>
      </c>
      <c r="W633" s="75"/>
      <c r="X633" s="75"/>
      <c r="Y633" s="834">
        <f>+AJ633-V633</f>
        <v>0</v>
      </c>
      <c r="Z633" s="75"/>
      <c r="AA633" s="75"/>
      <c r="AB633" s="75"/>
      <c r="AC633" s="75"/>
      <c r="AD633" s="75"/>
      <c r="AE633" s="592"/>
      <c r="AF633" s="347"/>
      <c r="AG633" s="510">
        <v>0</v>
      </c>
      <c r="AH633" s="370">
        <v>0</v>
      </c>
      <c r="AI633" s="75"/>
      <c r="AJ633" s="75"/>
      <c r="AK633" s="75"/>
      <c r="AL633" s="75"/>
      <c r="AM633" s="75"/>
      <c r="AN633" s="64" t="s">
        <v>181</v>
      </c>
      <c r="AO633" s="64"/>
      <c r="AP633" s="64"/>
      <c r="AQ633" s="189"/>
      <c r="AR633" s="64"/>
      <c r="AS633" s="476"/>
      <c r="AT633" s="64"/>
      <c r="AU633" s="646"/>
      <c r="AV633" s="185"/>
    </row>
    <row r="634" spans="1:48" outlineLevel="2" x14ac:dyDescent="0.25">
      <c r="A634" s="63" t="str">
        <f t="shared" si="127"/>
        <v>1.3.0.20.2.4</v>
      </c>
      <c r="B634" s="64">
        <v>1</v>
      </c>
      <c r="C634" s="64">
        <v>3</v>
      </c>
      <c r="D634" s="64">
        <v>0</v>
      </c>
      <c r="E634" s="64">
        <v>20</v>
      </c>
      <c r="F634" s="64">
        <v>2</v>
      </c>
      <c r="G634" s="64">
        <v>4</v>
      </c>
      <c r="H634" s="65"/>
      <c r="I634" s="65"/>
      <c r="J634" s="65"/>
      <c r="K634" s="65" t="s">
        <v>251</v>
      </c>
      <c r="L634" s="64" t="s">
        <v>246</v>
      </c>
      <c r="M634" s="64" t="s">
        <v>240</v>
      </c>
      <c r="N634" s="64" t="s">
        <v>675</v>
      </c>
      <c r="O634" s="64" t="s">
        <v>241</v>
      </c>
      <c r="P634" s="171"/>
      <c r="Q634" s="171"/>
      <c r="R634" s="170"/>
      <c r="S634" s="123"/>
      <c r="T634" s="124"/>
      <c r="U634" s="370">
        <v>0</v>
      </c>
      <c r="V634" s="687">
        <v>0</v>
      </c>
      <c r="W634" s="75"/>
      <c r="X634" s="75"/>
      <c r="Y634" s="834">
        <f>+AJ634-V634</f>
        <v>0</v>
      </c>
      <c r="Z634" s="75"/>
      <c r="AA634" s="75"/>
      <c r="AB634" s="75"/>
      <c r="AC634" s="75"/>
      <c r="AD634" s="75"/>
      <c r="AE634" s="592"/>
      <c r="AF634" s="347"/>
      <c r="AG634" s="510">
        <v>0</v>
      </c>
      <c r="AH634" s="370">
        <v>0</v>
      </c>
      <c r="AI634" s="75"/>
      <c r="AJ634" s="75"/>
      <c r="AK634" s="75"/>
      <c r="AL634" s="75"/>
      <c r="AM634" s="75"/>
      <c r="AN634" s="64" t="s">
        <v>181</v>
      </c>
      <c r="AO634" s="64"/>
      <c r="AP634" s="64"/>
      <c r="AQ634" s="189"/>
      <c r="AR634" s="64"/>
      <c r="AS634" s="476"/>
      <c r="AT634" s="64"/>
      <c r="AU634" s="646"/>
      <c r="AV634" s="185"/>
    </row>
    <row r="635" spans="1:48" outlineLevel="2" x14ac:dyDescent="0.25">
      <c r="A635" s="63" t="str">
        <f t="shared" si="127"/>
        <v>1.3.0.20.3.4</v>
      </c>
      <c r="B635" s="64">
        <v>1</v>
      </c>
      <c r="C635" s="64">
        <v>3</v>
      </c>
      <c r="D635" s="64">
        <v>0</v>
      </c>
      <c r="E635" s="64">
        <v>20</v>
      </c>
      <c r="F635" s="64">
        <v>3</v>
      </c>
      <c r="G635" s="64">
        <v>4</v>
      </c>
      <c r="H635" s="65"/>
      <c r="I635" s="65"/>
      <c r="J635" s="65"/>
      <c r="K635" s="65" t="s">
        <v>255</v>
      </c>
      <c r="L635" s="64" t="s">
        <v>246</v>
      </c>
      <c r="M635" s="64" t="s">
        <v>256</v>
      </c>
      <c r="N635" s="64" t="s">
        <v>671</v>
      </c>
      <c r="O635" s="64" t="s">
        <v>241</v>
      </c>
      <c r="P635" s="171"/>
      <c r="Q635" s="171"/>
      <c r="R635" s="124"/>
      <c r="S635" s="123"/>
      <c r="T635" s="124"/>
      <c r="U635" s="370">
        <v>0</v>
      </c>
      <c r="V635" s="687">
        <v>0</v>
      </c>
      <c r="W635" s="75"/>
      <c r="X635" s="75"/>
      <c r="Y635" s="834">
        <f>+AJ635-V635</f>
        <v>0</v>
      </c>
      <c r="Z635" s="75"/>
      <c r="AA635" s="75"/>
      <c r="AB635" s="75"/>
      <c r="AC635" s="75"/>
      <c r="AD635" s="75"/>
      <c r="AE635" s="592"/>
      <c r="AF635" s="347"/>
      <c r="AG635" s="510">
        <v>0</v>
      </c>
      <c r="AH635" s="370">
        <v>0</v>
      </c>
      <c r="AI635" s="75"/>
      <c r="AJ635" s="75"/>
      <c r="AK635" s="75"/>
      <c r="AL635" s="75"/>
      <c r="AM635" s="75"/>
      <c r="AN635" s="64" t="s">
        <v>181</v>
      </c>
      <c r="AO635" s="64" t="s">
        <v>1839</v>
      </c>
      <c r="AP635" s="64" t="s">
        <v>649</v>
      </c>
      <c r="AQ635" s="533" t="s">
        <v>649</v>
      </c>
      <c r="AR635" s="69">
        <v>44562</v>
      </c>
      <c r="AS635" s="554">
        <v>44561</v>
      </c>
      <c r="AT635" s="64" t="s">
        <v>1814</v>
      </c>
      <c r="AU635" s="646"/>
      <c r="AV635" s="561"/>
    </row>
    <row r="636" spans="1:48" outlineLevel="2" x14ac:dyDescent="0.25">
      <c r="A636" s="63" t="str">
        <f t="shared" si="127"/>
        <v>1.3.0.20.4.4</v>
      </c>
      <c r="B636" s="64">
        <v>1</v>
      </c>
      <c r="C636" s="64">
        <v>3</v>
      </c>
      <c r="D636" s="64">
        <v>0</v>
      </c>
      <c r="E636" s="64">
        <v>20</v>
      </c>
      <c r="F636" s="64">
        <v>4</v>
      </c>
      <c r="G636" s="64">
        <v>4</v>
      </c>
      <c r="H636" s="65"/>
      <c r="I636" s="65"/>
      <c r="J636" s="65"/>
      <c r="K636" s="65" t="s">
        <v>263</v>
      </c>
      <c r="L636" s="64" t="s">
        <v>264</v>
      </c>
      <c r="M636" s="64" t="s">
        <v>76</v>
      </c>
      <c r="N636" s="64" t="s">
        <v>265</v>
      </c>
      <c r="O636" s="64" t="s">
        <v>266</v>
      </c>
      <c r="P636" s="64"/>
      <c r="Q636" s="64"/>
      <c r="R636" s="124"/>
      <c r="S636" s="123"/>
      <c r="T636" s="124"/>
      <c r="U636" s="370">
        <v>0</v>
      </c>
      <c r="V636" s="687">
        <v>0</v>
      </c>
      <c r="W636" s="75"/>
      <c r="X636" s="75"/>
      <c r="Y636" s="834">
        <f>+AJ636-V636</f>
        <v>0</v>
      </c>
      <c r="Z636" s="75"/>
      <c r="AA636" s="75"/>
      <c r="AB636" s="75"/>
      <c r="AC636" s="75"/>
      <c r="AD636" s="75"/>
      <c r="AE636" s="592"/>
      <c r="AF636" s="347"/>
      <c r="AG636" s="510">
        <v>0</v>
      </c>
      <c r="AH636" s="370">
        <v>0</v>
      </c>
      <c r="AI636" s="75"/>
      <c r="AJ636" s="75"/>
      <c r="AK636" s="75"/>
      <c r="AL636" s="75"/>
      <c r="AM636" s="75"/>
      <c r="AN636" s="64" t="s">
        <v>181</v>
      </c>
      <c r="AO636" s="64"/>
      <c r="AP636" s="64"/>
      <c r="AQ636" s="189"/>
      <c r="AR636" s="64"/>
      <c r="AS636" s="476"/>
      <c r="AT636" s="64"/>
      <c r="AU636" s="646"/>
      <c r="AV636" s="185"/>
    </row>
    <row r="637" spans="1:48" s="153" customFormat="1" ht="37.5" customHeight="1" outlineLevel="1" x14ac:dyDescent="0.25">
      <c r="A637" s="108" t="str">
        <f t="shared" si="127"/>
        <v>1.4.1.0.0.0</v>
      </c>
      <c r="B637" s="109">
        <v>1</v>
      </c>
      <c r="C637" s="109">
        <v>4</v>
      </c>
      <c r="D637" s="109">
        <v>1</v>
      </c>
      <c r="E637" s="109">
        <v>0</v>
      </c>
      <c r="F637" s="109">
        <v>0</v>
      </c>
      <c r="G637" s="109">
        <v>0</v>
      </c>
      <c r="H637" s="110"/>
      <c r="I637" s="1265" t="s">
        <v>676</v>
      </c>
      <c r="J637" s="1265"/>
      <c r="K637" s="1265"/>
      <c r="L637" s="109" t="s">
        <v>236</v>
      </c>
      <c r="M637" s="109" t="s">
        <v>299</v>
      </c>
      <c r="N637" s="109" t="s">
        <v>226</v>
      </c>
      <c r="O637" s="109" t="s">
        <v>677</v>
      </c>
      <c r="P637" s="109"/>
      <c r="Q637" s="109"/>
      <c r="R637" s="109"/>
      <c r="S637" s="110"/>
      <c r="T637" s="109"/>
      <c r="U637" s="112">
        <f>+U638+U648+U677+U680+U683+U686+U689+U692+U695+U698+U701++U704+U707+U710+U713+U716+U719+U722</f>
        <v>8243850</v>
      </c>
      <c r="V637" s="680">
        <f>+V638+V648+V677+V680+V683+V686+V689+V692+V695+V698+V701++V704+V707+V710+V713+V716+V719+V722</f>
        <v>2820550</v>
      </c>
      <c r="W637" s="112"/>
      <c r="X637" s="112">
        <f>+X638+X648+X677+X680+X683+X686+X689+X692+X695+X698+X701++X704+X707+X710+X713+X716+X719+X722</f>
        <v>7453850</v>
      </c>
      <c r="Y637" s="832">
        <f>+Y638+Y648+Y677+Y680+Y683+Y686+Y689+Y692+Y695+Y698+Y701++Y704+Y707+Y710+Y713+Y716+Y719+Y722</f>
        <v>2766550</v>
      </c>
      <c r="Z637" s="112"/>
      <c r="AA637" s="112">
        <f>+AA638+AA648+AA677+AA680+AA683+AA686+AA689+AA692+AA695+AA698+AA701++AA704+AA707+AA710+AA713+AA716+AA719+AA722</f>
        <v>1898870.4</v>
      </c>
      <c r="AB637" s="112"/>
      <c r="AC637" s="112"/>
      <c r="AD637" s="112">
        <f>+AD638+AD648+AD677+AD680+AD683+AD686+AD689+AD692+AD695+AD698+AD701++AD704+AD707+AD710+AD713+AD716+AD719+AD722</f>
        <v>1790229.5999999996</v>
      </c>
      <c r="AE637" s="574"/>
      <c r="AF637" s="333"/>
      <c r="AG637" s="514">
        <f>+AG638+AG648+AG677+AG680+AG683+AG686+AG689+AG692+AG695+AG698+AG701+AG704+AG707+AG710+AG713+AG716+AG719+AG722</f>
        <v>20934857.149999999</v>
      </c>
      <c r="AH637" s="374">
        <f>+AH638+AH648+AH677+AH680+AH683+AH686+AH689+AH692+AH695+AH698+AH701+AH704+AH707+AH710+AH713+AH716+AH719+AH722</f>
        <v>16470800</v>
      </c>
      <c r="AI637" s="514">
        <f>+AI638+AI648+AI677+AI680+AI683+AI686+AI689+AI692+AI695+AI698+AI701+AI704+AI707+AI710+AI713+AI716+AI719+AI722</f>
        <v>0</v>
      </c>
      <c r="AJ637" s="514">
        <f>+AJ638+AJ648+AJ677+AJ680+AJ683+AJ686+AJ689+AJ692+AJ695+AJ698+AJ701+AJ704+AJ707+AJ710+AJ713+AJ716+AJ719+AJ722</f>
        <v>5587100</v>
      </c>
      <c r="AK637" s="112"/>
      <c r="AL637" s="112"/>
      <c r="AM637" s="112"/>
      <c r="AN637" s="109" t="s">
        <v>243</v>
      </c>
      <c r="AO637" s="109"/>
      <c r="AP637" s="109"/>
      <c r="AQ637" s="411"/>
      <c r="AR637" s="109"/>
      <c r="AS637" s="473"/>
      <c r="AT637" s="109"/>
      <c r="AU637" s="659"/>
      <c r="AV637" s="445" t="s">
        <v>678</v>
      </c>
    </row>
    <row r="638" spans="1:48" s="153" customFormat="1" ht="27" customHeight="1" outlineLevel="1" x14ac:dyDescent="0.25">
      <c r="A638" s="148" t="str">
        <f t="shared" si="127"/>
        <v>1.4.1.1.0.0</v>
      </c>
      <c r="B638" s="82">
        <v>1</v>
      </c>
      <c r="C638" s="82">
        <v>4</v>
      </c>
      <c r="D638" s="82">
        <v>1</v>
      </c>
      <c r="E638" s="82">
        <v>1</v>
      </c>
      <c r="F638" s="82">
        <v>0</v>
      </c>
      <c r="G638" s="82">
        <v>0</v>
      </c>
      <c r="H638" s="149"/>
      <c r="I638" s="149"/>
      <c r="J638" s="1260" t="s">
        <v>679</v>
      </c>
      <c r="K638" s="1260"/>
      <c r="L638" s="82" t="s">
        <v>224</v>
      </c>
      <c r="M638" s="82" t="s">
        <v>299</v>
      </c>
      <c r="N638" s="82" t="s">
        <v>671</v>
      </c>
      <c r="O638" s="82" t="s">
        <v>359</v>
      </c>
      <c r="P638" s="82"/>
      <c r="Q638" s="82"/>
      <c r="R638" s="82"/>
      <c r="S638" s="149"/>
      <c r="T638" s="82"/>
      <c r="U638" s="152">
        <f t="shared" ref="U638:AA638" si="132">SUM(U639:U647)</f>
        <v>923849.99999999977</v>
      </c>
      <c r="V638" s="681">
        <f t="shared" si="132"/>
        <v>2820550</v>
      </c>
      <c r="W638" s="152">
        <f t="shared" si="132"/>
        <v>24</v>
      </c>
      <c r="X638" s="152">
        <f t="shared" si="132"/>
        <v>923849.99999999977</v>
      </c>
      <c r="Y638" s="844">
        <f t="shared" si="132"/>
        <v>2766550</v>
      </c>
      <c r="Z638" s="152">
        <f t="shared" si="132"/>
        <v>24</v>
      </c>
      <c r="AA638" s="152">
        <f t="shared" si="132"/>
        <v>1898870.4</v>
      </c>
      <c r="AB638" s="152"/>
      <c r="AC638" s="152">
        <f>SUM(AC639:AC647)</f>
        <v>24</v>
      </c>
      <c r="AD638" s="152">
        <f>SUM(AD639:AD647)</f>
        <v>1790229.5999999996</v>
      </c>
      <c r="AE638" s="597"/>
      <c r="AF638" s="358"/>
      <c r="AG638" s="513">
        <f>+SUM(AG639:AG647)</f>
        <v>10000857.149999999</v>
      </c>
      <c r="AH638" s="380">
        <f>+SUM(AH639:AH647)</f>
        <v>5536799.9999999991</v>
      </c>
      <c r="AI638" s="513">
        <f>+SUM(AI639:AI647)</f>
        <v>0</v>
      </c>
      <c r="AJ638" s="513">
        <f>+SUM(AJ639:AJ647)</f>
        <v>5587100</v>
      </c>
      <c r="AK638" s="198"/>
      <c r="AL638" s="198"/>
      <c r="AM638" s="198"/>
      <c r="AN638" s="82" t="s">
        <v>243</v>
      </c>
      <c r="AO638" s="82"/>
      <c r="AP638" s="82"/>
      <c r="AQ638" s="365"/>
      <c r="AR638" s="82"/>
      <c r="AS638" s="483"/>
      <c r="AT638" s="82"/>
      <c r="AU638" s="666"/>
      <c r="AV638" s="444" t="s">
        <v>1794</v>
      </c>
    </row>
    <row r="639" spans="1:48" outlineLevel="2" x14ac:dyDescent="0.25">
      <c r="A639" s="63" t="str">
        <f t="shared" si="127"/>
        <v>1.4.1.1.15.58</v>
      </c>
      <c r="B639" s="64">
        <v>1</v>
      </c>
      <c r="C639" s="64">
        <v>4</v>
      </c>
      <c r="D639" s="64">
        <v>1</v>
      </c>
      <c r="E639" s="64">
        <v>1</v>
      </c>
      <c r="F639" s="64">
        <v>15</v>
      </c>
      <c r="G639" s="64">
        <v>58</v>
      </c>
      <c r="H639" s="65"/>
      <c r="I639" s="65"/>
      <c r="J639" s="66"/>
      <c r="K639" s="65" t="s">
        <v>1715</v>
      </c>
      <c r="L639" s="64" t="s">
        <v>246</v>
      </c>
      <c r="M639" s="64" t="s">
        <v>680</v>
      </c>
      <c r="N639" s="64" t="s">
        <v>671</v>
      </c>
      <c r="O639" s="64" t="s">
        <v>359</v>
      </c>
      <c r="P639" s="69">
        <v>44586</v>
      </c>
      <c r="Q639" s="69">
        <v>44920</v>
      </c>
      <c r="R639" s="64">
        <v>12</v>
      </c>
      <c r="S639" s="65" t="s">
        <v>267</v>
      </c>
      <c r="T639" s="64">
        <v>3</v>
      </c>
      <c r="U639" s="155">
        <f>+$AH$639/4</f>
        <v>131978.57142857142</v>
      </c>
      <c r="V639" s="679">
        <v>271375</v>
      </c>
      <c r="W639" s="75">
        <v>3</v>
      </c>
      <c r="X639" s="155">
        <f>+$AH$639/4</f>
        <v>131978.57142857142</v>
      </c>
      <c r="Y639" s="834">
        <f t="shared" ref="Y639:Y647" si="133">+AJ639-V639</f>
        <v>263695.70999999996</v>
      </c>
      <c r="Z639" s="75">
        <v>3</v>
      </c>
      <c r="AA639" s="155">
        <f>+$AH$639/4</f>
        <v>131978.57142857142</v>
      </c>
      <c r="AB639" s="155"/>
      <c r="AC639" s="75">
        <v>3</v>
      </c>
      <c r="AD639" s="155">
        <f>+$AH$639/4</f>
        <v>131978.57142857142</v>
      </c>
      <c r="AE639" s="599"/>
      <c r="AF639" s="259"/>
      <c r="AG639" s="510">
        <v>1500000</v>
      </c>
      <c r="AH639" s="370">
        <f>3695400/7</f>
        <v>527914.28571428568</v>
      </c>
      <c r="AI639" s="75"/>
      <c r="AJ639" s="75">
        <f>84400+89290+97665+91330+88735.71+83650</f>
        <v>535070.71</v>
      </c>
      <c r="AK639" s="75"/>
      <c r="AL639" s="75"/>
      <c r="AM639" s="75"/>
      <c r="AN639" s="64" t="s">
        <v>39</v>
      </c>
      <c r="AO639" s="533" t="s">
        <v>649</v>
      </c>
      <c r="AP639" s="533" t="s">
        <v>649</v>
      </c>
      <c r="AQ639" s="533" t="s">
        <v>649</v>
      </c>
      <c r="AR639" s="554">
        <v>44562</v>
      </c>
      <c r="AS639" s="554">
        <v>44926</v>
      </c>
      <c r="AT639" s="64" t="s">
        <v>1814</v>
      </c>
      <c r="AU639" s="875" t="s">
        <v>2156</v>
      </c>
      <c r="AV639" s="1274" t="s">
        <v>2157</v>
      </c>
    </row>
    <row r="640" spans="1:48" outlineLevel="2" x14ac:dyDescent="0.25">
      <c r="A640" s="63" t="str">
        <f t="shared" si="127"/>
        <v>1.4.1.1.15.59</v>
      </c>
      <c r="B640" s="64">
        <v>1</v>
      </c>
      <c r="C640" s="64">
        <v>4</v>
      </c>
      <c r="D640" s="64">
        <v>1</v>
      </c>
      <c r="E640" s="64">
        <v>1</v>
      </c>
      <c r="F640" s="64">
        <v>15</v>
      </c>
      <c r="G640" s="64">
        <v>59</v>
      </c>
      <c r="H640" s="65"/>
      <c r="I640" s="65"/>
      <c r="J640" s="66"/>
      <c r="K640" s="65" t="s">
        <v>1715</v>
      </c>
      <c r="L640" s="64" t="s">
        <v>246</v>
      </c>
      <c r="M640" s="64" t="s">
        <v>680</v>
      </c>
      <c r="N640" s="64" t="s">
        <v>671</v>
      </c>
      <c r="O640" s="64" t="s">
        <v>359</v>
      </c>
      <c r="P640" s="69">
        <v>44586</v>
      </c>
      <c r="Q640" s="69">
        <v>44920</v>
      </c>
      <c r="R640" s="64">
        <v>12</v>
      </c>
      <c r="S640" s="65" t="s">
        <v>267</v>
      </c>
      <c r="T640" s="64">
        <v>3</v>
      </c>
      <c r="U640" s="155">
        <f>+$AH$640/4</f>
        <v>131978.57142857142</v>
      </c>
      <c r="V640" s="679">
        <v>271600</v>
      </c>
      <c r="W640" s="75">
        <v>3</v>
      </c>
      <c r="X640" s="155">
        <f>+$AH$640/4</f>
        <v>131978.57142857142</v>
      </c>
      <c r="Y640" s="834">
        <f t="shared" si="133"/>
        <v>263675.70999999996</v>
      </c>
      <c r="Z640" s="75">
        <v>3</v>
      </c>
      <c r="AA640" s="155">
        <f>+$AH$640/4</f>
        <v>131978.57142857142</v>
      </c>
      <c r="AB640" s="155"/>
      <c r="AC640" s="75">
        <v>3</v>
      </c>
      <c r="AD640" s="155">
        <f>+$AH$640/4</f>
        <v>131978.57142857142</v>
      </c>
      <c r="AE640" s="599"/>
      <c r="AF640" s="259"/>
      <c r="AG640" s="510">
        <v>1500000</v>
      </c>
      <c r="AH640" s="370">
        <f>3695400/7</f>
        <v>527914.28571428568</v>
      </c>
      <c r="AI640" s="75"/>
      <c r="AJ640" s="75">
        <f>84400+89510+97660+91320+88735.71+83650</f>
        <v>535275.71</v>
      </c>
      <c r="AK640" s="75"/>
      <c r="AL640" s="75"/>
      <c r="AM640" s="75"/>
      <c r="AN640" s="64" t="s">
        <v>39</v>
      </c>
      <c r="AO640" s="533" t="s">
        <v>649</v>
      </c>
      <c r="AP640" s="533" t="s">
        <v>649</v>
      </c>
      <c r="AQ640" s="533" t="s">
        <v>649</v>
      </c>
      <c r="AR640" s="554">
        <v>44562</v>
      </c>
      <c r="AS640" s="554">
        <v>44926</v>
      </c>
      <c r="AT640" s="64" t="s">
        <v>1814</v>
      </c>
      <c r="AU640" s="875" t="s">
        <v>2156</v>
      </c>
      <c r="AV640" s="1274"/>
    </row>
    <row r="641" spans="1:50" outlineLevel="2" x14ac:dyDescent="0.25">
      <c r="A641" s="63" t="str">
        <f t="shared" si="127"/>
        <v>1.4.1.1.15.60</v>
      </c>
      <c r="B641" s="64">
        <v>1</v>
      </c>
      <c r="C641" s="64">
        <v>4</v>
      </c>
      <c r="D641" s="64">
        <v>1</v>
      </c>
      <c r="E641" s="64">
        <v>1</v>
      </c>
      <c r="F641" s="64">
        <v>15</v>
      </c>
      <c r="G641" s="64">
        <v>60</v>
      </c>
      <c r="H641" s="65"/>
      <c r="I641" s="65"/>
      <c r="J641" s="66"/>
      <c r="K641" s="65" t="s">
        <v>1715</v>
      </c>
      <c r="L641" s="64" t="s">
        <v>246</v>
      </c>
      <c r="M641" s="64" t="s">
        <v>680</v>
      </c>
      <c r="N641" s="64" t="s">
        <v>671</v>
      </c>
      <c r="O641" s="64" t="s">
        <v>359</v>
      </c>
      <c r="P641" s="69">
        <v>44586</v>
      </c>
      <c r="Q641" s="69">
        <v>44920</v>
      </c>
      <c r="R641" s="64">
        <v>12</v>
      </c>
      <c r="S641" s="65" t="s">
        <v>267</v>
      </c>
      <c r="T641" s="64">
        <v>3</v>
      </c>
      <c r="U641" s="155">
        <f>$AH$641/4</f>
        <v>131978.57142857142</v>
      </c>
      <c r="V641" s="679">
        <v>271375</v>
      </c>
      <c r="W641" s="75">
        <v>3</v>
      </c>
      <c r="X641" s="155">
        <f>$AH$641/4</f>
        <v>131978.57142857142</v>
      </c>
      <c r="Y641" s="834">
        <f t="shared" si="133"/>
        <v>263735.70999999996</v>
      </c>
      <c r="Z641" s="75">
        <v>3</v>
      </c>
      <c r="AA641" s="155">
        <f>$AH$641/4</f>
        <v>131978.57142857142</v>
      </c>
      <c r="AB641" s="155"/>
      <c r="AC641" s="75">
        <v>3</v>
      </c>
      <c r="AD641" s="155">
        <f>$AH$641/4</f>
        <v>131978.57142857142</v>
      </c>
      <c r="AE641" s="599"/>
      <c r="AF641" s="259"/>
      <c r="AG641" s="510">
        <v>1400171.43</v>
      </c>
      <c r="AH641" s="370">
        <f t="shared" ref="AH641:AH645" si="134">3695400/7</f>
        <v>527914.28571428568</v>
      </c>
      <c r="AI641" s="75"/>
      <c r="AJ641" s="75">
        <f>84450+89290+97665+91320+88735.71+83650</f>
        <v>535110.71</v>
      </c>
      <c r="AK641" s="75"/>
      <c r="AL641" s="75"/>
      <c r="AM641" s="75"/>
      <c r="AN641" s="64" t="s">
        <v>39</v>
      </c>
      <c r="AO641" s="533" t="s">
        <v>649</v>
      </c>
      <c r="AP641" s="533" t="s">
        <v>649</v>
      </c>
      <c r="AQ641" s="533" t="s">
        <v>649</v>
      </c>
      <c r="AR641" s="554">
        <v>44562</v>
      </c>
      <c r="AS641" s="554">
        <v>44926</v>
      </c>
      <c r="AT641" s="64" t="s">
        <v>1814</v>
      </c>
      <c r="AU641" s="875" t="s">
        <v>2156</v>
      </c>
      <c r="AV641" s="1274"/>
    </row>
    <row r="642" spans="1:50" outlineLevel="2" x14ac:dyDescent="0.25">
      <c r="A642" s="63" t="str">
        <f t="shared" si="127"/>
        <v>1.4.1.1.15.61</v>
      </c>
      <c r="B642" s="64">
        <v>1</v>
      </c>
      <c r="C642" s="64">
        <v>4</v>
      </c>
      <c r="D642" s="64">
        <v>1</v>
      </c>
      <c r="E642" s="64">
        <v>1</v>
      </c>
      <c r="F642" s="64">
        <v>15</v>
      </c>
      <c r="G642" s="64">
        <v>61</v>
      </c>
      <c r="H642" s="65"/>
      <c r="I642" s="65"/>
      <c r="J642" s="66"/>
      <c r="K642" s="65" t="s">
        <v>1715</v>
      </c>
      <c r="L642" s="64" t="s">
        <v>246</v>
      </c>
      <c r="M642" s="64" t="s">
        <v>680</v>
      </c>
      <c r="N642" s="64" t="s">
        <v>671</v>
      </c>
      <c r="O642" s="64" t="s">
        <v>359</v>
      </c>
      <c r="P642" s="69">
        <v>44586</v>
      </c>
      <c r="Q642" s="69">
        <v>44920</v>
      </c>
      <c r="R642" s="64">
        <v>12</v>
      </c>
      <c r="S642" s="65" t="s">
        <v>267</v>
      </c>
      <c r="T642" s="64">
        <v>3</v>
      </c>
      <c r="U642" s="155">
        <f>$AH$642/4</f>
        <v>131978.57142857142</v>
      </c>
      <c r="V642" s="679">
        <v>271375</v>
      </c>
      <c r="W642" s="75">
        <v>3</v>
      </c>
      <c r="X642" s="155">
        <f>$AH$642/4</f>
        <v>131978.57142857142</v>
      </c>
      <c r="Y642" s="834">
        <f t="shared" si="133"/>
        <v>263685.70999999996</v>
      </c>
      <c r="Z642" s="75">
        <v>3</v>
      </c>
      <c r="AA642" s="155">
        <f>$AH$642/4</f>
        <v>131978.57142857142</v>
      </c>
      <c r="AB642" s="155"/>
      <c r="AC642" s="75">
        <v>3</v>
      </c>
      <c r="AD642" s="155">
        <f>$AH$642/4</f>
        <v>131978.57142857142</v>
      </c>
      <c r="AE642" s="599"/>
      <c r="AF642" s="259"/>
      <c r="AG642" s="510">
        <v>1400171.43</v>
      </c>
      <c r="AH642" s="370">
        <f t="shared" si="134"/>
        <v>527914.28571428568</v>
      </c>
      <c r="AI642" s="75"/>
      <c r="AJ642" s="75">
        <f>84400+89290+97665+91320+88735.71+83650</f>
        <v>535060.71</v>
      </c>
      <c r="AK642" s="75"/>
      <c r="AL642" s="75"/>
      <c r="AM642" s="75"/>
      <c r="AN642" s="64" t="s">
        <v>39</v>
      </c>
      <c r="AO642" s="533" t="s">
        <v>649</v>
      </c>
      <c r="AP642" s="533" t="s">
        <v>649</v>
      </c>
      <c r="AQ642" s="533" t="s">
        <v>649</v>
      </c>
      <c r="AR642" s="554">
        <v>44562</v>
      </c>
      <c r="AS642" s="554">
        <v>44926</v>
      </c>
      <c r="AT642" s="64" t="s">
        <v>1814</v>
      </c>
      <c r="AU642" s="875" t="s">
        <v>2156</v>
      </c>
      <c r="AV642" s="1274"/>
      <c r="AX642" s="199">
        <f>+AH645+AH644+AH643+AH642+AH641+AH640</f>
        <v>3167485.7142857136</v>
      </c>
    </row>
    <row r="643" spans="1:50" outlineLevel="2" x14ac:dyDescent="0.25">
      <c r="A643" s="63" t="str">
        <f t="shared" si="127"/>
        <v>1.4.1.1.15.62</v>
      </c>
      <c r="B643" s="64">
        <v>1</v>
      </c>
      <c r="C643" s="64">
        <v>4</v>
      </c>
      <c r="D643" s="64">
        <v>1</v>
      </c>
      <c r="E643" s="64">
        <v>1</v>
      </c>
      <c r="F643" s="64">
        <v>15</v>
      </c>
      <c r="G643" s="64">
        <v>62</v>
      </c>
      <c r="H643" s="65"/>
      <c r="I643" s="65"/>
      <c r="J643" s="66"/>
      <c r="K643" s="65" t="s">
        <v>1715</v>
      </c>
      <c r="L643" s="64" t="s">
        <v>246</v>
      </c>
      <c r="M643" s="64" t="s">
        <v>680</v>
      </c>
      <c r="N643" s="64" t="s">
        <v>671</v>
      </c>
      <c r="O643" s="64" t="s">
        <v>359</v>
      </c>
      <c r="P643" s="69">
        <v>44586</v>
      </c>
      <c r="Q643" s="69">
        <v>44920</v>
      </c>
      <c r="R643" s="64">
        <v>12</v>
      </c>
      <c r="S643" s="65" t="s">
        <v>267</v>
      </c>
      <c r="T643" s="64">
        <v>3</v>
      </c>
      <c r="U643" s="155">
        <f>$AH$643/4</f>
        <v>131978.57142857142</v>
      </c>
      <c r="V643" s="679">
        <v>271375</v>
      </c>
      <c r="W643" s="75">
        <v>3</v>
      </c>
      <c r="X643" s="155">
        <f>$AH$643/4</f>
        <v>131978.57142857142</v>
      </c>
      <c r="Y643" s="834">
        <f t="shared" si="133"/>
        <v>263685.70999999996</v>
      </c>
      <c r="Z643" s="75">
        <v>3</v>
      </c>
      <c r="AA643" s="155">
        <f>$AH$643/4</f>
        <v>131978.57142857142</v>
      </c>
      <c r="AB643" s="155"/>
      <c r="AC643" s="75">
        <v>3</v>
      </c>
      <c r="AD643" s="155">
        <f>$AH$643/4</f>
        <v>131978.57142857142</v>
      </c>
      <c r="AE643" s="599"/>
      <c r="AF643" s="259"/>
      <c r="AG643" s="510">
        <v>1400171.43</v>
      </c>
      <c r="AH643" s="370">
        <f t="shared" si="134"/>
        <v>527914.28571428568</v>
      </c>
      <c r="AI643" s="75"/>
      <c r="AJ643" s="75">
        <f>84400+89290+97665+91320+88735.71+83650</f>
        <v>535060.71</v>
      </c>
      <c r="AK643" s="75"/>
      <c r="AL643" s="75"/>
      <c r="AM643" s="75"/>
      <c r="AN643" s="64" t="s">
        <v>39</v>
      </c>
      <c r="AO643" s="533" t="s">
        <v>649</v>
      </c>
      <c r="AP643" s="533" t="s">
        <v>649</v>
      </c>
      <c r="AQ643" s="533" t="s">
        <v>649</v>
      </c>
      <c r="AR643" s="554">
        <v>44562</v>
      </c>
      <c r="AS643" s="554">
        <v>44926</v>
      </c>
      <c r="AT643" s="64" t="s">
        <v>1814</v>
      </c>
      <c r="AU643" s="875" t="s">
        <v>2156</v>
      </c>
      <c r="AV643" s="1274"/>
      <c r="AX643" s="200"/>
    </row>
    <row r="644" spans="1:50" outlineLevel="2" x14ac:dyDescent="0.25">
      <c r="A644" s="63" t="str">
        <f t="shared" si="127"/>
        <v>1.4.1.1.15.63</v>
      </c>
      <c r="B644" s="64">
        <v>1</v>
      </c>
      <c r="C644" s="64">
        <v>4</v>
      </c>
      <c r="D644" s="64">
        <v>1</v>
      </c>
      <c r="E644" s="64">
        <v>1</v>
      </c>
      <c r="F644" s="64">
        <v>15</v>
      </c>
      <c r="G644" s="64">
        <v>63</v>
      </c>
      <c r="H644" s="65"/>
      <c r="I644" s="65"/>
      <c r="J644" s="66"/>
      <c r="K644" s="65" t="s">
        <v>1715</v>
      </c>
      <c r="L644" s="64" t="s">
        <v>246</v>
      </c>
      <c r="M644" s="64" t="s">
        <v>680</v>
      </c>
      <c r="N644" s="64" t="s">
        <v>671</v>
      </c>
      <c r="O644" s="64" t="s">
        <v>359</v>
      </c>
      <c r="P644" s="69">
        <v>44586</v>
      </c>
      <c r="Q644" s="69">
        <v>44920</v>
      </c>
      <c r="R644" s="64">
        <v>12</v>
      </c>
      <c r="S644" s="65" t="s">
        <v>267</v>
      </c>
      <c r="T644" s="64">
        <v>3</v>
      </c>
      <c r="U644" s="155">
        <f>$AH$644/4</f>
        <v>131978.57142857142</v>
      </c>
      <c r="V644" s="679">
        <v>271375</v>
      </c>
      <c r="W644" s="75">
        <v>3</v>
      </c>
      <c r="X644" s="155">
        <f>$AH$644/4</f>
        <v>131978.57142857142</v>
      </c>
      <c r="Y644" s="834">
        <f t="shared" si="133"/>
        <v>263685.70999999996</v>
      </c>
      <c r="Z644" s="75">
        <v>3</v>
      </c>
      <c r="AA644" s="155">
        <f>$AH$644/4</f>
        <v>131978.57142857142</v>
      </c>
      <c r="AB644" s="155"/>
      <c r="AC644" s="75">
        <v>3</v>
      </c>
      <c r="AD644" s="155">
        <f>$AH$644/4</f>
        <v>131978.57142857142</v>
      </c>
      <c r="AE644" s="599"/>
      <c r="AF644" s="259"/>
      <c r="AG644" s="510">
        <v>1400171.43</v>
      </c>
      <c r="AH644" s="370">
        <f t="shared" si="134"/>
        <v>527914.28571428568</v>
      </c>
      <c r="AI644" s="75"/>
      <c r="AJ644" s="75">
        <f>84400+89290+97665+91320+88735.71+83650</f>
        <v>535060.71</v>
      </c>
      <c r="AK644" s="75"/>
      <c r="AL644" s="75"/>
      <c r="AM644" s="75"/>
      <c r="AN644" s="64" t="s">
        <v>39</v>
      </c>
      <c r="AO644" s="533" t="s">
        <v>649</v>
      </c>
      <c r="AP644" s="533" t="s">
        <v>649</v>
      </c>
      <c r="AQ644" s="533" t="s">
        <v>649</v>
      </c>
      <c r="AR644" s="554">
        <v>44562</v>
      </c>
      <c r="AS644" s="554">
        <v>44926</v>
      </c>
      <c r="AT644" s="64" t="s">
        <v>1814</v>
      </c>
      <c r="AU644" s="875" t="s">
        <v>2156</v>
      </c>
      <c r="AV644" s="1274"/>
      <c r="AX644" s="200"/>
    </row>
    <row r="645" spans="1:50" outlineLevel="2" x14ac:dyDescent="0.25">
      <c r="A645" s="63" t="str">
        <f t="shared" si="127"/>
        <v>1.4.1.1.15.64</v>
      </c>
      <c r="B645" s="64">
        <v>1</v>
      </c>
      <c r="C645" s="64">
        <v>4</v>
      </c>
      <c r="D645" s="64">
        <v>1</v>
      </c>
      <c r="E645" s="64">
        <v>1</v>
      </c>
      <c r="F645" s="64">
        <v>15</v>
      </c>
      <c r="G645" s="64">
        <v>64</v>
      </c>
      <c r="H645" s="65"/>
      <c r="I645" s="65"/>
      <c r="J645" s="66"/>
      <c r="K645" s="65" t="s">
        <v>1715</v>
      </c>
      <c r="L645" s="64" t="s">
        <v>246</v>
      </c>
      <c r="M645" s="64" t="s">
        <v>680</v>
      </c>
      <c r="N645" s="64" t="s">
        <v>671</v>
      </c>
      <c r="O645" s="64" t="s">
        <v>359</v>
      </c>
      <c r="P645" s="69">
        <v>44586</v>
      </c>
      <c r="Q645" s="69">
        <v>44920</v>
      </c>
      <c r="R645" s="64">
        <v>12</v>
      </c>
      <c r="S645" s="65" t="s">
        <v>267</v>
      </c>
      <c r="T645" s="64">
        <v>3</v>
      </c>
      <c r="U645" s="155">
        <f>$AH$645/4</f>
        <v>131978.57142857142</v>
      </c>
      <c r="V645" s="679">
        <v>271375</v>
      </c>
      <c r="W645" s="75">
        <v>3</v>
      </c>
      <c r="X645" s="155">
        <f>$AH$645/4</f>
        <v>131978.57142857142</v>
      </c>
      <c r="Y645" s="834">
        <f t="shared" si="133"/>
        <v>263685.74</v>
      </c>
      <c r="Z645" s="75">
        <v>3</v>
      </c>
      <c r="AA645" s="155">
        <f>$AH$645/4</f>
        <v>131978.57142857142</v>
      </c>
      <c r="AB645" s="155"/>
      <c r="AC645" s="75">
        <v>3</v>
      </c>
      <c r="AD645" s="155">
        <f>$AH$645/4</f>
        <v>131978.57142857142</v>
      </c>
      <c r="AE645" s="599"/>
      <c r="AF645" s="259"/>
      <c r="AG645" s="510">
        <v>1400171.43</v>
      </c>
      <c r="AH645" s="370">
        <f t="shared" si="134"/>
        <v>527914.28571428568</v>
      </c>
      <c r="AI645" s="75"/>
      <c r="AJ645" s="75">
        <f>84400+89290+97665+91320+88735.74+83650</f>
        <v>535060.74</v>
      </c>
      <c r="AK645" s="75"/>
      <c r="AL645" s="75"/>
      <c r="AM645" s="75"/>
      <c r="AN645" s="64" t="s">
        <v>39</v>
      </c>
      <c r="AO645" s="533" t="s">
        <v>649</v>
      </c>
      <c r="AP645" s="533" t="s">
        <v>649</v>
      </c>
      <c r="AQ645" s="533" t="s">
        <v>649</v>
      </c>
      <c r="AR645" s="554">
        <v>44562</v>
      </c>
      <c r="AS645" s="554">
        <v>44926</v>
      </c>
      <c r="AT645" s="64" t="s">
        <v>1814</v>
      </c>
      <c r="AU645" s="875" t="s">
        <v>2156</v>
      </c>
      <c r="AV645" s="1274"/>
    </row>
    <row r="646" spans="1:50" outlineLevel="2" x14ac:dyDescent="0.25">
      <c r="A646" s="63" t="str">
        <f t="shared" si="127"/>
        <v>1.4.1.1.16.58-64</v>
      </c>
      <c r="B646" s="64">
        <v>1</v>
      </c>
      <c r="C646" s="64">
        <v>4</v>
      </c>
      <c r="D646" s="64">
        <v>1</v>
      </c>
      <c r="E646" s="64">
        <v>1</v>
      </c>
      <c r="F646" s="64">
        <v>16</v>
      </c>
      <c r="G646" s="64" t="s">
        <v>64</v>
      </c>
      <c r="H646" s="65"/>
      <c r="I646" s="65"/>
      <c r="J646" s="66"/>
      <c r="K646" s="65" t="s">
        <v>681</v>
      </c>
      <c r="L646" s="64" t="s">
        <v>682</v>
      </c>
      <c r="M646" s="64" t="s">
        <v>297</v>
      </c>
      <c r="N646" s="64" t="s">
        <v>180</v>
      </c>
      <c r="O646" s="64" t="s">
        <v>683</v>
      </c>
      <c r="P646" s="69"/>
      <c r="Q646" s="69"/>
      <c r="R646" s="64"/>
      <c r="S646" s="65"/>
      <c r="T646" s="64"/>
      <c r="U646" s="155">
        <f>$AH$646/4</f>
        <v>0</v>
      </c>
      <c r="V646" s="679">
        <v>0</v>
      </c>
      <c r="W646" s="75"/>
      <c r="X646" s="75"/>
      <c r="Y646" s="834">
        <f t="shared" si="133"/>
        <v>0</v>
      </c>
      <c r="Z646" s="75"/>
      <c r="AA646" s="75"/>
      <c r="AB646" s="75"/>
      <c r="AC646" s="75"/>
      <c r="AD646" s="75"/>
      <c r="AE646" s="592"/>
      <c r="AF646" s="259" t="s">
        <v>684</v>
      </c>
      <c r="AG646" s="510">
        <v>0</v>
      </c>
      <c r="AH646" s="370">
        <v>0</v>
      </c>
      <c r="AI646" s="75"/>
      <c r="AJ646" s="75"/>
      <c r="AK646" s="75"/>
      <c r="AL646" s="75"/>
      <c r="AM646" s="75"/>
      <c r="AN646" s="64" t="s">
        <v>39</v>
      </c>
      <c r="AO646" s="64"/>
      <c r="AP646" s="64"/>
      <c r="AQ646" s="189"/>
      <c r="AR646" s="64"/>
      <c r="AS646" s="476"/>
      <c r="AT646" s="64"/>
      <c r="AU646" s="646"/>
      <c r="AV646" s="185" t="s">
        <v>127</v>
      </c>
    </row>
    <row r="647" spans="1:50" ht="60" outlineLevel="2" x14ac:dyDescent="0.25">
      <c r="A647" s="201" t="str">
        <f t="shared" si="127"/>
        <v>1.4.1.1.17.58-64</v>
      </c>
      <c r="B647" s="202">
        <v>1</v>
      </c>
      <c r="C647" s="202">
        <v>4</v>
      </c>
      <c r="D647" s="202">
        <v>1</v>
      </c>
      <c r="E647" s="202">
        <v>1</v>
      </c>
      <c r="F647" s="202">
        <v>17</v>
      </c>
      <c r="G647" s="202" t="s">
        <v>64</v>
      </c>
      <c r="H647" s="203"/>
      <c r="I647" s="203"/>
      <c r="J647" s="204"/>
      <c r="K647" s="203" t="s">
        <v>685</v>
      </c>
      <c r="L647" s="64" t="s">
        <v>246</v>
      </c>
      <c r="M647" s="202" t="s">
        <v>144</v>
      </c>
      <c r="N647" s="64" t="s">
        <v>265</v>
      </c>
      <c r="O647" s="64" t="s">
        <v>686</v>
      </c>
      <c r="P647" s="69">
        <v>44586</v>
      </c>
      <c r="Q647" s="69">
        <v>44920</v>
      </c>
      <c r="R647" s="64">
        <v>12</v>
      </c>
      <c r="S647" s="65" t="s">
        <v>267</v>
      </c>
      <c r="T647" s="64">
        <v>3</v>
      </c>
      <c r="U647" s="233"/>
      <c r="V647" s="679">
        <v>920700</v>
      </c>
      <c r="W647" s="75">
        <v>3</v>
      </c>
      <c r="X647" s="233"/>
      <c r="Y647" s="834">
        <f t="shared" si="133"/>
        <v>920700</v>
      </c>
      <c r="Z647" s="75">
        <v>3</v>
      </c>
      <c r="AA647" s="565">
        <v>975020.4</v>
      </c>
      <c r="AB647" s="232"/>
      <c r="AC647" s="232">
        <v>3</v>
      </c>
      <c r="AD647" s="232">
        <f>+AH647-AA647</f>
        <v>866379.6</v>
      </c>
      <c r="AE647" s="232"/>
      <c r="AF647" s="951"/>
      <c r="AG647" s="952">
        <v>0</v>
      </c>
      <c r="AH647" s="564">
        <v>1841400</v>
      </c>
      <c r="AI647" s="127"/>
      <c r="AJ647" s="132">
        <f>306900+306900+306900+306900+306900+306900</f>
        <v>1841400</v>
      </c>
      <c r="AK647" s="233"/>
      <c r="AL647" s="233"/>
      <c r="AM647" s="233"/>
      <c r="AN647" s="64" t="s">
        <v>181</v>
      </c>
      <c r="AO647" s="64" t="s">
        <v>649</v>
      </c>
      <c r="AP647" s="64" t="s">
        <v>649</v>
      </c>
      <c r="AQ647" s="533" t="s">
        <v>649</v>
      </c>
      <c r="AR647" s="554">
        <v>44562</v>
      </c>
      <c r="AS647" s="554">
        <v>44926</v>
      </c>
      <c r="AT647" s="64" t="s">
        <v>1814</v>
      </c>
      <c r="AU647" s="875" t="s">
        <v>2156</v>
      </c>
      <c r="AV647" s="446" t="s">
        <v>2158</v>
      </c>
    </row>
    <row r="648" spans="1:50" s="153" customFormat="1" ht="26.25" customHeight="1" outlineLevel="1" x14ac:dyDescent="0.25">
      <c r="A648" s="148" t="str">
        <f t="shared" si="127"/>
        <v>1.4.1.2.0.0</v>
      </c>
      <c r="B648" s="82">
        <v>1</v>
      </c>
      <c r="C648" s="82">
        <v>4</v>
      </c>
      <c r="D648" s="82">
        <v>1</v>
      </c>
      <c r="E648" s="82">
        <v>2</v>
      </c>
      <c r="F648" s="82">
        <v>0</v>
      </c>
      <c r="G648" s="82">
        <v>0</v>
      </c>
      <c r="H648" s="149"/>
      <c r="I648" s="149"/>
      <c r="J648" s="1260" t="s">
        <v>687</v>
      </c>
      <c r="K648" s="1259"/>
      <c r="L648" s="82" t="s">
        <v>72</v>
      </c>
      <c r="M648" s="82" t="s">
        <v>688</v>
      </c>
      <c r="N648" s="82" t="s">
        <v>689</v>
      </c>
      <c r="O648" s="82" t="s">
        <v>359</v>
      </c>
      <c r="P648" s="82"/>
      <c r="Q648" s="82"/>
      <c r="R648" s="82"/>
      <c r="S648" s="149"/>
      <c r="T648" s="82"/>
      <c r="U648" s="379">
        <f t="shared" ref="U648:AG648" si="135">+SUM(U649:U676)</f>
        <v>0</v>
      </c>
      <c r="V648" s="682">
        <f t="shared" si="135"/>
        <v>0</v>
      </c>
      <c r="W648" s="379">
        <f t="shared" si="135"/>
        <v>2</v>
      </c>
      <c r="X648" s="379">
        <f t="shared" si="135"/>
        <v>0</v>
      </c>
      <c r="Y648" s="845">
        <f t="shared" si="135"/>
        <v>0</v>
      </c>
      <c r="Z648" s="379">
        <f t="shared" si="135"/>
        <v>0</v>
      </c>
      <c r="AA648" s="379">
        <f t="shared" si="135"/>
        <v>0</v>
      </c>
      <c r="AB648" s="379">
        <f t="shared" si="135"/>
        <v>0</v>
      </c>
      <c r="AC648" s="379">
        <f t="shared" si="135"/>
        <v>0</v>
      </c>
      <c r="AD648" s="379">
        <f t="shared" si="135"/>
        <v>0</v>
      </c>
      <c r="AE648" s="379">
        <f t="shared" si="135"/>
        <v>0</v>
      </c>
      <c r="AF648" s="379">
        <f t="shared" si="135"/>
        <v>0</v>
      </c>
      <c r="AG648" s="379">
        <f t="shared" si="135"/>
        <v>0</v>
      </c>
      <c r="AH648" s="379">
        <f>+SUM(AH649:AH676)</f>
        <v>0</v>
      </c>
      <c r="AI648" s="512">
        <f>+SUM(AI649:AI676)</f>
        <v>0</v>
      </c>
      <c r="AJ648" s="512">
        <f>+SUM(AJ649:AJ676)</f>
        <v>0</v>
      </c>
      <c r="AK648" s="152"/>
      <c r="AL648" s="152"/>
      <c r="AM648" s="152"/>
      <c r="AN648" s="82" t="s">
        <v>39</v>
      </c>
      <c r="AO648" s="82"/>
      <c r="AP648" s="82"/>
      <c r="AQ648" s="365"/>
      <c r="AR648" s="82"/>
      <c r="AS648" s="483"/>
      <c r="AT648" s="82"/>
      <c r="AU648" s="666"/>
      <c r="AV648" s="444"/>
    </row>
    <row r="649" spans="1:50" outlineLevel="2" x14ac:dyDescent="0.25">
      <c r="A649" s="63" t="str">
        <f t="shared" si="127"/>
        <v>1.4.1.2.1.58</v>
      </c>
      <c r="B649" s="64">
        <v>1</v>
      </c>
      <c r="C649" s="64">
        <v>4</v>
      </c>
      <c r="D649" s="64">
        <v>1</v>
      </c>
      <c r="E649" s="64">
        <v>2</v>
      </c>
      <c r="F649" s="64">
        <v>1</v>
      </c>
      <c r="G649" s="64">
        <v>58</v>
      </c>
      <c r="H649" s="65"/>
      <c r="I649" s="65"/>
      <c r="J649" s="65"/>
      <c r="K649" s="125" t="s">
        <v>690</v>
      </c>
      <c r="L649" s="64" t="s">
        <v>72</v>
      </c>
      <c r="M649" s="64" t="s">
        <v>73</v>
      </c>
      <c r="N649" s="64" t="s">
        <v>74</v>
      </c>
      <c r="O649" s="64" t="s">
        <v>359</v>
      </c>
      <c r="P649" s="69"/>
      <c r="Q649" s="69"/>
      <c r="R649" s="1331">
        <v>40</v>
      </c>
      <c r="S649" s="65" t="s">
        <v>73</v>
      </c>
      <c r="T649" s="64">
        <v>0</v>
      </c>
      <c r="U649" s="75"/>
      <c r="V649" s="821"/>
      <c r="W649" s="75"/>
      <c r="X649" s="75"/>
      <c r="Y649" s="834">
        <f t="shared" ref="Y649:Y676" si="136">+AJ649-V649</f>
        <v>0</v>
      </c>
      <c r="Z649" s="75">
        <v>0</v>
      </c>
      <c r="AA649" s="75"/>
      <c r="AB649" s="75"/>
      <c r="AC649" s="75"/>
      <c r="AD649" s="75"/>
      <c r="AE649" s="592"/>
      <c r="AF649" s="343" t="s">
        <v>691</v>
      </c>
      <c r="AG649" s="510">
        <v>0</v>
      </c>
      <c r="AH649" s="370">
        <v>0</v>
      </c>
      <c r="AI649" s="75"/>
      <c r="AJ649" s="75"/>
      <c r="AK649" s="75"/>
      <c r="AL649" s="75"/>
      <c r="AM649" s="75"/>
      <c r="AN649" s="64" t="s">
        <v>39</v>
      </c>
      <c r="AO649" s="64"/>
      <c r="AP649" s="64"/>
      <c r="AQ649" s="189"/>
      <c r="AR649" s="64"/>
      <c r="AS649" s="476"/>
      <c r="AT649" s="64"/>
      <c r="AU649" s="646"/>
      <c r="AV649" s="185"/>
    </row>
    <row r="650" spans="1:50" outlineLevel="2" x14ac:dyDescent="0.25">
      <c r="A650" s="63" t="str">
        <f t="shared" si="127"/>
        <v>1.4.1.2.1.59</v>
      </c>
      <c r="B650" s="64">
        <v>1</v>
      </c>
      <c r="C650" s="64">
        <v>4</v>
      </c>
      <c r="D650" s="64">
        <v>1</v>
      </c>
      <c r="E650" s="64">
        <v>2</v>
      </c>
      <c r="F650" s="64">
        <v>1</v>
      </c>
      <c r="G650" s="64">
        <v>59</v>
      </c>
      <c r="H650" s="65"/>
      <c r="I650" s="65"/>
      <c r="J650" s="65"/>
      <c r="K650" s="125" t="s">
        <v>692</v>
      </c>
      <c r="L650" s="64" t="s">
        <v>72</v>
      </c>
      <c r="M650" s="64" t="s">
        <v>73</v>
      </c>
      <c r="N650" s="64" t="s">
        <v>74</v>
      </c>
      <c r="O650" s="64" t="s">
        <v>359</v>
      </c>
      <c r="P650" s="69"/>
      <c r="Q650" s="69"/>
      <c r="R650" s="1332"/>
      <c r="S650" s="65"/>
      <c r="T650" s="64"/>
      <c r="U650" s="75"/>
      <c r="V650" s="821"/>
      <c r="W650" s="75"/>
      <c r="X650" s="75"/>
      <c r="Y650" s="834">
        <f t="shared" si="136"/>
        <v>0</v>
      </c>
      <c r="Z650" s="75"/>
      <c r="AA650" s="75"/>
      <c r="AB650" s="75"/>
      <c r="AC650" s="75"/>
      <c r="AD650" s="75"/>
      <c r="AE650" s="592"/>
      <c r="AF650" s="343"/>
      <c r="AG650" s="510">
        <v>0</v>
      </c>
      <c r="AH650" s="370">
        <v>0</v>
      </c>
      <c r="AI650" s="75"/>
      <c r="AJ650" s="75"/>
      <c r="AK650" s="75"/>
      <c r="AL650" s="75"/>
      <c r="AM650" s="75"/>
      <c r="AN650" s="64" t="s">
        <v>39</v>
      </c>
      <c r="AO650" s="64"/>
      <c r="AP650" s="64"/>
      <c r="AQ650" s="189"/>
      <c r="AR650" s="64"/>
      <c r="AS650" s="476"/>
      <c r="AT650" s="64"/>
      <c r="AU650" s="646"/>
      <c r="AV650" s="185"/>
    </row>
    <row r="651" spans="1:50" outlineLevel="2" x14ac:dyDescent="0.25">
      <c r="A651" s="63" t="str">
        <f t="shared" si="127"/>
        <v>1.4.1.2.1.60</v>
      </c>
      <c r="B651" s="64">
        <v>1</v>
      </c>
      <c r="C651" s="64">
        <v>4</v>
      </c>
      <c r="D651" s="64">
        <v>1</v>
      </c>
      <c r="E651" s="64">
        <v>2</v>
      </c>
      <c r="F651" s="64">
        <v>1</v>
      </c>
      <c r="G651" s="64">
        <v>60</v>
      </c>
      <c r="H651" s="65"/>
      <c r="I651" s="65"/>
      <c r="J651" s="65"/>
      <c r="K651" s="125" t="s">
        <v>693</v>
      </c>
      <c r="L651" s="64" t="s">
        <v>72</v>
      </c>
      <c r="M651" s="64" t="s">
        <v>73</v>
      </c>
      <c r="N651" s="64" t="s">
        <v>74</v>
      </c>
      <c r="O651" s="64" t="s">
        <v>359</v>
      </c>
      <c r="P651" s="69"/>
      <c r="Q651" s="69"/>
      <c r="R651" s="1332"/>
      <c r="S651" s="65"/>
      <c r="T651" s="64"/>
      <c r="U651" s="75"/>
      <c r="V651" s="821"/>
      <c r="W651" s="75"/>
      <c r="X651" s="75"/>
      <c r="Y651" s="834">
        <f t="shared" si="136"/>
        <v>0</v>
      </c>
      <c r="Z651" s="75"/>
      <c r="AA651" s="75"/>
      <c r="AB651" s="75"/>
      <c r="AC651" s="75"/>
      <c r="AD651" s="75"/>
      <c r="AE651" s="592"/>
      <c r="AF651" s="343"/>
      <c r="AG651" s="510">
        <v>0</v>
      </c>
      <c r="AH651" s="370">
        <v>0</v>
      </c>
      <c r="AI651" s="75"/>
      <c r="AJ651" s="75"/>
      <c r="AK651" s="75"/>
      <c r="AL651" s="75"/>
      <c r="AM651" s="75"/>
      <c r="AN651" s="64" t="s">
        <v>39</v>
      </c>
      <c r="AO651" s="64"/>
      <c r="AP651" s="64"/>
      <c r="AQ651" s="189"/>
      <c r="AR651" s="64"/>
      <c r="AS651" s="476"/>
      <c r="AT651" s="64"/>
      <c r="AU651" s="646"/>
      <c r="AV651" s="185"/>
    </row>
    <row r="652" spans="1:50" outlineLevel="2" x14ac:dyDescent="0.25">
      <c r="A652" s="63" t="str">
        <f t="shared" si="127"/>
        <v>1.4.1.2.1.61</v>
      </c>
      <c r="B652" s="64">
        <v>1</v>
      </c>
      <c r="C652" s="64">
        <v>4</v>
      </c>
      <c r="D652" s="64">
        <v>1</v>
      </c>
      <c r="E652" s="64">
        <v>2</v>
      </c>
      <c r="F652" s="64">
        <v>1</v>
      </c>
      <c r="G652" s="64">
        <v>61</v>
      </c>
      <c r="H652" s="65"/>
      <c r="I652" s="65"/>
      <c r="J652" s="65"/>
      <c r="K652" s="125" t="s">
        <v>694</v>
      </c>
      <c r="L652" s="64" t="s">
        <v>72</v>
      </c>
      <c r="M652" s="64" t="s">
        <v>73</v>
      </c>
      <c r="N652" s="64" t="s">
        <v>74</v>
      </c>
      <c r="O652" s="64" t="s">
        <v>359</v>
      </c>
      <c r="P652" s="69"/>
      <c r="Q652" s="69"/>
      <c r="R652" s="1332"/>
      <c r="S652" s="65"/>
      <c r="T652" s="64"/>
      <c r="U652" s="75"/>
      <c r="V652" s="821"/>
      <c r="W652" s="75"/>
      <c r="X652" s="75"/>
      <c r="Y652" s="834">
        <f t="shared" si="136"/>
        <v>0</v>
      </c>
      <c r="Z652" s="75"/>
      <c r="AA652" s="75"/>
      <c r="AB652" s="75"/>
      <c r="AC652" s="75"/>
      <c r="AD652" s="75"/>
      <c r="AE652" s="592"/>
      <c r="AF652" s="343"/>
      <c r="AG652" s="510">
        <v>0</v>
      </c>
      <c r="AH652" s="370">
        <v>0</v>
      </c>
      <c r="AI652" s="75"/>
      <c r="AJ652" s="75"/>
      <c r="AK652" s="75"/>
      <c r="AL652" s="75"/>
      <c r="AM652" s="75"/>
      <c r="AN652" s="64" t="s">
        <v>39</v>
      </c>
      <c r="AO652" s="64"/>
      <c r="AP652" s="64"/>
      <c r="AQ652" s="189"/>
      <c r="AR652" s="64"/>
      <c r="AS652" s="476"/>
      <c r="AT652" s="64"/>
      <c r="AU652" s="646"/>
      <c r="AV652" s="185"/>
    </row>
    <row r="653" spans="1:50" outlineLevel="2" x14ac:dyDescent="0.25">
      <c r="A653" s="63" t="str">
        <f t="shared" si="127"/>
        <v>1.4.1.2.1.62</v>
      </c>
      <c r="B653" s="64">
        <v>1</v>
      </c>
      <c r="C653" s="64">
        <v>4</v>
      </c>
      <c r="D653" s="64">
        <v>1</v>
      </c>
      <c r="E653" s="64">
        <v>2</v>
      </c>
      <c r="F653" s="64">
        <v>1</v>
      </c>
      <c r="G653" s="64">
        <v>62</v>
      </c>
      <c r="H653" s="65"/>
      <c r="I653" s="65"/>
      <c r="J653" s="65"/>
      <c r="K653" s="125" t="s">
        <v>1754</v>
      </c>
      <c r="L653" s="64" t="s">
        <v>72</v>
      </c>
      <c r="M653" s="64" t="s">
        <v>73</v>
      </c>
      <c r="N653" s="64" t="s">
        <v>74</v>
      </c>
      <c r="O653" s="64" t="s">
        <v>359</v>
      </c>
      <c r="P653" s="69"/>
      <c r="Q653" s="69"/>
      <c r="R653" s="1332"/>
      <c r="S653" s="65"/>
      <c r="T653" s="64"/>
      <c r="U653" s="75"/>
      <c r="V653" s="821"/>
      <c r="W653" s="75"/>
      <c r="X653" s="75"/>
      <c r="Y653" s="834">
        <f t="shared" si="136"/>
        <v>0</v>
      </c>
      <c r="Z653" s="75"/>
      <c r="AA653" s="75"/>
      <c r="AB653" s="75"/>
      <c r="AC653" s="75"/>
      <c r="AD653" s="75"/>
      <c r="AE653" s="592"/>
      <c r="AF653" s="343"/>
      <c r="AG653" s="510">
        <v>0</v>
      </c>
      <c r="AH653" s="370">
        <v>0</v>
      </c>
      <c r="AI653" s="75"/>
      <c r="AJ653" s="75"/>
      <c r="AK653" s="75"/>
      <c r="AL653" s="75"/>
      <c r="AM653" s="75"/>
      <c r="AN653" s="64" t="s">
        <v>39</v>
      </c>
      <c r="AO653" s="64"/>
      <c r="AP653" s="64"/>
      <c r="AQ653" s="189"/>
      <c r="AR653" s="64"/>
      <c r="AS653" s="476"/>
      <c r="AT653" s="64"/>
      <c r="AU653" s="646"/>
      <c r="AV653" s="185"/>
    </row>
    <row r="654" spans="1:50" outlineLevel="2" x14ac:dyDescent="0.25">
      <c r="A654" s="63" t="str">
        <f t="shared" si="127"/>
        <v>1.4.1.2.1.63</v>
      </c>
      <c r="B654" s="64">
        <v>1</v>
      </c>
      <c r="C654" s="64">
        <v>4</v>
      </c>
      <c r="D654" s="64">
        <v>1</v>
      </c>
      <c r="E654" s="64">
        <v>2</v>
      </c>
      <c r="F654" s="64">
        <v>1</v>
      </c>
      <c r="G654" s="64">
        <v>63</v>
      </c>
      <c r="H654" s="65"/>
      <c r="I654" s="65"/>
      <c r="J654" s="65"/>
      <c r="K654" s="125" t="s">
        <v>695</v>
      </c>
      <c r="L654" s="64" t="s">
        <v>72</v>
      </c>
      <c r="M654" s="64" t="s">
        <v>73</v>
      </c>
      <c r="N654" s="64" t="s">
        <v>74</v>
      </c>
      <c r="O654" s="64" t="s">
        <v>359</v>
      </c>
      <c r="P654" s="69"/>
      <c r="Q654" s="69"/>
      <c r="R654" s="1332"/>
      <c r="S654" s="65"/>
      <c r="T654" s="64"/>
      <c r="U654" s="75"/>
      <c r="V654" s="821"/>
      <c r="W654" s="75"/>
      <c r="X654" s="75"/>
      <c r="Y654" s="834">
        <f t="shared" si="136"/>
        <v>0</v>
      </c>
      <c r="Z654" s="75"/>
      <c r="AA654" s="75"/>
      <c r="AB654" s="75"/>
      <c r="AC654" s="75"/>
      <c r="AD654" s="75"/>
      <c r="AE654" s="592"/>
      <c r="AF654" s="343"/>
      <c r="AG654" s="510">
        <v>0</v>
      </c>
      <c r="AH654" s="370">
        <v>0</v>
      </c>
      <c r="AI654" s="75"/>
      <c r="AJ654" s="75"/>
      <c r="AK654" s="75"/>
      <c r="AL654" s="75"/>
      <c r="AM654" s="75"/>
      <c r="AN654" s="64" t="s">
        <v>39</v>
      </c>
      <c r="AO654" s="64"/>
      <c r="AP654" s="64"/>
      <c r="AQ654" s="189"/>
      <c r="AR654" s="64"/>
      <c r="AS654" s="476"/>
      <c r="AT654" s="64"/>
      <c r="AU654" s="646"/>
      <c r="AV654" s="185"/>
    </row>
    <row r="655" spans="1:50" outlineLevel="2" x14ac:dyDescent="0.25">
      <c r="A655" s="63" t="str">
        <f t="shared" si="127"/>
        <v>1.4.1.2.1.64</v>
      </c>
      <c r="B655" s="64">
        <v>1</v>
      </c>
      <c r="C655" s="64">
        <v>4</v>
      </c>
      <c r="D655" s="64">
        <v>1</v>
      </c>
      <c r="E655" s="64">
        <v>2</v>
      </c>
      <c r="F655" s="64">
        <v>1</v>
      </c>
      <c r="G655" s="64">
        <v>64</v>
      </c>
      <c r="H655" s="65"/>
      <c r="I655" s="65"/>
      <c r="J655" s="65"/>
      <c r="K655" s="125" t="s">
        <v>696</v>
      </c>
      <c r="L655" s="64" t="s">
        <v>72</v>
      </c>
      <c r="M655" s="64" t="s">
        <v>73</v>
      </c>
      <c r="N655" s="64" t="s">
        <v>74</v>
      </c>
      <c r="O655" s="64" t="s">
        <v>359</v>
      </c>
      <c r="P655" s="69"/>
      <c r="Q655" s="69"/>
      <c r="R655" s="1333"/>
      <c r="S655" s="65"/>
      <c r="T655" s="64"/>
      <c r="U655" s="75"/>
      <c r="V655" s="821"/>
      <c r="W655" s="75"/>
      <c r="X655" s="75"/>
      <c r="Y655" s="834">
        <f t="shared" si="136"/>
        <v>0</v>
      </c>
      <c r="Z655" s="75"/>
      <c r="AA655" s="75"/>
      <c r="AB655" s="75"/>
      <c r="AC655" s="75"/>
      <c r="AD655" s="75"/>
      <c r="AE655" s="592"/>
      <c r="AF655" s="343"/>
      <c r="AG655" s="510">
        <v>0</v>
      </c>
      <c r="AH655" s="370">
        <v>0</v>
      </c>
      <c r="AI655" s="75"/>
      <c r="AJ655" s="75"/>
      <c r="AK655" s="75"/>
      <c r="AL655" s="75"/>
      <c r="AM655" s="75"/>
      <c r="AN655" s="64" t="s">
        <v>39</v>
      </c>
      <c r="AO655" s="64"/>
      <c r="AP655" s="64"/>
      <c r="AQ655" s="189"/>
      <c r="AR655" s="64"/>
      <c r="AS655" s="476"/>
      <c r="AT655" s="64"/>
      <c r="AU655" s="646"/>
      <c r="AV655" s="185"/>
    </row>
    <row r="656" spans="1:50" outlineLevel="2" x14ac:dyDescent="0.25">
      <c r="A656" s="63" t="str">
        <f t="shared" si="127"/>
        <v>1.4.1.2.2.58</v>
      </c>
      <c r="B656" s="64">
        <v>1</v>
      </c>
      <c r="C656" s="64">
        <v>4</v>
      </c>
      <c r="D656" s="64">
        <v>1</v>
      </c>
      <c r="E656" s="64">
        <v>2</v>
      </c>
      <c r="F656" s="64">
        <v>2</v>
      </c>
      <c r="G656" s="64">
        <v>58</v>
      </c>
      <c r="H656" s="65"/>
      <c r="I656" s="65"/>
      <c r="J656" s="66"/>
      <c r="K656" s="125" t="s">
        <v>697</v>
      </c>
      <c r="L656" s="64" t="s">
        <v>72</v>
      </c>
      <c r="M656" s="64" t="s">
        <v>73</v>
      </c>
      <c r="N656" s="64" t="s">
        <v>74</v>
      </c>
      <c r="O656" s="64" t="s">
        <v>359</v>
      </c>
      <c r="P656" s="69"/>
      <c r="Q656" s="69"/>
      <c r="R656" s="64"/>
      <c r="S656" s="65"/>
      <c r="T656" s="64"/>
      <c r="U656" s="75"/>
      <c r="V656" s="821"/>
      <c r="W656" s="75"/>
      <c r="X656" s="75"/>
      <c r="Y656" s="834">
        <f t="shared" si="136"/>
        <v>0</v>
      </c>
      <c r="Z656" s="75"/>
      <c r="AA656" s="75"/>
      <c r="AB656" s="75"/>
      <c r="AC656" s="75"/>
      <c r="AD656" s="75"/>
      <c r="AE656" s="592"/>
      <c r="AF656" s="259"/>
      <c r="AG656" s="510">
        <v>0</v>
      </c>
      <c r="AH656" s="370">
        <v>0</v>
      </c>
      <c r="AI656" s="75"/>
      <c r="AJ656" s="75"/>
      <c r="AK656" s="75"/>
      <c r="AL656" s="75"/>
      <c r="AM656" s="75"/>
      <c r="AN656" s="64" t="s">
        <v>39</v>
      </c>
      <c r="AO656" s="64"/>
      <c r="AP656" s="64"/>
      <c r="AQ656" s="189"/>
      <c r="AR656" s="64"/>
      <c r="AS656" s="476"/>
      <c r="AT656" s="64"/>
      <c r="AU656" s="646"/>
      <c r="AV656" s="185"/>
    </row>
    <row r="657" spans="1:48" outlineLevel="2" x14ac:dyDescent="0.25">
      <c r="A657" s="63" t="str">
        <f t="shared" si="127"/>
        <v>1.4.1.2.2.59</v>
      </c>
      <c r="B657" s="64">
        <v>1</v>
      </c>
      <c r="C657" s="64">
        <v>4</v>
      </c>
      <c r="D657" s="64">
        <v>1</v>
      </c>
      <c r="E657" s="64">
        <v>2</v>
      </c>
      <c r="F657" s="64">
        <v>2</v>
      </c>
      <c r="G657" s="64">
        <v>59</v>
      </c>
      <c r="H657" s="65"/>
      <c r="I657" s="65"/>
      <c r="J657" s="66"/>
      <c r="K657" s="125" t="s">
        <v>697</v>
      </c>
      <c r="L657" s="64" t="s">
        <v>72</v>
      </c>
      <c r="M657" s="64" t="s">
        <v>73</v>
      </c>
      <c r="N657" s="64" t="s">
        <v>74</v>
      </c>
      <c r="O657" s="64" t="s">
        <v>359</v>
      </c>
      <c r="P657" s="69"/>
      <c r="Q657" s="69"/>
      <c r="R657" s="64"/>
      <c r="S657" s="65"/>
      <c r="T657" s="64"/>
      <c r="U657" s="75"/>
      <c r="V657" s="821"/>
      <c r="W657" s="75"/>
      <c r="X657" s="75"/>
      <c r="Y657" s="834">
        <f t="shared" si="136"/>
        <v>0</v>
      </c>
      <c r="Z657" s="75"/>
      <c r="AA657" s="75"/>
      <c r="AB657" s="75"/>
      <c r="AC657" s="75"/>
      <c r="AD657" s="75"/>
      <c r="AE657" s="592"/>
      <c r="AF657" s="259"/>
      <c r="AG657" s="510">
        <v>0</v>
      </c>
      <c r="AH657" s="370">
        <v>0</v>
      </c>
      <c r="AI657" s="75"/>
      <c r="AJ657" s="75"/>
      <c r="AK657" s="75"/>
      <c r="AL657" s="75"/>
      <c r="AM657" s="75"/>
      <c r="AN657" s="64" t="s">
        <v>39</v>
      </c>
      <c r="AO657" s="64"/>
      <c r="AP657" s="64"/>
      <c r="AQ657" s="189"/>
      <c r="AR657" s="64"/>
      <c r="AS657" s="476"/>
      <c r="AT657" s="64"/>
      <c r="AU657" s="646"/>
      <c r="AV657" s="185"/>
    </row>
    <row r="658" spans="1:48" outlineLevel="2" x14ac:dyDescent="0.25">
      <c r="A658" s="63" t="str">
        <f t="shared" si="127"/>
        <v>1.4.1.2.2.60</v>
      </c>
      <c r="B658" s="64">
        <v>1</v>
      </c>
      <c r="C658" s="64">
        <v>4</v>
      </c>
      <c r="D658" s="64">
        <v>1</v>
      </c>
      <c r="E658" s="64">
        <v>2</v>
      </c>
      <c r="F658" s="64">
        <v>2</v>
      </c>
      <c r="G658" s="64">
        <v>60</v>
      </c>
      <c r="H658" s="65"/>
      <c r="I658" s="65"/>
      <c r="J658" s="66"/>
      <c r="K658" s="125" t="s">
        <v>697</v>
      </c>
      <c r="L658" s="64" t="s">
        <v>72</v>
      </c>
      <c r="M658" s="64" t="s">
        <v>73</v>
      </c>
      <c r="N658" s="64" t="s">
        <v>74</v>
      </c>
      <c r="O658" s="64" t="s">
        <v>359</v>
      </c>
      <c r="P658" s="69"/>
      <c r="Q658" s="69"/>
      <c r="R658" s="64"/>
      <c r="S658" s="65"/>
      <c r="T658" s="64"/>
      <c r="U658" s="75"/>
      <c r="V658" s="821"/>
      <c r="W658" s="75"/>
      <c r="X658" s="75"/>
      <c r="Y658" s="834">
        <f t="shared" si="136"/>
        <v>0</v>
      </c>
      <c r="Z658" s="75"/>
      <c r="AA658" s="75"/>
      <c r="AB658" s="75"/>
      <c r="AC658" s="75"/>
      <c r="AD658" s="75"/>
      <c r="AE658" s="592"/>
      <c r="AF658" s="259"/>
      <c r="AG658" s="510">
        <v>0</v>
      </c>
      <c r="AH658" s="370">
        <v>0</v>
      </c>
      <c r="AI658" s="75"/>
      <c r="AJ658" s="75"/>
      <c r="AK658" s="75"/>
      <c r="AL658" s="75"/>
      <c r="AM658" s="75"/>
      <c r="AN658" s="64" t="s">
        <v>39</v>
      </c>
      <c r="AO658" s="64"/>
      <c r="AP658" s="64"/>
      <c r="AQ658" s="189"/>
      <c r="AR658" s="64"/>
      <c r="AS658" s="476"/>
      <c r="AT658" s="64"/>
      <c r="AU658" s="646"/>
      <c r="AV658" s="185"/>
    </row>
    <row r="659" spans="1:48" outlineLevel="2" x14ac:dyDescent="0.25">
      <c r="A659" s="63" t="str">
        <f t="shared" si="127"/>
        <v>1.4.1.2.2.61</v>
      </c>
      <c r="B659" s="64">
        <v>1</v>
      </c>
      <c r="C659" s="64">
        <v>4</v>
      </c>
      <c r="D659" s="64">
        <v>1</v>
      </c>
      <c r="E659" s="64">
        <v>2</v>
      </c>
      <c r="F659" s="64">
        <v>2</v>
      </c>
      <c r="G659" s="64">
        <v>61</v>
      </c>
      <c r="H659" s="65"/>
      <c r="I659" s="65"/>
      <c r="J659" s="66"/>
      <c r="K659" s="125" t="s">
        <v>697</v>
      </c>
      <c r="L659" s="64" t="s">
        <v>72</v>
      </c>
      <c r="M659" s="64" t="s">
        <v>73</v>
      </c>
      <c r="N659" s="64" t="s">
        <v>74</v>
      </c>
      <c r="O659" s="64" t="s">
        <v>359</v>
      </c>
      <c r="P659" s="69"/>
      <c r="Q659" s="69"/>
      <c r="R659" s="64"/>
      <c r="S659" s="65"/>
      <c r="T659" s="64"/>
      <c r="U659" s="75"/>
      <c r="V659" s="821"/>
      <c r="W659" s="75"/>
      <c r="X659" s="75"/>
      <c r="Y659" s="834">
        <f t="shared" si="136"/>
        <v>0</v>
      </c>
      <c r="Z659" s="75"/>
      <c r="AA659" s="75"/>
      <c r="AB659" s="75"/>
      <c r="AC659" s="75"/>
      <c r="AD659" s="75"/>
      <c r="AE659" s="592"/>
      <c r="AF659" s="259"/>
      <c r="AG659" s="510">
        <v>0</v>
      </c>
      <c r="AH659" s="370">
        <v>0</v>
      </c>
      <c r="AI659" s="75"/>
      <c r="AJ659" s="75"/>
      <c r="AK659" s="75"/>
      <c r="AL659" s="75"/>
      <c r="AM659" s="75"/>
      <c r="AN659" s="64" t="s">
        <v>39</v>
      </c>
      <c r="AO659" s="64"/>
      <c r="AP659" s="64"/>
      <c r="AQ659" s="189"/>
      <c r="AR659" s="64"/>
      <c r="AS659" s="476"/>
      <c r="AT659" s="64"/>
      <c r="AU659" s="646"/>
      <c r="AV659" s="185"/>
    </row>
    <row r="660" spans="1:48" outlineLevel="2" x14ac:dyDescent="0.25">
      <c r="A660" s="63" t="str">
        <f t="shared" si="127"/>
        <v>1.4.1.2.2.62</v>
      </c>
      <c r="B660" s="64">
        <v>1</v>
      </c>
      <c r="C660" s="64">
        <v>4</v>
      </c>
      <c r="D660" s="64">
        <v>1</v>
      </c>
      <c r="E660" s="64">
        <v>2</v>
      </c>
      <c r="F660" s="64">
        <v>2</v>
      </c>
      <c r="G660" s="64">
        <v>62</v>
      </c>
      <c r="H660" s="65"/>
      <c r="I660" s="65"/>
      <c r="J660" s="66"/>
      <c r="K660" s="125" t="s">
        <v>697</v>
      </c>
      <c r="L660" s="64" t="s">
        <v>72</v>
      </c>
      <c r="M660" s="64" t="s">
        <v>73</v>
      </c>
      <c r="N660" s="64" t="s">
        <v>74</v>
      </c>
      <c r="O660" s="64" t="s">
        <v>359</v>
      </c>
      <c r="P660" s="69"/>
      <c r="Q660" s="69"/>
      <c r="R660" s="64"/>
      <c r="S660" s="65"/>
      <c r="T660" s="64"/>
      <c r="U660" s="75"/>
      <c r="V660" s="821"/>
      <c r="W660" s="75"/>
      <c r="X660" s="75"/>
      <c r="Y660" s="834">
        <f t="shared" si="136"/>
        <v>0</v>
      </c>
      <c r="Z660" s="75"/>
      <c r="AA660" s="75"/>
      <c r="AB660" s="75"/>
      <c r="AC660" s="75"/>
      <c r="AD660" s="75"/>
      <c r="AE660" s="592"/>
      <c r="AF660" s="259"/>
      <c r="AG660" s="510">
        <v>0</v>
      </c>
      <c r="AH660" s="370">
        <v>0</v>
      </c>
      <c r="AI660" s="75"/>
      <c r="AJ660" s="75"/>
      <c r="AK660" s="75"/>
      <c r="AL660" s="75"/>
      <c r="AM660" s="75"/>
      <c r="AN660" s="64" t="s">
        <v>39</v>
      </c>
      <c r="AO660" s="64"/>
      <c r="AP660" s="64"/>
      <c r="AQ660" s="189"/>
      <c r="AR660" s="64"/>
      <c r="AS660" s="476"/>
      <c r="AT660" s="64"/>
      <c r="AU660" s="646"/>
      <c r="AV660" s="185"/>
    </row>
    <row r="661" spans="1:48" outlineLevel="2" x14ac:dyDescent="0.25">
      <c r="A661" s="63" t="str">
        <f t="shared" si="127"/>
        <v>1.4.1.2.2.63</v>
      </c>
      <c r="B661" s="64">
        <v>1</v>
      </c>
      <c r="C661" s="64">
        <v>4</v>
      </c>
      <c r="D661" s="64">
        <v>1</v>
      </c>
      <c r="E661" s="64">
        <v>2</v>
      </c>
      <c r="F661" s="64">
        <v>2</v>
      </c>
      <c r="G661" s="64">
        <v>63</v>
      </c>
      <c r="H661" s="65"/>
      <c r="I661" s="65"/>
      <c r="J661" s="66"/>
      <c r="K661" s="125" t="s">
        <v>697</v>
      </c>
      <c r="L661" s="64" t="s">
        <v>72</v>
      </c>
      <c r="M661" s="64" t="s">
        <v>73</v>
      </c>
      <c r="N661" s="64" t="s">
        <v>74</v>
      </c>
      <c r="O661" s="64" t="s">
        <v>359</v>
      </c>
      <c r="P661" s="69"/>
      <c r="Q661" s="69"/>
      <c r="R661" s="64"/>
      <c r="S661" s="65"/>
      <c r="T661" s="64"/>
      <c r="U661" s="75"/>
      <c r="V661" s="821"/>
      <c r="W661" s="75"/>
      <c r="X661" s="75"/>
      <c r="Y661" s="834">
        <f t="shared" si="136"/>
        <v>0</v>
      </c>
      <c r="Z661" s="75"/>
      <c r="AA661" s="75"/>
      <c r="AB661" s="75"/>
      <c r="AC661" s="75"/>
      <c r="AD661" s="75"/>
      <c r="AE661" s="592"/>
      <c r="AF661" s="259"/>
      <c r="AG661" s="510">
        <v>0</v>
      </c>
      <c r="AH661" s="370">
        <v>0</v>
      </c>
      <c r="AI661" s="75"/>
      <c r="AJ661" s="75"/>
      <c r="AK661" s="75"/>
      <c r="AL661" s="75"/>
      <c r="AM661" s="75"/>
      <c r="AN661" s="64" t="s">
        <v>39</v>
      </c>
      <c r="AO661" s="64"/>
      <c r="AP661" s="64"/>
      <c r="AQ661" s="189"/>
      <c r="AR661" s="64"/>
      <c r="AS661" s="476"/>
      <c r="AT661" s="64"/>
      <c r="AU661" s="646"/>
      <c r="AV661" s="185"/>
    </row>
    <row r="662" spans="1:48" outlineLevel="2" x14ac:dyDescent="0.25">
      <c r="A662" s="63" t="str">
        <f t="shared" si="127"/>
        <v>1.4.1.2.2.64</v>
      </c>
      <c r="B662" s="64">
        <v>1</v>
      </c>
      <c r="C662" s="64">
        <v>4</v>
      </c>
      <c r="D662" s="64">
        <v>1</v>
      </c>
      <c r="E662" s="64">
        <v>2</v>
      </c>
      <c r="F662" s="64">
        <v>2</v>
      </c>
      <c r="G662" s="64">
        <v>64</v>
      </c>
      <c r="H662" s="65"/>
      <c r="I662" s="65"/>
      <c r="J662" s="66"/>
      <c r="K662" s="125" t="s">
        <v>697</v>
      </c>
      <c r="L662" s="64" t="s">
        <v>72</v>
      </c>
      <c r="M662" s="64" t="s">
        <v>73</v>
      </c>
      <c r="N662" s="64" t="s">
        <v>74</v>
      </c>
      <c r="O662" s="64" t="s">
        <v>359</v>
      </c>
      <c r="P662" s="69"/>
      <c r="Q662" s="69"/>
      <c r="R662" s="64"/>
      <c r="S662" s="65"/>
      <c r="T662" s="64"/>
      <c r="U662" s="75"/>
      <c r="V662" s="821"/>
      <c r="W662" s="75"/>
      <c r="X662" s="75"/>
      <c r="Y662" s="834">
        <f t="shared" si="136"/>
        <v>0</v>
      </c>
      <c r="Z662" s="75"/>
      <c r="AA662" s="75"/>
      <c r="AB662" s="75"/>
      <c r="AC662" s="75"/>
      <c r="AD662" s="75"/>
      <c r="AE662" s="592"/>
      <c r="AF662" s="259"/>
      <c r="AG662" s="510">
        <v>0</v>
      </c>
      <c r="AH662" s="370">
        <v>0</v>
      </c>
      <c r="AI662" s="75"/>
      <c r="AJ662" s="75"/>
      <c r="AK662" s="75"/>
      <c r="AL662" s="75"/>
      <c r="AM662" s="75"/>
      <c r="AN662" s="64" t="s">
        <v>39</v>
      </c>
      <c r="AO662" s="64"/>
      <c r="AP662" s="64"/>
      <c r="AQ662" s="189"/>
      <c r="AR662" s="64"/>
      <c r="AS662" s="476"/>
      <c r="AT662" s="64"/>
      <c r="AU662" s="646"/>
      <c r="AV662" s="185"/>
    </row>
    <row r="663" spans="1:48" outlineLevel="2" x14ac:dyDescent="0.25">
      <c r="A663" s="63" t="str">
        <f t="shared" si="127"/>
        <v>1.4.1.2.3.58</v>
      </c>
      <c r="B663" s="64">
        <v>1</v>
      </c>
      <c r="C663" s="64">
        <v>4</v>
      </c>
      <c r="D663" s="64">
        <v>1</v>
      </c>
      <c r="E663" s="64">
        <v>2</v>
      </c>
      <c r="F663" s="64">
        <v>3</v>
      </c>
      <c r="G663" s="64">
        <v>58</v>
      </c>
      <c r="H663" s="65"/>
      <c r="I663" s="65"/>
      <c r="J663" s="65"/>
      <c r="K663" s="125" t="s">
        <v>698</v>
      </c>
      <c r="L663" s="64" t="s">
        <v>236</v>
      </c>
      <c r="M663" s="64" t="s">
        <v>422</v>
      </c>
      <c r="N663" s="64" t="s">
        <v>699</v>
      </c>
      <c r="O663" s="64" t="s">
        <v>700</v>
      </c>
      <c r="P663" s="69"/>
      <c r="Q663" s="69"/>
      <c r="R663" s="64">
        <v>1</v>
      </c>
      <c r="S663" s="65"/>
      <c r="T663" s="64"/>
      <c r="U663" s="75"/>
      <c r="V663" s="821"/>
      <c r="W663" s="75">
        <v>1</v>
      </c>
      <c r="X663" s="75"/>
      <c r="Y663" s="834">
        <f t="shared" si="136"/>
        <v>0</v>
      </c>
      <c r="Z663" s="75"/>
      <c r="AA663" s="75"/>
      <c r="AB663" s="75"/>
      <c r="AC663" s="75"/>
      <c r="AD663" s="75"/>
      <c r="AE663" s="592"/>
      <c r="AF663" s="259"/>
      <c r="AG663" s="510">
        <v>0</v>
      </c>
      <c r="AH663" s="370">
        <v>0</v>
      </c>
      <c r="AI663" s="75"/>
      <c r="AJ663" s="75"/>
      <c r="AK663" s="75"/>
      <c r="AL663" s="75"/>
      <c r="AM663" s="75"/>
      <c r="AN663" s="64" t="s">
        <v>39</v>
      </c>
      <c r="AO663" s="64"/>
      <c r="AP663" s="64"/>
      <c r="AQ663" s="189"/>
      <c r="AR663" s="64"/>
      <c r="AS663" s="476"/>
      <c r="AT663" s="64"/>
      <c r="AU663" s="646"/>
      <c r="AV663" s="185"/>
    </row>
    <row r="664" spans="1:48" outlineLevel="2" x14ac:dyDescent="0.25">
      <c r="A664" s="63" t="str">
        <f t="shared" si="127"/>
        <v>1.4.1.2.3.59</v>
      </c>
      <c r="B664" s="64">
        <v>1</v>
      </c>
      <c r="C664" s="64">
        <v>4</v>
      </c>
      <c r="D664" s="64">
        <v>1</v>
      </c>
      <c r="E664" s="64">
        <v>2</v>
      </c>
      <c r="F664" s="64">
        <v>3</v>
      </c>
      <c r="G664" s="64">
        <v>59</v>
      </c>
      <c r="H664" s="65"/>
      <c r="I664" s="65"/>
      <c r="J664" s="65"/>
      <c r="K664" s="125" t="s">
        <v>698</v>
      </c>
      <c r="L664" s="64" t="s">
        <v>236</v>
      </c>
      <c r="M664" s="64" t="s">
        <v>422</v>
      </c>
      <c r="N664" s="64" t="s">
        <v>699</v>
      </c>
      <c r="O664" s="64" t="s">
        <v>700</v>
      </c>
      <c r="P664" s="69"/>
      <c r="Q664" s="69"/>
      <c r="R664" s="64"/>
      <c r="S664" s="65"/>
      <c r="T664" s="64"/>
      <c r="U664" s="75"/>
      <c r="V664" s="821"/>
      <c r="W664" s="75"/>
      <c r="X664" s="75"/>
      <c r="Y664" s="834">
        <f t="shared" si="136"/>
        <v>0</v>
      </c>
      <c r="Z664" s="75"/>
      <c r="AA664" s="75"/>
      <c r="AB664" s="75"/>
      <c r="AC664" s="75"/>
      <c r="AD664" s="75"/>
      <c r="AE664" s="592"/>
      <c r="AF664" s="259"/>
      <c r="AG664" s="510">
        <v>0</v>
      </c>
      <c r="AH664" s="370">
        <v>0</v>
      </c>
      <c r="AI664" s="75"/>
      <c r="AJ664" s="75"/>
      <c r="AK664" s="75"/>
      <c r="AL664" s="75"/>
      <c r="AM664" s="75"/>
      <c r="AN664" s="64" t="s">
        <v>39</v>
      </c>
      <c r="AO664" s="64"/>
      <c r="AP664" s="64"/>
      <c r="AQ664" s="189"/>
      <c r="AR664" s="64"/>
      <c r="AS664" s="476"/>
      <c r="AT664" s="64"/>
      <c r="AU664" s="646"/>
      <c r="AV664" s="185"/>
    </row>
    <row r="665" spans="1:48" outlineLevel="2" x14ac:dyDescent="0.25">
      <c r="A665" s="63" t="str">
        <f t="shared" si="127"/>
        <v>1.4.1.2.3.60</v>
      </c>
      <c r="B665" s="64">
        <v>1</v>
      </c>
      <c r="C665" s="64">
        <v>4</v>
      </c>
      <c r="D665" s="64">
        <v>1</v>
      </c>
      <c r="E665" s="64">
        <v>2</v>
      </c>
      <c r="F665" s="64">
        <v>3</v>
      </c>
      <c r="G665" s="64">
        <v>60</v>
      </c>
      <c r="H665" s="65"/>
      <c r="I665" s="65"/>
      <c r="J665" s="65"/>
      <c r="K665" s="125" t="s">
        <v>698</v>
      </c>
      <c r="L665" s="64" t="s">
        <v>236</v>
      </c>
      <c r="M665" s="64" t="s">
        <v>422</v>
      </c>
      <c r="N665" s="64" t="s">
        <v>699</v>
      </c>
      <c r="O665" s="64" t="s">
        <v>700</v>
      </c>
      <c r="P665" s="69"/>
      <c r="Q665" s="69"/>
      <c r="R665" s="64"/>
      <c r="S665" s="65"/>
      <c r="T665" s="64"/>
      <c r="U665" s="75"/>
      <c r="V665" s="821"/>
      <c r="W665" s="75"/>
      <c r="X665" s="75"/>
      <c r="Y665" s="834">
        <f t="shared" si="136"/>
        <v>0</v>
      </c>
      <c r="Z665" s="75"/>
      <c r="AA665" s="75"/>
      <c r="AB665" s="75"/>
      <c r="AC665" s="75"/>
      <c r="AD665" s="75"/>
      <c r="AE665" s="592"/>
      <c r="AF665" s="259"/>
      <c r="AG665" s="510">
        <v>0</v>
      </c>
      <c r="AH665" s="370">
        <v>0</v>
      </c>
      <c r="AI665" s="75"/>
      <c r="AJ665" s="75"/>
      <c r="AK665" s="75"/>
      <c r="AL665" s="75"/>
      <c r="AM665" s="75"/>
      <c r="AN665" s="64" t="s">
        <v>39</v>
      </c>
      <c r="AO665" s="64"/>
      <c r="AP665" s="64"/>
      <c r="AQ665" s="189"/>
      <c r="AR665" s="64"/>
      <c r="AS665" s="476"/>
      <c r="AT665" s="64"/>
      <c r="AU665" s="646"/>
      <c r="AV665" s="185"/>
    </row>
    <row r="666" spans="1:48" outlineLevel="2" x14ac:dyDescent="0.25">
      <c r="A666" s="63" t="str">
        <f t="shared" si="127"/>
        <v>1.4.1.2.3.61</v>
      </c>
      <c r="B666" s="64">
        <v>1</v>
      </c>
      <c r="C666" s="64">
        <v>4</v>
      </c>
      <c r="D666" s="64">
        <v>1</v>
      </c>
      <c r="E666" s="64">
        <v>2</v>
      </c>
      <c r="F666" s="64">
        <v>3</v>
      </c>
      <c r="G666" s="64">
        <v>61</v>
      </c>
      <c r="H666" s="65"/>
      <c r="I666" s="65"/>
      <c r="J666" s="65"/>
      <c r="K666" s="125" t="s">
        <v>698</v>
      </c>
      <c r="L666" s="64" t="s">
        <v>236</v>
      </c>
      <c r="M666" s="64" t="s">
        <v>422</v>
      </c>
      <c r="N666" s="64" t="s">
        <v>699</v>
      </c>
      <c r="O666" s="64" t="s">
        <v>700</v>
      </c>
      <c r="P666" s="69"/>
      <c r="Q666" s="69"/>
      <c r="R666" s="64"/>
      <c r="S666" s="65"/>
      <c r="T666" s="64"/>
      <c r="U666" s="75"/>
      <c r="V666" s="821"/>
      <c r="W666" s="75"/>
      <c r="X666" s="75"/>
      <c r="Y666" s="834">
        <f t="shared" si="136"/>
        <v>0</v>
      </c>
      <c r="Z666" s="75"/>
      <c r="AA666" s="75"/>
      <c r="AB666" s="75"/>
      <c r="AC666" s="75"/>
      <c r="AD666" s="75"/>
      <c r="AE666" s="592"/>
      <c r="AF666" s="259"/>
      <c r="AG666" s="510">
        <v>0</v>
      </c>
      <c r="AH666" s="370">
        <v>0</v>
      </c>
      <c r="AI666" s="75"/>
      <c r="AJ666" s="75"/>
      <c r="AK666" s="75"/>
      <c r="AL666" s="75"/>
      <c r="AM666" s="75"/>
      <c r="AN666" s="64" t="s">
        <v>39</v>
      </c>
      <c r="AO666" s="64"/>
      <c r="AP666" s="64"/>
      <c r="AQ666" s="189"/>
      <c r="AR666" s="64"/>
      <c r="AS666" s="476"/>
      <c r="AT666" s="64"/>
      <c r="AU666" s="646"/>
      <c r="AV666" s="185"/>
    </row>
    <row r="667" spans="1:48" outlineLevel="2" x14ac:dyDescent="0.25">
      <c r="A667" s="63" t="str">
        <f t="shared" si="127"/>
        <v>1.4.1.2.3.62</v>
      </c>
      <c r="B667" s="64">
        <v>1</v>
      </c>
      <c r="C667" s="64">
        <v>4</v>
      </c>
      <c r="D667" s="64">
        <v>1</v>
      </c>
      <c r="E667" s="64">
        <v>2</v>
      </c>
      <c r="F667" s="64">
        <v>3</v>
      </c>
      <c r="G667" s="64">
        <v>62</v>
      </c>
      <c r="H667" s="65"/>
      <c r="I667" s="65"/>
      <c r="J667" s="65"/>
      <c r="K667" s="125" t="s">
        <v>698</v>
      </c>
      <c r="L667" s="64" t="s">
        <v>236</v>
      </c>
      <c r="M667" s="64" t="s">
        <v>422</v>
      </c>
      <c r="N667" s="64" t="s">
        <v>699</v>
      </c>
      <c r="O667" s="64" t="s">
        <v>700</v>
      </c>
      <c r="P667" s="69"/>
      <c r="Q667" s="69"/>
      <c r="R667" s="64"/>
      <c r="S667" s="65"/>
      <c r="T667" s="64"/>
      <c r="U667" s="75"/>
      <c r="V667" s="821"/>
      <c r="W667" s="75"/>
      <c r="X667" s="75"/>
      <c r="Y667" s="834">
        <f t="shared" si="136"/>
        <v>0</v>
      </c>
      <c r="Z667" s="75"/>
      <c r="AA667" s="75"/>
      <c r="AB667" s="75"/>
      <c r="AC667" s="75"/>
      <c r="AD667" s="75"/>
      <c r="AE667" s="592"/>
      <c r="AF667" s="259"/>
      <c r="AG667" s="510">
        <v>0</v>
      </c>
      <c r="AH667" s="370">
        <v>0</v>
      </c>
      <c r="AI667" s="75"/>
      <c r="AJ667" s="75"/>
      <c r="AK667" s="75"/>
      <c r="AL667" s="75"/>
      <c r="AM667" s="75"/>
      <c r="AN667" s="64" t="s">
        <v>39</v>
      </c>
      <c r="AO667" s="64"/>
      <c r="AP667" s="64"/>
      <c r="AQ667" s="189"/>
      <c r="AR667" s="64"/>
      <c r="AS667" s="476"/>
      <c r="AT667" s="64"/>
      <c r="AU667" s="646"/>
      <c r="AV667" s="185"/>
    </row>
    <row r="668" spans="1:48" outlineLevel="2" x14ac:dyDescent="0.25">
      <c r="A668" s="63" t="str">
        <f t="shared" si="127"/>
        <v>1.4.1.2.3.63</v>
      </c>
      <c r="B668" s="64">
        <v>1</v>
      </c>
      <c r="C668" s="64">
        <v>4</v>
      </c>
      <c r="D668" s="64">
        <v>1</v>
      </c>
      <c r="E668" s="64">
        <v>2</v>
      </c>
      <c r="F668" s="64">
        <v>3</v>
      </c>
      <c r="G668" s="64">
        <v>63</v>
      </c>
      <c r="H668" s="65"/>
      <c r="I668" s="65"/>
      <c r="J668" s="65"/>
      <c r="K668" s="125" t="s">
        <v>698</v>
      </c>
      <c r="L668" s="64" t="s">
        <v>236</v>
      </c>
      <c r="M668" s="64" t="s">
        <v>422</v>
      </c>
      <c r="N668" s="64" t="s">
        <v>699</v>
      </c>
      <c r="O668" s="64" t="s">
        <v>700</v>
      </c>
      <c r="P668" s="69"/>
      <c r="Q668" s="69"/>
      <c r="R668" s="64"/>
      <c r="S668" s="65"/>
      <c r="T668" s="64"/>
      <c r="U668" s="75"/>
      <c r="V668" s="821"/>
      <c r="W668" s="75"/>
      <c r="X668" s="75"/>
      <c r="Y668" s="834">
        <f t="shared" si="136"/>
        <v>0</v>
      </c>
      <c r="Z668" s="75"/>
      <c r="AA668" s="75"/>
      <c r="AB668" s="75"/>
      <c r="AC668" s="75"/>
      <c r="AD668" s="75"/>
      <c r="AE668" s="592"/>
      <c r="AF668" s="259"/>
      <c r="AG668" s="510">
        <v>0</v>
      </c>
      <c r="AH668" s="370">
        <v>0</v>
      </c>
      <c r="AI668" s="75"/>
      <c r="AJ668" s="75"/>
      <c r="AK668" s="75"/>
      <c r="AL668" s="75"/>
      <c r="AM668" s="75"/>
      <c r="AN668" s="64" t="s">
        <v>39</v>
      </c>
      <c r="AO668" s="64"/>
      <c r="AP668" s="64"/>
      <c r="AQ668" s="189"/>
      <c r="AR668" s="64"/>
      <c r="AS668" s="476"/>
      <c r="AT668" s="64"/>
      <c r="AU668" s="646"/>
      <c r="AV668" s="185"/>
    </row>
    <row r="669" spans="1:48" outlineLevel="2" x14ac:dyDescent="0.25">
      <c r="A669" s="63" t="str">
        <f t="shared" si="127"/>
        <v>1.4.1.2.3.64</v>
      </c>
      <c r="B669" s="64">
        <v>1</v>
      </c>
      <c r="C669" s="64">
        <v>4</v>
      </c>
      <c r="D669" s="64">
        <v>1</v>
      </c>
      <c r="E669" s="64">
        <v>2</v>
      </c>
      <c r="F669" s="64">
        <v>3</v>
      </c>
      <c r="G669" s="64">
        <v>64</v>
      </c>
      <c r="H669" s="65"/>
      <c r="I669" s="65"/>
      <c r="J669" s="65"/>
      <c r="K669" s="125" t="s">
        <v>698</v>
      </c>
      <c r="L669" s="64" t="s">
        <v>236</v>
      </c>
      <c r="M669" s="64" t="s">
        <v>422</v>
      </c>
      <c r="N669" s="64" t="s">
        <v>699</v>
      </c>
      <c r="O669" s="64" t="s">
        <v>700</v>
      </c>
      <c r="P669" s="69"/>
      <c r="Q669" s="69"/>
      <c r="R669" s="64"/>
      <c r="S669" s="65"/>
      <c r="T669" s="64"/>
      <c r="U669" s="75"/>
      <c r="V669" s="821"/>
      <c r="W669" s="75"/>
      <c r="X669" s="75"/>
      <c r="Y669" s="834">
        <f t="shared" si="136"/>
        <v>0</v>
      </c>
      <c r="Z669" s="75"/>
      <c r="AA669" s="75"/>
      <c r="AB669" s="75"/>
      <c r="AC669" s="75"/>
      <c r="AD669" s="75"/>
      <c r="AE669" s="592"/>
      <c r="AF669" s="259"/>
      <c r="AG669" s="510">
        <v>0</v>
      </c>
      <c r="AH669" s="370">
        <v>0</v>
      </c>
      <c r="AI669" s="75"/>
      <c r="AJ669" s="75"/>
      <c r="AK669" s="75"/>
      <c r="AL669" s="75"/>
      <c r="AM669" s="75"/>
      <c r="AN669" s="64" t="s">
        <v>39</v>
      </c>
      <c r="AO669" s="64"/>
      <c r="AP669" s="64"/>
      <c r="AQ669" s="189"/>
      <c r="AR669" s="64"/>
      <c r="AS669" s="476"/>
      <c r="AT669" s="64"/>
      <c r="AU669" s="646"/>
      <c r="AV669" s="185"/>
    </row>
    <row r="670" spans="1:48" outlineLevel="2" x14ac:dyDescent="0.25">
      <c r="A670" s="63" t="str">
        <f t="shared" si="127"/>
        <v>1.4.1.2.4.58</v>
      </c>
      <c r="B670" s="64">
        <v>1</v>
      </c>
      <c r="C670" s="64">
        <v>4</v>
      </c>
      <c r="D670" s="64">
        <v>1</v>
      </c>
      <c r="E670" s="64">
        <v>2</v>
      </c>
      <c r="F670" s="64">
        <v>4</v>
      </c>
      <c r="G670" s="64">
        <v>58</v>
      </c>
      <c r="H670" s="65"/>
      <c r="I670" s="65"/>
      <c r="J670" s="66"/>
      <c r="K670" s="125" t="s">
        <v>701</v>
      </c>
      <c r="L670" s="64" t="s">
        <v>72</v>
      </c>
      <c r="M670" s="64" t="s">
        <v>73</v>
      </c>
      <c r="N670" s="64" t="s">
        <v>74</v>
      </c>
      <c r="O670" s="64" t="s">
        <v>359</v>
      </c>
      <c r="P670" s="69"/>
      <c r="Q670" s="69"/>
      <c r="R670" s="64">
        <v>3</v>
      </c>
      <c r="S670" s="65"/>
      <c r="T670" s="64"/>
      <c r="U670" s="75"/>
      <c r="V670" s="821"/>
      <c r="W670" s="75">
        <v>1</v>
      </c>
      <c r="X670" s="75"/>
      <c r="Y670" s="834">
        <f t="shared" si="136"/>
        <v>0</v>
      </c>
      <c r="Z670" s="75"/>
      <c r="AA670" s="75"/>
      <c r="AB670" s="75"/>
      <c r="AC670" s="75"/>
      <c r="AD670" s="75"/>
      <c r="AE670" s="592"/>
      <c r="AF670" s="259"/>
      <c r="AG670" s="510">
        <v>0</v>
      </c>
      <c r="AH670" s="370">
        <v>0</v>
      </c>
      <c r="AI670" s="75"/>
      <c r="AJ670" s="75"/>
      <c r="AK670" s="75"/>
      <c r="AL670" s="75"/>
      <c r="AM670" s="75"/>
      <c r="AN670" s="64" t="s">
        <v>39</v>
      </c>
      <c r="AO670" s="64"/>
      <c r="AP670" s="64"/>
      <c r="AQ670" s="189"/>
      <c r="AR670" s="64"/>
      <c r="AS670" s="476"/>
      <c r="AT670" s="64"/>
      <c r="AU670" s="646"/>
      <c r="AV670" s="185"/>
    </row>
    <row r="671" spans="1:48" outlineLevel="2" x14ac:dyDescent="0.25">
      <c r="A671" s="63" t="str">
        <f t="shared" si="127"/>
        <v>1.4.1.2.4.59</v>
      </c>
      <c r="B671" s="64">
        <v>1</v>
      </c>
      <c r="C671" s="64">
        <v>4</v>
      </c>
      <c r="D671" s="64">
        <v>1</v>
      </c>
      <c r="E671" s="64">
        <v>2</v>
      </c>
      <c r="F671" s="64">
        <v>4</v>
      </c>
      <c r="G671" s="64">
        <v>59</v>
      </c>
      <c r="H671" s="65"/>
      <c r="I671" s="65"/>
      <c r="J671" s="66"/>
      <c r="K671" s="125" t="s">
        <v>701</v>
      </c>
      <c r="L671" s="64" t="s">
        <v>72</v>
      </c>
      <c r="M671" s="64" t="s">
        <v>73</v>
      </c>
      <c r="N671" s="64" t="s">
        <v>74</v>
      </c>
      <c r="O671" s="64" t="s">
        <v>359</v>
      </c>
      <c r="P671" s="69"/>
      <c r="Q671" s="64"/>
      <c r="R671" s="64"/>
      <c r="S671" s="65"/>
      <c r="T671" s="64"/>
      <c r="U671" s="75"/>
      <c r="V671" s="821"/>
      <c r="W671" s="75"/>
      <c r="X671" s="75"/>
      <c r="Y671" s="834">
        <f t="shared" si="136"/>
        <v>0</v>
      </c>
      <c r="Z671" s="75"/>
      <c r="AA671" s="75"/>
      <c r="AB671" s="75"/>
      <c r="AC671" s="75"/>
      <c r="AD671" s="75"/>
      <c r="AE671" s="592"/>
      <c r="AF671" s="259"/>
      <c r="AG671" s="510">
        <v>0</v>
      </c>
      <c r="AH671" s="370">
        <v>0</v>
      </c>
      <c r="AI671" s="75"/>
      <c r="AJ671" s="75"/>
      <c r="AK671" s="75"/>
      <c r="AL671" s="75"/>
      <c r="AM671" s="75"/>
      <c r="AN671" s="64" t="s">
        <v>39</v>
      </c>
      <c r="AO671" s="64"/>
      <c r="AP671" s="64"/>
      <c r="AQ671" s="189"/>
      <c r="AR671" s="64"/>
      <c r="AS671" s="476"/>
      <c r="AT671" s="64"/>
      <c r="AU671" s="646"/>
      <c r="AV671" s="185"/>
    </row>
    <row r="672" spans="1:48" outlineLevel="2" x14ac:dyDescent="0.25">
      <c r="A672" s="63" t="str">
        <f t="shared" si="127"/>
        <v>1.4.1.2.4.60</v>
      </c>
      <c r="B672" s="64">
        <v>1</v>
      </c>
      <c r="C672" s="64">
        <v>4</v>
      </c>
      <c r="D672" s="64">
        <v>1</v>
      </c>
      <c r="E672" s="64">
        <v>2</v>
      </c>
      <c r="F672" s="64">
        <v>4</v>
      </c>
      <c r="G672" s="64">
        <v>60</v>
      </c>
      <c r="H672" s="65"/>
      <c r="I672" s="65"/>
      <c r="J672" s="66"/>
      <c r="K672" s="125" t="s">
        <v>701</v>
      </c>
      <c r="L672" s="64" t="s">
        <v>72</v>
      </c>
      <c r="M672" s="64" t="s">
        <v>73</v>
      </c>
      <c r="N672" s="64" t="s">
        <v>74</v>
      </c>
      <c r="O672" s="64" t="s">
        <v>359</v>
      </c>
      <c r="P672" s="69"/>
      <c r="Q672" s="64"/>
      <c r="R672" s="64"/>
      <c r="S672" s="65"/>
      <c r="T672" s="64"/>
      <c r="U672" s="75"/>
      <c r="V672" s="821"/>
      <c r="W672" s="75"/>
      <c r="X672" s="75"/>
      <c r="Y672" s="834">
        <f t="shared" si="136"/>
        <v>0</v>
      </c>
      <c r="Z672" s="75"/>
      <c r="AA672" s="75"/>
      <c r="AB672" s="75"/>
      <c r="AC672" s="75"/>
      <c r="AD672" s="75"/>
      <c r="AE672" s="592"/>
      <c r="AF672" s="259"/>
      <c r="AG672" s="510">
        <v>0</v>
      </c>
      <c r="AH672" s="370">
        <v>0</v>
      </c>
      <c r="AI672" s="75"/>
      <c r="AJ672" s="75"/>
      <c r="AK672" s="75"/>
      <c r="AL672" s="75"/>
      <c r="AM672" s="75"/>
      <c r="AN672" s="64" t="s">
        <v>39</v>
      </c>
      <c r="AO672" s="64"/>
      <c r="AP672" s="64"/>
      <c r="AQ672" s="189"/>
      <c r="AR672" s="64"/>
      <c r="AS672" s="476"/>
      <c r="AT672" s="64"/>
      <c r="AU672" s="646"/>
      <c r="AV672" s="185"/>
    </row>
    <row r="673" spans="1:48" outlineLevel="2" x14ac:dyDescent="0.25">
      <c r="A673" s="63" t="str">
        <f t="shared" si="127"/>
        <v>1.4.1.2.4.61</v>
      </c>
      <c r="B673" s="64">
        <v>1</v>
      </c>
      <c r="C673" s="64">
        <v>4</v>
      </c>
      <c r="D673" s="64">
        <v>1</v>
      </c>
      <c r="E673" s="64">
        <v>2</v>
      </c>
      <c r="F673" s="64">
        <v>4</v>
      </c>
      <c r="G673" s="64">
        <v>61</v>
      </c>
      <c r="H673" s="65"/>
      <c r="I673" s="65"/>
      <c r="J673" s="66"/>
      <c r="K673" s="125" t="s">
        <v>701</v>
      </c>
      <c r="L673" s="64" t="s">
        <v>72</v>
      </c>
      <c r="M673" s="64" t="s">
        <v>73</v>
      </c>
      <c r="N673" s="64" t="s">
        <v>74</v>
      </c>
      <c r="O673" s="64" t="s">
        <v>359</v>
      </c>
      <c r="P673" s="69"/>
      <c r="Q673" s="64"/>
      <c r="R673" s="64"/>
      <c r="S673" s="65"/>
      <c r="T673" s="64"/>
      <c r="U673" s="75"/>
      <c r="V673" s="821"/>
      <c r="W673" s="75"/>
      <c r="X673" s="75"/>
      <c r="Y673" s="834">
        <f t="shared" si="136"/>
        <v>0</v>
      </c>
      <c r="Z673" s="75"/>
      <c r="AA673" s="75"/>
      <c r="AB673" s="75"/>
      <c r="AC673" s="75"/>
      <c r="AD673" s="75"/>
      <c r="AE673" s="592"/>
      <c r="AF673" s="259"/>
      <c r="AG673" s="510">
        <v>0</v>
      </c>
      <c r="AH673" s="370">
        <v>0</v>
      </c>
      <c r="AI673" s="75"/>
      <c r="AJ673" s="75"/>
      <c r="AK673" s="75"/>
      <c r="AL673" s="75"/>
      <c r="AM673" s="75"/>
      <c r="AN673" s="64" t="s">
        <v>39</v>
      </c>
      <c r="AO673" s="64"/>
      <c r="AP673" s="64"/>
      <c r="AQ673" s="189"/>
      <c r="AR673" s="64"/>
      <c r="AS673" s="476"/>
      <c r="AT673" s="64"/>
      <c r="AU673" s="646"/>
      <c r="AV673" s="185"/>
    </row>
    <row r="674" spans="1:48" outlineLevel="2" x14ac:dyDescent="0.25">
      <c r="A674" s="63" t="str">
        <f t="shared" si="127"/>
        <v>1.4.1.2.4.62</v>
      </c>
      <c r="B674" s="64">
        <v>1</v>
      </c>
      <c r="C674" s="64">
        <v>4</v>
      </c>
      <c r="D674" s="64">
        <v>1</v>
      </c>
      <c r="E674" s="64">
        <v>2</v>
      </c>
      <c r="F674" s="64">
        <v>4</v>
      </c>
      <c r="G674" s="64">
        <v>62</v>
      </c>
      <c r="H674" s="65"/>
      <c r="I674" s="65"/>
      <c r="J674" s="66"/>
      <c r="K674" s="125" t="s">
        <v>701</v>
      </c>
      <c r="L674" s="64" t="s">
        <v>72</v>
      </c>
      <c r="M674" s="64" t="s">
        <v>73</v>
      </c>
      <c r="N674" s="64" t="s">
        <v>74</v>
      </c>
      <c r="O674" s="64" t="s">
        <v>359</v>
      </c>
      <c r="P674" s="69"/>
      <c r="Q674" s="64"/>
      <c r="R674" s="64"/>
      <c r="S674" s="65"/>
      <c r="T674" s="64"/>
      <c r="U674" s="75"/>
      <c r="V674" s="821"/>
      <c r="W674" s="75"/>
      <c r="X674" s="75"/>
      <c r="Y674" s="834">
        <f t="shared" si="136"/>
        <v>0</v>
      </c>
      <c r="Z674" s="75"/>
      <c r="AA674" s="75"/>
      <c r="AB674" s="75"/>
      <c r="AC674" s="75"/>
      <c r="AD674" s="75"/>
      <c r="AE674" s="592"/>
      <c r="AF674" s="259"/>
      <c r="AG674" s="510">
        <v>0</v>
      </c>
      <c r="AH674" s="370">
        <v>0</v>
      </c>
      <c r="AI674" s="75"/>
      <c r="AJ674" s="75"/>
      <c r="AK674" s="75"/>
      <c r="AL674" s="75"/>
      <c r="AM674" s="75"/>
      <c r="AN674" s="64" t="s">
        <v>39</v>
      </c>
      <c r="AO674" s="64"/>
      <c r="AP674" s="64"/>
      <c r="AQ674" s="189"/>
      <c r="AR674" s="64"/>
      <c r="AS674" s="476"/>
      <c r="AT674" s="64"/>
      <c r="AU674" s="646"/>
      <c r="AV674" s="185"/>
    </row>
    <row r="675" spans="1:48" outlineLevel="2" x14ac:dyDescent="0.25">
      <c r="A675" s="63" t="str">
        <f t="shared" si="127"/>
        <v>1.4.1.2.4.63</v>
      </c>
      <c r="B675" s="64">
        <v>1</v>
      </c>
      <c r="C675" s="64">
        <v>4</v>
      </c>
      <c r="D675" s="64">
        <v>1</v>
      </c>
      <c r="E675" s="64">
        <v>2</v>
      </c>
      <c r="F675" s="64">
        <v>4</v>
      </c>
      <c r="G675" s="64">
        <v>63</v>
      </c>
      <c r="H675" s="65"/>
      <c r="I675" s="65"/>
      <c r="J675" s="66"/>
      <c r="K675" s="125" t="s">
        <v>701</v>
      </c>
      <c r="L675" s="64" t="s">
        <v>72</v>
      </c>
      <c r="M675" s="64" t="s">
        <v>73</v>
      </c>
      <c r="N675" s="64" t="s">
        <v>74</v>
      </c>
      <c r="O675" s="64" t="s">
        <v>359</v>
      </c>
      <c r="P675" s="69"/>
      <c r="Q675" s="64"/>
      <c r="R675" s="64"/>
      <c r="S675" s="65"/>
      <c r="T675" s="64"/>
      <c r="U675" s="75"/>
      <c r="V675" s="821"/>
      <c r="W675" s="75"/>
      <c r="X675" s="75"/>
      <c r="Y675" s="834">
        <f t="shared" si="136"/>
        <v>0</v>
      </c>
      <c r="Z675" s="75"/>
      <c r="AA675" s="75"/>
      <c r="AB675" s="75"/>
      <c r="AC675" s="75"/>
      <c r="AD675" s="75"/>
      <c r="AE675" s="592"/>
      <c r="AF675" s="259"/>
      <c r="AG675" s="510">
        <v>0</v>
      </c>
      <c r="AH675" s="370">
        <v>0</v>
      </c>
      <c r="AI675" s="75"/>
      <c r="AJ675" s="75"/>
      <c r="AK675" s="75"/>
      <c r="AL675" s="75"/>
      <c r="AM675" s="75"/>
      <c r="AN675" s="64" t="s">
        <v>39</v>
      </c>
      <c r="AO675" s="64"/>
      <c r="AP675" s="64"/>
      <c r="AQ675" s="189"/>
      <c r="AR675" s="64"/>
      <c r="AS675" s="476"/>
      <c r="AT675" s="64"/>
      <c r="AU675" s="646"/>
      <c r="AV675" s="185"/>
    </row>
    <row r="676" spans="1:48" outlineLevel="2" x14ac:dyDescent="0.25">
      <c r="A676" s="63" t="str">
        <f t="shared" si="127"/>
        <v>1.4.1.2.4.64</v>
      </c>
      <c r="B676" s="64">
        <v>1</v>
      </c>
      <c r="C676" s="64">
        <v>4</v>
      </c>
      <c r="D676" s="64">
        <v>1</v>
      </c>
      <c r="E676" s="64">
        <v>2</v>
      </c>
      <c r="F676" s="64">
        <v>4</v>
      </c>
      <c r="G676" s="64">
        <v>64</v>
      </c>
      <c r="H676" s="65"/>
      <c r="I676" s="65"/>
      <c r="J676" s="66"/>
      <c r="K676" s="125" t="s">
        <v>701</v>
      </c>
      <c r="L676" s="64" t="s">
        <v>72</v>
      </c>
      <c r="M676" s="64" t="s">
        <v>73</v>
      </c>
      <c r="N676" s="64" t="s">
        <v>74</v>
      </c>
      <c r="O676" s="64" t="s">
        <v>359</v>
      </c>
      <c r="P676" s="69"/>
      <c r="Q676" s="64"/>
      <c r="R676" s="64"/>
      <c r="S676" s="65"/>
      <c r="T676" s="64"/>
      <c r="U676" s="75"/>
      <c r="V676" s="821"/>
      <c r="W676" s="75"/>
      <c r="X676" s="75"/>
      <c r="Y676" s="834">
        <f t="shared" si="136"/>
        <v>0</v>
      </c>
      <c r="Z676" s="75"/>
      <c r="AA676" s="75"/>
      <c r="AB676" s="75"/>
      <c r="AC676" s="75"/>
      <c r="AD676" s="75"/>
      <c r="AE676" s="592"/>
      <c r="AF676" s="259"/>
      <c r="AG676" s="510">
        <v>0</v>
      </c>
      <c r="AH676" s="370">
        <v>0</v>
      </c>
      <c r="AI676" s="75"/>
      <c r="AJ676" s="75"/>
      <c r="AK676" s="75"/>
      <c r="AL676" s="75"/>
      <c r="AM676" s="75"/>
      <c r="AN676" s="64" t="s">
        <v>39</v>
      </c>
      <c r="AO676" s="64"/>
      <c r="AP676" s="64"/>
      <c r="AQ676" s="189"/>
      <c r="AR676" s="64"/>
      <c r="AS676" s="476"/>
      <c r="AT676" s="64"/>
      <c r="AU676" s="646"/>
      <c r="AV676" s="185"/>
    </row>
    <row r="677" spans="1:48" s="153" customFormat="1" ht="15" customHeight="1" outlineLevel="1" x14ac:dyDescent="0.25">
      <c r="A677" s="148" t="str">
        <f t="shared" si="127"/>
        <v>1.4.1.3.0.0</v>
      </c>
      <c r="B677" s="82">
        <v>1</v>
      </c>
      <c r="C677" s="82">
        <v>4</v>
      </c>
      <c r="D677" s="82">
        <v>1</v>
      </c>
      <c r="E677" s="82">
        <v>3</v>
      </c>
      <c r="F677" s="82">
        <v>0</v>
      </c>
      <c r="G677" s="82">
        <v>0</v>
      </c>
      <c r="H677" s="149"/>
      <c r="I677" s="149"/>
      <c r="J677" s="1260" t="s">
        <v>1801</v>
      </c>
      <c r="K677" s="1259"/>
      <c r="L677" s="82" t="s">
        <v>224</v>
      </c>
      <c r="M677" s="82" t="s">
        <v>299</v>
      </c>
      <c r="N677" s="82" t="s">
        <v>671</v>
      </c>
      <c r="O677" s="82" t="s">
        <v>359</v>
      </c>
      <c r="P677" s="82"/>
      <c r="Q677" s="82"/>
      <c r="R677" s="82"/>
      <c r="S677" s="149"/>
      <c r="T677" s="82"/>
      <c r="U677" s="152">
        <f>SUM(U678:U679)</f>
        <v>1275000</v>
      </c>
      <c r="V677" s="681">
        <f>SUM(V678:V679)</f>
        <v>0</v>
      </c>
      <c r="W677" s="152">
        <f t="shared" ref="W677:AD677" si="137">SUM(W678:W679)</f>
        <v>0</v>
      </c>
      <c r="X677" s="152">
        <f t="shared" si="137"/>
        <v>1275000</v>
      </c>
      <c r="Y677" s="844">
        <f t="shared" si="137"/>
        <v>0</v>
      </c>
      <c r="Z677" s="152">
        <f t="shared" si="137"/>
        <v>0</v>
      </c>
      <c r="AA677" s="152">
        <f t="shared" si="137"/>
        <v>0</v>
      </c>
      <c r="AB677" s="152"/>
      <c r="AC677" s="152">
        <f t="shared" si="137"/>
        <v>0</v>
      </c>
      <c r="AD677" s="152">
        <f t="shared" si="137"/>
        <v>0</v>
      </c>
      <c r="AE677" s="597"/>
      <c r="AF677" s="358"/>
      <c r="AG677" s="512">
        <f>+SUM(AG678:AG679)</f>
        <v>2550000</v>
      </c>
      <c r="AH677" s="379">
        <f>+SUM(AH678:AH679)</f>
        <v>2550000</v>
      </c>
      <c r="AI677" s="152"/>
      <c r="AJ677" s="152"/>
      <c r="AK677" s="152"/>
      <c r="AL677" s="152"/>
      <c r="AM677" s="152"/>
      <c r="AN677" s="82" t="s">
        <v>39</v>
      </c>
      <c r="AO677" s="82"/>
      <c r="AP677" s="82"/>
      <c r="AQ677" s="365"/>
      <c r="AR677" s="82"/>
      <c r="AS677" s="483"/>
      <c r="AT677" s="82"/>
      <c r="AU677" s="666"/>
      <c r="AV677" s="444" t="s">
        <v>702</v>
      </c>
    </row>
    <row r="678" spans="1:48" outlineLevel="2" x14ac:dyDescent="0.25">
      <c r="A678" s="63" t="str">
        <f t="shared" si="127"/>
        <v>1.4.1.3.1.58</v>
      </c>
      <c r="B678" s="64">
        <v>1</v>
      </c>
      <c r="C678" s="64">
        <v>4</v>
      </c>
      <c r="D678" s="64">
        <v>1</v>
      </c>
      <c r="E678" s="64">
        <v>3</v>
      </c>
      <c r="F678" s="64">
        <v>1</v>
      </c>
      <c r="G678" s="64">
        <v>58</v>
      </c>
      <c r="H678" s="65"/>
      <c r="I678" s="65"/>
      <c r="J678" s="66"/>
      <c r="K678" s="65" t="s">
        <v>703</v>
      </c>
      <c r="L678" s="64" t="s">
        <v>246</v>
      </c>
      <c r="M678" s="64" t="s">
        <v>680</v>
      </c>
      <c r="N678" s="64" t="s">
        <v>671</v>
      </c>
      <c r="O678" s="64" t="s">
        <v>359</v>
      </c>
      <c r="P678" s="64"/>
      <c r="Q678" s="64"/>
      <c r="R678" s="64"/>
      <c r="S678" s="65"/>
      <c r="T678" s="64"/>
      <c r="U678" s="155">
        <f>425000*3</f>
        <v>1275000</v>
      </c>
      <c r="V678" s="679">
        <v>0</v>
      </c>
      <c r="W678" s="75"/>
      <c r="X678" s="155">
        <f>425000*3</f>
        <v>1275000</v>
      </c>
      <c r="Y678" s="834">
        <f>+AJ678-V678</f>
        <v>0</v>
      </c>
      <c r="Z678" s="75"/>
      <c r="AA678" s="75"/>
      <c r="AB678" s="75"/>
      <c r="AC678" s="75"/>
      <c r="AD678" s="75"/>
      <c r="AE678" s="592"/>
      <c r="AF678" s="259"/>
      <c r="AG678" s="510">
        <f>425000*12/2</f>
        <v>2550000</v>
      </c>
      <c r="AH678" s="370">
        <f>425000*12/2</f>
        <v>2550000</v>
      </c>
      <c r="AI678" s="75"/>
      <c r="AJ678" s="75"/>
      <c r="AK678" s="75"/>
      <c r="AL678" s="75"/>
      <c r="AM678" s="75"/>
      <c r="AN678" s="64"/>
      <c r="AO678" s="64"/>
      <c r="AP678" s="64"/>
      <c r="AQ678" s="189"/>
      <c r="AR678" s="64"/>
      <c r="AS678" s="476"/>
      <c r="AT678" s="64"/>
      <c r="AU678" s="646"/>
      <c r="AV678" s="185" t="s">
        <v>589</v>
      </c>
    </row>
    <row r="679" spans="1:48" outlineLevel="2" x14ac:dyDescent="0.25">
      <c r="A679" s="63" t="str">
        <f t="shared" si="127"/>
        <v>1.4.1.3.2.58</v>
      </c>
      <c r="B679" s="64">
        <v>1</v>
      </c>
      <c r="C679" s="64">
        <v>4</v>
      </c>
      <c r="D679" s="64">
        <v>1</v>
      </c>
      <c r="E679" s="64">
        <v>3</v>
      </c>
      <c r="F679" s="64">
        <v>2</v>
      </c>
      <c r="G679" s="64">
        <v>58</v>
      </c>
      <c r="H679" s="65"/>
      <c r="I679" s="65"/>
      <c r="J679" s="66"/>
      <c r="K679" s="125" t="s">
        <v>704</v>
      </c>
      <c r="L679" s="64" t="s">
        <v>246</v>
      </c>
      <c r="M679" s="64" t="s">
        <v>680</v>
      </c>
      <c r="N679" s="64" t="s">
        <v>671</v>
      </c>
      <c r="O679" s="64" t="s">
        <v>359</v>
      </c>
      <c r="P679" s="64"/>
      <c r="Q679" s="64"/>
      <c r="R679" s="64"/>
      <c r="S679" s="65"/>
      <c r="T679" s="64"/>
      <c r="U679" s="75"/>
      <c r="V679" s="679">
        <v>0</v>
      </c>
      <c r="W679" s="75"/>
      <c r="X679" s="75"/>
      <c r="Y679" s="834">
        <f>+AJ679-V679</f>
        <v>0</v>
      </c>
      <c r="Z679" s="75"/>
      <c r="AA679" s="75"/>
      <c r="AB679" s="75"/>
      <c r="AC679" s="75"/>
      <c r="AD679" s="75"/>
      <c r="AE679" s="592"/>
      <c r="AF679" s="259"/>
      <c r="AG679" s="510">
        <v>0</v>
      </c>
      <c r="AH679" s="370">
        <v>0</v>
      </c>
      <c r="AI679" s="75"/>
      <c r="AJ679" s="75"/>
      <c r="AK679" s="75"/>
      <c r="AL679" s="75"/>
      <c r="AM679" s="75"/>
      <c r="AN679" s="64"/>
      <c r="AO679" s="64"/>
      <c r="AP679" s="64"/>
      <c r="AQ679" s="189"/>
      <c r="AR679" s="64"/>
      <c r="AS679" s="476"/>
      <c r="AT679" s="64"/>
      <c r="AU679" s="646"/>
      <c r="AV679" s="441"/>
    </row>
    <row r="680" spans="1:48" s="153" customFormat="1" ht="15" customHeight="1" outlineLevel="1" x14ac:dyDescent="0.25">
      <c r="A680" s="148" t="str">
        <f t="shared" si="127"/>
        <v>1.4.1.4.0.0</v>
      </c>
      <c r="B680" s="82">
        <v>1</v>
      </c>
      <c r="C680" s="82">
        <v>4</v>
      </c>
      <c r="D680" s="82">
        <v>1</v>
      </c>
      <c r="E680" s="82">
        <v>4</v>
      </c>
      <c r="F680" s="82">
        <v>0</v>
      </c>
      <c r="G680" s="82">
        <v>0</v>
      </c>
      <c r="H680" s="149"/>
      <c r="I680" s="149"/>
      <c r="J680" s="1260" t="s">
        <v>1802</v>
      </c>
      <c r="K680" s="1259"/>
      <c r="L680" s="82" t="s">
        <v>224</v>
      </c>
      <c r="M680" s="82" t="s">
        <v>299</v>
      </c>
      <c r="N680" s="82" t="s">
        <v>671</v>
      </c>
      <c r="O680" s="82" t="s">
        <v>359</v>
      </c>
      <c r="P680" s="82"/>
      <c r="Q680" s="82"/>
      <c r="R680" s="82"/>
      <c r="S680" s="149"/>
      <c r="T680" s="82"/>
      <c r="U680" s="152">
        <f>SUM(U681:U682)</f>
        <v>1020000</v>
      </c>
      <c r="V680" s="681">
        <f>SUM(V681:V682)</f>
        <v>0</v>
      </c>
      <c r="W680" s="152">
        <f t="shared" ref="W680:AD680" si="138">SUM(W681:W682)</f>
        <v>0</v>
      </c>
      <c r="X680" s="152">
        <f t="shared" si="138"/>
        <v>1020000</v>
      </c>
      <c r="Y680" s="844">
        <f t="shared" si="138"/>
        <v>0</v>
      </c>
      <c r="Z680" s="152">
        <f t="shared" si="138"/>
        <v>0</v>
      </c>
      <c r="AA680" s="152">
        <f t="shared" si="138"/>
        <v>0</v>
      </c>
      <c r="AB680" s="152"/>
      <c r="AC680" s="152">
        <f t="shared" si="138"/>
        <v>0</v>
      </c>
      <c r="AD680" s="152">
        <f t="shared" si="138"/>
        <v>0</v>
      </c>
      <c r="AE680" s="597"/>
      <c r="AF680" s="358"/>
      <c r="AG680" s="512">
        <f>+SUM(AG681:AG682)</f>
        <v>0</v>
      </c>
      <c r="AH680" s="379">
        <f>+SUM(AH681:AH682)</f>
        <v>0</v>
      </c>
      <c r="AI680" s="152"/>
      <c r="AJ680" s="152"/>
      <c r="AK680" s="152"/>
      <c r="AL680" s="152"/>
      <c r="AM680" s="152"/>
      <c r="AN680" s="82" t="s">
        <v>39</v>
      </c>
      <c r="AO680" s="82"/>
      <c r="AP680" s="82"/>
      <c r="AQ680" s="365"/>
      <c r="AR680" s="82"/>
      <c r="AS680" s="483"/>
      <c r="AT680" s="82"/>
      <c r="AU680" s="666"/>
      <c r="AV680" s="444" t="s">
        <v>702</v>
      </c>
    </row>
    <row r="681" spans="1:48" outlineLevel="4" x14ac:dyDescent="0.25">
      <c r="A681" s="63" t="str">
        <f>CONCATENATE(B681,".",C681,".",D681,".",E681,".",F681,".",G681)</f>
        <v>1.4.1.4.1.59</v>
      </c>
      <c r="B681" s="64">
        <v>1</v>
      </c>
      <c r="C681" s="64">
        <v>4</v>
      </c>
      <c r="D681" s="64">
        <v>1</v>
      </c>
      <c r="E681" s="64">
        <v>4</v>
      </c>
      <c r="F681" s="64">
        <v>1</v>
      </c>
      <c r="G681" s="64">
        <v>59</v>
      </c>
      <c r="H681" s="65"/>
      <c r="I681" s="65"/>
      <c r="J681" s="66"/>
      <c r="K681" s="65" t="s">
        <v>703</v>
      </c>
      <c r="L681" s="64" t="s">
        <v>246</v>
      </c>
      <c r="M681" s="64" t="s">
        <v>680</v>
      </c>
      <c r="N681" s="64" t="s">
        <v>671</v>
      </c>
      <c r="O681" s="64" t="s">
        <v>359</v>
      </c>
      <c r="P681" s="64"/>
      <c r="Q681" s="64"/>
      <c r="R681" s="64"/>
      <c r="S681" s="65"/>
      <c r="T681" s="64"/>
      <c r="U681" s="155">
        <f>340000*3</f>
        <v>1020000</v>
      </c>
      <c r="V681" s="679">
        <v>0</v>
      </c>
      <c r="W681" s="75"/>
      <c r="X681" s="155">
        <f>340000*3</f>
        <v>1020000</v>
      </c>
      <c r="Y681" s="834">
        <f>+AJ681-V681</f>
        <v>0</v>
      </c>
      <c r="Z681" s="75"/>
      <c r="AA681" s="75"/>
      <c r="AB681" s="75"/>
      <c r="AC681" s="75"/>
      <c r="AD681" s="75"/>
      <c r="AE681" s="592"/>
      <c r="AF681" s="259"/>
      <c r="AG681" s="510">
        <v>0</v>
      </c>
      <c r="AH681" s="370">
        <v>0</v>
      </c>
      <c r="AI681" s="75"/>
      <c r="AJ681" s="75"/>
      <c r="AK681" s="75"/>
      <c r="AL681" s="75"/>
      <c r="AM681" s="75"/>
      <c r="AN681" s="64"/>
      <c r="AO681" s="64"/>
      <c r="AP681" s="64"/>
      <c r="AQ681" s="189"/>
      <c r="AR681" s="64"/>
      <c r="AS681" s="476"/>
      <c r="AT681" s="64"/>
      <c r="AU681" s="646"/>
      <c r="AV681" s="185" t="s">
        <v>589</v>
      </c>
    </row>
    <row r="682" spans="1:48" outlineLevel="4" x14ac:dyDescent="0.25">
      <c r="A682" s="63" t="str">
        <f t="shared" si="127"/>
        <v>1.4.1.4.2.59</v>
      </c>
      <c r="B682" s="64">
        <v>1</v>
      </c>
      <c r="C682" s="64">
        <v>4</v>
      </c>
      <c r="D682" s="64">
        <v>1</v>
      </c>
      <c r="E682" s="64">
        <v>4</v>
      </c>
      <c r="F682" s="64">
        <v>2</v>
      </c>
      <c r="G682" s="64">
        <v>59</v>
      </c>
      <c r="H682" s="65"/>
      <c r="I682" s="65"/>
      <c r="J682" s="66"/>
      <c r="K682" s="65" t="s">
        <v>704</v>
      </c>
      <c r="L682" s="64" t="s">
        <v>246</v>
      </c>
      <c r="M682" s="64" t="s">
        <v>680</v>
      </c>
      <c r="N682" s="64" t="s">
        <v>671</v>
      </c>
      <c r="O682" s="64" t="s">
        <v>359</v>
      </c>
      <c r="P682" s="64"/>
      <c r="Q682" s="64"/>
      <c r="R682" s="64"/>
      <c r="S682" s="65"/>
      <c r="T682" s="64"/>
      <c r="U682" s="75"/>
      <c r="V682" s="679">
        <v>0</v>
      </c>
      <c r="W682" s="75"/>
      <c r="X682" s="75"/>
      <c r="Y682" s="834">
        <f>+AJ682-V682</f>
        <v>0</v>
      </c>
      <c r="Z682" s="75"/>
      <c r="AA682" s="75"/>
      <c r="AB682" s="75"/>
      <c r="AC682" s="75"/>
      <c r="AD682" s="75"/>
      <c r="AE682" s="592"/>
      <c r="AF682" s="259"/>
      <c r="AG682" s="510">
        <v>0</v>
      </c>
      <c r="AH682" s="370">
        <v>0</v>
      </c>
      <c r="AI682" s="75"/>
      <c r="AJ682" s="75"/>
      <c r="AK682" s="75"/>
      <c r="AL682" s="75"/>
      <c r="AM682" s="75"/>
      <c r="AN682" s="64"/>
      <c r="AO682" s="64"/>
      <c r="AP682" s="64"/>
      <c r="AQ682" s="189"/>
      <c r="AR682" s="64"/>
      <c r="AS682" s="476"/>
      <c r="AT682" s="64"/>
      <c r="AU682" s="646"/>
      <c r="AV682" s="441"/>
    </row>
    <row r="683" spans="1:48" s="153" customFormat="1" ht="15" customHeight="1" outlineLevel="1" x14ac:dyDescent="0.25">
      <c r="A683" s="148" t="str">
        <f t="shared" si="127"/>
        <v>1.4.1.5.0.0</v>
      </c>
      <c r="B683" s="82">
        <v>1</v>
      </c>
      <c r="C683" s="82">
        <v>4</v>
      </c>
      <c r="D683" s="82">
        <v>1</v>
      </c>
      <c r="E683" s="82">
        <v>5</v>
      </c>
      <c r="F683" s="82">
        <v>0</v>
      </c>
      <c r="G683" s="82">
        <v>0</v>
      </c>
      <c r="H683" s="149"/>
      <c r="I683" s="149"/>
      <c r="J683" s="1260" t="s">
        <v>705</v>
      </c>
      <c r="K683" s="1259"/>
      <c r="L683" s="82" t="s">
        <v>224</v>
      </c>
      <c r="M683" s="82" t="s">
        <v>299</v>
      </c>
      <c r="N683" s="82" t="s">
        <v>671</v>
      </c>
      <c r="O683" s="82" t="s">
        <v>359</v>
      </c>
      <c r="P683" s="82"/>
      <c r="Q683" s="82"/>
      <c r="R683" s="82"/>
      <c r="S683" s="149"/>
      <c r="T683" s="82"/>
      <c r="U683" s="152">
        <f>SUM(U684:U685)</f>
        <v>1275000</v>
      </c>
      <c r="V683" s="681">
        <f>SUM(V684:V685)</f>
        <v>0</v>
      </c>
      <c r="W683" s="152">
        <f t="shared" ref="W683:AD683" si="139">SUM(W684:W685)</f>
        <v>0</v>
      </c>
      <c r="X683" s="152">
        <f t="shared" si="139"/>
        <v>1275000</v>
      </c>
      <c r="Y683" s="844">
        <f t="shared" si="139"/>
        <v>0</v>
      </c>
      <c r="Z683" s="152">
        <f t="shared" si="139"/>
        <v>0</v>
      </c>
      <c r="AA683" s="152">
        <f t="shared" si="139"/>
        <v>0</v>
      </c>
      <c r="AB683" s="152"/>
      <c r="AC683" s="152">
        <f t="shared" si="139"/>
        <v>0</v>
      </c>
      <c r="AD683" s="152">
        <f t="shared" si="139"/>
        <v>0</v>
      </c>
      <c r="AE683" s="597"/>
      <c r="AF683" s="358"/>
      <c r="AG683" s="512">
        <f>+SUM(AG684:AG685)</f>
        <v>2370000</v>
      </c>
      <c r="AH683" s="379">
        <f>+SUM(AH684:AH685)</f>
        <v>2370000</v>
      </c>
      <c r="AI683" s="152"/>
      <c r="AJ683" s="152"/>
      <c r="AK683" s="152"/>
      <c r="AL683" s="152"/>
      <c r="AM683" s="152"/>
      <c r="AN683" s="82" t="s">
        <v>39</v>
      </c>
      <c r="AO683" s="82"/>
      <c r="AP683" s="82"/>
      <c r="AQ683" s="365"/>
      <c r="AR683" s="82"/>
      <c r="AS683" s="483"/>
      <c r="AT683" s="82"/>
      <c r="AU683" s="666"/>
      <c r="AV683" s="444" t="s">
        <v>702</v>
      </c>
    </row>
    <row r="684" spans="1:48" outlineLevel="2" x14ac:dyDescent="0.25">
      <c r="A684" s="63" t="str">
        <f t="shared" si="127"/>
        <v>1.4.1.5.1.63</v>
      </c>
      <c r="B684" s="64">
        <v>1</v>
      </c>
      <c r="C684" s="64">
        <v>4</v>
      </c>
      <c r="D684" s="64">
        <v>1</v>
      </c>
      <c r="E684" s="64">
        <v>5</v>
      </c>
      <c r="F684" s="64">
        <v>1</v>
      </c>
      <c r="G684" s="64">
        <v>63</v>
      </c>
      <c r="H684" s="65"/>
      <c r="I684" s="65"/>
      <c r="J684" s="66"/>
      <c r="K684" s="65" t="s">
        <v>703</v>
      </c>
      <c r="L684" s="64" t="s">
        <v>246</v>
      </c>
      <c r="M684" s="64" t="s">
        <v>680</v>
      </c>
      <c r="N684" s="64" t="s">
        <v>671</v>
      </c>
      <c r="O684" s="64" t="s">
        <v>359</v>
      </c>
      <c r="P684" s="64"/>
      <c r="Q684" s="69"/>
      <c r="R684" s="64"/>
      <c r="S684" s="65"/>
      <c r="T684" s="64"/>
      <c r="U684" s="155">
        <f>425000*3</f>
        <v>1275000</v>
      </c>
      <c r="V684" s="679">
        <v>0</v>
      </c>
      <c r="W684" s="75"/>
      <c r="X684" s="155">
        <f>425000*3</f>
        <v>1275000</v>
      </c>
      <c r="Y684" s="834">
        <f>+AJ684-V684</f>
        <v>0</v>
      </c>
      <c r="Z684" s="75"/>
      <c r="AA684" s="75"/>
      <c r="AB684" s="75"/>
      <c r="AC684" s="75"/>
      <c r="AD684" s="75"/>
      <c r="AE684" s="592"/>
      <c r="AF684" s="259"/>
      <c r="AG684" s="510">
        <f>395000*12/2</f>
        <v>2370000</v>
      </c>
      <c r="AH684" s="370">
        <f>395000*12/2</f>
        <v>2370000</v>
      </c>
      <c r="AI684" s="75"/>
      <c r="AJ684" s="75"/>
      <c r="AK684" s="75"/>
      <c r="AL684" s="75"/>
      <c r="AM684" s="75"/>
      <c r="AN684" s="64"/>
      <c r="AO684" s="64"/>
      <c r="AP684" s="64"/>
      <c r="AQ684" s="189"/>
      <c r="AR684" s="64"/>
      <c r="AS684" s="476"/>
      <c r="AT684" s="64"/>
      <c r="AU684" s="646"/>
      <c r="AV684" s="185" t="s">
        <v>589</v>
      </c>
    </row>
    <row r="685" spans="1:48" outlineLevel="2" x14ac:dyDescent="0.25">
      <c r="A685" s="63" t="str">
        <f t="shared" si="127"/>
        <v>1.4.1.5.2.63</v>
      </c>
      <c r="B685" s="64">
        <v>1</v>
      </c>
      <c r="C685" s="64">
        <v>4</v>
      </c>
      <c r="D685" s="64">
        <v>1</v>
      </c>
      <c r="E685" s="64">
        <v>5</v>
      </c>
      <c r="F685" s="64">
        <v>2</v>
      </c>
      <c r="G685" s="64">
        <v>63</v>
      </c>
      <c r="H685" s="65"/>
      <c r="I685" s="65"/>
      <c r="J685" s="66"/>
      <c r="K685" s="65" t="s">
        <v>704</v>
      </c>
      <c r="L685" s="64" t="s">
        <v>246</v>
      </c>
      <c r="M685" s="64" t="s">
        <v>680</v>
      </c>
      <c r="N685" s="64" t="s">
        <v>671</v>
      </c>
      <c r="O685" s="64" t="s">
        <v>359</v>
      </c>
      <c r="P685" s="64"/>
      <c r="Q685" s="69"/>
      <c r="R685" s="64"/>
      <c r="S685" s="65"/>
      <c r="T685" s="64"/>
      <c r="U685" s="75"/>
      <c r="V685" s="679">
        <v>0</v>
      </c>
      <c r="W685" s="75"/>
      <c r="X685" s="75"/>
      <c r="Y685" s="834">
        <f>+AJ685-V685</f>
        <v>0</v>
      </c>
      <c r="Z685" s="75"/>
      <c r="AA685" s="75"/>
      <c r="AB685" s="75"/>
      <c r="AC685" s="75"/>
      <c r="AD685" s="75"/>
      <c r="AE685" s="592"/>
      <c r="AF685" s="259"/>
      <c r="AG685" s="510">
        <v>0</v>
      </c>
      <c r="AH685" s="370">
        <v>0</v>
      </c>
      <c r="AI685" s="75"/>
      <c r="AJ685" s="75"/>
      <c r="AK685" s="75"/>
      <c r="AL685" s="75"/>
      <c r="AM685" s="75"/>
      <c r="AN685" s="64"/>
      <c r="AO685" s="64"/>
      <c r="AP685" s="64"/>
      <c r="AQ685" s="189"/>
      <c r="AR685" s="64"/>
      <c r="AS685" s="476"/>
      <c r="AT685" s="64"/>
      <c r="AU685" s="646"/>
      <c r="AV685" s="441"/>
    </row>
    <row r="686" spans="1:48" s="153" customFormat="1" ht="15" customHeight="1" outlineLevel="1" x14ac:dyDescent="0.25">
      <c r="A686" s="148" t="str">
        <f t="shared" si="127"/>
        <v>1.4.1.6.0.0</v>
      </c>
      <c r="B686" s="82">
        <v>1</v>
      </c>
      <c r="C686" s="82">
        <v>4</v>
      </c>
      <c r="D686" s="82">
        <v>1</v>
      </c>
      <c r="E686" s="82">
        <v>6</v>
      </c>
      <c r="F686" s="82">
        <v>0</v>
      </c>
      <c r="G686" s="82">
        <v>0</v>
      </c>
      <c r="H686" s="149"/>
      <c r="I686" s="149"/>
      <c r="J686" s="1260" t="s">
        <v>706</v>
      </c>
      <c r="K686" s="1259"/>
      <c r="L686" s="82" t="s">
        <v>224</v>
      </c>
      <c r="M686" s="82" t="s">
        <v>299</v>
      </c>
      <c r="N686" s="82" t="s">
        <v>671</v>
      </c>
      <c r="O686" s="82" t="s">
        <v>359</v>
      </c>
      <c r="P686" s="82"/>
      <c r="Q686" s="82"/>
      <c r="R686" s="82"/>
      <c r="S686" s="149"/>
      <c r="T686" s="82"/>
      <c r="U686" s="152">
        <f>SUM(U687:U688)</f>
        <v>885000</v>
      </c>
      <c r="V686" s="681">
        <f>SUM(V687:V688)</f>
        <v>0</v>
      </c>
      <c r="W686" s="152">
        <f t="shared" ref="W686:AD686" si="140">SUM(W687:W688)</f>
        <v>0</v>
      </c>
      <c r="X686" s="152">
        <f t="shared" si="140"/>
        <v>885000</v>
      </c>
      <c r="Y686" s="844">
        <f t="shared" si="140"/>
        <v>0</v>
      </c>
      <c r="Z686" s="152">
        <f t="shared" si="140"/>
        <v>0</v>
      </c>
      <c r="AA686" s="152">
        <f t="shared" si="140"/>
        <v>0</v>
      </c>
      <c r="AB686" s="152"/>
      <c r="AC686" s="152">
        <f t="shared" si="140"/>
        <v>0</v>
      </c>
      <c r="AD686" s="152">
        <f t="shared" si="140"/>
        <v>0</v>
      </c>
      <c r="AE686" s="597"/>
      <c r="AF686" s="358"/>
      <c r="AG686" s="512">
        <f>+SUM(AG687:AG688)</f>
        <v>1680000</v>
      </c>
      <c r="AH686" s="379">
        <f>+SUM(AH687:AH688)</f>
        <v>1680000</v>
      </c>
      <c r="AI686" s="152"/>
      <c r="AJ686" s="152"/>
      <c r="AK686" s="152"/>
      <c r="AL686" s="152"/>
      <c r="AM686" s="152"/>
      <c r="AN686" s="82" t="s">
        <v>39</v>
      </c>
      <c r="AO686" s="82"/>
      <c r="AP686" s="82"/>
      <c r="AQ686" s="365"/>
      <c r="AR686" s="82"/>
      <c r="AS686" s="483"/>
      <c r="AT686" s="82"/>
      <c r="AU686" s="666"/>
      <c r="AV686" s="444" t="s">
        <v>702</v>
      </c>
    </row>
    <row r="687" spans="1:48" outlineLevel="4" x14ac:dyDescent="0.25">
      <c r="A687" s="63" t="str">
        <f t="shared" si="127"/>
        <v>1.4.1.6.1.64</v>
      </c>
      <c r="B687" s="64">
        <v>1</v>
      </c>
      <c r="C687" s="64">
        <v>4</v>
      </c>
      <c r="D687" s="64">
        <v>1</v>
      </c>
      <c r="E687" s="64">
        <v>6</v>
      </c>
      <c r="F687" s="64">
        <v>1</v>
      </c>
      <c r="G687" s="64">
        <v>64</v>
      </c>
      <c r="H687" s="65"/>
      <c r="I687" s="65"/>
      <c r="J687" s="66"/>
      <c r="K687" s="65" t="s">
        <v>703</v>
      </c>
      <c r="L687" s="64" t="s">
        <v>246</v>
      </c>
      <c r="M687" s="64" t="s">
        <v>680</v>
      </c>
      <c r="N687" s="64" t="s">
        <v>671</v>
      </c>
      <c r="O687" s="64" t="s">
        <v>359</v>
      </c>
      <c r="P687" s="64"/>
      <c r="Q687" s="64"/>
      <c r="R687" s="64"/>
      <c r="S687" s="65"/>
      <c r="T687" s="64"/>
      <c r="U687" s="155">
        <f>295000*3</f>
        <v>885000</v>
      </c>
      <c r="V687" s="679">
        <v>0</v>
      </c>
      <c r="W687" s="75"/>
      <c r="X687" s="155">
        <f>295000*3</f>
        <v>885000</v>
      </c>
      <c r="Y687" s="834">
        <f>+AJ687-V687</f>
        <v>0</v>
      </c>
      <c r="Z687" s="75"/>
      <c r="AA687" s="75"/>
      <c r="AB687" s="75"/>
      <c r="AC687" s="75"/>
      <c r="AD687" s="75"/>
      <c r="AE687" s="592"/>
      <c r="AF687" s="259"/>
      <c r="AG687" s="510">
        <f>280000*12/2</f>
        <v>1680000</v>
      </c>
      <c r="AH687" s="370">
        <f>280000*12/2</f>
        <v>1680000</v>
      </c>
      <c r="AI687" s="75"/>
      <c r="AJ687" s="75"/>
      <c r="AK687" s="75"/>
      <c r="AL687" s="75"/>
      <c r="AM687" s="75"/>
      <c r="AN687" s="64"/>
      <c r="AO687" s="64"/>
      <c r="AP687" s="64"/>
      <c r="AQ687" s="189"/>
      <c r="AR687" s="64"/>
      <c r="AS687" s="476"/>
      <c r="AT687" s="64"/>
      <c r="AU687" s="646"/>
      <c r="AV687" s="185" t="s">
        <v>589</v>
      </c>
    </row>
    <row r="688" spans="1:48" outlineLevel="4" x14ac:dyDescent="0.25">
      <c r="A688" s="63" t="str">
        <f t="shared" si="127"/>
        <v>1.4.1.6.2.64</v>
      </c>
      <c r="B688" s="64">
        <v>1</v>
      </c>
      <c r="C688" s="64">
        <v>4</v>
      </c>
      <c r="D688" s="64">
        <v>1</v>
      </c>
      <c r="E688" s="64">
        <v>6</v>
      </c>
      <c r="F688" s="64">
        <v>2</v>
      </c>
      <c r="G688" s="64">
        <v>64</v>
      </c>
      <c r="H688" s="65"/>
      <c r="I688" s="65"/>
      <c r="J688" s="66"/>
      <c r="K688" s="65" t="s">
        <v>704</v>
      </c>
      <c r="L688" s="64" t="s">
        <v>246</v>
      </c>
      <c r="M688" s="64" t="s">
        <v>680</v>
      </c>
      <c r="N688" s="64" t="s">
        <v>671</v>
      </c>
      <c r="O688" s="64" t="s">
        <v>359</v>
      </c>
      <c r="P688" s="64"/>
      <c r="Q688" s="64"/>
      <c r="R688" s="64"/>
      <c r="S688" s="65"/>
      <c r="T688" s="64"/>
      <c r="U688" s="75"/>
      <c r="V688" s="679">
        <v>0</v>
      </c>
      <c r="W688" s="75"/>
      <c r="X688" s="75"/>
      <c r="Y688" s="834">
        <f>+AJ688-V688</f>
        <v>0</v>
      </c>
      <c r="Z688" s="75"/>
      <c r="AA688" s="75"/>
      <c r="AB688" s="75"/>
      <c r="AC688" s="75"/>
      <c r="AD688" s="75"/>
      <c r="AE688" s="592"/>
      <c r="AF688" s="259"/>
      <c r="AG688" s="510">
        <v>0</v>
      </c>
      <c r="AH688" s="370">
        <v>0</v>
      </c>
      <c r="AI688" s="75"/>
      <c r="AJ688" s="75"/>
      <c r="AK688" s="75"/>
      <c r="AL688" s="75"/>
      <c r="AM688" s="75"/>
      <c r="AN688" s="64"/>
      <c r="AO688" s="64"/>
      <c r="AP688" s="64"/>
      <c r="AQ688" s="189"/>
      <c r="AR688" s="64"/>
      <c r="AS688" s="476"/>
      <c r="AT688" s="64"/>
      <c r="AU688" s="646"/>
      <c r="AV688" s="441"/>
    </row>
    <row r="689" spans="1:48" s="153" customFormat="1" ht="15" customHeight="1" outlineLevel="1" x14ac:dyDescent="0.25">
      <c r="A689" s="148" t="str">
        <f t="shared" si="127"/>
        <v>1.4.1.7.0.0</v>
      </c>
      <c r="B689" s="82">
        <v>1</v>
      </c>
      <c r="C689" s="82">
        <v>4</v>
      </c>
      <c r="D689" s="82">
        <v>1</v>
      </c>
      <c r="E689" s="82">
        <v>7</v>
      </c>
      <c r="F689" s="82">
        <v>0</v>
      </c>
      <c r="G689" s="82">
        <v>0</v>
      </c>
      <c r="H689" s="149"/>
      <c r="I689" s="149"/>
      <c r="J689" s="1260" t="s">
        <v>707</v>
      </c>
      <c r="K689" s="1259"/>
      <c r="L689" s="82" t="s">
        <v>224</v>
      </c>
      <c r="M689" s="82" t="s">
        <v>299</v>
      </c>
      <c r="N689" s="82" t="s">
        <v>671</v>
      </c>
      <c r="O689" s="82" t="s">
        <v>359</v>
      </c>
      <c r="P689" s="82"/>
      <c r="Q689" s="82"/>
      <c r="R689" s="82"/>
      <c r="S689" s="149"/>
      <c r="T689" s="82"/>
      <c r="U689" s="152">
        <f>SUM(U690:U691)</f>
        <v>1125000</v>
      </c>
      <c r="V689" s="681">
        <f>SUM(V690:V691)</f>
        <v>0</v>
      </c>
      <c r="W689" s="152">
        <f t="shared" ref="W689:AD689" si="141">SUM(W690:W691)</f>
        <v>0</v>
      </c>
      <c r="X689" s="152">
        <f t="shared" si="141"/>
        <v>335000</v>
      </c>
      <c r="Y689" s="844">
        <f t="shared" si="141"/>
        <v>0</v>
      </c>
      <c r="Z689" s="152">
        <f t="shared" si="141"/>
        <v>0</v>
      </c>
      <c r="AA689" s="152">
        <f t="shared" si="141"/>
        <v>0</v>
      </c>
      <c r="AB689" s="152"/>
      <c r="AC689" s="152">
        <f t="shared" si="141"/>
        <v>0</v>
      </c>
      <c r="AD689" s="152">
        <f t="shared" si="141"/>
        <v>0</v>
      </c>
      <c r="AE689" s="597"/>
      <c r="AF689" s="358"/>
      <c r="AG689" s="512">
        <f>+SUM(AG690:AG691)</f>
        <v>1460000</v>
      </c>
      <c r="AH689" s="379">
        <f>+SUM(AH690:AH691)</f>
        <v>1460000</v>
      </c>
      <c r="AI689" s="152"/>
      <c r="AJ689" s="152"/>
      <c r="AK689" s="152"/>
      <c r="AL689" s="152"/>
      <c r="AM689" s="152"/>
      <c r="AN689" s="82" t="s">
        <v>39</v>
      </c>
      <c r="AO689" s="82"/>
      <c r="AP689" s="82"/>
      <c r="AQ689" s="365"/>
      <c r="AR689" s="82"/>
      <c r="AS689" s="483"/>
      <c r="AT689" s="82"/>
      <c r="AU689" s="666"/>
      <c r="AV689" s="444" t="s">
        <v>702</v>
      </c>
    </row>
    <row r="690" spans="1:48" outlineLevel="2" x14ac:dyDescent="0.25">
      <c r="A690" s="63" t="str">
        <f t="shared" si="127"/>
        <v>1.4.1.7.1.61</v>
      </c>
      <c r="B690" s="64">
        <v>1</v>
      </c>
      <c r="C690" s="64">
        <v>4</v>
      </c>
      <c r="D690" s="64">
        <v>1</v>
      </c>
      <c r="E690" s="64">
        <v>7</v>
      </c>
      <c r="F690" s="64">
        <v>1</v>
      </c>
      <c r="G690" s="64">
        <v>61</v>
      </c>
      <c r="H690" s="65"/>
      <c r="I690" s="65"/>
      <c r="J690" s="66"/>
      <c r="K690" s="65" t="s">
        <v>703</v>
      </c>
      <c r="L690" s="64" t="s">
        <v>246</v>
      </c>
      <c r="M690" s="64" t="s">
        <v>680</v>
      </c>
      <c r="N690" s="64" t="s">
        <v>671</v>
      </c>
      <c r="O690" s="64" t="s">
        <v>359</v>
      </c>
      <c r="P690" s="64"/>
      <c r="Q690" s="64"/>
      <c r="R690" s="64"/>
      <c r="S690" s="65"/>
      <c r="T690" s="64"/>
      <c r="U690" s="155">
        <f>375000*3</f>
        <v>1125000</v>
      </c>
      <c r="V690" s="679">
        <v>0</v>
      </c>
      <c r="W690" s="75"/>
      <c r="X690" s="75">
        <f>+AH690-U690</f>
        <v>335000</v>
      </c>
      <c r="Y690" s="834">
        <f>+AJ690-V690</f>
        <v>0</v>
      </c>
      <c r="Z690" s="75"/>
      <c r="AA690" s="75"/>
      <c r="AB690" s="75"/>
      <c r="AC690" s="75"/>
      <c r="AD690" s="75"/>
      <c r="AE690" s="592"/>
      <c r="AF690" s="259"/>
      <c r="AG690" s="510">
        <f>365000*12/3</f>
        <v>1460000</v>
      </c>
      <c r="AH690" s="370">
        <f>365000*12/3</f>
        <v>1460000</v>
      </c>
      <c r="AI690" s="75"/>
      <c r="AJ690" s="75"/>
      <c r="AK690" s="75"/>
      <c r="AL690" s="75"/>
      <c r="AM690" s="75"/>
      <c r="AN690" s="64"/>
      <c r="AO690" s="64"/>
      <c r="AP690" s="64"/>
      <c r="AQ690" s="189"/>
      <c r="AR690" s="64"/>
      <c r="AS690" s="476"/>
      <c r="AT690" s="64"/>
      <c r="AU690" s="646"/>
      <c r="AV690" s="185" t="s">
        <v>589</v>
      </c>
    </row>
    <row r="691" spans="1:48" outlineLevel="2" x14ac:dyDescent="0.25">
      <c r="A691" s="63" t="str">
        <f t="shared" si="127"/>
        <v>1.4.1.7.2.61</v>
      </c>
      <c r="B691" s="64">
        <v>1</v>
      </c>
      <c r="C691" s="64">
        <v>4</v>
      </c>
      <c r="D691" s="64">
        <v>1</v>
      </c>
      <c r="E691" s="64">
        <v>7</v>
      </c>
      <c r="F691" s="64">
        <v>2</v>
      </c>
      <c r="G691" s="64">
        <v>61</v>
      </c>
      <c r="H691" s="65"/>
      <c r="I691" s="65"/>
      <c r="J691" s="66"/>
      <c r="K691" s="65" t="s">
        <v>704</v>
      </c>
      <c r="L691" s="64" t="s">
        <v>246</v>
      </c>
      <c r="M691" s="64" t="s">
        <v>680</v>
      </c>
      <c r="N691" s="64" t="s">
        <v>671</v>
      </c>
      <c r="O691" s="64" t="s">
        <v>359</v>
      </c>
      <c r="P691" s="64"/>
      <c r="Q691" s="64"/>
      <c r="R691" s="64"/>
      <c r="S691" s="65"/>
      <c r="T691" s="64"/>
      <c r="U691" s="75"/>
      <c r="V691" s="679">
        <v>0</v>
      </c>
      <c r="W691" s="75"/>
      <c r="X691" s="75"/>
      <c r="Y691" s="834">
        <f>+AJ691-V691</f>
        <v>0</v>
      </c>
      <c r="Z691" s="75"/>
      <c r="AA691" s="75"/>
      <c r="AB691" s="75"/>
      <c r="AC691" s="75"/>
      <c r="AD691" s="75"/>
      <c r="AE691" s="592"/>
      <c r="AF691" s="259"/>
      <c r="AG691" s="510">
        <v>0</v>
      </c>
      <c r="AH691" s="370">
        <v>0</v>
      </c>
      <c r="AI691" s="75"/>
      <c r="AJ691" s="75"/>
      <c r="AK691" s="75"/>
      <c r="AL691" s="75"/>
      <c r="AM691" s="75"/>
      <c r="AN691" s="64"/>
      <c r="AO691" s="64"/>
      <c r="AP691" s="64"/>
      <c r="AQ691" s="189"/>
      <c r="AR691" s="64"/>
      <c r="AS691" s="476"/>
      <c r="AT691" s="64"/>
      <c r="AU691" s="646"/>
      <c r="AV691" s="441"/>
    </row>
    <row r="692" spans="1:48" s="153" customFormat="1" ht="15" customHeight="1" outlineLevel="1" x14ac:dyDescent="0.25">
      <c r="A692" s="148" t="str">
        <f t="shared" si="127"/>
        <v>1.4.1.8.0.0</v>
      </c>
      <c r="B692" s="82">
        <v>1</v>
      </c>
      <c r="C692" s="82">
        <v>4</v>
      </c>
      <c r="D692" s="82">
        <v>1</v>
      </c>
      <c r="E692" s="82">
        <v>8</v>
      </c>
      <c r="F692" s="82">
        <v>0</v>
      </c>
      <c r="G692" s="82">
        <v>0</v>
      </c>
      <c r="H692" s="149"/>
      <c r="I692" s="149"/>
      <c r="J692" s="1260" t="s">
        <v>1803</v>
      </c>
      <c r="K692" s="1259"/>
      <c r="L692" s="82" t="s">
        <v>224</v>
      </c>
      <c r="M692" s="82" t="s">
        <v>299</v>
      </c>
      <c r="N692" s="82" t="s">
        <v>671</v>
      </c>
      <c r="O692" s="82" t="s">
        <v>359</v>
      </c>
      <c r="P692" s="82"/>
      <c r="Q692" s="82"/>
      <c r="R692" s="82"/>
      <c r="S692" s="149"/>
      <c r="T692" s="82"/>
      <c r="U692" s="152">
        <f>SUM(U693:U694)</f>
        <v>1170000</v>
      </c>
      <c r="V692" s="681">
        <f>SUM(V693:V694)</f>
        <v>0</v>
      </c>
      <c r="W692" s="152">
        <f t="shared" ref="W692:AC692" si="142">SUM(W693:W694)</f>
        <v>0</v>
      </c>
      <c r="X692" s="152">
        <f t="shared" si="142"/>
        <v>1170000</v>
      </c>
      <c r="Y692" s="844">
        <f t="shared" si="142"/>
        <v>0</v>
      </c>
      <c r="Z692" s="152">
        <f t="shared" si="142"/>
        <v>0</v>
      </c>
      <c r="AA692" s="152">
        <f t="shared" si="142"/>
        <v>0</v>
      </c>
      <c r="AB692" s="152"/>
      <c r="AC692" s="152">
        <f t="shared" si="142"/>
        <v>0</v>
      </c>
      <c r="AD692" s="152"/>
      <c r="AE692" s="597"/>
      <c r="AF692" s="358"/>
      <c r="AG692" s="512">
        <f>+SUM(AG693:AG694)</f>
        <v>1734000</v>
      </c>
      <c r="AH692" s="379">
        <f>+SUM(AH693:AH694)</f>
        <v>1734000</v>
      </c>
      <c r="AI692" s="152"/>
      <c r="AJ692" s="152"/>
      <c r="AK692" s="152"/>
      <c r="AL692" s="152"/>
      <c r="AM692" s="152"/>
      <c r="AN692" s="82" t="s">
        <v>39</v>
      </c>
      <c r="AO692" s="82"/>
      <c r="AP692" s="82"/>
      <c r="AQ692" s="365"/>
      <c r="AR692" s="82"/>
      <c r="AS692" s="483"/>
      <c r="AT692" s="82"/>
      <c r="AU692" s="666"/>
      <c r="AV692" s="444" t="s">
        <v>702</v>
      </c>
    </row>
    <row r="693" spans="1:48" ht="15" customHeight="1" outlineLevel="3" x14ac:dyDescent="0.25">
      <c r="A693" s="63" t="str">
        <f t="shared" si="127"/>
        <v>1.4.1.8.1.62</v>
      </c>
      <c r="B693" s="64">
        <v>1</v>
      </c>
      <c r="C693" s="64">
        <v>4</v>
      </c>
      <c r="D693" s="64">
        <v>1</v>
      </c>
      <c r="E693" s="64">
        <v>8</v>
      </c>
      <c r="F693" s="64">
        <v>1</v>
      </c>
      <c r="G693" s="64">
        <v>62</v>
      </c>
      <c r="H693" s="65"/>
      <c r="I693" s="65"/>
      <c r="J693" s="66"/>
      <c r="K693" s="65" t="s">
        <v>703</v>
      </c>
      <c r="L693" s="64" t="s">
        <v>246</v>
      </c>
      <c r="M693" s="64" t="s">
        <v>680</v>
      </c>
      <c r="N693" s="64" t="s">
        <v>671</v>
      </c>
      <c r="O693" s="64" t="s">
        <v>359</v>
      </c>
      <c r="P693" s="64"/>
      <c r="Q693" s="69"/>
      <c r="R693" s="64"/>
      <c r="S693" s="65"/>
      <c r="T693" s="64"/>
      <c r="U693" s="155">
        <f>390000*3</f>
        <v>1170000</v>
      </c>
      <c r="V693" s="679">
        <v>0</v>
      </c>
      <c r="W693" s="75"/>
      <c r="X693" s="155">
        <f>390000*3</f>
        <v>1170000</v>
      </c>
      <c r="Y693" s="834">
        <f>+AJ693-V693</f>
        <v>0</v>
      </c>
      <c r="Z693" s="75"/>
      <c r="AA693" s="75"/>
      <c r="AB693" s="75"/>
      <c r="AC693" s="75"/>
      <c r="AD693" s="75"/>
      <c r="AE693" s="592"/>
      <c r="AF693" s="259"/>
      <c r="AG693" s="510">
        <f>289000*12/2</f>
        <v>1734000</v>
      </c>
      <c r="AH693" s="370">
        <f>289000*12/2</f>
        <v>1734000</v>
      </c>
      <c r="AI693" s="75"/>
      <c r="AJ693" s="75"/>
      <c r="AK693" s="75"/>
      <c r="AL693" s="75"/>
      <c r="AM693" s="75"/>
      <c r="AN693" s="64"/>
      <c r="AO693" s="64"/>
      <c r="AP693" s="64"/>
      <c r="AQ693" s="189"/>
      <c r="AR693" s="64"/>
      <c r="AS693" s="476"/>
      <c r="AT693" s="64"/>
      <c r="AU693" s="646"/>
      <c r="AV693" s="185" t="s">
        <v>589</v>
      </c>
    </row>
    <row r="694" spans="1:48" ht="15" customHeight="1" outlineLevel="3" x14ac:dyDescent="0.25">
      <c r="A694" s="63" t="str">
        <f t="shared" si="127"/>
        <v>1.4.1.8.2.62</v>
      </c>
      <c r="B694" s="64">
        <v>1</v>
      </c>
      <c r="C694" s="64">
        <v>4</v>
      </c>
      <c r="D694" s="64">
        <v>1</v>
      </c>
      <c r="E694" s="64">
        <v>8</v>
      </c>
      <c r="F694" s="64">
        <v>2</v>
      </c>
      <c r="G694" s="64">
        <v>62</v>
      </c>
      <c r="H694" s="65"/>
      <c r="I694" s="65"/>
      <c r="J694" s="66"/>
      <c r="K694" s="65" t="s">
        <v>704</v>
      </c>
      <c r="L694" s="64" t="s">
        <v>246</v>
      </c>
      <c r="M694" s="64" t="s">
        <v>680</v>
      </c>
      <c r="N694" s="64" t="s">
        <v>671</v>
      </c>
      <c r="O694" s="64" t="s">
        <v>359</v>
      </c>
      <c r="P694" s="64"/>
      <c r="Q694" s="69"/>
      <c r="R694" s="64"/>
      <c r="S694" s="65"/>
      <c r="T694" s="64"/>
      <c r="U694" s="75"/>
      <c r="V694" s="679">
        <v>0</v>
      </c>
      <c r="W694" s="75"/>
      <c r="X694" s="75"/>
      <c r="Y694" s="834">
        <f>+AJ694-V694</f>
        <v>0</v>
      </c>
      <c r="Z694" s="75"/>
      <c r="AA694" s="75"/>
      <c r="AB694" s="75"/>
      <c r="AC694" s="75"/>
      <c r="AD694" s="75"/>
      <c r="AE694" s="592"/>
      <c r="AF694" s="259"/>
      <c r="AG694" s="510">
        <v>0</v>
      </c>
      <c r="AH694" s="370">
        <v>0</v>
      </c>
      <c r="AI694" s="75"/>
      <c r="AJ694" s="75"/>
      <c r="AK694" s="75"/>
      <c r="AL694" s="75"/>
      <c r="AM694" s="75"/>
      <c r="AN694" s="64"/>
      <c r="AO694" s="64"/>
      <c r="AP694" s="64"/>
      <c r="AQ694" s="189"/>
      <c r="AR694" s="64"/>
      <c r="AS694" s="476"/>
      <c r="AT694" s="64"/>
      <c r="AU694" s="646"/>
      <c r="AV694" s="441"/>
    </row>
    <row r="695" spans="1:48" s="153" customFormat="1" ht="15" customHeight="1" outlineLevel="1" x14ac:dyDescent="0.25">
      <c r="A695" s="148" t="str">
        <f t="shared" si="127"/>
        <v>1.4.1.9.0.0</v>
      </c>
      <c r="B695" s="82">
        <v>1</v>
      </c>
      <c r="C695" s="82">
        <v>4</v>
      </c>
      <c r="D695" s="82">
        <v>1</v>
      </c>
      <c r="E695" s="82">
        <v>9</v>
      </c>
      <c r="F695" s="82">
        <v>0</v>
      </c>
      <c r="G695" s="82">
        <v>0</v>
      </c>
      <c r="H695" s="149"/>
      <c r="I695" s="149"/>
      <c r="J695" s="1260" t="s">
        <v>1804</v>
      </c>
      <c r="K695" s="1259"/>
      <c r="L695" s="82" t="s">
        <v>224</v>
      </c>
      <c r="M695" s="82" t="s">
        <v>299</v>
      </c>
      <c r="N695" s="82" t="s">
        <v>671</v>
      </c>
      <c r="O695" s="82" t="s">
        <v>359</v>
      </c>
      <c r="P695" s="82"/>
      <c r="Q695" s="82"/>
      <c r="R695" s="82"/>
      <c r="S695" s="149"/>
      <c r="T695" s="82"/>
      <c r="U695" s="152">
        <f>SUM(U696:U697)</f>
        <v>570000</v>
      </c>
      <c r="V695" s="681">
        <f>SUM(V696:V697)</f>
        <v>0</v>
      </c>
      <c r="W695" s="152">
        <f t="shared" ref="W695:AD695" si="143">SUM(W696:W697)</f>
        <v>0</v>
      </c>
      <c r="X695" s="152">
        <f t="shared" si="143"/>
        <v>570000</v>
      </c>
      <c r="Y695" s="844">
        <f t="shared" si="143"/>
        <v>0</v>
      </c>
      <c r="Z695" s="152">
        <f t="shared" si="143"/>
        <v>0</v>
      </c>
      <c r="AA695" s="152">
        <f t="shared" si="143"/>
        <v>0</v>
      </c>
      <c r="AB695" s="152"/>
      <c r="AC695" s="152">
        <f t="shared" si="143"/>
        <v>0</v>
      </c>
      <c r="AD695" s="152">
        <f t="shared" si="143"/>
        <v>0</v>
      </c>
      <c r="AE695" s="597"/>
      <c r="AF695" s="358"/>
      <c r="AG695" s="512">
        <f>+SUM(AG696:AG697)</f>
        <v>1140000</v>
      </c>
      <c r="AH695" s="379">
        <f>+SUM(AH696:AH697)</f>
        <v>1140000</v>
      </c>
      <c r="AI695" s="152"/>
      <c r="AJ695" s="152"/>
      <c r="AK695" s="152"/>
      <c r="AL695" s="152"/>
      <c r="AM695" s="152"/>
      <c r="AN695" s="82" t="s">
        <v>39</v>
      </c>
      <c r="AO695" s="82"/>
      <c r="AP695" s="82"/>
      <c r="AQ695" s="365"/>
      <c r="AR695" s="82"/>
      <c r="AS695" s="483"/>
      <c r="AT695" s="82"/>
      <c r="AU695" s="666"/>
      <c r="AV695" s="444" t="s">
        <v>702</v>
      </c>
    </row>
    <row r="696" spans="1:48" ht="15" customHeight="1" outlineLevel="3" x14ac:dyDescent="0.25">
      <c r="A696" s="63" t="str">
        <f t="shared" si="127"/>
        <v>1.4.1.9.1.60</v>
      </c>
      <c r="B696" s="64">
        <v>1</v>
      </c>
      <c r="C696" s="64">
        <v>4</v>
      </c>
      <c r="D696" s="64">
        <v>1</v>
      </c>
      <c r="E696" s="64">
        <v>9</v>
      </c>
      <c r="F696" s="64">
        <v>1</v>
      </c>
      <c r="G696" s="64">
        <v>60</v>
      </c>
      <c r="H696" s="65"/>
      <c r="I696" s="65"/>
      <c r="J696" s="66"/>
      <c r="K696" s="65" t="s">
        <v>703</v>
      </c>
      <c r="L696" s="64" t="s">
        <v>246</v>
      </c>
      <c r="M696" s="64" t="s">
        <v>680</v>
      </c>
      <c r="N696" s="64" t="s">
        <v>671</v>
      </c>
      <c r="O696" s="64" t="s">
        <v>359</v>
      </c>
      <c r="P696" s="64"/>
      <c r="Q696" s="69"/>
      <c r="R696" s="64"/>
      <c r="S696" s="65"/>
      <c r="T696" s="64"/>
      <c r="U696" s="155">
        <f>190000*3</f>
        <v>570000</v>
      </c>
      <c r="V696" s="679">
        <v>0</v>
      </c>
      <c r="W696" s="75"/>
      <c r="X696" s="155">
        <f>190000*3</f>
        <v>570000</v>
      </c>
      <c r="Y696" s="834">
        <f>+AJ696-V696</f>
        <v>0</v>
      </c>
      <c r="Z696" s="75"/>
      <c r="AA696" s="75"/>
      <c r="AB696" s="75"/>
      <c r="AC696" s="75"/>
      <c r="AD696" s="75"/>
      <c r="AE696" s="592"/>
      <c r="AF696" s="259"/>
      <c r="AG696" s="510">
        <f>190000*12/2</f>
        <v>1140000</v>
      </c>
      <c r="AH696" s="370">
        <f>190000*12/2</f>
        <v>1140000</v>
      </c>
      <c r="AI696" s="75"/>
      <c r="AJ696" s="75"/>
      <c r="AK696" s="75"/>
      <c r="AL696" s="75"/>
      <c r="AM696" s="75"/>
      <c r="AN696" s="64"/>
      <c r="AO696" s="64"/>
      <c r="AP696" s="64"/>
      <c r="AQ696" s="189"/>
      <c r="AR696" s="64"/>
      <c r="AS696" s="476"/>
      <c r="AT696" s="64"/>
      <c r="AU696" s="646"/>
      <c r="AV696" s="185" t="s">
        <v>589</v>
      </c>
    </row>
    <row r="697" spans="1:48" ht="15" customHeight="1" outlineLevel="3" x14ac:dyDescent="0.25">
      <c r="A697" s="63" t="str">
        <f t="shared" si="127"/>
        <v>1.4.1.9.2.60</v>
      </c>
      <c r="B697" s="64">
        <v>1</v>
      </c>
      <c r="C697" s="64">
        <v>4</v>
      </c>
      <c r="D697" s="64">
        <v>1</v>
      </c>
      <c r="E697" s="64">
        <v>9</v>
      </c>
      <c r="F697" s="64">
        <v>2</v>
      </c>
      <c r="G697" s="64">
        <v>60</v>
      </c>
      <c r="H697" s="65"/>
      <c r="I697" s="65"/>
      <c r="J697" s="66"/>
      <c r="K697" s="65" t="s">
        <v>704</v>
      </c>
      <c r="L697" s="64" t="s">
        <v>246</v>
      </c>
      <c r="M697" s="64" t="s">
        <v>680</v>
      </c>
      <c r="N697" s="64" t="s">
        <v>671</v>
      </c>
      <c r="O697" s="64" t="s">
        <v>359</v>
      </c>
      <c r="P697" s="64"/>
      <c r="Q697" s="69"/>
      <c r="R697" s="64"/>
      <c r="S697" s="65"/>
      <c r="T697" s="64"/>
      <c r="U697" s="75"/>
      <c r="V697" s="679">
        <v>0</v>
      </c>
      <c r="W697" s="75"/>
      <c r="X697" s="75"/>
      <c r="Y697" s="834">
        <f>+AJ697-V697</f>
        <v>0</v>
      </c>
      <c r="Z697" s="75"/>
      <c r="AA697" s="75"/>
      <c r="AB697" s="75"/>
      <c r="AC697" s="75"/>
      <c r="AD697" s="75"/>
      <c r="AE697" s="592"/>
      <c r="AF697" s="259"/>
      <c r="AG697" s="510">
        <v>0</v>
      </c>
      <c r="AH697" s="370">
        <v>0</v>
      </c>
      <c r="AI697" s="75"/>
      <c r="AJ697" s="75"/>
      <c r="AK697" s="75"/>
      <c r="AL697" s="75"/>
      <c r="AM697" s="75"/>
      <c r="AN697" s="171"/>
      <c r="AO697" s="171"/>
      <c r="AP697" s="171"/>
      <c r="AQ697" s="418"/>
      <c r="AS697" s="484"/>
      <c r="AV697" s="441"/>
    </row>
    <row r="698" spans="1:48" s="153" customFormat="1" ht="15" customHeight="1" outlineLevel="1" x14ac:dyDescent="0.25">
      <c r="A698" s="148" t="str">
        <f t="shared" si="127"/>
        <v>1.4.1.10.0.0</v>
      </c>
      <c r="B698" s="82">
        <v>1</v>
      </c>
      <c r="C698" s="82">
        <v>4</v>
      </c>
      <c r="D698" s="82">
        <v>1</v>
      </c>
      <c r="E698" s="82">
        <v>10</v>
      </c>
      <c r="F698" s="82">
        <v>0</v>
      </c>
      <c r="G698" s="82">
        <v>0</v>
      </c>
      <c r="H698" s="149"/>
      <c r="I698" s="149"/>
      <c r="J698" s="1260" t="s">
        <v>708</v>
      </c>
      <c r="K698" s="1259"/>
      <c r="L698" s="82" t="s">
        <v>224</v>
      </c>
      <c r="M698" s="82" t="s">
        <v>299</v>
      </c>
      <c r="N698" s="82" t="s">
        <v>671</v>
      </c>
      <c r="O698" s="82" t="s">
        <v>359</v>
      </c>
      <c r="P698" s="82"/>
      <c r="Q698" s="82"/>
      <c r="R698" s="82"/>
      <c r="S698" s="149"/>
      <c r="T698" s="82"/>
      <c r="U698" s="379">
        <f t="shared" ref="U698:AG698" si="144">+SUM(U699:U700)</f>
        <v>0</v>
      </c>
      <c r="V698" s="682">
        <f t="shared" si="144"/>
        <v>0</v>
      </c>
      <c r="W698" s="379">
        <f t="shared" si="144"/>
        <v>0</v>
      </c>
      <c r="X698" s="379">
        <f t="shared" si="144"/>
        <v>0</v>
      </c>
      <c r="Y698" s="845">
        <f t="shared" si="144"/>
        <v>0</v>
      </c>
      <c r="Z698" s="379">
        <f t="shared" si="144"/>
        <v>0</v>
      </c>
      <c r="AA698" s="379">
        <f t="shared" si="144"/>
        <v>0</v>
      </c>
      <c r="AB698" s="379">
        <f t="shared" si="144"/>
        <v>0</v>
      </c>
      <c r="AC698" s="379">
        <f t="shared" si="144"/>
        <v>0</v>
      </c>
      <c r="AD698" s="379">
        <f t="shared" si="144"/>
        <v>0</v>
      </c>
      <c r="AE698" s="379">
        <f t="shared" si="144"/>
        <v>0</v>
      </c>
      <c r="AF698" s="379">
        <f t="shared" si="144"/>
        <v>0</v>
      </c>
      <c r="AG698" s="379">
        <f t="shared" si="144"/>
        <v>0</v>
      </c>
      <c r="AH698" s="379">
        <f>+SUM(AH699:AH700)</f>
        <v>0</v>
      </c>
      <c r="AI698" s="152"/>
      <c r="AJ698" s="152"/>
      <c r="AK698" s="152"/>
      <c r="AL698" s="152"/>
      <c r="AM698" s="152"/>
      <c r="AN698" s="82" t="s">
        <v>181</v>
      </c>
      <c r="AO698" s="82"/>
      <c r="AP698" s="82"/>
      <c r="AQ698" s="365"/>
      <c r="AR698" s="82"/>
      <c r="AS698" s="483"/>
      <c r="AT698" s="82"/>
      <c r="AU698" s="666"/>
      <c r="AV698" s="444"/>
    </row>
    <row r="699" spans="1:48" ht="15" customHeight="1" outlineLevel="2" x14ac:dyDescent="0.25">
      <c r="A699" s="63" t="str">
        <f t="shared" si="127"/>
        <v>1.4.1.10.1.51</v>
      </c>
      <c r="B699" s="64">
        <v>1</v>
      </c>
      <c r="C699" s="64">
        <v>4</v>
      </c>
      <c r="D699" s="64">
        <v>1</v>
      </c>
      <c r="E699" s="64">
        <v>10</v>
      </c>
      <c r="F699" s="64">
        <v>1</v>
      </c>
      <c r="G699" s="64">
        <v>51</v>
      </c>
      <c r="H699" s="65"/>
      <c r="I699" s="65"/>
      <c r="J699" s="66"/>
      <c r="K699" s="65" t="s">
        <v>703</v>
      </c>
      <c r="L699" s="64" t="s">
        <v>246</v>
      </c>
      <c r="M699" s="64" t="s">
        <v>680</v>
      </c>
      <c r="N699" s="64" t="s">
        <v>671</v>
      </c>
      <c r="O699" s="64" t="s">
        <v>359</v>
      </c>
      <c r="P699" s="64"/>
      <c r="Q699" s="69"/>
      <c r="R699" s="64">
        <v>4</v>
      </c>
      <c r="S699" s="65"/>
      <c r="T699" s="64"/>
      <c r="U699" s="75"/>
      <c r="V699" s="679">
        <v>0</v>
      </c>
      <c r="W699" s="75"/>
      <c r="X699" s="75"/>
      <c r="Y699" s="834">
        <f>+AJ699-V699</f>
        <v>0</v>
      </c>
      <c r="Z699" s="75"/>
      <c r="AA699" s="75"/>
      <c r="AB699" s="75"/>
      <c r="AC699" s="75"/>
      <c r="AD699" s="75"/>
      <c r="AE699" s="592"/>
      <c r="AF699" s="259"/>
      <c r="AG699" s="510">
        <v>0</v>
      </c>
      <c r="AH699" s="370">
        <v>0</v>
      </c>
      <c r="AI699" s="75"/>
      <c r="AJ699" s="75"/>
      <c r="AK699" s="75"/>
      <c r="AL699" s="75"/>
      <c r="AM699" s="75"/>
      <c r="AN699" s="64"/>
      <c r="AO699" s="64"/>
      <c r="AP699" s="64"/>
      <c r="AQ699" s="189"/>
      <c r="AR699" s="64"/>
      <c r="AS699" s="476"/>
      <c r="AT699" s="64"/>
      <c r="AU699" s="646"/>
      <c r="AV699" s="185"/>
    </row>
    <row r="700" spans="1:48" ht="15" customHeight="1" outlineLevel="2" x14ac:dyDescent="0.25">
      <c r="A700" s="63" t="str">
        <f t="shared" si="127"/>
        <v>1.4.1.10.2.51</v>
      </c>
      <c r="B700" s="64">
        <v>1</v>
      </c>
      <c r="C700" s="64">
        <v>4</v>
      </c>
      <c r="D700" s="64">
        <v>1</v>
      </c>
      <c r="E700" s="64">
        <v>10</v>
      </c>
      <c r="F700" s="64">
        <v>2</v>
      </c>
      <c r="G700" s="64">
        <v>51</v>
      </c>
      <c r="H700" s="65"/>
      <c r="I700" s="65"/>
      <c r="J700" s="66"/>
      <c r="K700" s="65" t="s">
        <v>704</v>
      </c>
      <c r="L700" s="64" t="s">
        <v>246</v>
      </c>
      <c r="M700" s="64" t="s">
        <v>680</v>
      </c>
      <c r="N700" s="64" t="s">
        <v>671</v>
      </c>
      <c r="O700" s="64" t="s">
        <v>359</v>
      </c>
      <c r="P700" s="64"/>
      <c r="Q700" s="69"/>
      <c r="R700" s="64">
        <v>4</v>
      </c>
      <c r="S700" s="65"/>
      <c r="T700" s="64"/>
      <c r="U700" s="75"/>
      <c r="V700" s="679">
        <v>0</v>
      </c>
      <c r="W700" s="75"/>
      <c r="X700" s="75"/>
      <c r="Y700" s="834">
        <f>+AJ700-V700</f>
        <v>0</v>
      </c>
      <c r="Z700" s="75"/>
      <c r="AA700" s="75"/>
      <c r="AB700" s="75"/>
      <c r="AC700" s="75"/>
      <c r="AD700" s="75"/>
      <c r="AE700" s="592"/>
      <c r="AF700" s="259"/>
      <c r="AG700" s="510">
        <v>0</v>
      </c>
      <c r="AH700" s="370">
        <v>0</v>
      </c>
      <c r="AI700" s="75"/>
      <c r="AJ700" s="75"/>
      <c r="AK700" s="75"/>
      <c r="AL700" s="75"/>
      <c r="AM700" s="75"/>
      <c r="AN700" s="64"/>
      <c r="AO700" s="64"/>
      <c r="AP700" s="64"/>
      <c r="AQ700" s="189"/>
      <c r="AR700" s="64"/>
      <c r="AS700" s="476"/>
      <c r="AT700" s="64"/>
      <c r="AU700" s="646"/>
      <c r="AV700" s="185"/>
    </row>
    <row r="701" spans="1:48" s="153" customFormat="1" ht="15" customHeight="1" outlineLevel="1" x14ac:dyDescent="0.25">
      <c r="A701" s="148" t="str">
        <f t="shared" si="127"/>
        <v>1.4.1.11.0.0</v>
      </c>
      <c r="B701" s="82">
        <v>1</v>
      </c>
      <c r="C701" s="82">
        <v>4</v>
      </c>
      <c r="D701" s="82">
        <v>1</v>
      </c>
      <c r="E701" s="82">
        <v>11</v>
      </c>
      <c r="F701" s="82">
        <v>0</v>
      </c>
      <c r="G701" s="82">
        <v>0</v>
      </c>
      <c r="H701" s="149"/>
      <c r="I701" s="149"/>
      <c r="J701" s="1260" t="s">
        <v>709</v>
      </c>
      <c r="K701" s="1259"/>
      <c r="L701" s="82" t="s">
        <v>224</v>
      </c>
      <c r="M701" s="82" t="s">
        <v>299</v>
      </c>
      <c r="N701" s="82" t="s">
        <v>671</v>
      </c>
      <c r="O701" s="82" t="s">
        <v>359</v>
      </c>
      <c r="P701" s="82"/>
      <c r="Q701" s="82"/>
      <c r="R701" s="82"/>
      <c r="S701" s="149"/>
      <c r="T701" s="82"/>
      <c r="U701" s="379">
        <f t="shared" ref="U701:AG701" si="145">+SUM(U702:U703)</f>
        <v>0</v>
      </c>
      <c r="V701" s="682">
        <f t="shared" si="145"/>
        <v>0</v>
      </c>
      <c r="W701" s="379">
        <f t="shared" si="145"/>
        <v>0</v>
      </c>
      <c r="X701" s="379">
        <f t="shared" si="145"/>
        <v>0</v>
      </c>
      <c r="Y701" s="845">
        <f t="shared" si="145"/>
        <v>0</v>
      </c>
      <c r="Z701" s="379">
        <f t="shared" si="145"/>
        <v>0</v>
      </c>
      <c r="AA701" s="379">
        <f t="shared" si="145"/>
        <v>0</v>
      </c>
      <c r="AB701" s="379">
        <f t="shared" si="145"/>
        <v>0</v>
      </c>
      <c r="AC701" s="379">
        <f t="shared" si="145"/>
        <v>0</v>
      </c>
      <c r="AD701" s="379">
        <f t="shared" si="145"/>
        <v>0</v>
      </c>
      <c r="AE701" s="379">
        <f t="shared" si="145"/>
        <v>0</v>
      </c>
      <c r="AF701" s="379">
        <f t="shared" si="145"/>
        <v>0</v>
      </c>
      <c r="AG701" s="379">
        <f t="shared" si="145"/>
        <v>0</v>
      </c>
      <c r="AH701" s="379">
        <f>+SUM(AH702:AH703)</f>
        <v>0</v>
      </c>
      <c r="AI701" s="152"/>
      <c r="AJ701" s="152"/>
      <c r="AK701" s="152"/>
      <c r="AL701" s="152"/>
      <c r="AM701" s="152"/>
      <c r="AN701" s="82" t="s">
        <v>181</v>
      </c>
      <c r="AO701" s="82"/>
      <c r="AP701" s="82"/>
      <c r="AQ701" s="365"/>
      <c r="AR701" s="82"/>
      <c r="AS701" s="483"/>
      <c r="AT701" s="82"/>
      <c r="AU701" s="666"/>
      <c r="AV701" s="444"/>
    </row>
    <row r="702" spans="1:48" ht="15" customHeight="1" outlineLevel="2" x14ac:dyDescent="0.25">
      <c r="A702" s="63" t="str">
        <f t="shared" si="127"/>
        <v>1.4.1.11.1.01</v>
      </c>
      <c r="B702" s="64">
        <v>1</v>
      </c>
      <c r="C702" s="64">
        <v>4</v>
      </c>
      <c r="D702" s="64">
        <v>1</v>
      </c>
      <c r="E702" s="64">
        <v>11</v>
      </c>
      <c r="F702" s="64">
        <v>1</v>
      </c>
      <c r="G702" s="206" t="s">
        <v>710</v>
      </c>
      <c r="H702" s="65"/>
      <c r="I702" s="65"/>
      <c r="J702" s="66"/>
      <c r="K702" s="65" t="s">
        <v>703</v>
      </c>
      <c r="L702" s="64" t="s">
        <v>246</v>
      </c>
      <c r="M702" s="64" t="s">
        <v>680</v>
      </c>
      <c r="N702" s="64" t="s">
        <v>671</v>
      </c>
      <c r="O702" s="64" t="s">
        <v>359</v>
      </c>
      <c r="P702" s="64"/>
      <c r="Q702" s="64"/>
      <c r="R702" s="64">
        <v>3</v>
      </c>
      <c r="S702" s="65"/>
      <c r="T702" s="64"/>
      <c r="U702" s="75"/>
      <c r="V702" s="679">
        <v>0</v>
      </c>
      <c r="W702" s="75"/>
      <c r="X702" s="75"/>
      <c r="Y702" s="834">
        <f>+AJ702-V702</f>
        <v>0</v>
      </c>
      <c r="Z702" s="75"/>
      <c r="AA702" s="75"/>
      <c r="AB702" s="75"/>
      <c r="AC702" s="75"/>
      <c r="AD702" s="75"/>
      <c r="AE702" s="592"/>
      <c r="AF702" s="259"/>
      <c r="AG702" s="510">
        <v>0</v>
      </c>
      <c r="AH702" s="370">
        <v>0</v>
      </c>
      <c r="AI702" s="75"/>
      <c r="AJ702" s="75"/>
      <c r="AK702" s="75"/>
      <c r="AL702" s="75"/>
      <c r="AM702" s="75"/>
      <c r="AN702" s="64"/>
      <c r="AO702" s="64"/>
      <c r="AP702" s="64"/>
      <c r="AQ702" s="189"/>
      <c r="AR702" s="64"/>
      <c r="AS702" s="476"/>
      <c r="AT702" s="64"/>
      <c r="AU702" s="646"/>
      <c r="AV702" s="185"/>
    </row>
    <row r="703" spans="1:48" ht="15" customHeight="1" outlineLevel="2" x14ac:dyDescent="0.25">
      <c r="A703" s="63" t="str">
        <f t="shared" si="127"/>
        <v>1.4.1.11.2.01</v>
      </c>
      <c r="B703" s="64">
        <v>1</v>
      </c>
      <c r="C703" s="64">
        <v>4</v>
      </c>
      <c r="D703" s="64">
        <v>1</v>
      </c>
      <c r="E703" s="64">
        <v>11</v>
      </c>
      <c r="F703" s="64">
        <v>2</v>
      </c>
      <c r="G703" s="206" t="s">
        <v>710</v>
      </c>
      <c r="H703" s="65"/>
      <c r="I703" s="65"/>
      <c r="J703" s="66"/>
      <c r="K703" s="65" t="s">
        <v>704</v>
      </c>
      <c r="L703" s="64" t="s">
        <v>246</v>
      </c>
      <c r="M703" s="64" t="s">
        <v>680</v>
      </c>
      <c r="N703" s="64" t="s">
        <v>671</v>
      </c>
      <c r="O703" s="64" t="s">
        <v>359</v>
      </c>
      <c r="P703" s="64"/>
      <c r="Q703" s="64"/>
      <c r="R703" s="64">
        <v>3</v>
      </c>
      <c r="S703" s="65"/>
      <c r="T703" s="64"/>
      <c r="U703" s="75"/>
      <c r="V703" s="679">
        <v>0</v>
      </c>
      <c r="W703" s="75"/>
      <c r="X703" s="75"/>
      <c r="Y703" s="834">
        <f>+AJ703-V703</f>
        <v>0</v>
      </c>
      <c r="Z703" s="75"/>
      <c r="AA703" s="75"/>
      <c r="AB703" s="75"/>
      <c r="AC703" s="75"/>
      <c r="AD703" s="75"/>
      <c r="AE703" s="592"/>
      <c r="AF703" s="259"/>
      <c r="AG703" s="510">
        <v>0</v>
      </c>
      <c r="AH703" s="370">
        <v>0</v>
      </c>
      <c r="AI703" s="75"/>
      <c r="AJ703" s="75"/>
      <c r="AK703" s="75"/>
      <c r="AL703" s="75"/>
      <c r="AM703" s="75"/>
      <c r="AN703" s="64"/>
      <c r="AO703" s="64"/>
      <c r="AP703" s="64"/>
      <c r="AQ703" s="189"/>
      <c r="AR703" s="64"/>
      <c r="AS703" s="476"/>
      <c r="AT703" s="64"/>
      <c r="AU703" s="646"/>
      <c r="AV703" s="185"/>
    </row>
    <row r="704" spans="1:48" s="153" customFormat="1" ht="15" customHeight="1" outlineLevel="1" x14ac:dyDescent="0.25">
      <c r="A704" s="148" t="str">
        <f t="shared" si="127"/>
        <v>1.4.1.12.0.0</v>
      </c>
      <c r="B704" s="82">
        <v>1</v>
      </c>
      <c r="C704" s="82">
        <v>4</v>
      </c>
      <c r="D704" s="82">
        <v>1</v>
      </c>
      <c r="E704" s="82">
        <v>12</v>
      </c>
      <c r="F704" s="82">
        <v>0</v>
      </c>
      <c r="G704" s="82">
        <v>0</v>
      </c>
      <c r="H704" s="149"/>
      <c r="I704" s="149"/>
      <c r="J704" s="1260" t="s">
        <v>711</v>
      </c>
      <c r="K704" s="1259"/>
      <c r="L704" s="82" t="s">
        <v>224</v>
      </c>
      <c r="M704" s="82" t="s">
        <v>299</v>
      </c>
      <c r="N704" s="82" t="s">
        <v>671</v>
      </c>
      <c r="O704" s="82" t="s">
        <v>359</v>
      </c>
      <c r="P704" s="82"/>
      <c r="Q704" s="82"/>
      <c r="R704" s="82"/>
      <c r="S704" s="149"/>
      <c r="T704" s="82"/>
      <c r="U704" s="379">
        <f t="shared" ref="U704:AG704" si="146">+SUM(U705:U706)</f>
        <v>0</v>
      </c>
      <c r="V704" s="682">
        <f t="shared" si="146"/>
        <v>0</v>
      </c>
      <c r="W704" s="379">
        <f t="shared" si="146"/>
        <v>0</v>
      </c>
      <c r="X704" s="379">
        <f t="shared" si="146"/>
        <v>0</v>
      </c>
      <c r="Y704" s="845">
        <f t="shared" si="146"/>
        <v>0</v>
      </c>
      <c r="Z704" s="379">
        <f t="shared" si="146"/>
        <v>0</v>
      </c>
      <c r="AA704" s="379">
        <f t="shared" si="146"/>
        <v>0</v>
      </c>
      <c r="AB704" s="379">
        <f t="shared" si="146"/>
        <v>0</v>
      </c>
      <c r="AC704" s="379">
        <f t="shared" si="146"/>
        <v>0</v>
      </c>
      <c r="AD704" s="379">
        <f t="shared" si="146"/>
        <v>0</v>
      </c>
      <c r="AE704" s="379">
        <f t="shared" si="146"/>
        <v>0</v>
      </c>
      <c r="AF704" s="379">
        <f t="shared" si="146"/>
        <v>0</v>
      </c>
      <c r="AG704" s="379">
        <f t="shared" si="146"/>
        <v>0</v>
      </c>
      <c r="AH704" s="379">
        <f>+SUM(AH705:AH706)</f>
        <v>0</v>
      </c>
      <c r="AI704" s="152"/>
      <c r="AJ704" s="152"/>
      <c r="AK704" s="152"/>
      <c r="AL704" s="152"/>
      <c r="AM704" s="152"/>
      <c r="AN704" s="82" t="s">
        <v>181</v>
      </c>
      <c r="AO704" s="82"/>
      <c r="AP704" s="82"/>
      <c r="AQ704" s="365"/>
      <c r="AR704" s="82"/>
      <c r="AS704" s="483"/>
      <c r="AT704" s="82"/>
      <c r="AU704" s="666"/>
      <c r="AV704" s="444"/>
    </row>
    <row r="705" spans="1:48" ht="15" customHeight="1" outlineLevel="2" x14ac:dyDescent="0.25">
      <c r="A705" s="63" t="str">
        <f t="shared" si="127"/>
        <v>1.4.1.12.1.06</v>
      </c>
      <c r="B705" s="64">
        <v>1</v>
      </c>
      <c r="C705" s="64">
        <v>4</v>
      </c>
      <c r="D705" s="64">
        <v>1</v>
      </c>
      <c r="E705" s="64">
        <v>12</v>
      </c>
      <c r="F705" s="64">
        <v>1</v>
      </c>
      <c r="G705" s="206" t="s">
        <v>712</v>
      </c>
      <c r="H705" s="65"/>
      <c r="I705" s="65"/>
      <c r="J705" s="66"/>
      <c r="K705" s="65" t="s">
        <v>703</v>
      </c>
      <c r="L705" s="64" t="s">
        <v>246</v>
      </c>
      <c r="M705" s="64" t="s">
        <v>680</v>
      </c>
      <c r="N705" s="64" t="s">
        <v>671</v>
      </c>
      <c r="O705" s="64" t="s">
        <v>359</v>
      </c>
      <c r="P705" s="64"/>
      <c r="Q705" s="64"/>
      <c r="R705" s="64">
        <v>6</v>
      </c>
      <c r="S705" s="65"/>
      <c r="T705" s="64"/>
      <c r="U705" s="75"/>
      <c r="V705" s="679">
        <v>0</v>
      </c>
      <c r="W705" s="75"/>
      <c r="X705" s="75"/>
      <c r="Y705" s="834">
        <f>+AJ705-V705</f>
        <v>0</v>
      </c>
      <c r="Z705" s="75"/>
      <c r="AA705" s="75"/>
      <c r="AB705" s="75"/>
      <c r="AC705" s="75"/>
      <c r="AD705" s="75"/>
      <c r="AE705" s="592"/>
      <c r="AF705" s="259"/>
      <c r="AG705" s="516">
        <v>0</v>
      </c>
      <c r="AH705" s="381">
        <v>0</v>
      </c>
      <c r="AI705" s="207"/>
      <c r="AJ705" s="207"/>
      <c r="AK705" s="207"/>
      <c r="AL705" s="207"/>
      <c r="AM705" s="207"/>
      <c r="AN705" s="64"/>
      <c r="AO705" s="64"/>
      <c r="AP705" s="64"/>
      <c r="AQ705" s="189"/>
      <c r="AR705" s="64"/>
      <c r="AS705" s="476"/>
      <c r="AT705" s="64"/>
      <c r="AU705" s="646"/>
      <c r="AV705" s="185"/>
    </row>
    <row r="706" spans="1:48" ht="15" customHeight="1" outlineLevel="2" x14ac:dyDescent="0.25">
      <c r="A706" s="63" t="str">
        <f t="shared" si="127"/>
        <v>1.4.1.12.2.06</v>
      </c>
      <c r="B706" s="64">
        <v>1</v>
      </c>
      <c r="C706" s="64">
        <v>4</v>
      </c>
      <c r="D706" s="64">
        <v>1</v>
      </c>
      <c r="E706" s="64">
        <v>12</v>
      </c>
      <c r="F706" s="64">
        <v>2</v>
      </c>
      <c r="G706" s="206" t="s">
        <v>712</v>
      </c>
      <c r="H706" s="65"/>
      <c r="I706" s="65"/>
      <c r="J706" s="66"/>
      <c r="K706" s="65" t="s">
        <v>704</v>
      </c>
      <c r="L706" s="64" t="s">
        <v>246</v>
      </c>
      <c r="M706" s="64" t="s">
        <v>680</v>
      </c>
      <c r="N706" s="64" t="s">
        <v>671</v>
      </c>
      <c r="O706" s="64" t="s">
        <v>359</v>
      </c>
      <c r="P706" s="64"/>
      <c r="Q706" s="64"/>
      <c r="R706" s="64">
        <v>10</v>
      </c>
      <c r="S706" s="65"/>
      <c r="T706" s="64"/>
      <c r="U706" s="75"/>
      <c r="V706" s="679">
        <v>0</v>
      </c>
      <c r="W706" s="75"/>
      <c r="X706" s="75"/>
      <c r="Y706" s="834">
        <f>+AJ706-V706</f>
        <v>0</v>
      </c>
      <c r="Z706" s="75"/>
      <c r="AA706" s="75"/>
      <c r="AB706" s="75"/>
      <c r="AC706" s="75"/>
      <c r="AD706" s="75"/>
      <c r="AE706" s="592"/>
      <c r="AF706" s="259"/>
      <c r="AG706" s="517">
        <v>0</v>
      </c>
      <c r="AH706" s="382">
        <v>0</v>
      </c>
      <c r="AI706" s="208"/>
      <c r="AJ706" s="208"/>
      <c r="AK706" s="208"/>
      <c r="AL706" s="208"/>
      <c r="AM706" s="208"/>
      <c r="AN706" s="64"/>
      <c r="AO706" s="64"/>
      <c r="AP706" s="64"/>
      <c r="AQ706" s="189"/>
      <c r="AR706" s="64"/>
      <c r="AS706" s="476"/>
      <c r="AT706" s="64"/>
      <c r="AU706" s="646"/>
      <c r="AV706" s="185"/>
    </row>
    <row r="707" spans="1:48" s="153" customFormat="1" ht="15" customHeight="1" outlineLevel="1" x14ac:dyDescent="0.25">
      <c r="A707" s="148" t="str">
        <f t="shared" si="127"/>
        <v>1.4.1.13.0.0</v>
      </c>
      <c r="B707" s="82">
        <v>1</v>
      </c>
      <c r="C707" s="82">
        <v>4</v>
      </c>
      <c r="D707" s="82">
        <v>1</v>
      </c>
      <c r="E707" s="82">
        <v>13</v>
      </c>
      <c r="F707" s="82">
        <v>0</v>
      </c>
      <c r="G707" s="82">
        <v>0</v>
      </c>
      <c r="H707" s="149"/>
      <c r="I707" s="149"/>
      <c r="J707" s="1260" t="s">
        <v>713</v>
      </c>
      <c r="K707" s="1259"/>
      <c r="L707" s="82" t="s">
        <v>224</v>
      </c>
      <c r="M707" s="82" t="s">
        <v>299</v>
      </c>
      <c r="N707" s="82" t="s">
        <v>671</v>
      </c>
      <c r="O707" s="82" t="s">
        <v>359</v>
      </c>
      <c r="P707" s="82"/>
      <c r="Q707" s="82"/>
      <c r="R707" s="82"/>
      <c r="S707" s="149"/>
      <c r="T707" s="82"/>
      <c r="U707" s="379">
        <f t="shared" ref="U707:AG707" si="147">+SUM(U708:U709)</f>
        <v>0</v>
      </c>
      <c r="V707" s="682">
        <f t="shared" si="147"/>
        <v>0</v>
      </c>
      <c r="W707" s="379">
        <f t="shared" si="147"/>
        <v>0</v>
      </c>
      <c r="X707" s="379">
        <f t="shared" si="147"/>
        <v>0</v>
      </c>
      <c r="Y707" s="845">
        <f t="shared" si="147"/>
        <v>0</v>
      </c>
      <c r="Z707" s="379">
        <f t="shared" si="147"/>
        <v>0</v>
      </c>
      <c r="AA707" s="379">
        <f t="shared" si="147"/>
        <v>0</v>
      </c>
      <c r="AB707" s="379">
        <f t="shared" si="147"/>
        <v>0</v>
      </c>
      <c r="AC707" s="379">
        <f t="shared" si="147"/>
        <v>0</v>
      </c>
      <c r="AD707" s="379">
        <f t="shared" si="147"/>
        <v>0</v>
      </c>
      <c r="AE707" s="379">
        <f t="shared" si="147"/>
        <v>0</v>
      </c>
      <c r="AF707" s="379">
        <f t="shared" si="147"/>
        <v>0</v>
      </c>
      <c r="AG707" s="379">
        <f t="shared" si="147"/>
        <v>0</v>
      </c>
      <c r="AH707" s="379">
        <f>+SUM(AH708:AH709)</f>
        <v>0</v>
      </c>
      <c r="AI707" s="152"/>
      <c r="AJ707" s="152"/>
      <c r="AK707" s="152"/>
      <c r="AL707" s="152"/>
      <c r="AM707" s="152"/>
      <c r="AN707" s="82" t="s">
        <v>181</v>
      </c>
      <c r="AO707" s="82"/>
      <c r="AP707" s="82"/>
      <c r="AQ707" s="365"/>
      <c r="AR707" s="82"/>
      <c r="AS707" s="483"/>
      <c r="AT707" s="82"/>
      <c r="AU707" s="666"/>
      <c r="AV707" s="444"/>
    </row>
    <row r="708" spans="1:48" ht="15" customHeight="1" outlineLevel="2" x14ac:dyDescent="0.25">
      <c r="A708" s="63" t="str">
        <f t="shared" si="127"/>
        <v>1.4.1.13.1.03</v>
      </c>
      <c r="B708" s="64">
        <v>1</v>
      </c>
      <c r="C708" s="64">
        <v>4</v>
      </c>
      <c r="D708" s="64">
        <v>1</v>
      </c>
      <c r="E708" s="64">
        <v>13</v>
      </c>
      <c r="F708" s="64">
        <v>1</v>
      </c>
      <c r="G708" s="206" t="s">
        <v>714</v>
      </c>
      <c r="H708" s="65"/>
      <c r="I708" s="65"/>
      <c r="J708" s="66"/>
      <c r="K708" s="65" t="s">
        <v>703</v>
      </c>
      <c r="L708" s="64" t="s">
        <v>246</v>
      </c>
      <c r="M708" s="64" t="s">
        <v>680</v>
      </c>
      <c r="N708" s="64" t="s">
        <v>671</v>
      </c>
      <c r="O708" s="64" t="s">
        <v>359</v>
      </c>
      <c r="P708" s="64"/>
      <c r="Q708" s="69"/>
      <c r="R708" s="64"/>
      <c r="S708" s="65"/>
      <c r="T708" s="64"/>
      <c r="U708" s="75"/>
      <c r="V708" s="679">
        <v>0</v>
      </c>
      <c r="W708" s="75"/>
      <c r="X708" s="75"/>
      <c r="Y708" s="834">
        <f>+AJ708-V708</f>
        <v>0</v>
      </c>
      <c r="Z708" s="75"/>
      <c r="AA708" s="75"/>
      <c r="AB708" s="75"/>
      <c r="AC708" s="75"/>
      <c r="AD708" s="75"/>
      <c r="AE708" s="592"/>
      <c r="AF708" s="259"/>
      <c r="AG708" s="516">
        <v>0</v>
      </c>
      <c r="AH708" s="381">
        <v>0</v>
      </c>
      <c r="AI708" s="207"/>
      <c r="AJ708" s="207"/>
      <c r="AK708" s="207"/>
      <c r="AL708" s="207"/>
      <c r="AM708" s="207"/>
      <c r="AN708" s="64"/>
      <c r="AO708" s="64"/>
      <c r="AP708" s="64"/>
      <c r="AQ708" s="189"/>
      <c r="AR708" s="64"/>
      <c r="AS708" s="476"/>
      <c r="AT708" s="64"/>
      <c r="AU708" s="646"/>
      <c r="AV708" s="185"/>
    </row>
    <row r="709" spans="1:48" ht="15" customHeight="1" outlineLevel="2" x14ac:dyDescent="0.25">
      <c r="A709" s="63" t="str">
        <f t="shared" si="127"/>
        <v>1.4.1.13.2.03</v>
      </c>
      <c r="B709" s="64">
        <v>1</v>
      </c>
      <c r="C709" s="64">
        <v>4</v>
      </c>
      <c r="D709" s="64">
        <v>1</v>
      </c>
      <c r="E709" s="64">
        <v>13</v>
      </c>
      <c r="F709" s="64">
        <v>2</v>
      </c>
      <c r="G709" s="206" t="s">
        <v>714</v>
      </c>
      <c r="H709" s="65"/>
      <c r="I709" s="65"/>
      <c r="J709" s="66"/>
      <c r="K709" s="65" t="s">
        <v>715</v>
      </c>
      <c r="L709" s="64" t="s">
        <v>246</v>
      </c>
      <c r="M709" s="64" t="s">
        <v>680</v>
      </c>
      <c r="N709" s="64" t="s">
        <v>671</v>
      </c>
      <c r="O709" s="64" t="s">
        <v>359</v>
      </c>
      <c r="P709" s="64"/>
      <c r="Q709" s="69"/>
      <c r="R709" s="64"/>
      <c r="S709" s="65"/>
      <c r="T709" s="64"/>
      <c r="U709" s="75"/>
      <c r="V709" s="679">
        <v>0</v>
      </c>
      <c r="W709" s="75"/>
      <c r="X709" s="75"/>
      <c r="Y709" s="834">
        <f>+AJ709-V709</f>
        <v>0</v>
      </c>
      <c r="Z709" s="75"/>
      <c r="AA709" s="75"/>
      <c r="AB709" s="75"/>
      <c r="AC709" s="75"/>
      <c r="AD709" s="75"/>
      <c r="AE709" s="592"/>
      <c r="AF709" s="259"/>
      <c r="AG709" s="517">
        <v>0</v>
      </c>
      <c r="AH709" s="382">
        <v>0</v>
      </c>
      <c r="AI709" s="208"/>
      <c r="AJ709" s="208"/>
      <c r="AK709" s="208"/>
      <c r="AL709" s="208"/>
      <c r="AM709" s="208"/>
      <c r="AN709" s="64"/>
      <c r="AO709" s="64"/>
      <c r="AP709" s="64"/>
      <c r="AQ709" s="189"/>
      <c r="AR709" s="64"/>
      <c r="AS709" s="476"/>
      <c r="AT709" s="64"/>
      <c r="AU709" s="646"/>
      <c r="AV709" s="185"/>
    </row>
    <row r="710" spans="1:48" s="153" customFormat="1" ht="15" customHeight="1" outlineLevel="1" x14ac:dyDescent="0.25">
      <c r="A710" s="148" t="str">
        <f t="shared" si="127"/>
        <v>1.4.1.14.0.0</v>
      </c>
      <c r="B710" s="82">
        <v>1</v>
      </c>
      <c r="C710" s="82">
        <v>4</v>
      </c>
      <c r="D710" s="82">
        <v>1</v>
      </c>
      <c r="E710" s="82">
        <v>14</v>
      </c>
      <c r="F710" s="82">
        <v>0</v>
      </c>
      <c r="G710" s="82">
        <v>0</v>
      </c>
      <c r="H710" s="149"/>
      <c r="I710" s="149"/>
      <c r="J710" s="1260" t="s">
        <v>716</v>
      </c>
      <c r="K710" s="1259"/>
      <c r="L710" s="82" t="s">
        <v>224</v>
      </c>
      <c r="M710" s="82" t="s">
        <v>299</v>
      </c>
      <c r="N710" s="82" t="s">
        <v>671</v>
      </c>
      <c r="O710" s="82" t="s">
        <v>359</v>
      </c>
      <c r="P710" s="82"/>
      <c r="Q710" s="82"/>
      <c r="R710" s="82"/>
      <c r="S710" s="149"/>
      <c r="T710" s="82"/>
      <c r="U710" s="379">
        <f t="shared" ref="U710:AG710" si="148">+SUM(U711:U712)</f>
        <v>0</v>
      </c>
      <c r="V710" s="682">
        <f t="shared" si="148"/>
        <v>0</v>
      </c>
      <c r="W710" s="379">
        <f t="shared" si="148"/>
        <v>0</v>
      </c>
      <c r="X710" s="379">
        <f t="shared" si="148"/>
        <v>0</v>
      </c>
      <c r="Y710" s="845">
        <f t="shared" si="148"/>
        <v>0</v>
      </c>
      <c r="Z710" s="379">
        <f t="shared" si="148"/>
        <v>0</v>
      </c>
      <c r="AA710" s="379">
        <f t="shared" si="148"/>
        <v>0</v>
      </c>
      <c r="AB710" s="379">
        <f t="shared" si="148"/>
        <v>0</v>
      </c>
      <c r="AC710" s="379">
        <f t="shared" si="148"/>
        <v>0</v>
      </c>
      <c r="AD710" s="379">
        <f t="shared" si="148"/>
        <v>0</v>
      </c>
      <c r="AE710" s="379">
        <f t="shared" si="148"/>
        <v>0</v>
      </c>
      <c r="AF710" s="379">
        <f t="shared" si="148"/>
        <v>0</v>
      </c>
      <c r="AG710" s="379">
        <f t="shared" si="148"/>
        <v>0</v>
      </c>
      <c r="AH710" s="379">
        <f>+SUM(AH711:AH712)</f>
        <v>0</v>
      </c>
      <c r="AI710" s="152"/>
      <c r="AJ710" s="152"/>
      <c r="AK710" s="152"/>
      <c r="AL710" s="152"/>
      <c r="AM710" s="152"/>
      <c r="AN710" s="82" t="s">
        <v>2573</v>
      </c>
      <c r="AO710" s="82"/>
      <c r="AP710" s="82"/>
      <c r="AQ710" s="365"/>
      <c r="AR710" s="82"/>
      <c r="AS710" s="483"/>
      <c r="AT710" s="82"/>
      <c r="AU710" s="666"/>
      <c r="AV710" s="444"/>
    </row>
    <row r="711" spans="1:48" ht="15" customHeight="1" outlineLevel="2" x14ac:dyDescent="0.25">
      <c r="A711" s="63" t="str">
        <f t="shared" si="127"/>
        <v>1.4.1.14.1.08</v>
      </c>
      <c r="B711" s="64">
        <v>1</v>
      </c>
      <c r="C711" s="64">
        <v>4</v>
      </c>
      <c r="D711" s="64">
        <v>1</v>
      </c>
      <c r="E711" s="64">
        <v>14</v>
      </c>
      <c r="F711" s="64">
        <v>1</v>
      </c>
      <c r="G711" s="206" t="s">
        <v>717</v>
      </c>
      <c r="H711" s="65"/>
      <c r="I711" s="65"/>
      <c r="J711" s="66"/>
      <c r="K711" s="65" t="s">
        <v>703</v>
      </c>
      <c r="L711" s="64" t="s">
        <v>246</v>
      </c>
      <c r="M711" s="64" t="s">
        <v>680</v>
      </c>
      <c r="N711" s="64" t="s">
        <v>671</v>
      </c>
      <c r="O711" s="64" t="s">
        <v>359</v>
      </c>
      <c r="P711" s="64"/>
      <c r="Q711" s="69"/>
      <c r="R711" s="64"/>
      <c r="S711" s="65"/>
      <c r="T711" s="64"/>
      <c r="U711" s="75"/>
      <c r="V711" s="679">
        <v>0</v>
      </c>
      <c r="W711" s="75"/>
      <c r="X711" s="75"/>
      <c r="Y711" s="834">
        <f>+AJ711-V711</f>
        <v>0</v>
      </c>
      <c r="Z711" s="75"/>
      <c r="AA711" s="75"/>
      <c r="AB711" s="75"/>
      <c r="AC711" s="75"/>
      <c r="AD711" s="75"/>
      <c r="AE711" s="592"/>
      <c r="AF711" s="259"/>
      <c r="AG711" s="516">
        <v>0</v>
      </c>
      <c r="AH711" s="381">
        <v>0</v>
      </c>
      <c r="AI711" s="207"/>
      <c r="AJ711" s="207"/>
      <c r="AK711" s="207"/>
      <c r="AL711" s="207"/>
      <c r="AM711" s="207"/>
      <c r="AN711" s="64"/>
      <c r="AO711" s="64"/>
      <c r="AP711" s="64"/>
      <c r="AQ711" s="189"/>
      <c r="AR711" s="64"/>
      <c r="AS711" s="476"/>
      <c r="AT711" s="64"/>
      <c r="AU711" s="646"/>
      <c r="AV711" s="185"/>
    </row>
    <row r="712" spans="1:48" ht="15" customHeight="1" outlineLevel="2" x14ac:dyDescent="0.25">
      <c r="A712" s="63" t="str">
        <f t="shared" si="127"/>
        <v>1.4.1.14.2.08</v>
      </c>
      <c r="B712" s="64">
        <v>1</v>
      </c>
      <c r="C712" s="64">
        <v>4</v>
      </c>
      <c r="D712" s="64">
        <v>1</v>
      </c>
      <c r="E712" s="64">
        <v>14</v>
      </c>
      <c r="F712" s="64">
        <v>2</v>
      </c>
      <c r="G712" s="206" t="s">
        <v>717</v>
      </c>
      <c r="H712" s="65"/>
      <c r="I712" s="65"/>
      <c r="J712" s="66"/>
      <c r="K712" s="65" t="s">
        <v>704</v>
      </c>
      <c r="L712" s="64" t="s">
        <v>246</v>
      </c>
      <c r="M712" s="64" t="s">
        <v>680</v>
      </c>
      <c r="N712" s="64" t="s">
        <v>671</v>
      </c>
      <c r="O712" s="64" t="s">
        <v>359</v>
      </c>
      <c r="P712" s="64"/>
      <c r="Q712" s="170"/>
      <c r="R712" s="170"/>
      <c r="S712" s="65"/>
      <c r="T712" s="64"/>
      <c r="U712" s="75"/>
      <c r="V712" s="679">
        <v>0</v>
      </c>
      <c r="W712" s="75"/>
      <c r="X712" s="75"/>
      <c r="Y712" s="834">
        <f>+AJ712-V712</f>
        <v>0</v>
      </c>
      <c r="Z712" s="75"/>
      <c r="AA712" s="75"/>
      <c r="AB712" s="75"/>
      <c r="AC712" s="75"/>
      <c r="AD712" s="75"/>
      <c r="AE712" s="592"/>
      <c r="AF712" s="259"/>
      <c r="AG712" s="517">
        <v>0</v>
      </c>
      <c r="AH712" s="382">
        <v>0</v>
      </c>
      <c r="AI712" s="208"/>
      <c r="AJ712" s="208"/>
      <c r="AK712" s="208"/>
      <c r="AL712" s="208"/>
      <c r="AM712" s="208"/>
      <c r="AN712" s="64"/>
      <c r="AO712" s="64"/>
      <c r="AP712" s="64"/>
      <c r="AQ712" s="189"/>
      <c r="AR712" s="64"/>
      <c r="AS712" s="476"/>
      <c r="AT712" s="64"/>
      <c r="AU712" s="646"/>
      <c r="AV712" s="185"/>
    </row>
    <row r="713" spans="1:48" s="153" customFormat="1" ht="15" customHeight="1" outlineLevel="1" x14ac:dyDescent="0.25">
      <c r="A713" s="148" t="str">
        <f t="shared" si="127"/>
        <v>1.4.1.15.0.0</v>
      </c>
      <c r="B713" s="82">
        <v>1</v>
      </c>
      <c r="C713" s="82">
        <v>4</v>
      </c>
      <c r="D713" s="82">
        <v>1</v>
      </c>
      <c r="E713" s="82">
        <v>15</v>
      </c>
      <c r="F713" s="82">
        <v>0</v>
      </c>
      <c r="G713" s="82">
        <v>0</v>
      </c>
      <c r="H713" s="149"/>
      <c r="I713" s="149"/>
      <c r="J713" s="1260" t="s">
        <v>718</v>
      </c>
      <c r="K713" s="1259"/>
      <c r="L713" s="82" t="s">
        <v>224</v>
      </c>
      <c r="M713" s="82" t="s">
        <v>299</v>
      </c>
      <c r="N713" s="82" t="s">
        <v>671</v>
      </c>
      <c r="O713" s="82" t="s">
        <v>359</v>
      </c>
      <c r="P713" s="82"/>
      <c r="Q713" s="82"/>
      <c r="R713" s="82"/>
      <c r="S713" s="149"/>
      <c r="T713" s="82"/>
      <c r="U713" s="379">
        <f>+SUM(U714:U715)</f>
        <v>0</v>
      </c>
      <c r="V713" s="682">
        <f>+SUM(V714:V715)</f>
        <v>0</v>
      </c>
      <c r="W713" s="379">
        <f t="shared" ref="W713:AG713" si="149">+SUM(W714:W715)</f>
        <v>0</v>
      </c>
      <c r="X713" s="379">
        <f t="shared" si="149"/>
        <v>0</v>
      </c>
      <c r="Y713" s="845">
        <f t="shared" si="149"/>
        <v>0</v>
      </c>
      <c r="Z713" s="379">
        <f t="shared" si="149"/>
        <v>0</v>
      </c>
      <c r="AA713" s="379">
        <f t="shared" si="149"/>
        <v>0</v>
      </c>
      <c r="AB713" s="379">
        <f t="shared" si="149"/>
        <v>0</v>
      </c>
      <c r="AC713" s="379">
        <f t="shared" si="149"/>
        <v>0</v>
      </c>
      <c r="AD713" s="379">
        <f t="shared" si="149"/>
        <v>0</v>
      </c>
      <c r="AE713" s="379">
        <f t="shared" si="149"/>
        <v>0</v>
      </c>
      <c r="AF713" s="379">
        <f t="shared" si="149"/>
        <v>0</v>
      </c>
      <c r="AG713" s="379">
        <f t="shared" si="149"/>
        <v>0</v>
      </c>
      <c r="AH713" s="379">
        <f>+SUM(AH714:AH715)</f>
        <v>0</v>
      </c>
      <c r="AI713" s="152"/>
      <c r="AJ713" s="152"/>
      <c r="AK713" s="152"/>
      <c r="AL713" s="152"/>
      <c r="AM713" s="152"/>
      <c r="AN713" s="82" t="s">
        <v>181</v>
      </c>
      <c r="AO713" s="82"/>
      <c r="AP713" s="82"/>
      <c r="AQ713" s="365"/>
      <c r="AR713" s="82"/>
      <c r="AS713" s="483"/>
      <c r="AT713" s="82"/>
      <c r="AU713" s="666"/>
      <c r="AV713" s="444"/>
    </row>
    <row r="714" spans="1:48" ht="15" customHeight="1" outlineLevel="3" x14ac:dyDescent="0.25">
      <c r="A714" s="63" t="str">
        <f t="shared" si="127"/>
        <v>1.4.1.15.1.09</v>
      </c>
      <c r="B714" s="64">
        <v>1</v>
      </c>
      <c r="C714" s="64">
        <v>4</v>
      </c>
      <c r="D714" s="64">
        <v>1</v>
      </c>
      <c r="E714" s="64">
        <v>15</v>
      </c>
      <c r="F714" s="64">
        <v>1</v>
      </c>
      <c r="G714" s="206" t="s">
        <v>719</v>
      </c>
      <c r="H714" s="65"/>
      <c r="I714" s="65"/>
      <c r="J714" s="66"/>
      <c r="K714" s="65" t="s">
        <v>703</v>
      </c>
      <c r="L714" s="64" t="s">
        <v>246</v>
      </c>
      <c r="M714" s="64" t="s">
        <v>680</v>
      </c>
      <c r="N714" s="64" t="s">
        <v>671</v>
      </c>
      <c r="O714" s="64" t="s">
        <v>359</v>
      </c>
      <c r="P714" s="64"/>
      <c r="Q714" s="69"/>
      <c r="R714" s="64"/>
      <c r="S714" s="65"/>
      <c r="T714" s="64"/>
      <c r="U714" s="75"/>
      <c r="V714" s="679">
        <v>0</v>
      </c>
      <c r="W714" s="75"/>
      <c r="X714" s="75"/>
      <c r="Y714" s="834">
        <f>+AJ714-V714</f>
        <v>0</v>
      </c>
      <c r="Z714" s="75"/>
      <c r="AA714" s="75"/>
      <c r="AB714" s="75"/>
      <c r="AC714" s="75"/>
      <c r="AD714" s="75"/>
      <c r="AE714" s="592"/>
      <c r="AF714" s="259"/>
      <c r="AG714" s="516">
        <v>0</v>
      </c>
      <c r="AH714" s="381">
        <v>0</v>
      </c>
      <c r="AI714" s="207"/>
      <c r="AJ714" s="207"/>
      <c r="AK714" s="207"/>
      <c r="AL714" s="207"/>
      <c r="AM714" s="207"/>
      <c r="AN714" s="64"/>
      <c r="AO714" s="64"/>
      <c r="AP714" s="64"/>
      <c r="AQ714" s="189"/>
      <c r="AR714" s="64"/>
      <c r="AS714" s="476"/>
      <c r="AT714" s="64"/>
      <c r="AU714" s="646"/>
      <c r="AV714" s="185"/>
    </row>
    <row r="715" spans="1:48" ht="15" customHeight="1" outlineLevel="3" x14ac:dyDescent="0.25">
      <c r="A715" s="63" t="str">
        <f t="shared" si="127"/>
        <v>1.4.1.15.2.09</v>
      </c>
      <c r="B715" s="64">
        <v>1</v>
      </c>
      <c r="C715" s="64">
        <v>4</v>
      </c>
      <c r="D715" s="64">
        <v>1</v>
      </c>
      <c r="E715" s="64">
        <v>15</v>
      </c>
      <c r="F715" s="64">
        <v>2</v>
      </c>
      <c r="G715" s="206" t="s">
        <v>719</v>
      </c>
      <c r="H715" s="65"/>
      <c r="I715" s="65"/>
      <c r="J715" s="66"/>
      <c r="K715" s="65" t="s">
        <v>704</v>
      </c>
      <c r="L715" s="64" t="s">
        <v>246</v>
      </c>
      <c r="M715" s="64" t="s">
        <v>680</v>
      </c>
      <c r="N715" s="64" t="s">
        <v>671</v>
      </c>
      <c r="O715" s="64" t="s">
        <v>359</v>
      </c>
      <c r="P715" s="64"/>
      <c r="Q715" s="69"/>
      <c r="R715" s="64"/>
      <c r="S715" s="65"/>
      <c r="T715" s="64"/>
      <c r="U715" s="75"/>
      <c r="V715" s="679">
        <v>0</v>
      </c>
      <c r="W715" s="75"/>
      <c r="X715" s="75"/>
      <c r="Y715" s="834">
        <f>+AJ715-V715</f>
        <v>0</v>
      </c>
      <c r="Z715" s="75"/>
      <c r="AA715" s="75"/>
      <c r="AB715" s="75"/>
      <c r="AC715" s="75"/>
      <c r="AD715" s="75"/>
      <c r="AE715" s="592"/>
      <c r="AF715" s="259"/>
      <c r="AG715" s="517">
        <v>0</v>
      </c>
      <c r="AH715" s="382">
        <v>0</v>
      </c>
      <c r="AI715" s="208"/>
      <c r="AJ715" s="208"/>
      <c r="AK715" s="208"/>
      <c r="AL715" s="208"/>
      <c r="AM715" s="208"/>
      <c r="AN715" s="64"/>
      <c r="AO715" s="64"/>
      <c r="AP715" s="64"/>
      <c r="AQ715" s="189"/>
      <c r="AR715" s="64"/>
      <c r="AS715" s="476"/>
      <c r="AT715" s="64"/>
      <c r="AU715" s="646"/>
      <c r="AV715" s="185"/>
    </row>
    <row r="716" spans="1:48" s="153" customFormat="1" ht="15" customHeight="1" outlineLevel="1" x14ac:dyDescent="0.25">
      <c r="A716" s="148" t="str">
        <f t="shared" si="127"/>
        <v>1.4.1.16.0.0</v>
      </c>
      <c r="B716" s="82">
        <v>1</v>
      </c>
      <c r="C716" s="82">
        <v>4</v>
      </c>
      <c r="D716" s="82">
        <v>1</v>
      </c>
      <c r="E716" s="82">
        <v>16</v>
      </c>
      <c r="F716" s="82">
        <v>0</v>
      </c>
      <c r="G716" s="82">
        <v>0</v>
      </c>
      <c r="H716" s="149"/>
      <c r="I716" s="149"/>
      <c r="J716" s="1260" t="s">
        <v>720</v>
      </c>
      <c r="K716" s="1259"/>
      <c r="L716" s="82" t="s">
        <v>224</v>
      </c>
      <c r="M716" s="82" t="s">
        <v>299</v>
      </c>
      <c r="N716" s="82" t="s">
        <v>671</v>
      </c>
      <c r="O716" s="82" t="s">
        <v>359</v>
      </c>
      <c r="P716" s="82"/>
      <c r="Q716" s="82"/>
      <c r="R716" s="82"/>
      <c r="S716" s="149"/>
      <c r="T716" s="82"/>
      <c r="U716" s="379">
        <f t="shared" ref="U716:AG716" si="150">+SUM(U717:U718)</f>
        <v>0</v>
      </c>
      <c r="V716" s="682">
        <f t="shared" si="150"/>
        <v>0</v>
      </c>
      <c r="W716" s="379">
        <f t="shared" si="150"/>
        <v>0</v>
      </c>
      <c r="X716" s="379">
        <f t="shared" si="150"/>
        <v>0</v>
      </c>
      <c r="Y716" s="845">
        <f t="shared" si="150"/>
        <v>0</v>
      </c>
      <c r="Z716" s="379">
        <f t="shared" si="150"/>
        <v>0</v>
      </c>
      <c r="AA716" s="379">
        <f t="shared" si="150"/>
        <v>0</v>
      </c>
      <c r="AB716" s="379">
        <f t="shared" si="150"/>
        <v>0</v>
      </c>
      <c r="AC716" s="379">
        <f t="shared" si="150"/>
        <v>0</v>
      </c>
      <c r="AD716" s="379">
        <f t="shared" si="150"/>
        <v>0</v>
      </c>
      <c r="AE716" s="379">
        <f t="shared" si="150"/>
        <v>0</v>
      </c>
      <c r="AF716" s="379">
        <f t="shared" si="150"/>
        <v>0</v>
      </c>
      <c r="AG716" s="379">
        <f t="shared" si="150"/>
        <v>0</v>
      </c>
      <c r="AH716" s="379">
        <f>+SUM(AH717:AH718)</f>
        <v>0</v>
      </c>
      <c r="AI716" s="152"/>
      <c r="AJ716" s="152"/>
      <c r="AK716" s="152"/>
      <c r="AL716" s="152"/>
      <c r="AM716" s="152"/>
      <c r="AN716" s="82" t="s">
        <v>181</v>
      </c>
      <c r="AO716" s="82"/>
      <c r="AP716" s="82"/>
      <c r="AQ716" s="365"/>
      <c r="AR716" s="82"/>
      <c r="AS716" s="483"/>
      <c r="AT716" s="82"/>
      <c r="AU716" s="666"/>
      <c r="AV716" s="444"/>
    </row>
    <row r="717" spans="1:48" ht="15" customHeight="1" outlineLevel="2" x14ac:dyDescent="0.25">
      <c r="A717" s="63" t="str">
        <f t="shared" si="127"/>
        <v>1.4.1.16.1.05</v>
      </c>
      <c r="B717" s="64">
        <v>1</v>
      </c>
      <c r="C717" s="64">
        <v>4</v>
      </c>
      <c r="D717" s="64">
        <v>1</v>
      </c>
      <c r="E717" s="64">
        <v>16</v>
      </c>
      <c r="F717" s="64">
        <v>1</v>
      </c>
      <c r="G717" s="206" t="s">
        <v>721</v>
      </c>
      <c r="H717" s="65"/>
      <c r="I717" s="65"/>
      <c r="J717" s="66"/>
      <c r="K717" s="65" t="s">
        <v>703</v>
      </c>
      <c r="L717" s="64" t="s">
        <v>246</v>
      </c>
      <c r="M717" s="64" t="s">
        <v>680</v>
      </c>
      <c r="N717" s="64" t="s">
        <v>671</v>
      </c>
      <c r="O717" s="64" t="s">
        <v>359</v>
      </c>
      <c r="P717" s="64"/>
      <c r="Q717" s="69"/>
      <c r="R717" s="64"/>
      <c r="S717" s="65"/>
      <c r="T717" s="64"/>
      <c r="U717" s="75"/>
      <c r="V717" s="679">
        <v>0</v>
      </c>
      <c r="W717" s="75"/>
      <c r="X717" s="75"/>
      <c r="Y717" s="834">
        <f>+AJ717-V717</f>
        <v>0</v>
      </c>
      <c r="Z717" s="75"/>
      <c r="AA717" s="75"/>
      <c r="AB717" s="75"/>
      <c r="AC717" s="75"/>
      <c r="AD717" s="75"/>
      <c r="AE717" s="592"/>
      <c r="AF717" s="259"/>
      <c r="AG717" s="510">
        <v>0</v>
      </c>
      <c r="AH717" s="370">
        <v>0</v>
      </c>
      <c r="AI717" s="75"/>
      <c r="AJ717" s="75"/>
      <c r="AK717" s="75"/>
      <c r="AL717" s="75"/>
      <c r="AM717" s="75"/>
      <c r="AN717" s="64"/>
      <c r="AO717" s="64"/>
      <c r="AP717" s="64"/>
      <c r="AQ717" s="189"/>
      <c r="AR717" s="64"/>
      <c r="AS717" s="476"/>
      <c r="AT717" s="64"/>
      <c r="AU717" s="646"/>
      <c r="AV717" s="185"/>
    </row>
    <row r="718" spans="1:48" ht="15" customHeight="1" outlineLevel="2" x14ac:dyDescent="0.25">
      <c r="A718" s="63" t="str">
        <f t="shared" si="127"/>
        <v>1.4.1.16.2.05</v>
      </c>
      <c r="B718" s="64">
        <v>1</v>
      </c>
      <c r="C718" s="64">
        <v>4</v>
      </c>
      <c r="D718" s="64">
        <v>1</v>
      </c>
      <c r="E718" s="64">
        <v>16</v>
      </c>
      <c r="F718" s="64">
        <v>2</v>
      </c>
      <c r="G718" s="206" t="s">
        <v>721</v>
      </c>
      <c r="H718" s="65"/>
      <c r="I718" s="65"/>
      <c r="J718" s="66"/>
      <c r="K718" s="65" t="s">
        <v>704</v>
      </c>
      <c r="L718" s="64" t="s">
        <v>246</v>
      </c>
      <c r="M718" s="64" t="s">
        <v>680</v>
      </c>
      <c r="N718" s="64" t="s">
        <v>671</v>
      </c>
      <c r="O718" s="64" t="s">
        <v>359</v>
      </c>
      <c r="P718" s="64"/>
      <c r="Q718" s="69"/>
      <c r="R718" s="64"/>
      <c r="S718" s="65"/>
      <c r="T718" s="64"/>
      <c r="U718" s="75"/>
      <c r="V718" s="679">
        <v>0</v>
      </c>
      <c r="W718" s="75"/>
      <c r="X718" s="75"/>
      <c r="Y718" s="834">
        <f>+AJ718-V718</f>
        <v>0</v>
      </c>
      <c r="Z718" s="75"/>
      <c r="AA718" s="75"/>
      <c r="AB718" s="75"/>
      <c r="AC718" s="75"/>
      <c r="AD718" s="75"/>
      <c r="AE718" s="592"/>
      <c r="AF718" s="259"/>
      <c r="AG718" s="510">
        <v>0</v>
      </c>
      <c r="AH718" s="370">
        <v>0</v>
      </c>
      <c r="AI718" s="75"/>
      <c r="AJ718" s="75"/>
      <c r="AK718" s="75"/>
      <c r="AL718" s="75"/>
      <c r="AM718" s="75"/>
      <c r="AN718" s="64"/>
      <c r="AO718" s="64"/>
      <c r="AP718" s="64"/>
      <c r="AQ718" s="189"/>
      <c r="AR718" s="64"/>
      <c r="AS718" s="476"/>
      <c r="AT718" s="64"/>
      <c r="AU718" s="646"/>
      <c r="AV718" s="185"/>
    </row>
    <row r="719" spans="1:48" s="153" customFormat="1" ht="15" customHeight="1" outlineLevel="1" x14ac:dyDescent="0.25">
      <c r="A719" s="148" t="str">
        <f t="shared" si="127"/>
        <v>1.4.1.17.0.0</v>
      </c>
      <c r="B719" s="82">
        <v>1</v>
      </c>
      <c r="C719" s="82">
        <v>4</v>
      </c>
      <c r="D719" s="82">
        <v>1</v>
      </c>
      <c r="E719" s="82">
        <v>17</v>
      </c>
      <c r="F719" s="82">
        <v>0</v>
      </c>
      <c r="G719" s="82">
        <v>0</v>
      </c>
      <c r="H719" s="149"/>
      <c r="I719" s="149"/>
      <c r="J719" s="1260" t="s">
        <v>722</v>
      </c>
      <c r="K719" s="1259"/>
      <c r="L719" s="82" t="s">
        <v>224</v>
      </c>
      <c r="M719" s="82" t="s">
        <v>299</v>
      </c>
      <c r="N719" s="82" t="s">
        <v>671</v>
      </c>
      <c r="O719" s="82" t="s">
        <v>359</v>
      </c>
      <c r="P719" s="82"/>
      <c r="Q719" s="82"/>
      <c r="R719" s="82"/>
      <c r="S719" s="149"/>
      <c r="T719" s="82"/>
      <c r="U719" s="379">
        <f t="shared" ref="U719:AG719" si="151">+SUM(U720:U721)</f>
        <v>0</v>
      </c>
      <c r="V719" s="682">
        <f t="shared" si="151"/>
        <v>0</v>
      </c>
      <c r="W719" s="379">
        <f t="shared" si="151"/>
        <v>0</v>
      </c>
      <c r="X719" s="379">
        <f t="shared" si="151"/>
        <v>0</v>
      </c>
      <c r="Y719" s="845">
        <f t="shared" si="151"/>
        <v>0</v>
      </c>
      <c r="Z719" s="379">
        <f t="shared" si="151"/>
        <v>0</v>
      </c>
      <c r="AA719" s="379">
        <f t="shared" si="151"/>
        <v>0</v>
      </c>
      <c r="AB719" s="379">
        <f t="shared" si="151"/>
        <v>0</v>
      </c>
      <c r="AC719" s="379">
        <f t="shared" si="151"/>
        <v>0</v>
      </c>
      <c r="AD719" s="379">
        <f t="shared" si="151"/>
        <v>0</v>
      </c>
      <c r="AE719" s="379">
        <f t="shared" si="151"/>
        <v>0</v>
      </c>
      <c r="AF719" s="379">
        <f t="shared" si="151"/>
        <v>0</v>
      </c>
      <c r="AG719" s="379">
        <f t="shared" si="151"/>
        <v>0</v>
      </c>
      <c r="AH719" s="379">
        <f>+SUM(AH720:AH721)</f>
        <v>0</v>
      </c>
      <c r="AI719" s="152"/>
      <c r="AJ719" s="152"/>
      <c r="AK719" s="152"/>
      <c r="AL719" s="152"/>
      <c r="AM719" s="152"/>
      <c r="AN719" s="82" t="s">
        <v>181</v>
      </c>
      <c r="AO719" s="82"/>
      <c r="AP719" s="82"/>
      <c r="AQ719" s="365"/>
      <c r="AR719" s="82"/>
      <c r="AS719" s="483"/>
      <c r="AT719" s="82"/>
      <c r="AU719" s="666"/>
      <c r="AV719" s="444"/>
    </row>
    <row r="720" spans="1:48" ht="15" customHeight="1" outlineLevel="3" x14ac:dyDescent="0.25">
      <c r="A720" s="63" t="str">
        <f t="shared" si="127"/>
        <v>1.4.1.17.1.07</v>
      </c>
      <c r="B720" s="64">
        <v>1</v>
      </c>
      <c r="C720" s="64">
        <v>4</v>
      </c>
      <c r="D720" s="64">
        <v>1</v>
      </c>
      <c r="E720" s="64">
        <v>17</v>
      </c>
      <c r="F720" s="64">
        <v>1</v>
      </c>
      <c r="G720" s="206" t="s">
        <v>723</v>
      </c>
      <c r="H720" s="65"/>
      <c r="I720" s="65"/>
      <c r="J720" s="65"/>
      <c r="K720" s="65" t="s">
        <v>703</v>
      </c>
      <c r="L720" s="64" t="s">
        <v>246</v>
      </c>
      <c r="M720" s="64" t="s">
        <v>680</v>
      </c>
      <c r="N720" s="64" t="s">
        <v>671</v>
      </c>
      <c r="O720" s="64" t="s">
        <v>359</v>
      </c>
      <c r="P720" s="64"/>
      <c r="Q720" s="64"/>
      <c r="R720" s="64"/>
      <c r="S720" s="65"/>
      <c r="T720" s="64"/>
      <c r="U720" s="75"/>
      <c r="V720" s="679">
        <v>0</v>
      </c>
      <c r="W720" s="75"/>
      <c r="X720" s="75"/>
      <c r="Y720" s="834">
        <f>+AJ720-V720</f>
        <v>0</v>
      </c>
      <c r="Z720" s="75"/>
      <c r="AA720" s="75"/>
      <c r="AB720" s="75"/>
      <c r="AC720" s="75"/>
      <c r="AD720" s="75"/>
      <c r="AE720" s="592"/>
      <c r="AF720" s="259"/>
      <c r="AG720" s="516">
        <v>0</v>
      </c>
      <c r="AH720" s="381">
        <v>0</v>
      </c>
      <c r="AI720" s="207"/>
      <c r="AJ720" s="207"/>
      <c r="AK720" s="207"/>
      <c r="AL720" s="207"/>
      <c r="AM720" s="207"/>
      <c r="AN720" s="64"/>
      <c r="AO720" s="64"/>
      <c r="AP720" s="64"/>
      <c r="AQ720" s="189"/>
      <c r="AR720" s="64"/>
      <c r="AS720" s="476"/>
      <c r="AT720" s="64"/>
      <c r="AU720" s="646"/>
      <c r="AV720" s="185"/>
    </row>
    <row r="721" spans="1:48" ht="15" customHeight="1" outlineLevel="3" x14ac:dyDescent="0.25">
      <c r="A721" s="63" t="str">
        <f t="shared" si="127"/>
        <v>1.4.1.17.2.07</v>
      </c>
      <c r="B721" s="64">
        <v>1</v>
      </c>
      <c r="C721" s="64">
        <v>4</v>
      </c>
      <c r="D721" s="64">
        <v>1</v>
      </c>
      <c r="E721" s="64">
        <v>17</v>
      </c>
      <c r="F721" s="64">
        <v>2</v>
      </c>
      <c r="G721" s="206" t="s">
        <v>723</v>
      </c>
      <c r="H721" s="65"/>
      <c r="I721" s="65"/>
      <c r="J721" s="66"/>
      <c r="K721" s="65" t="s">
        <v>704</v>
      </c>
      <c r="L721" s="64" t="s">
        <v>246</v>
      </c>
      <c r="M721" s="64" t="s">
        <v>680</v>
      </c>
      <c r="N721" s="64" t="s">
        <v>671</v>
      </c>
      <c r="O721" s="64" t="s">
        <v>359</v>
      </c>
      <c r="P721" s="64"/>
      <c r="Q721" s="64"/>
      <c r="R721" s="64"/>
      <c r="S721" s="65"/>
      <c r="T721" s="64"/>
      <c r="U721" s="75"/>
      <c r="V721" s="679">
        <v>0</v>
      </c>
      <c r="W721" s="75"/>
      <c r="X721" s="75"/>
      <c r="Y721" s="834">
        <f>+AJ721-V721</f>
        <v>0</v>
      </c>
      <c r="Z721" s="75"/>
      <c r="AA721" s="75"/>
      <c r="AB721" s="75"/>
      <c r="AC721" s="75"/>
      <c r="AD721" s="75"/>
      <c r="AE721" s="592"/>
      <c r="AF721" s="259"/>
      <c r="AG721" s="517">
        <v>0</v>
      </c>
      <c r="AH721" s="382">
        <v>0</v>
      </c>
      <c r="AI721" s="208"/>
      <c r="AJ721" s="208"/>
      <c r="AK721" s="208"/>
      <c r="AL721" s="208"/>
      <c r="AM721" s="208"/>
      <c r="AN721" s="64"/>
      <c r="AO721" s="64"/>
      <c r="AP721" s="64"/>
      <c r="AQ721" s="189"/>
      <c r="AR721" s="64"/>
      <c r="AS721" s="476"/>
      <c r="AT721" s="64"/>
      <c r="AU721" s="646"/>
      <c r="AV721" s="185"/>
    </row>
    <row r="722" spans="1:48" s="153" customFormat="1" ht="15" customHeight="1" outlineLevel="1" x14ac:dyDescent="0.25">
      <c r="A722" s="148" t="str">
        <f t="shared" si="127"/>
        <v>1.4.1.18.0.0</v>
      </c>
      <c r="B722" s="82">
        <v>1</v>
      </c>
      <c r="C722" s="82">
        <v>4</v>
      </c>
      <c r="D722" s="82">
        <v>1</v>
      </c>
      <c r="E722" s="82">
        <v>18</v>
      </c>
      <c r="F722" s="82">
        <v>0</v>
      </c>
      <c r="G722" s="82">
        <v>0</v>
      </c>
      <c r="H722" s="149"/>
      <c r="I722" s="149"/>
      <c r="J722" s="1260" t="s">
        <v>724</v>
      </c>
      <c r="K722" s="1259"/>
      <c r="L722" s="82" t="s">
        <v>224</v>
      </c>
      <c r="M722" s="82" t="s">
        <v>299</v>
      </c>
      <c r="N722" s="82" t="s">
        <v>671</v>
      </c>
      <c r="O722" s="82" t="s">
        <v>359</v>
      </c>
      <c r="P722" s="82"/>
      <c r="Q722" s="82"/>
      <c r="R722" s="82"/>
      <c r="S722" s="149"/>
      <c r="T722" s="82"/>
      <c r="U722" s="379">
        <f t="shared" ref="U722:AG722" si="152">+SUM(U723:U724)</f>
        <v>0</v>
      </c>
      <c r="V722" s="682">
        <f t="shared" si="152"/>
        <v>0</v>
      </c>
      <c r="W722" s="379">
        <f t="shared" si="152"/>
        <v>0</v>
      </c>
      <c r="X722" s="379">
        <f t="shared" si="152"/>
        <v>0</v>
      </c>
      <c r="Y722" s="845">
        <f t="shared" si="152"/>
        <v>0</v>
      </c>
      <c r="Z722" s="379">
        <f t="shared" si="152"/>
        <v>0</v>
      </c>
      <c r="AA722" s="379">
        <f t="shared" si="152"/>
        <v>0</v>
      </c>
      <c r="AB722" s="379">
        <f t="shared" si="152"/>
        <v>0</v>
      </c>
      <c r="AC722" s="379">
        <f t="shared" si="152"/>
        <v>0</v>
      </c>
      <c r="AD722" s="379">
        <f t="shared" si="152"/>
        <v>0</v>
      </c>
      <c r="AE722" s="379">
        <f t="shared" si="152"/>
        <v>0</v>
      </c>
      <c r="AF722" s="379">
        <f t="shared" si="152"/>
        <v>0</v>
      </c>
      <c r="AG722" s="379">
        <f t="shared" si="152"/>
        <v>0</v>
      </c>
      <c r="AH722" s="379">
        <f>+SUM(AH723:AH724)</f>
        <v>0</v>
      </c>
      <c r="AI722" s="152"/>
      <c r="AJ722" s="152"/>
      <c r="AK722" s="152"/>
      <c r="AL722" s="152"/>
      <c r="AM722" s="152"/>
      <c r="AN722" s="82" t="s">
        <v>181</v>
      </c>
      <c r="AO722" s="82"/>
      <c r="AP722" s="82"/>
      <c r="AQ722" s="365"/>
      <c r="AR722" s="82"/>
      <c r="AS722" s="483"/>
      <c r="AT722" s="82"/>
      <c r="AU722" s="666"/>
      <c r="AV722" s="444"/>
    </row>
    <row r="723" spans="1:48" ht="15" customHeight="1" outlineLevel="2" x14ac:dyDescent="0.25">
      <c r="A723" s="63" t="str">
        <f t="shared" si="127"/>
        <v>1.4.1.18.1.04</v>
      </c>
      <c r="B723" s="64">
        <v>1</v>
      </c>
      <c r="C723" s="64">
        <v>4</v>
      </c>
      <c r="D723" s="64">
        <v>1</v>
      </c>
      <c r="E723" s="64">
        <v>18</v>
      </c>
      <c r="F723" s="64">
        <v>1</v>
      </c>
      <c r="G723" s="206" t="s">
        <v>725</v>
      </c>
      <c r="H723" s="65"/>
      <c r="I723" s="65"/>
      <c r="J723" s="66"/>
      <c r="K723" s="65" t="s">
        <v>703</v>
      </c>
      <c r="L723" s="64" t="s">
        <v>246</v>
      </c>
      <c r="M723" s="64" t="s">
        <v>680</v>
      </c>
      <c r="N723" s="64" t="s">
        <v>671</v>
      </c>
      <c r="O723" s="64" t="s">
        <v>359</v>
      </c>
      <c r="P723" s="64"/>
      <c r="Q723" s="64"/>
      <c r="R723" s="64"/>
      <c r="S723" s="65"/>
      <c r="T723" s="64"/>
      <c r="U723" s="75"/>
      <c r="V723" s="679">
        <v>0</v>
      </c>
      <c r="W723" s="75"/>
      <c r="X723" s="75"/>
      <c r="Y723" s="834">
        <f>+AJ723-V723</f>
        <v>0</v>
      </c>
      <c r="Z723" s="75"/>
      <c r="AA723" s="75"/>
      <c r="AB723" s="75"/>
      <c r="AC723" s="75"/>
      <c r="AD723" s="75"/>
      <c r="AE723" s="592"/>
      <c r="AF723" s="259"/>
      <c r="AG723" s="510">
        <v>0</v>
      </c>
      <c r="AH723" s="370">
        <v>0</v>
      </c>
      <c r="AI723" s="75"/>
      <c r="AJ723" s="75"/>
      <c r="AK723" s="75"/>
      <c r="AL723" s="75"/>
      <c r="AM723" s="75"/>
      <c r="AN723" s="64"/>
      <c r="AO723" s="64"/>
      <c r="AP723" s="64"/>
      <c r="AQ723" s="189"/>
      <c r="AR723" s="64"/>
      <c r="AS723" s="476"/>
      <c r="AT723" s="64"/>
      <c r="AU723" s="646"/>
      <c r="AV723" s="185"/>
    </row>
    <row r="724" spans="1:48" ht="15" customHeight="1" outlineLevel="2" x14ac:dyDescent="0.25">
      <c r="A724" s="63" t="str">
        <f t="shared" si="127"/>
        <v>1.4.1.18.2.04</v>
      </c>
      <c r="B724" s="64">
        <v>1</v>
      </c>
      <c r="C724" s="64">
        <v>4</v>
      </c>
      <c r="D724" s="64">
        <v>1</v>
      </c>
      <c r="E724" s="64">
        <v>18</v>
      </c>
      <c r="F724" s="64">
        <v>2</v>
      </c>
      <c r="G724" s="206" t="s">
        <v>725</v>
      </c>
      <c r="H724" s="65"/>
      <c r="I724" s="65"/>
      <c r="J724" s="65"/>
      <c r="K724" s="65" t="s">
        <v>704</v>
      </c>
      <c r="L724" s="64" t="s">
        <v>246</v>
      </c>
      <c r="M724" s="64" t="s">
        <v>680</v>
      </c>
      <c r="N724" s="64" t="s">
        <v>671</v>
      </c>
      <c r="O724" s="64" t="s">
        <v>359</v>
      </c>
      <c r="P724" s="64"/>
      <c r="Q724" s="64"/>
      <c r="R724" s="64"/>
      <c r="S724" s="65"/>
      <c r="T724" s="64"/>
      <c r="U724" s="75"/>
      <c r="V724" s="679">
        <v>0</v>
      </c>
      <c r="W724" s="75"/>
      <c r="X724" s="75"/>
      <c r="Y724" s="834">
        <f>+AJ724-V724</f>
        <v>0</v>
      </c>
      <c r="Z724" s="75"/>
      <c r="AA724" s="75"/>
      <c r="AB724" s="75"/>
      <c r="AC724" s="75"/>
      <c r="AD724" s="75"/>
      <c r="AE724" s="592"/>
      <c r="AF724" s="259"/>
      <c r="AG724" s="510">
        <v>0</v>
      </c>
      <c r="AH724" s="370">
        <v>0</v>
      </c>
      <c r="AI724" s="75"/>
      <c r="AJ724" s="75"/>
      <c r="AK724" s="75"/>
      <c r="AL724" s="75"/>
      <c r="AM724" s="75"/>
      <c r="AN724" s="64"/>
      <c r="AO724" s="64"/>
      <c r="AP724" s="64"/>
      <c r="AQ724" s="189"/>
      <c r="AR724" s="64"/>
      <c r="AS724" s="476"/>
      <c r="AT724" s="64"/>
      <c r="AU724" s="646"/>
      <c r="AV724" s="185"/>
    </row>
    <row r="725" spans="1:48" s="153" customFormat="1" ht="31.5" customHeight="1" outlineLevel="1" x14ac:dyDescent="0.25">
      <c r="A725" s="108" t="str">
        <f t="shared" si="127"/>
        <v>1.5.1.0.0.0</v>
      </c>
      <c r="B725" s="109">
        <v>1</v>
      </c>
      <c r="C725" s="109">
        <v>5</v>
      </c>
      <c r="D725" s="109">
        <v>1</v>
      </c>
      <c r="E725" s="109">
        <v>0</v>
      </c>
      <c r="F725" s="109">
        <v>0</v>
      </c>
      <c r="G725" s="109">
        <v>0</v>
      </c>
      <c r="H725" s="110"/>
      <c r="I725" s="1265" t="s">
        <v>726</v>
      </c>
      <c r="J725" s="1266"/>
      <c r="K725" s="1267"/>
      <c r="L725" s="109" t="s">
        <v>359</v>
      </c>
      <c r="M725" s="109" t="s">
        <v>727</v>
      </c>
      <c r="N725" s="109" t="s">
        <v>198</v>
      </c>
      <c r="O725" s="109" t="s">
        <v>728</v>
      </c>
      <c r="P725" s="109"/>
      <c r="Q725" s="109"/>
      <c r="R725" s="109"/>
      <c r="S725" s="110"/>
      <c r="T725" s="109"/>
      <c r="U725" s="112">
        <f>+U726+U737+U739+U741+U763+U771</f>
        <v>13016828.645</v>
      </c>
      <c r="V725" s="680">
        <v>3560000</v>
      </c>
      <c r="W725" s="112"/>
      <c r="X725" s="112">
        <f t="shared" ref="X725:AD725" si="153">+X726+X737+X739+X741+X763+X771</f>
        <v>2894149.995000001</v>
      </c>
      <c r="Y725" s="832">
        <f t="shared" si="153"/>
        <v>5480000</v>
      </c>
      <c r="Z725" s="112"/>
      <c r="AA725" s="112">
        <f t="shared" si="153"/>
        <v>1108750</v>
      </c>
      <c r="AB725" s="112"/>
      <c r="AC725" s="112"/>
      <c r="AD725" s="112">
        <f t="shared" si="153"/>
        <v>0</v>
      </c>
      <c r="AE725" s="574"/>
      <c r="AF725" s="333"/>
      <c r="AG725" s="514">
        <f>+AG726+AG737+AG741+AG763+AG771+AG739</f>
        <v>20437499.985000003</v>
      </c>
      <c r="AH725" s="374">
        <f>+AH726+AH737+AH741+AH763+AH771+AH739</f>
        <v>17019728.640000001</v>
      </c>
      <c r="AI725" s="514">
        <f>+AI726+AI737+AI741+AI763+AI771+AI739</f>
        <v>0</v>
      </c>
      <c r="AJ725" s="514">
        <f>+AJ726+AJ737+AJ741+AJ763+AJ771+AJ739</f>
        <v>9040000</v>
      </c>
      <c r="AK725" s="112"/>
      <c r="AL725" s="112"/>
      <c r="AM725" s="112"/>
      <c r="AN725" s="109" t="s">
        <v>39</v>
      </c>
      <c r="AO725" s="109"/>
      <c r="AP725" s="109"/>
      <c r="AQ725" s="411"/>
      <c r="AR725" s="109"/>
      <c r="AS725" s="473"/>
      <c r="AT725" s="109"/>
      <c r="AU725" s="659"/>
      <c r="AV725" s="429" t="s">
        <v>729</v>
      </c>
    </row>
    <row r="726" spans="1:48" s="153" customFormat="1" ht="22.5" customHeight="1" outlineLevel="1" x14ac:dyDescent="0.25">
      <c r="A726" s="148" t="str">
        <f t="shared" si="127"/>
        <v>1.5.1.1.0.0</v>
      </c>
      <c r="B726" s="82">
        <v>1</v>
      </c>
      <c r="C726" s="82">
        <v>5</v>
      </c>
      <c r="D726" s="82">
        <v>1</v>
      </c>
      <c r="E726" s="82">
        <v>1</v>
      </c>
      <c r="F726" s="82">
        <v>0</v>
      </c>
      <c r="G726" s="82">
        <v>0</v>
      </c>
      <c r="H726" s="149"/>
      <c r="I726" s="149"/>
      <c r="J726" s="1260" t="s">
        <v>730</v>
      </c>
      <c r="K726" s="1259"/>
      <c r="L726" s="82" t="s">
        <v>731</v>
      </c>
      <c r="M726" s="82" t="s">
        <v>727</v>
      </c>
      <c r="N726" s="82" t="s">
        <v>198</v>
      </c>
      <c r="O726" s="82" t="s">
        <v>728</v>
      </c>
      <c r="P726" s="82"/>
      <c r="Q726" s="82"/>
      <c r="R726" s="82"/>
      <c r="S726" s="149"/>
      <c r="T726" s="82"/>
      <c r="U726" s="209">
        <f>SUM(U727:U736)</f>
        <v>11096428.65</v>
      </c>
      <c r="V726" s="683">
        <f>SUM(V727:V736)</f>
        <v>3560000</v>
      </c>
      <c r="W726" s="209">
        <f t="shared" ref="W726:AD726" si="154">SUM(W727:W736)</f>
        <v>106</v>
      </c>
      <c r="X726" s="209">
        <f t="shared" si="154"/>
        <v>0</v>
      </c>
      <c r="Y726" s="846">
        <f t="shared" si="154"/>
        <v>5340000</v>
      </c>
      <c r="Z726" s="209">
        <f t="shared" si="154"/>
        <v>152</v>
      </c>
      <c r="AA726" s="209">
        <f t="shared" si="154"/>
        <v>0</v>
      </c>
      <c r="AB726" s="209"/>
      <c r="AC726" s="209">
        <f t="shared" si="154"/>
        <v>50</v>
      </c>
      <c r="AD726" s="209">
        <f t="shared" si="154"/>
        <v>0</v>
      </c>
      <c r="AE726" s="603"/>
      <c r="AF726" s="358"/>
      <c r="AG726" s="512">
        <f>+SUM(AG727:AG736)</f>
        <v>15000000</v>
      </c>
      <c r="AH726" s="379">
        <f>+SUM(AH727:AH736)</f>
        <v>11096428.65</v>
      </c>
      <c r="AI726" s="512">
        <f>+SUM(AI727:AI736)</f>
        <v>0</v>
      </c>
      <c r="AJ726" s="512">
        <f>+SUM(AJ727:AJ736)</f>
        <v>8900000</v>
      </c>
      <c r="AK726" s="152"/>
      <c r="AL726" s="152"/>
      <c r="AM726" s="152"/>
      <c r="AN726" s="82" t="s">
        <v>39</v>
      </c>
      <c r="AO726" s="82"/>
      <c r="AP726" s="82"/>
      <c r="AQ726" s="365"/>
      <c r="AR726" s="82"/>
      <c r="AS726" s="483"/>
      <c r="AT726" s="82"/>
      <c r="AU726" s="666"/>
      <c r="AV726" s="447" t="s">
        <v>732</v>
      </c>
    </row>
    <row r="727" spans="1:48" outlineLevel="2" x14ac:dyDescent="0.25">
      <c r="A727" s="63" t="str">
        <f t="shared" si="127"/>
        <v>1.5.1.1.1.58-64</v>
      </c>
      <c r="B727" s="64">
        <v>1</v>
      </c>
      <c r="C727" s="64">
        <v>5</v>
      </c>
      <c r="D727" s="64">
        <v>1</v>
      </c>
      <c r="E727" s="64">
        <v>1</v>
      </c>
      <c r="F727" s="64">
        <v>1</v>
      </c>
      <c r="G727" s="64" t="s">
        <v>64</v>
      </c>
      <c r="H727" s="65"/>
      <c r="I727" s="65"/>
      <c r="J727" s="65"/>
      <c r="K727" s="65" t="s">
        <v>733</v>
      </c>
      <c r="L727" s="64" t="s">
        <v>731</v>
      </c>
      <c r="M727" s="64" t="s">
        <v>727</v>
      </c>
      <c r="N727" s="64" t="s">
        <v>198</v>
      </c>
      <c r="O727" s="64" t="s">
        <v>728</v>
      </c>
      <c r="P727" s="170"/>
      <c r="Q727" s="170"/>
      <c r="R727" s="170"/>
      <c r="S727" s="170"/>
      <c r="T727" s="170"/>
      <c r="U727" s="97"/>
      <c r="V727" s="684">
        <v>0</v>
      </c>
      <c r="W727" s="97"/>
      <c r="X727" s="97"/>
      <c r="Y727" s="834">
        <f t="shared" ref="Y727:Y738" si="155">+AJ727-V727</f>
        <v>0</v>
      </c>
      <c r="Z727" s="97"/>
      <c r="AA727" s="97"/>
      <c r="AB727" s="97"/>
      <c r="AC727" s="75"/>
      <c r="AD727" s="75"/>
      <c r="AE727" s="592"/>
      <c r="AF727" s="353"/>
      <c r="AG727" s="510">
        <v>0</v>
      </c>
      <c r="AH727" s="370">
        <v>0</v>
      </c>
      <c r="AI727" s="75"/>
      <c r="AJ727" s="75"/>
      <c r="AK727" s="75"/>
      <c r="AL727" s="75"/>
      <c r="AM727" s="75"/>
      <c r="AN727" s="171" t="s">
        <v>39</v>
      </c>
      <c r="AO727" s="171"/>
      <c r="AP727" s="171"/>
      <c r="AQ727" s="418"/>
      <c r="AS727" s="484"/>
      <c r="AV727" s="441"/>
    </row>
    <row r="728" spans="1:48" ht="90" outlineLevel="2" x14ac:dyDescent="0.25">
      <c r="A728" s="99" t="str">
        <f t="shared" si="127"/>
        <v>1.5.1.1.2.58-64</v>
      </c>
      <c r="B728" s="64">
        <v>1</v>
      </c>
      <c r="C728" s="64">
        <v>5</v>
      </c>
      <c r="D728" s="64">
        <v>1</v>
      </c>
      <c r="E728" s="64">
        <v>1</v>
      </c>
      <c r="F728" s="64">
        <v>2</v>
      </c>
      <c r="G728" s="64" t="s">
        <v>64</v>
      </c>
      <c r="H728" s="65"/>
      <c r="I728" s="65"/>
      <c r="J728" s="65"/>
      <c r="K728" s="65" t="s">
        <v>734</v>
      </c>
      <c r="L728" s="64" t="s">
        <v>731</v>
      </c>
      <c r="M728" s="68" t="s">
        <v>735</v>
      </c>
      <c r="N728" s="68" t="s">
        <v>736</v>
      </c>
      <c r="O728" s="64" t="s">
        <v>737</v>
      </c>
      <c r="P728" s="64"/>
      <c r="Q728" s="64"/>
      <c r="R728" s="64"/>
      <c r="S728" s="65"/>
      <c r="T728" s="64"/>
      <c r="U728" s="75">
        <v>11096428.65</v>
      </c>
      <c r="V728" s="674">
        <v>3560000</v>
      </c>
      <c r="W728" s="75"/>
      <c r="X728" s="75"/>
      <c r="Y728" s="834">
        <f t="shared" si="155"/>
        <v>5340000</v>
      </c>
      <c r="Z728" s="75"/>
      <c r="AA728" s="75"/>
      <c r="AB728" s="75"/>
      <c r="AC728" s="75"/>
      <c r="AD728" s="75"/>
      <c r="AE728" s="592"/>
      <c r="AF728" s="259"/>
      <c r="AG728" s="518">
        <v>15000000</v>
      </c>
      <c r="AH728" s="377">
        <f>+U728</f>
        <v>11096428.65</v>
      </c>
      <c r="AI728" s="132"/>
      <c r="AJ728" s="132">
        <f>3560000+5340000</f>
        <v>8900000</v>
      </c>
      <c r="AK728" s="132"/>
      <c r="AL728" s="132"/>
      <c r="AM728" s="132"/>
      <c r="AN728" s="64" t="s">
        <v>39</v>
      </c>
      <c r="AO728" s="64" t="s">
        <v>1819</v>
      </c>
      <c r="AP728" s="64" t="s">
        <v>2170</v>
      </c>
      <c r="AQ728" s="189" t="s">
        <v>2171</v>
      </c>
      <c r="AR728" s="69">
        <v>44510</v>
      </c>
      <c r="AS728" s="865">
        <v>44875</v>
      </c>
      <c r="AT728" s="64"/>
      <c r="AU728" s="879" t="s">
        <v>2169</v>
      </c>
      <c r="AV728" s="335" t="s">
        <v>2172</v>
      </c>
    </row>
    <row r="729" spans="1:48" s="212" customFormat="1" ht="30" outlineLevel="2" x14ac:dyDescent="0.25">
      <c r="A729" s="210" t="str">
        <f t="shared" si="127"/>
        <v>1.5.1.1.3.58-64</v>
      </c>
      <c r="B729" s="136">
        <v>1</v>
      </c>
      <c r="C729" s="136">
        <v>5</v>
      </c>
      <c r="D729" s="136">
        <v>1</v>
      </c>
      <c r="E729" s="136">
        <v>1</v>
      </c>
      <c r="F729" s="136">
        <v>3</v>
      </c>
      <c r="G729" s="136" t="s">
        <v>64</v>
      </c>
      <c r="H729" s="125"/>
      <c r="I729" s="125"/>
      <c r="J729" s="125"/>
      <c r="K729" s="86" t="s">
        <v>738</v>
      </c>
      <c r="L729" s="136" t="s">
        <v>208</v>
      </c>
      <c r="M729" s="211" t="s">
        <v>739</v>
      </c>
      <c r="N729" s="211" t="s">
        <v>740</v>
      </c>
      <c r="O729" s="136" t="s">
        <v>741</v>
      </c>
      <c r="P729" s="136"/>
      <c r="Q729" s="136"/>
      <c r="R729" s="136">
        <v>21</v>
      </c>
      <c r="S729" s="125" t="s">
        <v>742</v>
      </c>
      <c r="T729" s="136">
        <v>0</v>
      </c>
      <c r="U729" s="132"/>
      <c r="V729" s="684">
        <v>0</v>
      </c>
      <c r="W729" s="132">
        <v>21</v>
      </c>
      <c r="X729" s="132"/>
      <c r="Y729" s="834">
        <f t="shared" si="155"/>
        <v>0</v>
      </c>
      <c r="Z729" s="132">
        <v>0</v>
      </c>
      <c r="AA729" s="132"/>
      <c r="AB729" s="132"/>
      <c r="AC729" s="132">
        <v>0</v>
      </c>
      <c r="AD729" s="132"/>
      <c r="AE729" s="598"/>
      <c r="AF729" s="350" t="s">
        <v>743</v>
      </c>
      <c r="AG729" s="518">
        <v>0</v>
      </c>
      <c r="AH729" s="377">
        <v>0</v>
      </c>
      <c r="AI729" s="132"/>
      <c r="AJ729" s="132"/>
      <c r="AK729" s="132"/>
      <c r="AL729" s="132"/>
      <c r="AM729" s="132"/>
      <c r="AN729" s="136" t="s">
        <v>39</v>
      </c>
      <c r="AO729" s="136"/>
      <c r="AP729" s="136"/>
      <c r="AQ729" s="414"/>
      <c r="AR729" s="136"/>
      <c r="AS729" s="477"/>
      <c r="AT729" s="136"/>
      <c r="AU729" s="646"/>
      <c r="AV729" s="448"/>
    </row>
    <row r="730" spans="1:48" s="212" customFormat="1" outlineLevel="2" x14ac:dyDescent="0.25">
      <c r="A730" s="210" t="str">
        <f t="shared" si="127"/>
        <v>1.5.1.1.4.58-64</v>
      </c>
      <c r="B730" s="136">
        <v>1</v>
      </c>
      <c r="C730" s="136">
        <v>5</v>
      </c>
      <c r="D730" s="136">
        <v>1</v>
      </c>
      <c r="E730" s="136">
        <v>1</v>
      </c>
      <c r="F730" s="136">
        <v>4</v>
      </c>
      <c r="G730" s="136" t="s">
        <v>64</v>
      </c>
      <c r="H730" s="125"/>
      <c r="I730" s="125"/>
      <c r="J730" s="125"/>
      <c r="K730" s="125" t="s">
        <v>744</v>
      </c>
      <c r="L730" s="136" t="s">
        <v>745</v>
      </c>
      <c r="M730" s="211" t="s">
        <v>746</v>
      </c>
      <c r="N730" s="136" t="s">
        <v>747</v>
      </c>
      <c r="O730" s="136" t="s">
        <v>748</v>
      </c>
      <c r="P730" s="136"/>
      <c r="Q730" s="136"/>
      <c r="R730" s="136">
        <v>168</v>
      </c>
      <c r="S730" s="125" t="s">
        <v>749</v>
      </c>
      <c r="T730" s="136">
        <v>42</v>
      </c>
      <c r="U730" s="132"/>
      <c r="V730" s="684">
        <v>0</v>
      </c>
      <c r="W730" s="132">
        <v>42</v>
      </c>
      <c r="X730" s="132"/>
      <c r="Y730" s="834">
        <f t="shared" si="155"/>
        <v>0</v>
      </c>
      <c r="Z730" s="132">
        <v>42</v>
      </c>
      <c r="AA730" s="132"/>
      <c r="AB730" s="132"/>
      <c r="AC730" s="132">
        <v>42</v>
      </c>
      <c r="AD730" s="132"/>
      <c r="AE730" s="598"/>
      <c r="AF730" s="349"/>
      <c r="AG730" s="518">
        <v>0</v>
      </c>
      <c r="AH730" s="377">
        <v>0</v>
      </c>
      <c r="AI730" s="132"/>
      <c r="AJ730" s="132"/>
      <c r="AK730" s="132"/>
      <c r="AL730" s="132"/>
      <c r="AM730" s="132"/>
      <c r="AN730" s="136" t="s">
        <v>39</v>
      </c>
      <c r="AO730" s="136"/>
      <c r="AP730" s="136"/>
      <c r="AQ730" s="414"/>
      <c r="AR730" s="136"/>
      <c r="AS730" s="477"/>
      <c r="AT730" s="136"/>
      <c r="AU730" s="646"/>
      <c r="AV730" s="448"/>
    </row>
    <row r="731" spans="1:48" s="212" customFormat="1" ht="30" outlineLevel="2" x14ac:dyDescent="0.25">
      <c r="A731" s="210" t="str">
        <f t="shared" si="127"/>
        <v>1.5.1.1.5.58-64</v>
      </c>
      <c r="B731" s="136">
        <v>1</v>
      </c>
      <c r="C731" s="136">
        <v>5</v>
      </c>
      <c r="D731" s="136">
        <v>1</v>
      </c>
      <c r="E731" s="136">
        <v>1</v>
      </c>
      <c r="F731" s="136">
        <v>5</v>
      </c>
      <c r="G731" s="136" t="s">
        <v>64</v>
      </c>
      <c r="H731" s="125"/>
      <c r="I731" s="125"/>
      <c r="J731" s="213"/>
      <c r="K731" s="86" t="s">
        <v>750</v>
      </c>
      <c r="L731" s="136" t="s">
        <v>751</v>
      </c>
      <c r="M731" s="211" t="s">
        <v>752</v>
      </c>
      <c r="N731" s="136" t="s">
        <v>198</v>
      </c>
      <c r="O731" s="136" t="s">
        <v>192</v>
      </c>
      <c r="P731" s="214"/>
      <c r="Q731" s="214"/>
      <c r="R731" s="136">
        <f t="shared" ref="R731:R736" si="156">T731+W731+Z731+AC731</f>
        <v>12</v>
      </c>
      <c r="S731" s="125" t="s">
        <v>753</v>
      </c>
      <c r="T731" s="136">
        <v>3</v>
      </c>
      <c r="U731" s="132"/>
      <c r="V731" s="684">
        <v>0</v>
      </c>
      <c r="W731" s="132">
        <v>3</v>
      </c>
      <c r="X731" s="132"/>
      <c r="Y731" s="834">
        <f t="shared" si="155"/>
        <v>0</v>
      </c>
      <c r="Z731" s="132">
        <v>3</v>
      </c>
      <c r="AA731" s="132"/>
      <c r="AB731" s="132"/>
      <c r="AC731" s="132">
        <v>3</v>
      </c>
      <c r="AD731" s="132"/>
      <c r="AE731" s="598"/>
      <c r="AF731" s="349"/>
      <c r="AG731" s="518">
        <v>0</v>
      </c>
      <c r="AH731" s="377">
        <v>0</v>
      </c>
      <c r="AI731" s="132"/>
      <c r="AJ731" s="132"/>
      <c r="AK731" s="132"/>
      <c r="AL731" s="132"/>
      <c r="AM731" s="132"/>
      <c r="AN731" s="136" t="s">
        <v>39</v>
      </c>
      <c r="AO731" s="136"/>
      <c r="AP731" s="136"/>
      <c r="AQ731" s="414"/>
      <c r="AR731" s="136"/>
      <c r="AS731" s="477"/>
      <c r="AT731" s="136"/>
      <c r="AU731" s="646"/>
      <c r="AV731" s="448"/>
    </row>
    <row r="732" spans="1:48" s="212" customFormat="1" ht="30" outlineLevel="2" x14ac:dyDescent="0.25">
      <c r="A732" s="210" t="str">
        <f t="shared" si="127"/>
        <v>1.5.1.1.6.58-64</v>
      </c>
      <c r="B732" s="136">
        <v>1</v>
      </c>
      <c r="C732" s="136">
        <v>5</v>
      </c>
      <c r="D732" s="136">
        <v>1</v>
      </c>
      <c r="E732" s="136">
        <v>1</v>
      </c>
      <c r="F732" s="136">
        <v>6</v>
      </c>
      <c r="G732" s="136" t="s">
        <v>64</v>
      </c>
      <c r="H732" s="125"/>
      <c r="I732" s="125"/>
      <c r="J732" s="125"/>
      <c r="K732" s="86" t="s">
        <v>754</v>
      </c>
      <c r="L732" s="136" t="s">
        <v>751</v>
      </c>
      <c r="M732" s="136" t="s">
        <v>755</v>
      </c>
      <c r="N732" s="136" t="s">
        <v>198</v>
      </c>
      <c r="O732" s="136" t="s">
        <v>192</v>
      </c>
      <c r="P732" s="214"/>
      <c r="Q732" s="214"/>
      <c r="R732" s="136">
        <f t="shared" si="156"/>
        <v>12</v>
      </c>
      <c r="S732" s="125" t="s">
        <v>756</v>
      </c>
      <c r="T732" s="136">
        <v>3</v>
      </c>
      <c r="U732" s="132"/>
      <c r="V732" s="684">
        <v>0</v>
      </c>
      <c r="W732" s="132">
        <v>3</v>
      </c>
      <c r="X732" s="132"/>
      <c r="Y732" s="834">
        <f t="shared" si="155"/>
        <v>0</v>
      </c>
      <c r="Z732" s="132">
        <v>3</v>
      </c>
      <c r="AA732" s="132"/>
      <c r="AB732" s="132"/>
      <c r="AC732" s="132">
        <v>3</v>
      </c>
      <c r="AD732" s="132"/>
      <c r="AE732" s="598"/>
      <c r="AF732" s="349"/>
      <c r="AG732" s="518">
        <v>0</v>
      </c>
      <c r="AH732" s="377">
        <v>0</v>
      </c>
      <c r="AI732" s="132"/>
      <c r="AJ732" s="132"/>
      <c r="AK732" s="132"/>
      <c r="AL732" s="132"/>
      <c r="AM732" s="132"/>
      <c r="AN732" s="136" t="s">
        <v>39</v>
      </c>
      <c r="AO732" s="136"/>
      <c r="AP732" s="136"/>
      <c r="AQ732" s="414"/>
      <c r="AR732" s="136"/>
      <c r="AS732" s="477"/>
      <c r="AT732" s="136"/>
      <c r="AU732" s="646"/>
      <c r="AV732" s="448"/>
    </row>
    <row r="733" spans="1:48" s="212" customFormat="1" outlineLevel="2" x14ac:dyDescent="0.25">
      <c r="A733" s="210" t="str">
        <f t="shared" si="127"/>
        <v>1.5.1.1.7.58-64</v>
      </c>
      <c r="B733" s="136">
        <v>1</v>
      </c>
      <c r="C733" s="136">
        <v>5</v>
      </c>
      <c r="D733" s="136">
        <v>1</v>
      </c>
      <c r="E733" s="136">
        <v>1</v>
      </c>
      <c r="F733" s="136">
        <v>7</v>
      </c>
      <c r="G733" s="136" t="s">
        <v>64</v>
      </c>
      <c r="H733" s="125"/>
      <c r="I733" s="125"/>
      <c r="J733" s="213"/>
      <c r="K733" s="125" t="s">
        <v>757</v>
      </c>
      <c r="L733" s="136" t="s">
        <v>208</v>
      </c>
      <c r="M733" s="136" t="s">
        <v>758</v>
      </c>
      <c r="N733" s="211" t="s">
        <v>759</v>
      </c>
      <c r="O733" s="136" t="s">
        <v>209</v>
      </c>
      <c r="P733" s="136"/>
      <c r="Q733" s="214"/>
      <c r="R733" s="136">
        <f t="shared" si="156"/>
        <v>203</v>
      </c>
      <c r="S733" s="125" t="s">
        <v>760</v>
      </c>
      <c r="T733" s="136">
        <f>12*7</f>
        <v>84</v>
      </c>
      <c r="U733" s="132"/>
      <c r="V733" s="684">
        <v>0</v>
      </c>
      <c r="W733" s="132">
        <f>(5*7)</f>
        <v>35</v>
      </c>
      <c r="X733" s="132"/>
      <c r="Y733" s="834">
        <f t="shared" si="155"/>
        <v>0</v>
      </c>
      <c r="Z733" s="132">
        <f>12*7</f>
        <v>84</v>
      </c>
      <c r="AA733" s="132"/>
      <c r="AB733" s="132"/>
      <c r="AC733" s="132">
        <v>0</v>
      </c>
      <c r="AD733" s="132"/>
      <c r="AE733" s="598"/>
      <c r="AF733" s="349" t="s">
        <v>761</v>
      </c>
      <c r="AG733" s="518">
        <v>0</v>
      </c>
      <c r="AH733" s="377">
        <v>0</v>
      </c>
      <c r="AI733" s="132"/>
      <c r="AJ733" s="132"/>
      <c r="AK733" s="132"/>
      <c r="AL733" s="132"/>
      <c r="AM733" s="132"/>
      <c r="AN733" s="136" t="s">
        <v>39</v>
      </c>
      <c r="AO733" s="136"/>
      <c r="AP733" s="136"/>
      <c r="AQ733" s="414"/>
      <c r="AR733" s="136"/>
      <c r="AS733" s="477"/>
      <c r="AT733" s="136"/>
      <c r="AU733" s="646"/>
      <c r="AV733" s="448"/>
    </row>
    <row r="734" spans="1:48" s="212" customFormat="1" ht="30" outlineLevel="2" x14ac:dyDescent="0.25">
      <c r="A734" s="210" t="str">
        <f t="shared" si="127"/>
        <v>1.5.1.1.8.58-64</v>
      </c>
      <c r="B734" s="136">
        <v>1</v>
      </c>
      <c r="C734" s="136">
        <v>5</v>
      </c>
      <c r="D734" s="136">
        <v>1</v>
      </c>
      <c r="E734" s="136">
        <v>1</v>
      </c>
      <c r="F734" s="136">
        <v>8</v>
      </c>
      <c r="G734" s="136" t="s">
        <v>64</v>
      </c>
      <c r="H734" s="125"/>
      <c r="I734" s="125"/>
      <c r="J734" s="213"/>
      <c r="K734" s="86" t="s">
        <v>762</v>
      </c>
      <c r="L734" s="136" t="s">
        <v>208</v>
      </c>
      <c r="M734" s="136" t="s">
        <v>763</v>
      </c>
      <c r="N734" s="136" t="s">
        <v>764</v>
      </c>
      <c r="O734" s="136" t="s">
        <v>208</v>
      </c>
      <c r="P734" s="136"/>
      <c r="Q734" s="214"/>
      <c r="R734" s="136">
        <f t="shared" si="156"/>
        <v>16</v>
      </c>
      <c r="S734" s="125" t="s">
        <v>760</v>
      </c>
      <c r="T734" s="136">
        <v>6</v>
      </c>
      <c r="U734" s="132"/>
      <c r="V734" s="684">
        <v>0</v>
      </c>
      <c r="W734" s="132">
        <v>2</v>
      </c>
      <c r="X734" s="132"/>
      <c r="Y734" s="834">
        <f t="shared" si="155"/>
        <v>0</v>
      </c>
      <c r="Z734" s="132">
        <v>6</v>
      </c>
      <c r="AA734" s="132"/>
      <c r="AB734" s="132"/>
      <c r="AC734" s="132">
        <v>2</v>
      </c>
      <c r="AD734" s="132"/>
      <c r="AE734" s="598"/>
      <c r="AF734" s="349" t="s">
        <v>765</v>
      </c>
      <c r="AG734" s="518">
        <v>0</v>
      </c>
      <c r="AH734" s="377">
        <v>0</v>
      </c>
      <c r="AI734" s="132"/>
      <c r="AJ734" s="132"/>
      <c r="AK734" s="132"/>
      <c r="AL734" s="132"/>
      <c r="AM734" s="132"/>
      <c r="AN734" s="136" t="s">
        <v>39</v>
      </c>
      <c r="AO734" s="136"/>
      <c r="AP734" s="136"/>
      <c r="AQ734" s="414"/>
      <c r="AR734" s="136"/>
      <c r="AS734" s="477"/>
      <c r="AT734" s="136"/>
      <c r="AU734" s="646"/>
      <c r="AV734" s="448"/>
    </row>
    <row r="735" spans="1:48" s="212" customFormat="1" outlineLevel="2" x14ac:dyDescent="0.25">
      <c r="A735" s="210" t="str">
        <f t="shared" si="127"/>
        <v>1.5.1.1.9.58-64</v>
      </c>
      <c r="B735" s="136">
        <v>1</v>
      </c>
      <c r="C735" s="136">
        <v>5</v>
      </c>
      <c r="D735" s="136">
        <v>1</v>
      </c>
      <c r="E735" s="136">
        <v>1</v>
      </c>
      <c r="F735" s="136">
        <v>9</v>
      </c>
      <c r="G735" s="136" t="s">
        <v>64</v>
      </c>
      <c r="H735" s="125"/>
      <c r="I735" s="125"/>
      <c r="J735" s="213"/>
      <c r="K735" s="125" t="s">
        <v>766</v>
      </c>
      <c r="L735" s="136" t="s">
        <v>208</v>
      </c>
      <c r="M735" s="136" t="s">
        <v>767</v>
      </c>
      <c r="N735" s="136" t="s">
        <v>764</v>
      </c>
      <c r="O735" s="136" t="s">
        <v>768</v>
      </c>
      <c r="P735" s="136"/>
      <c r="Q735" s="214"/>
      <c r="R735" s="136">
        <f t="shared" si="156"/>
        <v>14</v>
      </c>
      <c r="S735" s="125" t="s">
        <v>760</v>
      </c>
      <c r="T735" s="136">
        <v>7</v>
      </c>
      <c r="U735" s="132"/>
      <c r="V735" s="684">
        <v>0</v>
      </c>
      <c r="W735" s="132">
        <v>0</v>
      </c>
      <c r="X735" s="132"/>
      <c r="Y735" s="834">
        <f t="shared" si="155"/>
        <v>0</v>
      </c>
      <c r="Z735" s="132">
        <v>7</v>
      </c>
      <c r="AA735" s="132"/>
      <c r="AB735" s="132"/>
      <c r="AC735" s="132">
        <v>0</v>
      </c>
      <c r="AD735" s="132"/>
      <c r="AE735" s="598"/>
      <c r="AF735" s="349" t="s">
        <v>761</v>
      </c>
      <c r="AG735" s="518">
        <v>0</v>
      </c>
      <c r="AH735" s="377">
        <v>0</v>
      </c>
      <c r="AI735" s="132"/>
      <c r="AJ735" s="132"/>
      <c r="AK735" s="132"/>
      <c r="AL735" s="132"/>
      <c r="AM735" s="132"/>
      <c r="AN735" s="136" t="s">
        <v>39</v>
      </c>
      <c r="AO735" s="136"/>
      <c r="AP735" s="136"/>
      <c r="AQ735" s="414"/>
      <c r="AR735" s="136"/>
      <c r="AS735" s="477"/>
      <c r="AT735" s="136"/>
      <c r="AU735" s="646"/>
      <c r="AV735" s="448"/>
    </row>
    <row r="736" spans="1:48" s="212" customFormat="1" outlineLevel="2" x14ac:dyDescent="0.25">
      <c r="A736" s="210" t="str">
        <f t="shared" si="127"/>
        <v>1.5.1.1.10.58-64</v>
      </c>
      <c r="B736" s="136">
        <v>1</v>
      </c>
      <c r="C736" s="136">
        <v>5</v>
      </c>
      <c r="D736" s="136">
        <v>1</v>
      </c>
      <c r="E736" s="136">
        <v>1</v>
      </c>
      <c r="F736" s="136">
        <v>10</v>
      </c>
      <c r="G736" s="136" t="s">
        <v>64</v>
      </c>
      <c r="H736" s="125"/>
      <c r="I736" s="125"/>
      <c r="J736" s="213"/>
      <c r="K736" s="125" t="s">
        <v>769</v>
      </c>
      <c r="L736" s="136" t="s">
        <v>208</v>
      </c>
      <c r="M736" s="211" t="s">
        <v>770</v>
      </c>
      <c r="N736" s="136" t="s">
        <v>771</v>
      </c>
      <c r="O736" s="136" t="s">
        <v>359</v>
      </c>
      <c r="P736" s="136"/>
      <c r="Q736" s="214"/>
      <c r="R736" s="136">
        <f t="shared" si="156"/>
        <v>14</v>
      </c>
      <c r="S736" s="125" t="s">
        <v>760</v>
      </c>
      <c r="T736" s="136">
        <v>7</v>
      </c>
      <c r="U736" s="132"/>
      <c r="V736" s="684">
        <v>0</v>
      </c>
      <c r="W736" s="132">
        <v>0</v>
      </c>
      <c r="X736" s="132"/>
      <c r="Y736" s="834">
        <f t="shared" si="155"/>
        <v>0</v>
      </c>
      <c r="Z736" s="132">
        <v>7</v>
      </c>
      <c r="AA736" s="132"/>
      <c r="AB736" s="132"/>
      <c r="AC736" s="132">
        <v>0</v>
      </c>
      <c r="AD736" s="132"/>
      <c r="AE736" s="598"/>
      <c r="AF736" s="349" t="s">
        <v>761</v>
      </c>
      <c r="AG736" s="518">
        <v>0</v>
      </c>
      <c r="AH736" s="377">
        <v>0</v>
      </c>
      <c r="AI736" s="132"/>
      <c r="AJ736" s="132"/>
      <c r="AK736" s="132"/>
      <c r="AL736" s="132"/>
      <c r="AM736" s="132"/>
      <c r="AN736" s="136" t="s">
        <v>39</v>
      </c>
      <c r="AO736" s="136"/>
      <c r="AP736" s="136"/>
      <c r="AQ736" s="414"/>
      <c r="AR736" s="136"/>
      <c r="AS736" s="477"/>
      <c r="AT736" s="136"/>
      <c r="AU736" s="646"/>
      <c r="AV736" s="448"/>
    </row>
    <row r="737" spans="1:48" s="153" customFormat="1" ht="22.5" customHeight="1" outlineLevel="1" x14ac:dyDescent="0.25">
      <c r="A737" s="148" t="str">
        <f t="shared" si="127"/>
        <v>1.5.1.2.0.0</v>
      </c>
      <c r="B737" s="82">
        <v>1</v>
      </c>
      <c r="C737" s="82">
        <v>5</v>
      </c>
      <c r="D737" s="82">
        <v>1</v>
      </c>
      <c r="E737" s="82">
        <v>2</v>
      </c>
      <c r="F737" s="82">
        <v>0</v>
      </c>
      <c r="G737" s="82">
        <v>0</v>
      </c>
      <c r="H737" s="149"/>
      <c r="I737" s="149"/>
      <c r="J737" s="1260" t="s">
        <v>772</v>
      </c>
      <c r="K737" s="1259"/>
      <c r="L737" s="82" t="s">
        <v>236</v>
      </c>
      <c r="M737" s="82">
        <v>0</v>
      </c>
      <c r="N737" s="82">
        <v>0</v>
      </c>
      <c r="O737" s="82">
        <v>0</v>
      </c>
      <c r="P737" s="82"/>
      <c r="Q737" s="82"/>
      <c r="R737" s="82"/>
      <c r="S737" s="149"/>
      <c r="T737" s="82"/>
      <c r="U737" s="152"/>
      <c r="V737" s="681"/>
      <c r="W737" s="152"/>
      <c r="X737" s="152"/>
      <c r="Y737" s="834">
        <f t="shared" si="155"/>
        <v>0</v>
      </c>
      <c r="Z737" s="152"/>
      <c r="AA737" s="152"/>
      <c r="AB737" s="152"/>
      <c r="AC737" s="152"/>
      <c r="AD737" s="152"/>
      <c r="AE737" s="597"/>
      <c r="AF737" s="358"/>
      <c r="AG737" s="519">
        <f>+SUM(AG738)</f>
        <v>0</v>
      </c>
      <c r="AH737" s="383">
        <f>+SUM(AH738)</f>
        <v>0</v>
      </c>
      <c r="AI737" s="519">
        <f>+SUM(AI738)</f>
        <v>0</v>
      </c>
      <c r="AJ737" s="519">
        <f>+SUM(AJ738)</f>
        <v>0</v>
      </c>
      <c r="AK737" s="215"/>
      <c r="AL737" s="215"/>
      <c r="AM737" s="215"/>
      <c r="AN737" s="82" t="s">
        <v>39</v>
      </c>
      <c r="AO737" s="82"/>
      <c r="AP737" s="82"/>
      <c r="AQ737" s="365"/>
      <c r="AR737" s="82"/>
      <c r="AS737" s="483"/>
      <c r="AT737" s="82"/>
      <c r="AU737" s="666"/>
      <c r="AV737" s="444"/>
    </row>
    <row r="738" spans="1:48" ht="26.25" customHeight="1" outlineLevel="2" x14ac:dyDescent="0.25">
      <c r="A738" s="63" t="str">
        <f t="shared" si="127"/>
        <v>1.5.1.2.1.58-64</v>
      </c>
      <c r="B738" s="64">
        <v>1</v>
      </c>
      <c r="C738" s="64">
        <v>5</v>
      </c>
      <c r="D738" s="64">
        <v>1</v>
      </c>
      <c r="E738" s="64">
        <v>2</v>
      </c>
      <c r="F738" s="64">
        <v>1</v>
      </c>
      <c r="G738" s="64" t="s">
        <v>64</v>
      </c>
      <c r="H738" s="65"/>
      <c r="I738" s="65"/>
      <c r="J738" s="66"/>
      <c r="K738" s="67" t="s">
        <v>773</v>
      </c>
      <c r="L738" s="64" t="s">
        <v>236</v>
      </c>
      <c r="M738" s="64" t="s">
        <v>73</v>
      </c>
      <c r="N738" s="64" t="s">
        <v>74</v>
      </c>
      <c r="O738" s="64" t="s">
        <v>359</v>
      </c>
      <c r="P738" s="64"/>
      <c r="Q738" s="64"/>
      <c r="R738" s="64"/>
      <c r="S738" s="65"/>
      <c r="T738" s="64"/>
      <c r="U738" s="75"/>
      <c r="V738" s="684">
        <v>0</v>
      </c>
      <c r="W738" s="75"/>
      <c r="X738" s="75"/>
      <c r="Y738" s="834">
        <f t="shared" si="155"/>
        <v>0</v>
      </c>
      <c r="Z738" s="75"/>
      <c r="AA738" s="75"/>
      <c r="AB738" s="75"/>
      <c r="AC738" s="75"/>
      <c r="AD738" s="75"/>
      <c r="AE738" s="592"/>
      <c r="AF738" s="259"/>
      <c r="AG738" s="510">
        <v>0</v>
      </c>
      <c r="AH738" s="370">
        <v>0</v>
      </c>
      <c r="AI738" s="75"/>
      <c r="AJ738" s="75"/>
      <c r="AK738" s="75"/>
      <c r="AL738" s="75"/>
      <c r="AM738" s="75"/>
      <c r="AN738" s="64" t="s">
        <v>39</v>
      </c>
      <c r="AO738" s="64"/>
      <c r="AP738" s="64"/>
      <c r="AQ738" s="189"/>
      <c r="AR738" s="64"/>
      <c r="AS738" s="476"/>
      <c r="AT738" s="64"/>
      <c r="AU738" s="646"/>
      <c r="AV738" s="185"/>
    </row>
    <row r="739" spans="1:48" s="153" customFormat="1" ht="15" customHeight="1" outlineLevel="1" x14ac:dyDescent="0.25">
      <c r="A739" s="148" t="str">
        <f t="shared" si="127"/>
        <v>1.5.1.3.0.0</v>
      </c>
      <c r="B739" s="82">
        <v>1</v>
      </c>
      <c r="C739" s="82">
        <v>5</v>
      </c>
      <c r="D739" s="82">
        <v>1</v>
      </c>
      <c r="E739" s="82">
        <v>3</v>
      </c>
      <c r="F739" s="82">
        <v>0</v>
      </c>
      <c r="G739" s="82">
        <v>0</v>
      </c>
      <c r="H739" s="149"/>
      <c r="I739" s="149"/>
      <c r="J739" s="1260" t="s">
        <v>774</v>
      </c>
      <c r="K739" s="1259"/>
      <c r="L739" s="82" t="s">
        <v>236</v>
      </c>
      <c r="M739" s="82" t="s">
        <v>73</v>
      </c>
      <c r="N739" s="82" t="s">
        <v>74</v>
      </c>
      <c r="O739" s="82" t="s">
        <v>359</v>
      </c>
      <c r="P739" s="82"/>
      <c r="Q739" s="82"/>
      <c r="R739" s="82"/>
      <c r="S739" s="149"/>
      <c r="T739" s="82"/>
      <c r="U739" s="152"/>
      <c r="V739" s="681">
        <f>SUM(V740)</f>
        <v>0</v>
      </c>
      <c r="W739" s="681">
        <f t="shared" ref="W739:Y739" si="157">SUM(W740)</f>
        <v>0</v>
      </c>
      <c r="X739" s="681">
        <f t="shared" si="157"/>
        <v>0</v>
      </c>
      <c r="Y739" s="844">
        <f t="shared" si="157"/>
        <v>0</v>
      </c>
      <c r="Z739" s="152"/>
      <c r="AA739" s="152"/>
      <c r="AB739" s="152"/>
      <c r="AC739" s="152"/>
      <c r="AD739" s="152"/>
      <c r="AE739" s="597"/>
      <c r="AF739" s="358"/>
      <c r="AG739" s="519">
        <f>+SUM(AG740)</f>
        <v>0</v>
      </c>
      <c r="AH739" s="383">
        <f>+SUM(AH740)</f>
        <v>0</v>
      </c>
      <c r="AI739" s="519">
        <f>+SUM(AI740)</f>
        <v>0</v>
      </c>
      <c r="AJ739" s="519">
        <f>+SUM(AJ740)</f>
        <v>0</v>
      </c>
      <c r="AK739" s="215"/>
      <c r="AL739" s="215"/>
      <c r="AM739" s="215"/>
      <c r="AN739" s="82" t="s">
        <v>39</v>
      </c>
      <c r="AO739" s="82"/>
      <c r="AP739" s="82"/>
      <c r="AQ739" s="365"/>
      <c r="AR739" s="82"/>
      <c r="AS739" s="483"/>
      <c r="AT739" s="82"/>
      <c r="AU739" s="666"/>
      <c r="AV739" s="444"/>
    </row>
    <row r="740" spans="1:48" ht="15.75" customHeight="1" outlineLevel="2" x14ac:dyDescent="0.25">
      <c r="A740" s="63" t="str">
        <f t="shared" si="127"/>
        <v>1.5.1.3.1.58-64</v>
      </c>
      <c r="B740" s="64">
        <v>1</v>
      </c>
      <c r="C740" s="64">
        <v>5</v>
      </c>
      <c r="D740" s="64">
        <v>1</v>
      </c>
      <c r="E740" s="64">
        <v>3</v>
      </c>
      <c r="F740" s="64">
        <v>1</v>
      </c>
      <c r="G740" s="64" t="s">
        <v>64</v>
      </c>
      <c r="H740" s="65"/>
      <c r="I740" s="65"/>
      <c r="J740" s="65"/>
      <c r="K740" s="65" t="s">
        <v>775</v>
      </c>
      <c r="L740" s="64" t="s">
        <v>236</v>
      </c>
      <c r="M740" s="64" t="s">
        <v>73</v>
      </c>
      <c r="N740" s="64" t="s">
        <v>74</v>
      </c>
      <c r="O740" s="64" t="s">
        <v>359</v>
      </c>
      <c r="P740" s="64"/>
      <c r="Q740" s="64"/>
      <c r="R740" s="64"/>
      <c r="S740" s="65"/>
      <c r="T740" s="64"/>
      <c r="U740" s="75"/>
      <c r="V740" s="684">
        <v>0</v>
      </c>
      <c r="W740" s="75"/>
      <c r="X740" s="75"/>
      <c r="Y740" s="834">
        <f>+AJ740-V740</f>
        <v>0</v>
      </c>
      <c r="Z740" s="75"/>
      <c r="AA740" s="75"/>
      <c r="AB740" s="75"/>
      <c r="AC740" s="75"/>
      <c r="AD740" s="75"/>
      <c r="AE740" s="592"/>
      <c r="AF740" s="259"/>
      <c r="AG740" s="510">
        <v>0</v>
      </c>
      <c r="AH740" s="370">
        <v>0</v>
      </c>
      <c r="AI740" s="75"/>
      <c r="AJ740" s="75"/>
      <c r="AK740" s="75"/>
      <c r="AL740" s="75"/>
      <c r="AM740" s="75"/>
      <c r="AN740" s="64" t="s">
        <v>39</v>
      </c>
      <c r="AO740" s="64"/>
      <c r="AP740" s="64"/>
      <c r="AQ740" s="189"/>
      <c r="AR740" s="64"/>
      <c r="AS740" s="476"/>
      <c r="AT740" s="64"/>
      <c r="AU740" s="646"/>
      <c r="AV740" s="185"/>
    </row>
    <row r="741" spans="1:48" s="153" customFormat="1" ht="45" customHeight="1" outlineLevel="1" x14ac:dyDescent="0.25">
      <c r="A741" s="148" t="str">
        <f t="shared" si="127"/>
        <v>1.5.1.4.0.0</v>
      </c>
      <c r="B741" s="82">
        <v>1</v>
      </c>
      <c r="C741" s="82">
        <v>5</v>
      </c>
      <c r="D741" s="82">
        <v>1</v>
      </c>
      <c r="E741" s="82">
        <v>4</v>
      </c>
      <c r="F741" s="82">
        <v>0</v>
      </c>
      <c r="G741" s="82">
        <v>0</v>
      </c>
      <c r="H741" s="149"/>
      <c r="I741" s="149"/>
      <c r="J741" s="1260" t="s">
        <v>776</v>
      </c>
      <c r="K741" s="1259"/>
      <c r="L741" s="82" t="s">
        <v>236</v>
      </c>
      <c r="M741" s="82" t="s">
        <v>422</v>
      </c>
      <c r="N741" s="82">
        <v>0</v>
      </c>
      <c r="O741" s="82">
        <v>0</v>
      </c>
      <c r="P741" s="82"/>
      <c r="Q741" s="82"/>
      <c r="R741" s="82"/>
      <c r="S741" s="149"/>
      <c r="T741" s="82"/>
      <c r="U741" s="152">
        <f>SUM(U742:U762)</f>
        <v>1920399.9949999994</v>
      </c>
      <c r="V741" s="681">
        <f>SUM(V742:V762)</f>
        <v>0</v>
      </c>
      <c r="W741" s="152">
        <f t="shared" ref="W741:AG741" si="158">SUM(W742:W762)</f>
        <v>0</v>
      </c>
      <c r="X741" s="152">
        <f t="shared" si="158"/>
        <v>2894149.995000001</v>
      </c>
      <c r="Y741" s="844">
        <f t="shared" si="158"/>
        <v>140000</v>
      </c>
      <c r="Z741" s="152">
        <f t="shared" si="158"/>
        <v>6.5</v>
      </c>
      <c r="AA741" s="152">
        <f t="shared" si="158"/>
        <v>1108750</v>
      </c>
      <c r="AB741" s="152">
        <f t="shared" si="158"/>
        <v>0</v>
      </c>
      <c r="AC741" s="152">
        <f t="shared" si="158"/>
        <v>6.5</v>
      </c>
      <c r="AD741" s="152">
        <f t="shared" si="158"/>
        <v>0</v>
      </c>
      <c r="AE741" s="152">
        <f t="shared" si="158"/>
        <v>0</v>
      </c>
      <c r="AF741" s="152">
        <f t="shared" si="158"/>
        <v>0</v>
      </c>
      <c r="AG741" s="152">
        <f t="shared" si="158"/>
        <v>5437499.9850000031</v>
      </c>
      <c r="AH741" s="384">
        <f>SUM(AH742:AH762)</f>
        <v>5923299.9900000021</v>
      </c>
      <c r="AI741" s="520">
        <f>SUM(AI742:AI762)</f>
        <v>0</v>
      </c>
      <c r="AJ741" s="520">
        <f>SUM(AJ742:AJ762)</f>
        <v>140000</v>
      </c>
      <c r="AK741" s="216"/>
      <c r="AL741" s="216"/>
      <c r="AM741" s="216"/>
      <c r="AN741" s="82" t="s">
        <v>39</v>
      </c>
      <c r="AO741" s="82"/>
      <c r="AP741" s="82"/>
      <c r="AQ741" s="365"/>
      <c r="AR741" s="82"/>
      <c r="AS741" s="483"/>
      <c r="AT741" s="82"/>
      <c r="AU741" s="666"/>
      <c r="AV741" s="449" t="s">
        <v>777</v>
      </c>
    </row>
    <row r="742" spans="1:48" ht="30" outlineLevel="2" x14ac:dyDescent="0.25">
      <c r="A742" s="63" t="str">
        <f t="shared" si="127"/>
        <v>1.5.1.4.1.58</v>
      </c>
      <c r="B742" s="64">
        <v>1</v>
      </c>
      <c r="C742" s="64">
        <v>5</v>
      </c>
      <c r="D742" s="64">
        <v>1</v>
      </c>
      <c r="E742" s="64">
        <v>4</v>
      </c>
      <c r="F742" s="64">
        <v>1</v>
      </c>
      <c r="G742" s="64">
        <v>58</v>
      </c>
      <c r="H742" s="65"/>
      <c r="I742" s="65"/>
      <c r="J742" s="66"/>
      <c r="K742" s="67" t="s">
        <v>778</v>
      </c>
      <c r="L742" s="64" t="s">
        <v>236</v>
      </c>
      <c r="M742" s="64" t="s">
        <v>422</v>
      </c>
      <c r="N742" s="64">
        <v>0</v>
      </c>
      <c r="O742" s="64">
        <v>0</v>
      </c>
      <c r="P742" s="69">
        <v>44201</v>
      </c>
      <c r="Q742" s="69">
        <v>44560</v>
      </c>
      <c r="R742" s="64">
        <v>26</v>
      </c>
      <c r="S742" s="65" t="s">
        <v>779</v>
      </c>
      <c r="T742" s="64">
        <v>6.5</v>
      </c>
      <c r="U742" s="155"/>
      <c r="V742" s="684">
        <v>0</v>
      </c>
      <c r="W742" s="75"/>
      <c r="X742" s="155"/>
      <c r="Y742" s="834">
        <f t="shared" ref="Y742:Y762" si="159">+AJ742-V742</f>
        <v>0</v>
      </c>
      <c r="Z742" s="75">
        <v>6.5</v>
      </c>
      <c r="AA742" s="75"/>
      <c r="AB742" s="75"/>
      <c r="AC742" s="75">
        <v>6.5</v>
      </c>
      <c r="AD742" s="75"/>
      <c r="AE742" s="592"/>
      <c r="AF742" s="259" t="s">
        <v>1795</v>
      </c>
      <c r="AG742" s="504">
        <v>150000</v>
      </c>
      <c r="AH742" s="377">
        <v>0</v>
      </c>
      <c r="AI742" s="75"/>
      <c r="AJ742" s="75"/>
      <c r="AK742" s="75"/>
      <c r="AL742" s="75"/>
      <c r="AM742" s="75"/>
      <c r="AN742" s="64" t="s">
        <v>39</v>
      </c>
      <c r="AO742" s="64"/>
      <c r="AP742" s="64"/>
      <c r="AQ742" s="189"/>
      <c r="AR742" s="64"/>
      <c r="AS742" s="476"/>
      <c r="AT742" s="64"/>
      <c r="AU742" s="646"/>
      <c r="AV742" s="185" t="s">
        <v>780</v>
      </c>
    </row>
    <row r="743" spans="1:48" outlineLevel="2" x14ac:dyDescent="0.25">
      <c r="A743" s="63" t="str">
        <f t="shared" si="127"/>
        <v>1.5.1.4.1.59</v>
      </c>
      <c r="B743" s="64">
        <v>1</v>
      </c>
      <c r="C743" s="64">
        <v>5</v>
      </c>
      <c r="D743" s="64">
        <v>1</v>
      </c>
      <c r="E743" s="64">
        <v>4</v>
      </c>
      <c r="F743" s="64">
        <v>1</v>
      </c>
      <c r="G743" s="64">
        <v>59</v>
      </c>
      <c r="H743" s="65"/>
      <c r="I743" s="65"/>
      <c r="J743" s="66"/>
      <c r="K743" s="67" t="s">
        <v>781</v>
      </c>
      <c r="L743" s="64" t="s">
        <v>236</v>
      </c>
      <c r="M743" s="64" t="s">
        <v>422</v>
      </c>
      <c r="N743" s="64">
        <v>0</v>
      </c>
      <c r="O743" s="64">
        <v>0</v>
      </c>
      <c r="P743" s="69"/>
      <c r="Q743" s="69"/>
      <c r="R743" s="64"/>
      <c r="S743" s="65"/>
      <c r="T743" s="64"/>
      <c r="U743" s="155">
        <f>+AH743</f>
        <v>135000</v>
      </c>
      <c r="V743" s="684">
        <v>0</v>
      </c>
      <c r="W743" s="75"/>
      <c r="X743" s="155"/>
      <c r="Y743" s="834">
        <f t="shared" si="159"/>
        <v>0</v>
      </c>
      <c r="Z743" s="75"/>
      <c r="AA743" s="75"/>
      <c r="AB743" s="75"/>
      <c r="AC743" s="75"/>
      <c r="AD743" s="75"/>
      <c r="AE743" s="592"/>
      <c r="AF743" s="259"/>
      <c r="AG743" s="504">
        <v>120000</v>
      </c>
      <c r="AH743" s="377">
        <v>135000</v>
      </c>
      <c r="AI743" s="75"/>
      <c r="AJ743" s="75"/>
      <c r="AK743" s="75"/>
      <c r="AL743" s="75"/>
      <c r="AM743" s="75"/>
      <c r="AN743" s="64" t="s">
        <v>39</v>
      </c>
      <c r="AO743" s="64"/>
      <c r="AP743" s="64"/>
      <c r="AQ743" s="189"/>
      <c r="AR743" s="64"/>
      <c r="AS743" s="476"/>
      <c r="AT743" s="64"/>
      <c r="AU743" s="646"/>
      <c r="AV743" s="185" t="s">
        <v>780</v>
      </c>
    </row>
    <row r="744" spans="1:48" outlineLevel="2" x14ac:dyDescent="0.25">
      <c r="A744" s="63" t="str">
        <f t="shared" si="127"/>
        <v>1.5.1.4.1.60</v>
      </c>
      <c r="B744" s="64">
        <v>1</v>
      </c>
      <c r="C744" s="64">
        <v>5</v>
      </c>
      <c r="D744" s="64">
        <v>1</v>
      </c>
      <c r="E744" s="64">
        <v>4</v>
      </c>
      <c r="F744" s="64">
        <v>1</v>
      </c>
      <c r="G744" s="64">
        <v>60</v>
      </c>
      <c r="H744" s="65"/>
      <c r="I744" s="65"/>
      <c r="J744" s="66"/>
      <c r="K744" s="67" t="s">
        <v>782</v>
      </c>
      <c r="L744" s="64" t="s">
        <v>236</v>
      </c>
      <c r="M744" s="64" t="s">
        <v>422</v>
      </c>
      <c r="N744" s="64">
        <v>0</v>
      </c>
      <c r="O744" s="64">
        <v>0</v>
      </c>
      <c r="P744" s="69"/>
      <c r="Q744" s="69"/>
      <c r="R744" s="64"/>
      <c r="S744" s="65"/>
      <c r="T744" s="64"/>
      <c r="U744" s="75"/>
      <c r="V744" s="684">
        <v>0</v>
      </c>
      <c r="W744" s="75"/>
      <c r="X744" s="75">
        <f>35000*5*3</f>
        <v>525000</v>
      </c>
      <c r="Y744" s="834">
        <f t="shared" si="159"/>
        <v>0</v>
      </c>
      <c r="Z744" s="75"/>
      <c r="AA744" s="75">
        <f>35000*5*3</f>
        <v>525000</v>
      </c>
      <c r="AB744" s="75"/>
      <c r="AC744" s="75"/>
      <c r="AD744" s="75"/>
      <c r="AE744" s="592"/>
      <c r="AF744" s="259"/>
      <c r="AG744" s="504">
        <v>1050000</v>
      </c>
      <c r="AH744" s="377">
        <f>35000*5*12/2</f>
        <v>1050000</v>
      </c>
      <c r="AI744" s="75"/>
      <c r="AJ744" s="75"/>
      <c r="AK744" s="75"/>
      <c r="AL744" s="75"/>
      <c r="AM744" s="75"/>
      <c r="AN744" s="64" t="s">
        <v>39</v>
      </c>
      <c r="AO744" s="64"/>
      <c r="AP744" s="64"/>
      <c r="AQ744" s="189"/>
      <c r="AR744" s="64"/>
      <c r="AS744" s="476"/>
      <c r="AT744" s="64"/>
      <c r="AU744" s="646"/>
      <c r="AV744" s="185" t="s">
        <v>780</v>
      </c>
    </row>
    <row r="745" spans="1:48" outlineLevel="2" x14ac:dyDescent="0.25">
      <c r="A745" s="63" t="str">
        <f t="shared" si="127"/>
        <v>1.5.1.4.1.61</v>
      </c>
      <c r="B745" s="64">
        <v>1</v>
      </c>
      <c r="C745" s="64">
        <v>5</v>
      </c>
      <c r="D745" s="64">
        <v>1</v>
      </c>
      <c r="E745" s="64">
        <v>4</v>
      </c>
      <c r="F745" s="64">
        <v>1</v>
      </c>
      <c r="G745" s="64">
        <v>61</v>
      </c>
      <c r="H745" s="65"/>
      <c r="I745" s="65"/>
      <c r="J745" s="66"/>
      <c r="K745" s="67" t="s">
        <v>783</v>
      </c>
      <c r="L745" s="64" t="s">
        <v>236</v>
      </c>
      <c r="M745" s="64" t="s">
        <v>422</v>
      </c>
      <c r="N745" s="64">
        <v>0</v>
      </c>
      <c r="O745" s="64">
        <v>0</v>
      </c>
      <c r="P745" s="69"/>
      <c r="Q745" s="69"/>
      <c r="R745" s="64"/>
      <c r="S745" s="65"/>
      <c r="T745" s="64"/>
      <c r="U745" s="155">
        <f>75000*3</f>
        <v>225000</v>
      </c>
      <c r="V745" s="684">
        <v>0</v>
      </c>
      <c r="W745" s="155"/>
      <c r="X745" s="155">
        <f>75000*3</f>
        <v>225000</v>
      </c>
      <c r="Y745" s="834">
        <f t="shared" si="159"/>
        <v>0</v>
      </c>
      <c r="Z745" s="75"/>
      <c r="AA745" s="75"/>
      <c r="AB745" s="75"/>
      <c r="AC745" s="75"/>
      <c r="AD745" s="75"/>
      <c r="AE745" s="592"/>
      <c r="AF745" s="259"/>
      <c r="AG745" s="504">
        <v>450000</v>
      </c>
      <c r="AH745" s="377">
        <f>75000*12/2</f>
        <v>450000</v>
      </c>
      <c r="AI745" s="75"/>
      <c r="AJ745" s="75"/>
      <c r="AK745" s="75"/>
      <c r="AL745" s="75"/>
      <c r="AM745" s="75"/>
      <c r="AN745" s="64" t="s">
        <v>39</v>
      </c>
      <c r="AO745" s="64"/>
      <c r="AP745" s="64"/>
      <c r="AQ745" s="189"/>
      <c r="AR745" s="64"/>
      <c r="AS745" s="476"/>
      <c r="AT745" s="64"/>
      <c r="AU745" s="646"/>
      <c r="AV745" s="185" t="s">
        <v>780</v>
      </c>
    </row>
    <row r="746" spans="1:48" ht="30" outlineLevel="2" x14ac:dyDescent="0.25">
      <c r="A746" s="63" t="str">
        <f t="shared" si="127"/>
        <v>1.5.1.4.1.62</v>
      </c>
      <c r="B746" s="64">
        <v>1</v>
      </c>
      <c r="C746" s="64">
        <v>5</v>
      </c>
      <c r="D746" s="64">
        <v>1</v>
      </c>
      <c r="E746" s="64">
        <v>4</v>
      </c>
      <c r="F746" s="64">
        <v>1</v>
      </c>
      <c r="G746" s="64">
        <v>62</v>
      </c>
      <c r="H746" s="65"/>
      <c r="I746" s="65"/>
      <c r="J746" s="66"/>
      <c r="K746" s="67" t="s">
        <v>784</v>
      </c>
      <c r="L746" s="64" t="s">
        <v>236</v>
      </c>
      <c r="M746" s="64" t="s">
        <v>422</v>
      </c>
      <c r="N746" s="64">
        <v>0</v>
      </c>
      <c r="O746" s="64">
        <v>0</v>
      </c>
      <c r="P746" s="69"/>
      <c r="Q746" s="69"/>
      <c r="R746" s="64"/>
      <c r="S746" s="65"/>
      <c r="T746" s="64"/>
      <c r="U746" s="155"/>
      <c r="V746" s="684">
        <v>0</v>
      </c>
      <c r="W746" s="155"/>
      <c r="X746" s="155">
        <f>235000/4</f>
        <v>58750</v>
      </c>
      <c r="Y746" s="834">
        <f t="shared" si="159"/>
        <v>0</v>
      </c>
      <c r="Z746" s="75"/>
      <c r="AA746" s="155">
        <f>235000/4</f>
        <v>58750</v>
      </c>
      <c r="AB746" s="155"/>
      <c r="AC746" s="75"/>
      <c r="AD746" s="75"/>
      <c r="AE746" s="592"/>
      <c r="AF746" s="259"/>
      <c r="AG746" s="504">
        <v>117500</v>
      </c>
      <c r="AH746" s="377">
        <f>235000/2</f>
        <v>117500</v>
      </c>
      <c r="AI746" s="75"/>
      <c r="AJ746" s="75"/>
      <c r="AK746" s="75"/>
      <c r="AL746" s="75"/>
      <c r="AM746" s="75"/>
      <c r="AN746" s="64" t="s">
        <v>39</v>
      </c>
      <c r="AO746" s="64"/>
      <c r="AP746" s="64"/>
      <c r="AQ746" s="189"/>
      <c r="AR746" s="64"/>
      <c r="AS746" s="476"/>
      <c r="AT746" s="64"/>
      <c r="AU746" s="646"/>
      <c r="AV746" s="185" t="s">
        <v>780</v>
      </c>
    </row>
    <row r="747" spans="1:48" outlineLevel="2" x14ac:dyDescent="0.25">
      <c r="A747" s="63" t="str">
        <f t="shared" si="127"/>
        <v>1.5.1.4.1.63</v>
      </c>
      <c r="B747" s="64">
        <v>1</v>
      </c>
      <c r="C747" s="64">
        <v>5</v>
      </c>
      <c r="D747" s="64">
        <v>1</v>
      </c>
      <c r="E747" s="64">
        <v>4</v>
      </c>
      <c r="F747" s="64">
        <v>1</v>
      </c>
      <c r="G747" s="64">
        <v>63</v>
      </c>
      <c r="H747" s="65"/>
      <c r="I747" s="65"/>
      <c r="J747" s="66"/>
      <c r="K747" s="67" t="s">
        <v>785</v>
      </c>
      <c r="L747" s="64" t="s">
        <v>236</v>
      </c>
      <c r="M747" s="64" t="s">
        <v>422</v>
      </c>
      <c r="N747" s="64">
        <v>0</v>
      </c>
      <c r="O747" s="64">
        <v>0</v>
      </c>
      <c r="P747" s="69"/>
      <c r="Q747" s="69"/>
      <c r="R747" s="64"/>
      <c r="S747" s="65"/>
      <c r="T747" s="64"/>
      <c r="U747" s="155"/>
      <c r="V747" s="684">
        <v>0</v>
      </c>
      <c r="W747" s="155"/>
      <c r="X747" s="155">
        <f>20000*3*3</f>
        <v>180000</v>
      </c>
      <c r="Y747" s="834">
        <f t="shared" si="159"/>
        <v>0</v>
      </c>
      <c r="Z747" s="75"/>
      <c r="AA747" s="155">
        <f>20000*3*3</f>
        <v>180000</v>
      </c>
      <c r="AB747" s="155"/>
      <c r="AC747" s="75"/>
      <c r="AD747" s="75"/>
      <c r="AE747" s="592"/>
      <c r="AF747" s="259"/>
      <c r="AG747" s="504">
        <v>360000</v>
      </c>
      <c r="AH747" s="377">
        <f>20000*3*12/2</f>
        <v>360000</v>
      </c>
      <c r="AI747" s="75"/>
      <c r="AJ747" s="75"/>
      <c r="AK747" s="75"/>
      <c r="AL747" s="75"/>
      <c r="AM747" s="75"/>
      <c r="AN747" s="64" t="s">
        <v>39</v>
      </c>
      <c r="AO747" s="64"/>
      <c r="AP747" s="64"/>
      <c r="AQ747" s="189"/>
      <c r="AR747" s="64"/>
      <c r="AS747" s="476"/>
      <c r="AT747" s="64"/>
      <c r="AU747" s="646"/>
      <c r="AV747" s="185" t="s">
        <v>780</v>
      </c>
    </row>
    <row r="748" spans="1:48" ht="30" outlineLevel="2" x14ac:dyDescent="0.25">
      <c r="A748" s="63" t="str">
        <f t="shared" si="127"/>
        <v>1.5.1.4.1.64</v>
      </c>
      <c r="B748" s="64">
        <v>1</v>
      </c>
      <c r="C748" s="64">
        <v>5</v>
      </c>
      <c r="D748" s="64">
        <v>1</v>
      </c>
      <c r="E748" s="64">
        <v>4</v>
      </c>
      <c r="F748" s="64">
        <v>1</v>
      </c>
      <c r="G748" s="64">
        <v>64</v>
      </c>
      <c r="H748" s="65"/>
      <c r="I748" s="65"/>
      <c r="J748" s="66"/>
      <c r="K748" s="67" t="s">
        <v>786</v>
      </c>
      <c r="L748" s="64" t="s">
        <v>236</v>
      </c>
      <c r="M748" s="64" t="s">
        <v>422</v>
      </c>
      <c r="N748" s="64">
        <v>0</v>
      </c>
      <c r="O748" s="64">
        <v>0</v>
      </c>
      <c r="P748" s="69"/>
      <c r="Q748" s="69"/>
      <c r="R748" s="64"/>
      <c r="S748" s="65"/>
      <c r="T748" s="64"/>
      <c r="U748" s="155"/>
      <c r="V748" s="684">
        <v>0</v>
      </c>
      <c r="W748" s="75"/>
      <c r="X748" s="155">
        <f>115000*3</f>
        <v>345000</v>
      </c>
      <c r="Y748" s="834">
        <f t="shared" si="159"/>
        <v>0</v>
      </c>
      <c r="Z748" s="75"/>
      <c r="AA748" s="155">
        <f>115000*3</f>
        <v>345000</v>
      </c>
      <c r="AB748" s="155"/>
      <c r="AC748" s="75"/>
      <c r="AD748" s="75"/>
      <c r="AE748" s="592"/>
      <c r="AF748" s="259"/>
      <c r="AG748" s="504">
        <v>690000</v>
      </c>
      <c r="AH748" s="377">
        <f>115000*12/2</f>
        <v>690000</v>
      </c>
      <c r="AI748" s="75"/>
      <c r="AJ748" s="75"/>
      <c r="AK748" s="75"/>
      <c r="AL748" s="75"/>
      <c r="AM748" s="75"/>
      <c r="AN748" s="64" t="s">
        <v>39</v>
      </c>
      <c r="AO748" s="64"/>
      <c r="AP748" s="64"/>
      <c r="AQ748" s="189"/>
      <c r="AR748" s="64"/>
      <c r="AS748" s="476"/>
      <c r="AT748" s="64"/>
      <c r="AU748" s="646"/>
      <c r="AV748" s="185" t="s">
        <v>780</v>
      </c>
    </row>
    <row r="749" spans="1:48" ht="30" outlineLevel="2" x14ac:dyDescent="0.25">
      <c r="A749" s="63" t="str">
        <f t="shared" si="127"/>
        <v>1.5.1.4.2.58</v>
      </c>
      <c r="B749" s="64">
        <v>1</v>
      </c>
      <c r="C749" s="64">
        <v>5</v>
      </c>
      <c r="D749" s="64">
        <v>1</v>
      </c>
      <c r="E749" s="64">
        <v>4</v>
      </c>
      <c r="F749" s="64">
        <v>2</v>
      </c>
      <c r="G749" s="64">
        <v>58</v>
      </c>
      <c r="H749" s="65"/>
      <c r="I749" s="65"/>
      <c r="J749" s="66"/>
      <c r="K749" s="67" t="s">
        <v>787</v>
      </c>
      <c r="L749" s="64"/>
      <c r="M749" s="64"/>
      <c r="N749" s="64"/>
      <c r="O749" s="64"/>
      <c r="P749" s="69"/>
      <c r="Q749" s="69"/>
      <c r="R749" s="64"/>
      <c r="S749" s="65"/>
      <c r="T749" s="64"/>
      <c r="U749" s="155">
        <f t="shared" ref="U749:U762" si="160">$AH749/2</f>
        <v>187200</v>
      </c>
      <c r="V749" s="684">
        <v>0</v>
      </c>
      <c r="W749" s="75"/>
      <c r="X749" s="155">
        <f t="shared" ref="X749:X762" si="161">$AH749/2</f>
        <v>187200</v>
      </c>
      <c r="Y749" s="834">
        <f t="shared" si="159"/>
        <v>0</v>
      </c>
      <c r="Z749" s="75"/>
      <c r="AA749" s="75"/>
      <c r="AB749" s="75"/>
      <c r="AC749" s="75"/>
      <c r="AD749" s="75"/>
      <c r="AE749" s="592"/>
      <c r="AF749" s="259"/>
      <c r="AG749" s="504">
        <v>285714.28499999997</v>
      </c>
      <c r="AH749" s="370">
        <f>2620800/7</f>
        <v>374400</v>
      </c>
      <c r="AI749" s="75"/>
      <c r="AJ749" s="75"/>
      <c r="AK749" s="75"/>
      <c r="AL749" s="75"/>
      <c r="AM749" s="75"/>
      <c r="AN749" s="64" t="s">
        <v>39</v>
      </c>
      <c r="AO749" s="64"/>
      <c r="AP749" s="64"/>
      <c r="AQ749" s="64"/>
      <c r="AR749" s="554">
        <v>44562</v>
      </c>
      <c r="AS749" s="554">
        <v>44926</v>
      </c>
      <c r="AT749" s="64"/>
      <c r="AU749" s="646"/>
      <c r="AV749" s="1274" t="s">
        <v>788</v>
      </c>
    </row>
    <row r="750" spans="1:48" outlineLevel="2" x14ac:dyDescent="0.25">
      <c r="A750" s="63" t="str">
        <f t="shared" si="127"/>
        <v>1.5.1.4.2.59</v>
      </c>
      <c r="B750" s="64">
        <v>1</v>
      </c>
      <c r="C750" s="64">
        <v>5</v>
      </c>
      <c r="D750" s="64">
        <v>1</v>
      </c>
      <c r="E750" s="64">
        <v>4</v>
      </c>
      <c r="F750" s="64">
        <v>2</v>
      </c>
      <c r="G750" s="64">
        <v>59</v>
      </c>
      <c r="H750" s="65"/>
      <c r="I750" s="65"/>
      <c r="J750" s="66"/>
      <c r="K750" s="67" t="s">
        <v>789</v>
      </c>
      <c r="L750" s="64"/>
      <c r="M750" s="64"/>
      <c r="N750" s="64"/>
      <c r="O750" s="64"/>
      <c r="P750" s="69"/>
      <c r="Q750" s="69"/>
      <c r="R750" s="64"/>
      <c r="S750" s="65"/>
      <c r="T750" s="64"/>
      <c r="U750" s="155">
        <f t="shared" si="160"/>
        <v>187200</v>
      </c>
      <c r="V750" s="684">
        <v>0</v>
      </c>
      <c r="W750" s="75"/>
      <c r="X750" s="155">
        <f t="shared" si="161"/>
        <v>187200</v>
      </c>
      <c r="Y750" s="834">
        <f t="shared" si="159"/>
        <v>0</v>
      </c>
      <c r="Z750" s="75"/>
      <c r="AA750" s="75"/>
      <c r="AB750" s="75"/>
      <c r="AC750" s="75"/>
      <c r="AD750" s="75"/>
      <c r="AE750" s="592"/>
      <c r="AF750" s="259"/>
      <c r="AG750" s="504">
        <v>285714.28499999997</v>
      </c>
      <c r="AH750" s="370">
        <f t="shared" ref="AH750:AH755" si="162">2620800/7</f>
        <v>374400</v>
      </c>
      <c r="AI750" s="75"/>
      <c r="AJ750" s="75"/>
      <c r="AK750" s="75"/>
      <c r="AL750" s="75"/>
      <c r="AM750" s="75"/>
      <c r="AN750" s="64" t="s">
        <v>39</v>
      </c>
      <c r="AO750" s="64"/>
      <c r="AP750" s="64"/>
      <c r="AQ750" s="64"/>
      <c r="AR750" s="554">
        <v>44562</v>
      </c>
      <c r="AS750" s="554">
        <v>44926</v>
      </c>
      <c r="AT750" s="64"/>
      <c r="AU750" s="646"/>
      <c r="AV750" s="1275"/>
    </row>
    <row r="751" spans="1:48" outlineLevel="2" x14ac:dyDescent="0.25">
      <c r="A751" s="63" t="str">
        <f t="shared" si="127"/>
        <v>1.5.1.4.2.60</v>
      </c>
      <c r="B751" s="64">
        <v>1</v>
      </c>
      <c r="C751" s="64">
        <v>5</v>
      </c>
      <c r="D751" s="64">
        <v>1</v>
      </c>
      <c r="E751" s="64">
        <v>4</v>
      </c>
      <c r="F751" s="64">
        <v>2</v>
      </c>
      <c r="G751" s="64">
        <v>60</v>
      </c>
      <c r="H751" s="65"/>
      <c r="I751" s="65"/>
      <c r="J751" s="66"/>
      <c r="K751" s="67" t="s">
        <v>790</v>
      </c>
      <c r="L751" s="64"/>
      <c r="M751" s="64"/>
      <c r="N751" s="64"/>
      <c r="O751" s="64"/>
      <c r="P751" s="69"/>
      <c r="Q751" s="69"/>
      <c r="R751" s="64"/>
      <c r="S751" s="65"/>
      <c r="T751" s="64"/>
      <c r="U751" s="155">
        <f t="shared" si="160"/>
        <v>187200</v>
      </c>
      <c r="V751" s="684">
        <v>0</v>
      </c>
      <c r="W751" s="75"/>
      <c r="X751" s="155">
        <f t="shared" si="161"/>
        <v>187200</v>
      </c>
      <c r="Y751" s="834">
        <f t="shared" si="159"/>
        <v>0</v>
      </c>
      <c r="Z751" s="75"/>
      <c r="AA751" s="75"/>
      <c r="AB751" s="75"/>
      <c r="AC751" s="75"/>
      <c r="AD751" s="75"/>
      <c r="AE751" s="592"/>
      <c r="AF751" s="259"/>
      <c r="AG751" s="504">
        <v>285714.28499999997</v>
      </c>
      <c r="AH751" s="370">
        <f t="shared" si="162"/>
        <v>374400</v>
      </c>
      <c r="AI751" s="75"/>
      <c r="AJ751" s="75"/>
      <c r="AK751" s="75"/>
      <c r="AL751" s="75"/>
      <c r="AM751" s="75"/>
      <c r="AN751" s="64" t="s">
        <v>39</v>
      </c>
      <c r="AO751" s="64"/>
      <c r="AP751" s="64"/>
      <c r="AQ751" s="64"/>
      <c r="AR751" s="554">
        <v>44562</v>
      </c>
      <c r="AS751" s="554">
        <v>44926</v>
      </c>
      <c r="AT751" s="64"/>
      <c r="AU751" s="646"/>
      <c r="AV751" s="1275"/>
    </row>
    <row r="752" spans="1:48" outlineLevel="2" x14ac:dyDescent="0.25">
      <c r="A752" s="63" t="str">
        <f t="shared" si="127"/>
        <v>1.5.1.4.2.61</v>
      </c>
      <c r="B752" s="64">
        <v>1</v>
      </c>
      <c r="C752" s="64">
        <v>5</v>
      </c>
      <c r="D752" s="64">
        <v>1</v>
      </c>
      <c r="E752" s="64">
        <v>4</v>
      </c>
      <c r="F752" s="64">
        <v>2</v>
      </c>
      <c r="G752" s="64">
        <v>61</v>
      </c>
      <c r="H752" s="65"/>
      <c r="I752" s="65"/>
      <c r="J752" s="66"/>
      <c r="K752" s="67" t="s">
        <v>791</v>
      </c>
      <c r="L752" s="64"/>
      <c r="M752" s="64"/>
      <c r="N752" s="64"/>
      <c r="O752" s="64"/>
      <c r="P752" s="69"/>
      <c r="Q752" s="69"/>
      <c r="R752" s="64"/>
      <c r="S752" s="65"/>
      <c r="T752" s="64"/>
      <c r="U752" s="155">
        <f t="shared" si="160"/>
        <v>187200</v>
      </c>
      <c r="V752" s="684">
        <v>0</v>
      </c>
      <c r="W752" s="75"/>
      <c r="X752" s="155">
        <f t="shared" si="161"/>
        <v>187200</v>
      </c>
      <c r="Y752" s="834">
        <f t="shared" si="159"/>
        <v>0</v>
      </c>
      <c r="Z752" s="75"/>
      <c r="AA752" s="75"/>
      <c r="AB752" s="75"/>
      <c r="AC752" s="75"/>
      <c r="AD752" s="75"/>
      <c r="AE752" s="592"/>
      <c r="AF752" s="259"/>
      <c r="AG752" s="504">
        <v>285714.28499999997</v>
      </c>
      <c r="AH752" s="370">
        <f t="shared" si="162"/>
        <v>374400</v>
      </c>
      <c r="AI752" s="75"/>
      <c r="AJ752" s="75"/>
      <c r="AK752" s="75"/>
      <c r="AL752" s="75"/>
      <c r="AM752" s="75"/>
      <c r="AN752" s="64" t="s">
        <v>39</v>
      </c>
      <c r="AO752" s="64"/>
      <c r="AP752" s="64"/>
      <c r="AQ752" s="64"/>
      <c r="AR752" s="554">
        <v>44562</v>
      </c>
      <c r="AS752" s="554">
        <v>44926</v>
      </c>
      <c r="AT752" s="64"/>
      <c r="AU752" s="646"/>
      <c r="AV752" s="1275"/>
    </row>
    <row r="753" spans="1:48" ht="30" outlineLevel="2" x14ac:dyDescent="0.25">
      <c r="A753" s="63" t="str">
        <f t="shared" si="127"/>
        <v>1.5.1.4.2.62</v>
      </c>
      <c r="B753" s="64">
        <v>1</v>
      </c>
      <c r="C753" s="64">
        <v>5</v>
      </c>
      <c r="D753" s="64">
        <v>1</v>
      </c>
      <c r="E753" s="64">
        <v>4</v>
      </c>
      <c r="F753" s="64">
        <v>2</v>
      </c>
      <c r="G753" s="64">
        <v>62</v>
      </c>
      <c r="H753" s="65"/>
      <c r="I753" s="65"/>
      <c r="J753" s="66"/>
      <c r="K753" s="67" t="s">
        <v>792</v>
      </c>
      <c r="L753" s="64"/>
      <c r="M753" s="64"/>
      <c r="N753" s="64"/>
      <c r="O753" s="64"/>
      <c r="P753" s="69"/>
      <c r="Q753" s="69"/>
      <c r="R753" s="64"/>
      <c r="S753" s="65"/>
      <c r="T753" s="64"/>
      <c r="U753" s="155">
        <f t="shared" si="160"/>
        <v>187200</v>
      </c>
      <c r="V753" s="684">
        <v>0</v>
      </c>
      <c r="W753" s="75"/>
      <c r="X753" s="155">
        <f t="shared" si="161"/>
        <v>187200</v>
      </c>
      <c r="Y753" s="834">
        <f t="shared" si="159"/>
        <v>0</v>
      </c>
      <c r="Z753" s="75"/>
      <c r="AA753" s="75"/>
      <c r="AB753" s="75"/>
      <c r="AC753" s="75"/>
      <c r="AD753" s="75"/>
      <c r="AE753" s="592"/>
      <c r="AF753" s="259"/>
      <c r="AG753" s="504">
        <v>285714.28499999997</v>
      </c>
      <c r="AH753" s="370">
        <f t="shared" si="162"/>
        <v>374400</v>
      </c>
      <c r="AI753" s="75"/>
      <c r="AJ753" s="75"/>
      <c r="AK753" s="75"/>
      <c r="AL753" s="75"/>
      <c r="AM753" s="75"/>
      <c r="AN753" s="64" t="s">
        <v>39</v>
      </c>
      <c r="AO753" s="64"/>
      <c r="AP753" s="64"/>
      <c r="AQ753" s="64"/>
      <c r="AR753" s="554">
        <v>44562</v>
      </c>
      <c r="AS753" s="554">
        <v>44926</v>
      </c>
      <c r="AT753" s="64"/>
      <c r="AU753" s="646"/>
      <c r="AV753" s="1275"/>
    </row>
    <row r="754" spans="1:48" outlineLevel="2" x14ac:dyDescent="0.25">
      <c r="A754" s="63" t="str">
        <f t="shared" si="127"/>
        <v>1.5.1.4.2.63</v>
      </c>
      <c r="B754" s="64">
        <v>1</v>
      </c>
      <c r="C754" s="64">
        <v>5</v>
      </c>
      <c r="D754" s="64">
        <v>1</v>
      </c>
      <c r="E754" s="64">
        <v>4</v>
      </c>
      <c r="F754" s="64">
        <v>2</v>
      </c>
      <c r="G754" s="64">
        <v>63</v>
      </c>
      <c r="H754" s="65"/>
      <c r="I754" s="65"/>
      <c r="J754" s="66"/>
      <c r="K754" s="67" t="s">
        <v>793</v>
      </c>
      <c r="L754" s="64"/>
      <c r="M754" s="64"/>
      <c r="N754" s="64"/>
      <c r="O754" s="64"/>
      <c r="P754" s="69"/>
      <c r="Q754" s="69"/>
      <c r="R754" s="64"/>
      <c r="S754" s="65"/>
      <c r="T754" s="64"/>
      <c r="U754" s="155">
        <f t="shared" si="160"/>
        <v>187200</v>
      </c>
      <c r="V754" s="684">
        <v>0</v>
      </c>
      <c r="W754" s="75"/>
      <c r="X754" s="155">
        <f t="shared" si="161"/>
        <v>187200</v>
      </c>
      <c r="Y754" s="834">
        <f t="shared" si="159"/>
        <v>0</v>
      </c>
      <c r="Z754" s="75"/>
      <c r="AA754" s="75"/>
      <c r="AB754" s="75"/>
      <c r="AC754" s="75"/>
      <c r="AD754" s="75"/>
      <c r="AE754" s="592"/>
      <c r="AF754" s="259"/>
      <c r="AG754" s="504">
        <v>285714.28499999997</v>
      </c>
      <c r="AH754" s="370">
        <f t="shared" si="162"/>
        <v>374400</v>
      </c>
      <c r="AI754" s="75"/>
      <c r="AJ754" s="75"/>
      <c r="AK754" s="75"/>
      <c r="AL754" s="75"/>
      <c r="AM754" s="75"/>
      <c r="AN754" s="64" t="s">
        <v>39</v>
      </c>
      <c r="AO754" s="64"/>
      <c r="AP754" s="64"/>
      <c r="AQ754" s="64"/>
      <c r="AR754" s="554">
        <v>44562</v>
      </c>
      <c r="AS754" s="554">
        <v>44926</v>
      </c>
      <c r="AT754" s="64"/>
      <c r="AU754" s="646"/>
      <c r="AV754" s="1275"/>
    </row>
    <row r="755" spans="1:48" ht="30" outlineLevel="2" x14ac:dyDescent="0.25">
      <c r="A755" s="63" t="str">
        <f t="shared" si="127"/>
        <v>1.5.1.4.2.64</v>
      </c>
      <c r="B755" s="64">
        <v>1</v>
      </c>
      <c r="C755" s="64">
        <v>5</v>
      </c>
      <c r="D755" s="64">
        <v>1</v>
      </c>
      <c r="E755" s="64">
        <v>4</v>
      </c>
      <c r="F755" s="64">
        <v>2</v>
      </c>
      <c r="G755" s="64">
        <v>64</v>
      </c>
      <c r="H755" s="65"/>
      <c r="I755" s="65"/>
      <c r="J755" s="66"/>
      <c r="K755" s="67" t="s">
        <v>794</v>
      </c>
      <c r="L755" s="64"/>
      <c r="M755" s="64"/>
      <c r="N755" s="64"/>
      <c r="O755" s="64"/>
      <c r="P755" s="69"/>
      <c r="Q755" s="69"/>
      <c r="R755" s="64"/>
      <c r="S755" s="65"/>
      <c r="T755" s="64"/>
      <c r="U755" s="155">
        <f t="shared" si="160"/>
        <v>187200</v>
      </c>
      <c r="V755" s="684">
        <v>0</v>
      </c>
      <c r="W755" s="75"/>
      <c r="X755" s="155">
        <f t="shared" si="161"/>
        <v>187200</v>
      </c>
      <c r="Y755" s="834">
        <f t="shared" si="159"/>
        <v>0</v>
      </c>
      <c r="Z755" s="75"/>
      <c r="AA755" s="75"/>
      <c r="AB755" s="75"/>
      <c r="AC755" s="75"/>
      <c r="AD755" s="75"/>
      <c r="AE755" s="592"/>
      <c r="AF755" s="259"/>
      <c r="AG755" s="504">
        <v>285714.28499999997</v>
      </c>
      <c r="AH755" s="370">
        <f t="shared" si="162"/>
        <v>374400</v>
      </c>
      <c r="AI755" s="75"/>
      <c r="AJ755" s="75"/>
      <c r="AK755" s="75"/>
      <c r="AL755" s="75"/>
      <c r="AM755" s="75"/>
      <c r="AN755" s="64" t="s">
        <v>39</v>
      </c>
      <c r="AO755" s="64"/>
      <c r="AP755" s="64"/>
      <c r="AQ755" s="64"/>
      <c r="AR755" s="554">
        <v>44562</v>
      </c>
      <c r="AS755" s="554">
        <v>44926</v>
      </c>
      <c r="AT755" s="64"/>
      <c r="AU755" s="646"/>
      <c r="AV755" s="1276"/>
    </row>
    <row r="756" spans="1:48" ht="30" outlineLevel="2" x14ac:dyDescent="0.25">
      <c r="A756" s="63" t="str">
        <f t="shared" si="127"/>
        <v>1.5.1.4.3.58</v>
      </c>
      <c r="B756" s="64">
        <v>1</v>
      </c>
      <c r="C756" s="64">
        <v>5</v>
      </c>
      <c r="D756" s="64">
        <v>1</v>
      </c>
      <c r="E756" s="64">
        <v>4</v>
      </c>
      <c r="F756" s="64">
        <v>3</v>
      </c>
      <c r="G756" s="64">
        <v>58</v>
      </c>
      <c r="H756" s="65"/>
      <c r="I756" s="65"/>
      <c r="J756" s="66"/>
      <c r="K756" s="67" t="s">
        <v>795</v>
      </c>
      <c r="L756" s="64"/>
      <c r="M756" s="64"/>
      <c r="N756" s="64"/>
      <c r="O756" s="64"/>
      <c r="P756" s="69">
        <v>44197</v>
      </c>
      <c r="Q756" s="69">
        <v>44561</v>
      </c>
      <c r="R756" s="64"/>
      <c r="S756" s="65"/>
      <c r="T756" s="64"/>
      <c r="U756" s="155">
        <f t="shared" si="160"/>
        <v>35714.285000000003</v>
      </c>
      <c r="V756" s="684">
        <v>0</v>
      </c>
      <c r="W756" s="75"/>
      <c r="X756" s="155">
        <f t="shared" si="161"/>
        <v>35714.285000000003</v>
      </c>
      <c r="Y756" s="834">
        <f t="shared" si="159"/>
        <v>20000</v>
      </c>
      <c r="Z756" s="75"/>
      <c r="AA756" s="75"/>
      <c r="AB756" s="75"/>
      <c r="AC756" s="75"/>
      <c r="AD756" s="75"/>
      <c r="AE756" s="592"/>
      <c r="AF756" s="259"/>
      <c r="AG756" s="504">
        <v>71428.570000000007</v>
      </c>
      <c r="AH756" s="370">
        <f>142857.14/2</f>
        <v>71428.570000000007</v>
      </c>
      <c r="AI756" s="75"/>
      <c r="AJ756" s="75">
        <f t="shared" ref="AJ756:AJ762" si="163">10000+10000</f>
        <v>20000</v>
      </c>
      <c r="AK756" s="75"/>
      <c r="AL756" s="75"/>
      <c r="AM756" s="75"/>
      <c r="AN756" s="64" t="s">
        <v>39</v>
      </c>
      <c r="AO756" s="313" t="s">
        <v>1819</v>
      </c>
      <c r="AP756" s="313" t="s">
        <v>2160</v>
      </c>
      <c r="AQ756" s="408" t="s">
        <v>2161</v>
      </c>
      <c r="AR756" s="69">
        <v>44658</v>
      </c>
      <c r="AS756" s="562">
        <v>45023</v>
      </c>
      <c r="AT756" s="89" t="s">
        <v>2029</v>
      </c>
      <c r="AU756" s="883" t="s">
        <v>2162</v>
      </c>
      <c r="AV756" s="450" t="s">
        <v>796</v>
      </c>
    </row>
    <row r="757" spans="1:48" ht="30" outlineLevel="2" x14ac:dyDescent="0.25">
      <c r="A757" s="63" t="str">
        <f t="shared" si="127"/>
        <v>1.5.1.4.3.59</v>
      </c>
      <c r="B757" s="64">
        <v>1</v>
      </c>
      <c r="C757" s="64">
        <v>5</v>
      </c>
      <c r="D757" s="64">
        <v>1</v>
      </c>
      <c r="E757" s="64">
        <v>4</v>
      </c>
      <c r="F757" s="64">
        <v>3</v>
      </c>
      <c r="G757" s="64">
        <v>59</v>
      </c>
      <c r="H757" s="65"/>
      <c r="I757" s="65"/>
      <c r="J757" s="66"/>
      <c r="K757" s="67" t="s">
        <v>797</v>
      </c>
      <c r="L757" s="64"/>
      <c r="M757" s="64"/>
      <c r="N757" s="64"/>
      <c r="O757" s="64"/>
      <c r="P757" s="69">
        <v>44197</v>
      </c>
      <c r="Q757" s="69">
        <v>44561</v>
      </c>
      <c r="R757" s="64"/>
      <c r="S757" s="65"/>
      <c r="T757" s="64"/>
      <c r="U757" s="155">
        <f t="shared" si="160"/>
        <v>35714.285000000003</v>
      </c>
      <c r="V757" s="684">
        <v>0</v>
      </c>
      <c r="W757" s="75"/>
      <c r="X757" s="155">
        <f t="shared" si="161"/>
        <v>35714.285000000003</v>
      </c>
      <c r="Y757" s="834">
        <f t="shared" si="159"/>
        <v>20000</v>
      </c>
      <c r="Z757" s="75"/>
      <c r="AA757" s="75"/>
      <c r="AB757" s="75"/>
      <c r="AC757" s="75"/>
      <c r="AD757" s="75"/>
      <c r="AE757" s="592"/>
      <c r="AF757" s="259"/>
      <c r="AG757" s="504">
        <v>71428.570000000007</v>
      </c>
      <c r="AH757" s="370">
        <f t="shared" ref="AH757:AH762" si="164">142857.14/2</f>
        <v>71428.570000000007</v>
      </c>
      <c r="AI757" s="75"/>
      <c r="AJ757" s="75">
        <f t="shared" si="163"/>
        <v>20000</v>
      </c>
      <c r="AK757" s="75"/>
      <c r="AL757" s="75"/>
      <c r="AM757" s="75"/>
      <c r="AN757" s="64" t="s">
        <v>39</v>
      </c>
      <c r="AO757" s="313" t="s">
        <v>1819</v>
      </c>
      <c r="AP757" s="313" t="s">
        <v>2160</v>
      </c>
      <c r="AQ757" s="408" t="s">
        <v>2161</v>
      </c>
      <c r="AR757" s="69">
        <v>44658</v>
      </c>
      <c r="AS757" s="562">
        <v>45023</v>
      </c>
      <c r="AT757" s="89" t="s">
        <v>2029</v>
      </c>
      <c r="AU757" s="883" t="s">
        <v>2162</v>
      </c>
      <c r="AV757" s="450" t="s">
        <v>796</v>
      </c>
    </row>
    <row r="758" spans="1:48" ht="30" outlineLevel="2" x14ac:dyDescent="0.25">
      <c r="A758" s="63" t="str">
        <f t="shared" si="127"/>
        <v>1.5.1.4.3.60</v>
      </c>
      <c r="B758" s="64">
        <v>1</v>
      </c>
      <c r="C758" s="64">
        <v>5</v>
      </c>
      <c r="D758" s="64">
        <v>1</v>
      </c>
      <c r="E758" s="64">
        <v>4</v>
      </c>
      <c r="F758" s="64">
        <v>3</v>
      </c>
      <c r="G758" s="64">
        <v>60</v>
      </c>
      <c r="H758" s="65"/>
      <c r="I758" s="65"/>
      <c r="J758" s="66"/>
      <c r="K758" s="67" t="s">
        <v>798</v>
      </c>
      <c r="L758" s="64"/>
      <c r="M758" s="64"/>
      <c r="N758" s="64"/>
      <c r="O758" s="64"/>
      <c r="P758" s="69">
        <v>44197</v>
      </c>
      <c r="Q758" s="69">
        <v>44561</v>
      </c>
      <c r="R758" s="64"/>
      <c r="S758" s="65"/>
      <c r="T758" s="64"/>
      <c r="U758" s="155">
        <f t="shared" si="160"/>
        <v>35714.285000000003</v>
      </c>
      <c r="V758" s="684">
        <v>0</v>
      </c>
      <c r="W758" s="75"/>
      <c r="X758" s="155">
        <f t="shared" si="161"/>
        <v>35714.285000000003</v>
      </c>
      <c r="Y758" s="834">
        <f t="shared" si="159"/>
        <v>20000</v>
      </c>
      <c r="Z758" s="75"/>
      <c r="AA758" s="75"/>
      <c r="AB758" s="75"/>
      <c r="AC758" s="75"/>
      <c r="AD758" s="75"/>
      <c r="AE758" s="592"/>
      <c r="AF758" s="259"/>
      <c r="AG758" s="504">
        <v>71428.570000000007</v>
      </c>
      <c r="AH758" s="370">
        <f t="shared" si="164"/>
        <v>71428.570000000007</v>
      </c>
      <c r="AI758" s="75"/>
      <c r="AJ758" s="75">
        <f t="shared" si="163"/>
        <v>20000</v>
      </c>
      <c r="AK758" s="75"/>
      <c r="AL758" s="75"/>
      <c r="AM758" s="75"/>
      <c r="AN758" s="64" t="s">
        <v>39</v>
      </c>
      <c r="AO758" s="313" t="s">
        <v>1819</v>
      </c>
      <c r="AP758" s="313" t="s">
        <v>2160</v>
      </c>
      <c r="AQ758" s="408" t="s">
        <v>2161</v>
      </c>
      <c r="AR758" s="69">
        <v>44658</v>
      </c>
      <c r="AS758" s="562">
        <v>45023</v>
      </c>
      <c r="AT758" s="89" t="s">
        <v>2029</v>
      </c>
      <c r="AU758" s="883" t="s">
        <v>2162</v>
      </c>
      <c r="AV758" s="450" t="s">
        <v>796</v>
      </c>
    </row>
    <row r="759" spans="1:48" ht="30" outlineLevel="2" x14ac:dyDescent="0.25">
      <c r="A759" s="63" t="str">
        <f t="shared" si="127"/>
        <v>1.5.1.4.3.61</v>
      </c>
      <c r="B759" s="64">
        <v>1</v>
      </c>
      <c r="C759" s="64">
        <v>5</v>
      </c>
      <c r="D759" s="64">
        <v>1</v>
      </c>
      <c r="E759" s="64">
        <v>4</v>
      </c>
      <c r="F759" s="64">
        <v>3</v>
      </c>
      <c r="G759" s="64">
        <v>61</v>
      </c>
      <c r="H759" s="65"/>
      <c r="I759" s="65"/>
      <c r="J759" s="66"/>
      <c r="K759" s="67" t="s">
        <v>799</v>
      </c>
      <c r="L759" s="64"/>
      <c r="M759" s="64"/>
      <c r="N759" s="64"/>
      <c r="O759" s="64"/>
      <c r="P759" s="69">
        <v>44197</v>
      </c>
      <c r="Q759" s="69">
        <v>44561</v>
      </c>
      <c r="R759" s="64"/>
      <c r="S759" s="65"/>
      <c r="T759" s="64"/>
      <c r="U759" s="155">
        <f t="shared" si="160"/>
        <v>35714.285000000003</v>
      </c>
      <c r="V759" s="684">
        <v>0</v>
      </c>
      <c r="W759" s="75"/>
      <c r="X759" s="155">
        <f t="shared" si="161"/>
        <v>35714.285000000003</v>
      </c>
      <c r="Y759" s="834">
        <f t="shared" si="159"/>
        <v>20000</v>
      </c>
      <c r="Z759" s="75"/>
      <c r="AA759" s="75"/>
      <c r="AB759" s="75"/>
      <c r="AC759" s="75"/>
      <c r="AD759" s="75"/>
      <c r="AE759" s="592"/>
      <c r="AF759" s="259"/>
      <c r="AG759" s="504">
        <v>71428.570000000007</v>
      </c>
      <c r="AH759" s="370">
        <f t="shared" si="164"/>
        <v>71428.570000000007</v>
      </c>
      <c r="AI759" s="75"/>
      <c r="AJ759" s="75">
        <f t="shared" si="163"/>
        <v>20000</v>
      </c>
      <c r="AK759" s="75"/>
      <c r="AL759" s="75"/>
      <c r="AM759" s="75"/>
      <c r="AN759" s="64" t="s">
        <v>39</v>
      </c>
      <c r="AO759" s="313" t="s">
        <v>1819</v>
      </c>
      <c r="AP759" s="313" t="s">
        <v>2160</v>
      </c>
      <c r="AQ759" s="408" t="s">
        <v>2161</v>
      </c>
      <c r="AR759" s="69">
        <v>44658</v>
      </c>
      <c r="AS759" s="562">
        <v>45023</v>
      </c>
      <c r="AT759" s="89" t="s">
        <v>2029</v>
      </c>
      <c r="AU759" s="883" t="s">
        <v>2162</v>
      </c>
      <c r="AV759" s="450" t="s">
        <v>796</v>
      </c>
    </row>
    <row r="760" spans="1:48" ht="30" outlineLevel="2" x14ac:dyDescent="0.25">
      <c r="A760" s="63" t="str">
        <f t="shared" si="127"/>
        <v>1.5.1.4.3.62</v>
      </c>
      <c r="B760" s="64">
        <v>1</v>
      </c>
      <c r="C760" s="64">
        <v>5</v>
      </c>
      <c r="D760" s="64">
        <v>1</v>
      </c>
      <c r="E760" s="64">
        <v>4</v>
      </c>
      <c r="F760" s="64">
        <v>3</v>
      </c>
      <c r="G760" s="64">
        <v>62</v>
      </c>
      <c r="H760" s="65"/>
      <c r="I760" s="65"/>
      <c r="J760" s="66"/>
      <c r="K760" s="67" t="s">
        <v>800</v>
      </c>
      <c r="L760" s="64"/>
      <c r="M760" s="64"/>
      <c r="N760" s="64"/>
      <c r="O760" s="64"/>
      <c r="P760" s="69">
        <v>44197</v>
      </c>
      <c r="Q760" s="69">
        <v>44561</v>
      </c>
      <c r="R760" s="64"/>
      <c r="S760" s="65"/>
      <c r="T760" s="64"/>
      <c r="U760" s="155">
        <f t="shared" si="160"/>
        <v>35714.285000000003</v>
      </c>
      <c r="V760" s="684">
        <v>0</v>
      </c>
      <c r="W760" s="75"/>
      <c r="X760" s="155">
        <f t="shared" si="161"/>
        <v>35714.285000000003</v>
      </c>
      <c r="Y760" s="834">
        <f t="shared" si="159"/>
        <v>20000</v>
      </c>
      <c r="Z760" s="75"/>
      <c r="AA760" s="75"/>
      <c r="AB760" s="75"/>
      <c r="AC760" s="75"/>
      <c r="AD760" s="75"/>
      <c r="AE760" s="592"/>
      <c r="AF760" s="259"/>
      <c r="AG760" s="504">
        <v>71428.570000000007</v>
      </c>
      <c r="AH760" s="370">
        <f t="shared" si="164"/>
        <v>71428.570000000007</v>
      </c>
      <c r="AI760" s="75"/>
      <c r="AJ760" s="75">
        <f t="shared" si="163"/>
        <v>20000</v>
      </c>
      <c r="AK760" s="75"/>
      <c r="AL760" s="75"/>
      <c r="AM760" s="75"/>
      <c r="AN760" s="64" t="s">
        <v>39</v>
      </c>
      <c r="AO760" s="313" t="s">
        <v>1819</v>
      </c>
      <c r="AP760" s="313" t="s">
        <v>2160</v>
      </c>
      <c r="AQ760" s="408" t="s">
        <v>2161</v>
      </c>
      <c r="AR760" s="69">
        <v>44658</v>
      </c>
      <c r="AS760" s="562">
        <v>45023</v>
      </c>
      <c r="AT760" s="89" t="s">
        <v>2029</v>
      </c>
      <c r="AU760" s="883" t="s">
        <v>2162</v>
      </c>
      <c r="AV760" s="450" t="s">
        <v>796</v>
      </c>
    </row>
    <row r="761" spans="1:48" ht="30" outlineLevel="2" x14ac:dyDescent="0.25">
      <c r="A761" s="63" t="str">
        <f t="shared" si="127"/>
        <v>1.5.1.4.3.63</v>
      </c>
      <c r="B761" s="64">
        <v>1</v>
      </c>
      <c r="C761" s="64">
        <v>5</v>
      </c>
      <c r="D761" s="64">
        <v>1</v>
      </c>
      <c r="E761" s="64">
        <v>4</v>
      </c>
      <c r="F761" s="64">
        <v>3</v>
      </c>
      <c r="G761" s="64">
        <v>63</v>
      </c>
      <c r="H761" s="65"/>
      <c r="I761" s="65"/>
      <c r="J761" s="66"/>
      <c r="K761" s="67" t="s">
        <v>1755</v>
      </c>
      <c r="L761" s="64"/>
      <c r="M761" s="64"/>
      <c r="N761" s="64"/>
      <c r="O761" s="64"/>
      <c r="P761" s="69">
        <v>44197</v>
      </c>
      <c r="Q761" s="69">
        <v>44561</v>
      </c>
      <c r="R761" s="64"/>
      <c r="S761" s="65"/>
      <c r="T761" s="64"/>
      <c r="U761" s="155">
        <f t="shared" si="160"/>
        <v>35714.285000000003</v>
      </c>
      <c r="V761" s="684">
        <v>0</v>
      </c>
      <c r="W761" s="75"/>
      <c r="X761" s="155">
        <f t="shared" si="161"/>
        <v>35714.285000000003</v>
      </c>
      <c r="Y761" s="834">
        <f t="shared" si="159"/>
        <v>20000</v>
      </c>
      <c r="Z761" s="75"/>
      <c r="AA761" s="75"/>
      <c r="AB761" s="75"/>
      <c r="AC761" s="75"/>
      <c r="AD761" s="75"/>
      <c r="AE761" s="592"/>
      <c r="AF761" s="259"/>
      <c r="AG761" s="504">
        <v>71428.570000000007</v>
      </c>
      <c r="AH761" s="370">
        <f t="shared" si="164"/>
        <v>71428.570000000007</v>
      </c>
      <c r="AI761" s="75"/>
      <c r="AJ761" s="75">
        <f t="shared" si="163"/>
        <v>20000</v>
      </c>
      <c r="AK761" s="75"/>
      <c r="AL761" s="75"/>
      <c r="AM761" s="75"/>
      <c r="AN761" s="64" t="s">
        <v>39</v>
      </c>
      <c r="AO761" s="313" t="s">
        <v>1819</v>
      </c>
      <c r="AP761" s="313" t="s">
        <v>2160</v>
      </c>
      <c r="AQ761" s="408" t="s">
        <v>2161</v>
      </c>
      <c r="AR761" s="69">
        <v>44658</v>
      </c>
      <c r="AS761" s="562">
        <v>45023</v>
      </c>
      <c r="AT761" s="89" t="s">
        <v>2029</v>
      </c>
      <c r="AU761" s="883" t="s">
        <v>2162</v>
      </c>
      <c r="AV761" s="450" t="s">
        <v>796</v>
      </c>
    </row>
    <row r="762" spans="1:48" ht="30" outlineLevel="2" x14ac:dyDescent="0.25">
      <c r="A762" s="63" t="str">
        <f t="shared" si="127"/>
        <v>1.5.1.4.3.64</v>
      </c>
      <c r="B762" s="64">
        <v>1</v>
      </c>
      <c r="C762" s="64">
        <v>5</v>
      </c>
      <c r="D762" s="64">
        <v>1</v>
      </c>
      <c r="E762" s="64">
        <v>4</v>
      </c>
      <c r="F762" s="64">
        <v>3</v>
      </c>
      <c r="G762" s="64">
        <v>64</v>
      </c>
      <c r="H762" s="65"/>
      <c r="I762" s="65"/>
      <c r="J762" s="66"/>
      <c r="K762" s="67" t="s">
        <v>801</v>
      </c>
      <c r="L762" s="64"/>
      <c r="M762" s="64"/>
      <c r="N762" s="64"/>
      <c r="O762" s="64"/>
      <c r="P762" s="69">
        <v>44197</v>
      </c>
      <c r="Q762" s="69">
        <v>44561</v>
      </c>
      <c r="R762" s="64"/>
      <c r="S762" s="65"/>
      <c r="T762" s="64"/>
      <c r="U762" s="155">
        <f t="shared" si="160"/>
        <v>35714.285000000003</v>
      </c>
      <c r="V762" s="684">
        <v>0</v>
      </c>
      <c r="W762" s="75"/>
      <c r="X762" s="155">
        <f t="shared" si="161"/>
        <v>35714.285000000003</v>
      </c>
      <c r="Y762" s="834">
        <f t="shared" si="159"/>
        <v>20000</v>
      </c>
      <c r="Z762" s="75"/>
      <c r="AA762" s="75"/>
      <c r="AB762" s="75"/>
      <c r="AC762" s="75"/>
      <c r="AD762" s="75"/>
      <c r="AE762" s="592"/>
      <c r="AF762" s="259"/>
      <c r="AG762" s="504">
        <v>71428.570000000007</v>
      </c>
      <c r="AH762" s="370">
        <f t="shared" si="164"/>
        <v>71428.570000000007</v>
      </c>
      <c r="AI762" s="75"/>
      <c r="AJ762" s="75">
        <f t="shared" si="163"/>
        <v>20000</v>
      </c>
      <c r="AK762" s="75"/>
      <c r="AL762" s="75"/>
      <c r="AM762" s="75"/>
      <c r="AN762" s="64" t="s">
        <v>39</v>
      </c>
      <c r="AO762" s="313" t="s">
        <v>1819</v>
      </c>
      <c r="AP762" s="313" t="s">
        <v>2160</v>
      </c>
      <c r="AQ762" s="408" t="s">
        <v>2161</v>
      </c>
      <c r="AR762" s="69">
        <v>44658</v>
      </c>
      <c r="AS762" s="562">
        <v>45023</v>
      </c>
      <c r="AT762" s="89" t="s">
        <v>2029</v>
      </c>
      <c r="AU762" s="883" t="s">
        <v>2162</v>
      </c>
      <c r="AV762" s="450" t="s">
        <v>796</v>
      </c>
    </row>
    <row r="763" spans="1:48" s="153" customFormat="1" ht="31.5" customHeight="1" outlineLevel="1" x14ac:dyDescent="0.25">
      <c r="A763" s="148" t="str">
        <f t="shared" si="127"/>
        <v>1.5.1.5.0.0</v>
      </c>
      <c r="B763" s="82">
        <v>1</v>
      </c>
      <c r="C763" s="82">
        <v>5</v>
      </c>
      <c r="D763" s="82">
        <v>1</v>
      </c>
      <c r="E763" s="82">
        <v>5</v>
      </c>
      <c r="F763" s="82">
        <v>0</v>
      </c>
      <c r="G763" s="82">
        <v>0</v>
      </c>
      <c r="H763" s="149"/>
      <c r="I763" s="149"/>
      <c r="J763" s="1289" t="s">
        <v>802</v>
      </c>
      <c r="K763" s="1290"/>
      <c r="L763" s="82" t="s">
        <v>236</v>
      </c>
      <c r="M763" s="82" t="s">
        <v>422</v>
      </c>
      <c r="N763" s="82">
        <v>0</v>
      </c>
      <c r="O763" s="82">
        <v>0</v>
      </c>
      <c r="P763" s="82"/>
      <c r="Q763" s="82"/>
      <c r="R763" s="82"/>
      <c r="S763" s="149"/>
      <c r="T763" s="82"/>
      <c r="U763" s="379">
        <f t="shared" ref="U763:AG763" si="165">+SUM(U764:U770)</f>
        <v>0</v>
      </c>
      <c r="V763" s="682">
        <f t="shared" si="165"/>
        <v>0</v>
      </c>
      <c r="W763" s="379">
        <f t="shared" si="165"/>
        <v>1</v>
      </c>
      <c r="X763" s="379">
        <f t="shared" si="165"/>
        <v>0</v>
      </c>
      <c r="Y763" s="845">
        <f t="shared" si="165"/>
        <v>0</v>
      </c>
      <c r="Z763" s="379">
        <f t="shared" si="165"/>
        <v>0</v>
      </c>
      <c r="AA763" s="379">
        <f t="shared" si="165"/>
        <v>0</v>
      </c>
      <c r="AB763" s="379">
        <f t="shared" si="165"/>
        <v>0</v>
      </c>
      <c r="AC763" s="379">
        <f t="shared" si="165"/>
        <v>0</v>
      </c>
      <c r="AD763" s="379">
        <f t="shared" si="165"/>
        <v>0</v>
      </c>
      <c r="AE763" s="379">
        <f t="shared" si="165"/>
        <v>0</v>
      </c>
      <c r="AF763" s="379">
        <f t="shared" si="165"/>
        <v>0</v>
      </c>
      <c r="AG763" s="379">
        <f t="shared" si="165"/>
        <v>0</v>
      </c>
      <c r="AH763" s="379">
        <f>+SUM(AH764:AH770)</f>
        <v>0</v>
      </c>
      <c r="AI763" s="512">
        <f>+SUM(AI764:AI770)</f>
        <v>0</v>
      </c>
      <c r="AJ763" s="512">
        <f>+SUM(AJ764:AJ770)</f>
        <v>0</v>
      </c>
      <c r="AK763" s="152"/>
      <c r="AL763" s="152"/>
      <c r="AM763" s="152"/>
      <c r="AN763" s="82" t="s">
        <v>39</v>
      </c>
      <c r="AO763" s="82"/>
      <c r="AP763" s="82"/>
      <c r="AQ763" s="365"/>
      <c r="AR763" s="82"/>
      <c r="AS763" s="483"/>
      <c r="AT763" s="82"/>
      <c r="AU763" s="666"/>
      <c r="AV763" s="444"/>
    </row>
    <row r="764" spans="1:48" ht="15" customHeight="1" outlineLevel="2" x14ac:dyDescent="0.25">
      <c r="A764" s="63" t="str">
        <f t="shared" si="127"/>
        <v>1.5.1.5.1.58</v>
      </c>
      <c r="B764" s="64">
        <v>1</v>
      </c>
      <c r="C764" s="64">
        <v>5</v>
      </c>
      <c r="D764" s="64">
        <v>1</v>
      </c>
      <c r="E764" s="64">
        <v>5</v>
      </c>
      <c r="F764" s="64">
        <v>1</v>
      </c>
      <c r="G764" s="64">
        <v>58</v>
      </c>
      <c r="H764" s="65"/>
      <c r="I764" s="65"/>
      <c r="J764" s="65"/>
      <c r="K764" s="65" t="s">
        <v>803</v>
      </c>
      <c r="L764" s="64" t="s">
        <v>236</v>
      </c>
      <c r="M764" s="64" t="s">
        <v>422</v>
      </c>
      <c r="N764" s="64" t="s">
        <v>699</v>
      </c>
      <c r="O764" s="64" t="s">
        <v>700</v>
      </c>
      <c r="P764" s="69">
        <v>44257</v>
      </c>
      <c r="Q764" s="69">
        <v>44346</v>
      </c>
      <c r="R764" s="64">
        <v>1</v>
      </c>
      <c r="S764" s="65"/>
      <c r="T764" s="64"/>
      <c r="U764" s="75"/>
      <c r="V764" s="684">
        <v>0</v>
      </c>
      <c r="W764" s="75">
        <v>1</v>
      </c>
      <c r="X764" s="75"/>
      <c r="Y764" s="834">
        <f t="shared" ref="Y764:Y770" si="166">+AJ764-V764</f>
        <v>0</v>
      </c>
      <c r="Z764" s="75"/>
      <c r="AA764" s="75"/>
      <c r="AB764" s="75"/>
      <c r="AC764" s="75"/>
      <c r="AD764" s="75"/>
      <c r="AE764" s="592"/>
      <c r="AF764" s="259" t="s">
        <v>804</v>
      </c>
      <c r="AG764" s="510">
        <v>0</v>
      </c>
      <c r="AH764" s="370">
        <v>0</v>
      </c>
      <c r="AI764" s="154"/>
      <c r="AJ764" s="154"/>
      <c r="AK764" s="154"/>
      <c r="AL764" s="154"/>
      <c r="AM764" s="154"/>
      <c r="AN764" s="64" t="s">
        <v>282</v>
      </c>
      <c r="AO764" s="64"/>
      <c r="AP764" s="64"/>
      <c r="AQ764" s="189"/>
      <c r="AR764" s="64"/>
      <c r="AS764" s="476"/>
      <c r="AT764" s="64"/>
      <c r="AU764" s="646"/>
      <c r="AV764" s="185"/>
    </row>
    <row r="765" spans="1:48" ht="15" customHeight="1" outlineLevel="2" x14ac:dyDescent="0.25">
      <c r="A765" s="63" t="str">
        <f t="shared" si="127"/>
        <v>1.5.1.5.1.59</v>
      </c>
      <c r="B765" s="64">
        <v>1</v>
      </c>
      <c r="C765" s="64">
        <v>5</v>
      </c>
      <c r="D765" s="64">
        <v>1</v>
      </c>
      <c r="E765" s="64">
        <v>5</v>
      </c>
      <c r="F765" s="64">
        <v>1</v>
      </c>
      <c r="G765" s="64">
        <v>59</v>
      </c>
      <c r="H765" s="65"/>
      <c r="I765" s="65"/>
      <c r="J765" s="65"/>
      <c r="K765" s="65" t="s">
        <v>805</v>
      </c>
      <c r="L765" s="64" t="s">
        <v>236</v>
      </c>
      <c r="M765" s="64" t="s">
        <v>422</v>
      </c>
      <c r="N765" s="64" t="s">
        <v>699</v>
      </c>
      <c r="O765" s="64" t="s">
        <v>700</v>
      </c>
      <c r="P765" s="69"/>
      <c r="Q765" s="69"/>
      <c r="R765" s="64"/>
      <c r="S765" s="65"/>
      <c r="T765" s="64"/>
      <c r="U765" s="75"/>
      <c r="V765" s="684">
        <v>0</v>
      </c>
      <c r="W765" s="75"/>
      <c r="X765" s="75"/>
      <c r="Y765" s="834">
        <f t="shared" si="166"/>
        <v>0</v>
      </c>
      <c r="Z765" s="75"/>
      <c r="AA765" s="75"/>
      <c r="AB765" s="75"/>
      <c r="AC765" s="75"/>
      <c r="AD765" s="75"/>
      <c r="AE765" s="592"/>
      <c r="AF765" s="259"/>
      <c r="AG765" s="510">
        <v>0</v>
      </c>
      <c r="AH765" s="370">
        <v>0</v>
      </c>
      <c r="AI765" s="154"/>
      <c r="AJ765" s="154"/>
      <c r="AK765" s="154"/>
      <c r="AL765" s="154"/>
      <c r="AM765" s="154"/>
      <c r="AN765" s="64" t="s">
        <v>282</v>
      </c>
      <c r="AO765" s="64"/>
      <c r="AP765" s="64"/>
      <c r="AQ765" s="189"/>
      <c r="AR765" s="64"/>
      <c r="AS765" s="476"/>
      <c r="AT765" s="64"/>
      <c r="AU765" s="646"/>
      <c r="AV765" s="185"/>
    </row>
    <row r="766" spans="1:48" ht="15" customHeight="1" outlineLevel="2" x14ac:dyDescent="0.25">
      <c r="A766" s="63" t="str">
        <f t="shared" si="127"/>
        <v>1.5.1.5.1.60</v>
      </c>
      <c r="B766" s="64">
        <v>1</v>
      </c>
      <c r="C766" s="64">
        <v>5</v>
      </c>
      <c r="D766" s="64">
        <v>1</v>
      </c>
      <c r="E766" s="64">
        <v>5</v>
      </c>
      <c r="F766" s="64">
        <v>1</v>
      </c>
      <c r="G766" s="64">
        <v>60</v>
      </c>
      <c r="H766" s="65"/>
      <c r="I766" s="65"/>
      <c r="J766" s="65"/>
      <c r="K766" s="65" t="s">
        <v>806</v>
      </c>
      <c r="L766" s="64" t="s">
        <v>236</v>
      </c>
      <c r="M766" s="64" t="s">
        <v>422</v>
      </c>
      <c r="N766" s="64" t="s">
        <v>699</v>
      </c>
      <c r="O766" s="64" t="s">
        <v>700</v>
      </c>
      <c r="P766" s="69"/>
      <c r="Q766" s="69"/>
      <c r="R766" s="64"/>
      <c r="S766" s="65"/>
      <c r="T766" s="64"/>
      <c r="U766" s="75"/>
      <c r="V766" s="684">
        <v>0</v>
      </c>
      <c r="W766" s="75"/>
      <c r="X766" s="75"/>
      <c r="Y766" s="834">
        <f t="shared" si="166"/>
        <v>0</v>
      </c>
      <c r="Z766" s="75"/>
      <c r="AA766" s="75"/>
      <c r="AB766" s="75"/>
      <c r="AC766" s="75"/>
      <c r="AD766" s="75"/>
      <c r="AE766" s="592"/>
      <c r="AF766" s="259"/>
      <c r="AG766" s="510">
        <v>0</v>
      </c>
      <c r="AH766" s="370">
        <v>0</v>
      </c>
      <c r="AI766" s="154"/>
      <c r="AJ766" s="154"/>
      <c r="AK766" s="154"/>
      <c r="AL766" s="154"/>
      <c r="AM766" s="154"/>
      <c r="AN766" s="64" t="s">
        <v>282</v>
      </c>
      <c r="AO766" s="64"/>
      <c r="AP766" s="64"/>
      <c r="AQ766" s="189"/>
      <c r="AR766" s="64"/>
      <c r="AS766" s="476"/>
      <c r="AT766" s="64"/>
      <c r="AU766" s="646"/>
      <c r="AV766" s="185"/>
    </row>
    <row r="767" spans="1:48" ht="15" customHeight="1" outlineLevel="2" x14ac:dyDescent="0.25">
      <c r="A767" s="63" t="str">
        <f t="shared" si="127"/>
        <v>1.5.1.5.1.61</v>
      </c>
      <c r="B767" s="64">
        <v>1</v>
      </c>
      <c r="C767" s="64">
        <v>5</v>
      </c>
      <c r="D767" s="64">
        <v>1</v>
      </c>
      <c r="E767" s="64">
        <v>5</v>
      </c>
      <c r="F767" s="64">
        <v>1</v>
      </c>
      <c r="G767" s="64">
        <v>61</v>
      </c>
      <c r="H767" s="65"/>
      <c r="I767" s="65"/>
      <c r="J767" s="65"/>
      <c r="K767" s="65" t="s">
        <v>807</v>
      </c>
      <c r="L767" s="64" t="s">
        <v>236</v>
      </c>
      <c r="M767" s="64" t="s">
        <v>422</v>
      </c>
      <c r="N767" s="64" t="s">
        <v>699</v>
      </c>
      <c r="O767" s="64" t="s">
        <v>700</v>
      </c>
      <c r="P767" s="69"/>
      <c r="Q767" s="69"/>
      <c r="R767" s="64"/>
      <c r="S767" s="65"/>
      <c r="T767" s="64"/>
      <c r="U767" s="75"/>
      <c r="V767" s="684">
        <v>0</v>
      </c>
      <c r="W767" s="75"/>
      <c r="X767" s="75"/>
      <c r="Y767" s="834">
        <f t="shared" si="166"/>
        <v>0</v>
      </c>
      <c r="Z767" s="75"/>
      <c r="AA767" s="75"/>
      <c r="AB767" s="75"/>
      <c r="AC767" s="75"/>
      <c r="AD767" s="75"/>
      <c r="AE767" s="592"/>
      <c r="AF767" s="259"/>
      <c r="AG767" s="510">
        <v>0</v>
      </c>
      <c r="AH767" s="370">
        <v>0</v>
      </c>
      <c r="AI767" s="154"/>
      <c r="AJ767" s="154"/>
      <c r="AK767" s="154"/>
      <c r="AL767" s="154"/>
      <c r="AM767" s="154"/>
      <c r="AN767" s="64" t="s">
        <v>282</v>
      </c>
      <c r="AO767" s="64"/>
      <c r="AP767" s="64"/>
      <c r="AQ767" s="189"/>
      <c r="AR767" s="64"/>
      <c r="AS767" s="476"/>
      <c r="AT767" s="64"/>
      <c r="AU767" s="646"/>
      <c r="AV767" s="185"/>
    </row>
    <row r="768" spans="1:48" ht="15" customHeight="1" outlineLevel="2" x14ac:dyDescent="0.25">
      <c r="A768" s="63" t="str">
        <f t="shared" si="127"/>
        <v>1.5.1.5.1.62</v>
      </c>
      <c r="B768" s="64">
        <v>1</v>
      </c>
      <c r="C768" s="64">
        <v>5</v>
      </c>
      <c r="D768" s="64">
        <v>1</v>
      </c>
      <c r="E768" s="64">
        <v>5</v>
      </c>
      <c r="F768" s="64">
        <v>1</v>
      </c>
      <c r="G768" s="64">
        <v>62</v>
      </c>
      <c r="H768" s="65"/>
      <c r="I768" s="65"/>
      <c r="J768" s="65"/>
      <c r="K768" s="65" t="s">
        <v>808</v>
      </c>
      <c r="L768" s="64" t="s">
        <v>236</v>
      </c>
      <c r="M768" s="64" t="s">
        <v>422</v>
      </c>
      <c r="N768" s="64" t="s">
        <v>699</v>
      </c>
      <c r="O768" s="64" t="s">
        <v>700</v>
      </c>
      <c r="P768" s="69"/>
      <c r="Q768" s="69"/>
      <c r="R768" s="64"/>
      <c r="S768" s="65"/>
      <c r="T768" s="64"/>
      <c r="U768" s="75"/>
      <c r="V768" s="684">
        <v>0</v>
      </c>
      <c r="W768" s="75"/>
      <c r="X768" s="75"/>
      <c r="Y768" s="834">
        <f t="shared" si="166"/>
        <v>0</v>
      </c>
      <c r="Z768" s="75"/>
      <c r="AA768" s="75"/>
      <c r="AB768" s="75"/>
      <c r="AC768" s="75"/>
      <c r="AD768" s="75"/>
      <c r="AE768" s="592"/>
      <c r="AF768" s="259"/>
      <c r="AG768" s="510">
        <v>0</v>
      </c>
      <c r="AH768" s="370">
        <v>0</v>
      </c>
      <c r="AI768" s="154"/>
      <c r="AJ768" s="154"/>
      <c r="AK768" s="154"/>
      <c r="AL768" s="154"/>
      <c r="AM768" s="154"/>
      <c r="AN768" s="64" t="s">
        <v>282</v>
      </c>
      <c r="AO768" s="64"/>
      <c r="AP768" s="64"/>
      <c r="AQ768" s="189"/>
      <c r="AR768" s="64"/>
      <c r="AS768" s="476"/>
      <c r="AT768" s="64"/>
      <c r="AU768" s="646"/>
      <c r="AV768" s="185"/>
    </row>
    <row r="769" spans="1:48" ht="15" customHeight="1" outlineLevel="2" x14ac:dyDescent="0.25">
      <c r="A769" s="63" t="str">
        <f t="shared" si="127"/>
        <v>1.5.1.5.1.63</v>
      </c>
      <c r="B769" s="64">
        <v>1</v>
      </c>
      <c r="C769" s="64">
        <v>5</v>
      </c>
      <c r="D769" s="64">
        <v>1</v>
      </c>
      <c r="E769" s="64">
        <v>5</v>
      </c>
      <c r="F769" s="64">
        <v>1</v>
      </c>
      <c r="G769" s="64">
        <v>63</v>
      </c>
      <c r="H769" s="65"/>
      <c r="I769" s="65"/>
      <c r="J769" s="65"/>
      <c r="K769" s="65" t="s">
        <v>1756</v>
      </c>
      <c r="L769" s="64" t="s">
        <v>236</v>
      </c>
      <c r="M769" s="64" t="s">
        <v>422</v>
      </c>
      <c r="N769" s="64" t="s">
        <v>699</v>
      </c>
      <c r="O769" s="64" t="s">
        <v>700</v>
      </c>
      <c r="P769" s="69"/>
      <c r="Q769" s="69"/>
      <c r="R769" s="64"/>
      <c r="S769" s="65"/>
      <c r="T769" s="64"/>
      <c r="U769" s="75"/>
      <c r="V769" s="684">
        <v>0</v>
      </c>
      <c r="W769" s="75"/>
      <c r="X769" s="75"/>
      <c r="Y769" s="834">
        <f t="shared" si="166"/>
        <v>0</v>
      </c>
      <c r="Z769" s="75"/>
      <c r="AA769" s="75"/>
      <c r="AB769" s="75"/>
      <c r="AC769" s="75"/>
      <c r="AD769" s="75"/>
      <c r="AE769" s="592"/>
      <c r="AF769" s="259"/>
      <c r="AG769" s="510">
        <v>0</v>
      </c>
      <c r="AH769" s="370">
        <v>0</v>
      </c>
      <c r="AI769" s="154"/>
      <c r="AJ769" s="154"/>
      <c r="AK769" s="154"/>
      <c r="AL769" s="154"/>
      <c r="AM769" s="154"/>
      <c r="AN769" s="64" t="s">
        <v>282</v>
      </c>
      <c r="AO769" s="64"/>
      <c r="AP769" s="64"/>
      <c r="AQ769" s="189"/>
      <c r="AR769" s="64"/>
      <c r="AS769" s="476"/>
      <c r="AT769" s="64"/>
      <c r="AU769" s="646"/>
      <c r="AV769" s="185"/>
    </row>
    <row r="770" spans="1:48" ht="15" customHeight="1" outlineLevel="2" x14ac:dyDescent="0.25">
      <c r="A770" s="63" t="str">
        <f t="shared" si="127"/>
        <v>1.5.1.5.1.64</v>
      </c>
      <c r="B770" s="64">
        <v>1</v>
      </c>
      <c r="C770" s="64">
        <v>5</v>
      </c>
      <c r="D770" s="64">
        <v>1</v>
      </c>
      <c r="E770" s="64">
        <v>5</v>
      </c>
      <c r="F770" s="64">
        <v>1</v>
      </c>
      <c r="G770" s="64">
        <v>64</v>
      </c>
      <c r="H770" s="65"/>
      <c r="I770" s="65"/>
      <c r="J770" s="65"/>
      <c r="K770" s="65" t="s">
        <v>809</v>
      </c>
      <c r="L770" s="64" t="s">
        <v>236</v>
      </c>
      <c r="M770" s="64" t="s">
        <v>422</v>
      </c>
      <c r="N770" s="64" t="s">
        <v>699</v>
      </c>
      <c r="O770" s="64" t="s">
        <v>700</v>
      </c>
      <c r="P770" s="69"/>
      <c r="Q770" s="69"/>
      <c r="R770" s="64"/>
      <c r="S770" s="65"/>
      <c r="T770" s="64"/>
      <c r="U770" s="75"/>
      <c r="V770" s="684">
        <v>0</v>
      </c>
      <c r="W770" s="75"/>
      <c r="X770" s="75"/>
      <c r="Y770" s="834">
        <f t="shared" si="166"/>
        <v>0</v>
      </c>
      <c r="Z770" s="75"/>
      <c r="AA770" s="75"/>
      <c r="AB770" s="75"/>
      <c r="AC770" s="75"/>
      <c r="AD770" s="75"/>
      <c r="AE770" s="592"/>
      <c r="AF770" s="259"/>
      <c r="AG770" s="510">
        <v>0</v>
      </c>
      <c r="AH770" s="370">
        <v>0</v>
      </c>
      <c r="AI770" s="154"/>
      <c r="AJ770" s="154"/>
      <c r="AK770" s="154"/>
      <c r="AL770" s="154"/>
      <c r="AM770" s="154"/>
      <c r="AN770" s="64" t="s">
        <v>282</v>
      </c>
      <c r="AO770" s="64"/>
      <c r="AP770" s="64"/>
      <c r="AQ770" s="189"/>
      <c r="AR770" s="64"/>
      <c r="AS770" s="476"/>
      <c r="AT770" s="64"/>
      <c r="AU770" s="646"/>
      <c r="AV770" s="185"/>
    </row>
    <row r="771" spans="1:48" s="107" customFormat="1" ht="34.5" customHeight="1" outlineLevel="1" x14ac:dyDescent="0.25">
      <c r="A771" s="173" t="str">
        <f t="shared" si="127"/>
        <v>1.5.1.6.0.0</v>
      </c>
      <c r="B771" s="82">
        <v>1</v>
      </c>
      <c r="C771" s="82">
        <v>5</v>
      </c>
      <c r="D771" s="82">
        <v>1</v>
      </c>
      <c r="E771" s="82">
        <v>6</v>
      </c>
      <c r="F771" s="82">
        <v>0</v>
      </c>
      <c r="G771" s="82">
        <v>0</v>
      </c>
      <c r="H771" s="149"/>
      <c r="I771" s="149"/>
      <c r="J771" s="1289" t="s">
        <v>810</v>
      </c>
      <c r="K771" s="1290"/>
      <c r="L771" s="81" t="s">
        <v>811</v>
      </c>
      <c r="M771" s="174"/>
      <c r="N771" s="81"/>
      <c r="O771" s="81"/>
      <c r="P771" s="81"/>
      <c r="Q771" s="173"/>
      <c r="R771" s="81"/>
      <c r="S771" s="173"/>
      <c r="T771" s="81"/>
      <c r="U771" s="379">
        <f t="shared" ref="U771:AG771" si="167">SUM(U772)</f>
        <v>0</v>
      </c>
      <c r="V771" s="682">
        <f t="shared" si="167"/>
        <v>0</v>
      </c>
      <c r="W771" s="379">
        <f t="shared" si="167"/>
        <v>0</v>
      </c>
      <c r="X771" s="379">
        <f t="shared" si="167"/>
        <v>0</v>
      </c>
      <c r="Y771" s="845">
        <f t="shared" si="167"/>
        <v>0</v>
      </c>
      <c r="Z771" s="379">
        <f t="shared" si="167"/>
        <v>0</v>
      </c>
      <c r="AA771" s="379">
        <f t="shared" si="167"/>
        <v>0</v>
      </c>
      <c r="AB771" s="379">
        <f t="shared" si="167"/>
        <v>0</v>
      </c>
      <c r="AC771" s="379">
        <f t="shared" si="167"/>
        <v>0</v>
      </c>
      <c r="AD771" s="379">
        <f t="shared" si="167"/>
        <v>0</v>
      </c>
      <c r="AE771" s="379">
        <f t="shared" si="167"/>
        <v>0</v>
      </c>
      <c r="AF771" s="379">
        <f t="shared" si="167"/>
        <v>0</v>
      </c>
      <c r="AG771" s="379">
        <f t="shared" si="167"/>
        <v>0</v>
      </c>
      <c r="AH771" s="379">
        <f>SUM(AH772)</f>
        <v>0</v>
      </c>
      <c r="AI771" s="152"/>
      <c r="AJ771" s="152"/>
      <c r="AK771" s="152"/>
      <c r="AL771" s="152"/>
      <c r="AM771" s="152"/>
      <c r="AN771" s="82" t="s">
        <v>39</v>
      </c>
      <c r="AO771" s="82"/>
      <c r="AP771" s="82"/>
      <c r="AQ771" s="365"/>
      <c r="AR771" s="82"/>
      <c r="AS771" s="483"/>
      <c r="AT771" s="82"/>
      <c r="AU771" s="666"/>
      <c r="AV771" s="444"/>
    </row>
    <row r="772" spans="1:48" s="212" customFormat="1" ht="27" customHeight="1" outlineLevel="2" x14ac:dyDescent="0.25">
      <c r="A772" s="210" t="str">
        <f t="shared" si="127"/>
        <v>1.5.1.6.1.0</v>
      </c>
      <c r="B772" s="136">
        <v>1</v>
      </c>
      <c r="C772" s="136">
        <v>5</v>
      </c>
      <c r="D772" s="136">
        <v>1</v>
      </c>
      <c r="E772" s="136">
        <v>6</v>
      </c>
      <c r="F772" s="136">
        <v>1</v>
      </c>
      <c r="G772" s="136">
        <v>0</v>
      </c>
      <c r="H772" s="125"/>
      <c r="I772" s="125"/>
      <c r="J772" s="213"/>
      <c r="K772" s="125" t="s">
        <v>812</v>
      </c>
      <c r="L772" s="136" t="s">
        <v>813</v>
      </c>
      <c r="M772" s="136" t="s">
        <v>814</v>
      </c>
      <c r="N772" s="136" t="s">
        <v>180</v>
      </c>
      <c r="O772" s="136" t="s">
        <v>179</v>
      </c>
      <c r="P772" s="136"/>
      <c r="Q772" s="214"/>
      <c r="R772" s="136">
        <f>T772+W772+Z772+AC772</f>
        <v>1</v>
      </c>
      <c r="S772" s="125" t="s">
        <v>76</v>
      </c>
      <c r="T772" s="136">
        <v>1</v>
      </c>
      <c r="U772" s="132">
        <v>0</v>
      </c>
      <c r="V772" s="674">
        <v>0</v>
      </c>
      <c r="W772" s="132">
        <v>0</v>
      </c>
      <c r="X772" s="132"/>
      <c r="Y772" s="834">
        <f>+AJ772-V772</f>
        <v>0</v>
      </c>
      <c r="Z772" s="132">
        <v>0</v>
      </c>
      <c r="AA772" s="132"/>
      <c r="AB772" s="132"/>
      <c r="AC772" s="132">
        <v>0</v>
      </c>
      <c r="AD772" s="132"/>
      <c r="AE772" s="598"/>
      <c r="AF772" s="349" t="s">
        <v>76</v>
      </c>
      <c r="AG772" s="510">
        <v>0</v>
      </c>
      <c r="AH772" s="370">
        <v>0</v>
      </c>
      <c r="AI772" s="75"/>
      <c r="AJ772" s="75"/>
      <c r="AK772" s="75"/>
      <c r="AL772" s="75"/>
      <c r="AM772" s="75"/>
      <c r="AN772" s="136" t="s">
        <v>39</v>
      </c>
      <c r="AO772" s="136"/>
      <c r="AP772" s="136"/>
      <c r="AQ772" s="414"/>
      <c r="AR772" s="136"/>
      <c r="AS772" s="477"/>
      <c r="AT772" s="136"/>
      <c r="AU772" s="646"/>
      <c r="AV772" s="448"/>
    </row>
    <row r="773" spans="1:48" s="153" customFormat="1" ht="34.5" customHeight="1" outlineLevel="1" x14ac:dyDescent="0.25">
      <c r="A773" s="743" t="str">
        <f t="shared" si="127"/>
        <v>1.6.1.0.0.0</v>
      </c>
      <c r="B773" s="109">
        <v>1</v>
      </c>
      <c r="C773" s="109">
        <v>6</v>
      </c>
      <c r="D773" s="109">
        <v>1</v>
      </c>
      <c r="E773" s="109">
        <v>0</v>
      </c>
      <c r="F773" s="109">
        <v>0</v>
      </c>
      <c r="G773" s="109">
        <v>0</v>
      </c>
      <c r="H773" s="748"/>
      <c r="I773" s="1328" t="s">
        <v>815</v>
      </c>
      <c r="J773" s="1329"/>
      <c r="K773" s="1330"/>
      <c r="L773" s="109" t="s">
        <v>816</v>
      </c>
      <c r="M773" s="109" t="s">
        <v>817</v>
      </c>
      <c r="N773" s="109" t="s">
        <v>818</v>
      </c>
      <c r="O773" s="109" t="s">
        <v>819</v>
      </c>
      <c r="P773" s="109"/>
      <c r="Q773" s="109"/>
      <c r="R773" s="109">
        <v>1</v>
      </c>
      <c r="S773" s="110" t="s">
        <v>820</v>
      </c>
      <c r="T773" s="109"/>
      <c r="U773" s="112">
        <f t="shared" ref="U773:AA773" si="168">+U774+U777+U837+U841+U846</f>
        <v>6360866.25</v>
      </c>
      <c r="V773" s="680">
        <f t="shared" si="168"/>
        <v>924035.86</v>
      </c>
      <c r="W773" s="112">
        <f t="shared" si="168"/>
        <v>0</v>
      </c>
      <c r="X773" s="112">
        <f t="shared" si="168"/>
        <v>6885311.25</v>
      </c>
      <c r="Y773" s="832">
        <f t="shared" si="168"/>
        <v>5785323.6200000001</v>
      </c>
      <c r="Z773" s="112">
        <f t="shared" si="168"/>
        <v>0</v>
      </c>
      <c r="AA773" s="112">
        <f t="shared" si="168"/>
        <v>6297991.25</v>
      </c>
      <c r="AB773" s="112"/>
      <c r="AC773" s="112">
        <f>+AC774+AC777+AC837+AC841+AC846</f>
        <v>0</v>
      </c>
      <c r="AD773" s="112">
        <f>+AD774+AD777+AD837+AD841+AD846</f>
        <v>6297991.25</v>
      </c>
      <c r="AE773" s="574"/>
      <c r="AF773" s="333"/>
      <c r="AG773" s="760">
        <f>+AG774+AG777+AG837+AG841+AG846</f>
        <v>6910740.156059132</v>
      </c>
      <c r="AH773" s="761">
        <f>+AH774+AH777+AH837+AH841+AH846</f>
        <v>26016800</v>
      </c>
      <c r="AI773" s="521">
        <f>+AI774+AI777+AI837+AI841+AI846</f>
        <v>0</v>
      </c>
      <c r="AJ773" s="760">
        <f>+AJ774+AJ777+AJ837+AJ841+AJ846</f>
        <v>6709359.4800000004</v>
      </c>
      <c r="AK773" s="217"/>
      <c r="AL773" s="217"/>
      <c r="AM773" s="217"/>
      <c r="AN773" s="785" t="s">
        <v>39</v>
      </c>
      <c r="AO773" s="109"/>
      <c r="AP773" s="109"/>
      <c r="AQ773" s="411"/>
      <c r="AR773" s="109"/>
      <c r="AS773" s="473"/>
      <c r="AT773" s="109"/>
      <c r="AU773" s="659"/>
      <c r="AV773" s="429" t="s">
        <v>821</v>
      </c>
    </row>
    <row r="774" spans="1:48" s="153" customFormat="1" ht="15.75" outlineLevel="1" x14ac:dyDescent="0.25">
      <c r="A774" s="744" t="str">
        <f t="shared" si="127"/>
        <v>1.6.1.1.0.0</v>
      </c>
      <c r="B774" s="82">
        <v>1</v>
      </c>
      <c r="C774" s="82">
        <v>6</v>
      </c>
      <c r="D774" s="82">
        <v>1</v>
      </c>
      <c r="E774" s="82">
        <v>1</v>
      </c>
      <c r="F774" s="82">
        <v>0</v>
      </c>
      <c r="G774" s="82">
        <v>0</v>
      </c>
      <c r="H774" s="749"/>
      <c r="I774" s="749"/>
      <c r="J774" s="1304" t="s">
        <v>822</v>
      </c>
      <c r="K774" s="1303"/>
      <c r="L774" s="82" t="s">
        <v>209</v>
      </c>
      <c r="M774" s="82">
        <v>0</v>
      </c>
      <c r="N774" s="82" t="s">
        <v>818</v>
      </c>
      <c r="O774" s="82" t="s">
        <v>359</v>
      </c>
      <c r="P774" s="82"/>
      <c r="Q774" s="82"/>
      <c r="R774" s="82"/>
      <c r="S774" s="149"/>
      <c r="T774" s="82"/>
      <c r="U774" s="386">
        <f t="shared" ref="U774:AG774" si="169">SUM(U775:U776)</f>
        <v>0</v>
      </c>
      <c r="V774" s="685">
        <f t="shared" si="169"/>
        <v>0</v>
      </c>
      <c r="W774" s="386">
        <f t="shared" si="169"/>
        <v>0</v>
      </c>
      <c r="X774" s="386">
        <f t="shared" si="169"/>
        <v>0</v>
      </c>
      <c r="Y774" s="847">
        <f t="shared" si="169"/>
        <v>0</v>
      </c>
      <c r="Z774" s="386">
        <f t="shared" si="169"/>
        <v>0</v>
      </c>
      <c r="AA774" s="386">
        <f t="shared" si="169"/>
        <v>0</v>
      </c>
      <c r="AB774" s="386">
        <f t="shared" si="169"/>
        <v>0</v>
      </c>
      <c r="AC774" s="386">
        <f t="shared" si="169"/>
        <v>0</v>
      </c>
      <c r="AD774" s="386">
        <f t="shared" si="169"/>
        <v>0</v>
      </c>
      <c r="AE774" s="386">
        <f t="shared" si="169"/>
        <v>0</v>
      </c>
      <c r="AF774" s="386">
        <f t="shared" si="169"/>
        <v>0</v>
      </c>
      <c r="AG774" s="762">
        <f t="shared" si="169"/>
        <v>0</v>
      </c>
      <c r="AH774" s="762">
        <f>SUM(AH775:AH776)</f>
        <v>0</v>
      </c>
      <c r="AI774" s="218"/>
      <c r="AJ774" s="776"/>
      <c r="AK774" s="218"/>
      <c r="AL774" s="218"/>
      <c r="AM774" s="218"/>
      <c r="AN774" s="786" t="s">
        <v>39</v>
      </c>
      <c r="AO774" s="82"/>
      <c r="AP774" s="82"/>
      <c r="AQ774" s="365"/>
      <c r="AR774" s="82"/>
      <c r="AS774" s="483"/>
      <c r="AT774" s="82"/>
      <c r="AU774" s="666"/>
      <c r="AV774" s="444"/>
    </row>
    <row r="775" spans="1:48" ht="30" customHeight="1" outlineLevel="2" x14ac:dyDescent="0.25">
      <c r="A775" s="745" t="str">
        <f t="shared" si="127"/>
        <v>1.6.1.1.1.58-64</v>
      </c>
      <c r="B775" s="64">
        <v>1</v>
      </c>
      <c r="C775" s="64">
        <v>6</v>
      </c>
      <c r="D775" s="64">
        <v>1</v>
      </c>
      <c r="E775" s="64">
        <v>1</v>
      </c>
      <c r="F775" s="64">
        <v>1</v>
      </c>
      <c r="G775" s="64" t="s">
        <v>64</v>
      </c>
      <c r="H775" s="750"/>
      <c r="I775" s="750"/>
      <c r="J775" s="751"/>
      <c r="K775" s="752" t="s">
        <v>823</v>
      </c>
      <c r="L775" s="64" t="s">
        <v>209</v>
      </c>
      <c r="M775" s="64" t="s">
        <v>824</v>
      </c>
      <c r="N775" s="64" t="s">
        <v>818</v>
      </c>
      <c r="O775" s="64" t="s">
        <v>359</v>
      </c>
      <c r="P775" s="69">
        <v>44197</v>
      </c>
      <c r="Q775" s="69">
        <v>44353</v>
      </c>
      <c r="R775" s="64"/>
      <c r="S775" s="65"/>
      <c r="T775" s="64"/>
      <c r="U775" s="75"/>
      <c r="V775" s="674">
        <v>0</v>
      </c>
      <c r="W775" s="75"/>
      <c r="X775" s="75"/>
      <c r="Y775" s="834">
        <f>+AJ775-V775</f>
        <v>0</v>
      </c>
      <c r="Z775" s="75"/>
      <c r="AA775" s="75"/>
      <c r="AB775" s="75"/>
      <c r="AC775" s="75"/>
      <c r="AD775" s="75"/>
      <c r="AE775" s="592"/>
      <c r="AF775" s="259"/>
      <c r="AG775" s="763">
        <v>0</v>
      </c>
      <c r="AH775" s="764">
        <v>0</v>
      </c>
      <c r="AI775" s="75"/>
      <c r="AJ775" s="777"/>
      <c r="AK775" s="75"/>
      <c r="AL775" s="75"/>
      <c r="AM775" s="75"/>
      <c r="AN775" s="787" t="s">
        <v>39</v>
      </c>
      <c r="AO775" s="64"/>
      <c r="AP775" s="64"/>
      <c r="AQ775" s="189"/>
      <c r="AR775" s="64"/>
      <c r="AS775" s="476"/>
      <c r="AT775" s="64"/>
      <c r="AU775" s="646"/>
      <c r="AV775" s="185"/>
    </row>
    <row r="776" spans="1:48" ht="28.5" customHeight="1" outlineLevel="2" x14ac:dyDescent="0.25">
      <c r="A776" s="745" t="str">
        <f t="shared" si="127"/>
        <v>1.6.1.1.2.58-64</v>
      </c>
      <c r="B776" s="64">
        <v>1</v>
      </c>
      <c r="C776" s="64">
        <v>6</v>
      </c>
      <c r="D776" s="64">
        <v>1</v>
      </c>
      <c r="E776" s="64">
        <v>1</v>
      </c>
      <c r="F776" s="64">
        <v>2</v>
      </c>
      <c r="G776" s="64" t="s">
        <v>64</v>
      </c>
      <c r="H776" s="750"/>
      <c r="I776" s="750"/>
      <c r="J776" s="751"/>
      <c r="K776" s="752" t="s">
        <v>825</v>
      </c>
      <c r="L776" s="64" t="s">
        <v>209</v>
      </c>
      <c r="M776" s="64" t="s">
        <v>826</v>
      </c>
      <c r="N776" s="64" t="s">
        <v>818</v>
      </c>
      <c r="O776" s="64" t="s">
        <v>819</v>
      </c>
      <c r="P776" s="64"/>
      <c r="Q776" s="64"/>
      <c r="R776" s="64"/>
      <c r="S776" s="65" t="s">
        <v>827</v>
      </c>
      <c r="T776" s="64"/>
      <c r="U776" s="75"/>
      <c r="V776" s="674">
        <v>0</v>
      </c>
      <c r="W776" s="75"/>
      <c r="X776" s="75"/>
      <c r="Y776" s="834">
        <f>+AJ776-V776</f>
        <v>0</v>
      </c>
      <c r="Z776" s="75"/>
      <c r="AA776" s="75"/>
      <c r="AB776" s="75"/>
      <c r="AC776" s="75"/>
      <c r="AD776" s="75"/>
      <c r="AE776" s="592"/>
      <c r="AF776" s="259" t="s">
        <v>1796</v>
      </c>
      <c r="AG776" s="763">
        <v>0</v>
      </c>
      <c r="AH776" s="764">
        <v>0</v>
      </c>
      <c r="AI776" s="75"/>
      <c r="AJ776" s="777"/>
      <c r="AK776" s="75"/>
      <c r="AL776" s="75"/>
      <c r="AM776" s="75"/>
      <c r="AN776" s="787" t="s">
        <v>39</v>
      </c>
      <c r="AO776" s="64"/>
      <c r="AP776" s="64"/>
      <c r="AQ776" s="189"/>
      <c r="AR776" s="64"/>
      <c r="AS776" s="476"/>
      <c r="AT776" s="64"/>
      <c r="AU776" s="646"/>
      <c r="AV776" s="185"/>
    </row>
    <row r="777" spans="1:48" s="153" customFormat="1" ht="43.5" customHeight="1" outlineLevel="1" x14ac:dyDescent="0.25">
      <c r="A777" s="744" t="str">
        <f t="shared" si="127"/>
        <v>1.6.1.2.0.0</v>
      </c>
      <c r="B777" s="82">
        <v>1</v>
      </c>
      <c r="C777" s="82">
        <v>6</v>
      </c>
      <c r="D777" s="82">
        <v>1</v>
      </c>
      <c r="E777" s="82">
        <v>2</v>
      </c>
      <c r="F777" s="82">
        <v>0</v>
      </c>
      <c r="G777" s="82">
        <v>0</v>
      </c>
      <c r="H777" s="749"/>
      <c r="I777" s="749"/>
      <c r="J777" s="1304" t="s">
        <v>687</v>
      </c>
      <c r="K777" s="1303"/>
      <c r="L777" s="82" t="s">
        <v>72</v>
      </c>
      <c r="M777" s="82" t="s">
        <v>73</v>
      </c>
      <c r="N777" s="83" t="s">
        <v>828</v>
      </c>
      <c r="O777" s="82" t="s">
        <v>829</v>
      </c>
      <c r="P777" s="82"/>
      <c r="Q777" s="82"/>
      <c r="R777" s="82"/>
      <c r="S777" s="149"/>
      <c r="T777" s="82"/>
      <c r="U777" s="209">
        <f>SUM(U778:U836)</f>
        <v>331666.25</v>
      </c>
      <c r="V777" s="683">
        <f>SUM(V778:V836)</f>
        <v>574755.86</v>
      </c>
      <c r="W777" s="209"/>
      <c r="X777" s="209">
        <f t="shared" ref="X777:AD777" si="170">SUM(X778:X836)</f>
        <v>856111.25</v>
      </c>
      <c r="Y777" s="846">
        <f t="shared" si="170"/>
        <v>957623.62000000011</v>
      </c>
      <c r="Z777" s="209"/>
      <c r="AA777" s="209">
        <f>SUM(AA778:AA836)</f>
        <v>356111.25</v>
      </c>
      <c r="AB777" s="209"/>
      <c r="AC777" s="209"/>
      <c r="AD777" s="209">
        <f t="shared" si="170"/>
        <v>356111.25</v>
      </c>
      <c r="AE777" s="603"/>
      <c r="AF777" s="358"/>
      <c r="AG777" s="765">
        <f>+SUM(AG778:AG836)</f>
        <v>1312195.55</v>
      </c>
      <c r="AH777" s="762">
        <f>+SUM(AH778:AH836)</f>
        <v>1900000</v>
      </c>
      <c r="AI777" s="522">
        <f>+SUM(AI778:AI836)</f>
        <v>0</v>
      </c>
      <c r="AJ777" s="765">
        <f>+SUM(AJ778:AJ836)</f>
        <v>1532379.48</v>
      </c>
      <c r="AK777" s="218"/>
      <c r="AL777" s="218"/>
      <c r="AM777" s="218"/>
      <c r="AN777" s="786" t="s">
        <v>39</v>
      </c>
      <c r="AO777" s="82"/>
      <c r="AP777" s="82"/>
      <c r="AQ777" s="365"/>
      <c r="AR777" s="82"/>
      <c r="AS777" s="483"/>
      <c r="AT777" s="82"/>
      <c r="AU777" s="666"/>
      <c r="AV777" s="444"/>
    </row>
    <row r="778" spans="1:48" s="212" customFormat="1" ht="15" customHeight="1" outlineLevel="2" x14ac:dyDescent="0.25">
      <c r="A778" s="746" t="str">
        <f t="shared" si="127"/>
        <v>1.6.1.2.1.58</v>
      </c>
      <c r="B778" s="136">
        <v>1</v>
      </c>
      <c r="C778" s="136">
        <v>6</v>
      </c>
      <c r="D778" s="136">
        <v>1</v>
      </c>
      <c r="E778" s="136">
        <v>2</v>
      </c>
      <c r="F778" s="136">
        <v>1</v>
      </c>
      <c r="G778" s="136">
        <v>58</v>
      </c>
      <c r="H778" s="753"/>
      <c r="I778" s="753"/>
      <c r="J778" s="753"/>
      <c r="K778" s="753" t="s">
        <v>482</v>
      </c>
      <c r="L778" s="136" t="s">
        <v>830</v>
      </c>
      <c r="M778" s="136" t="s">
        <v>73</v>
      </c>
      <c r="N778" s="136" t="s">
        <v>74</v>
      </c>
      <c r="O778" s="136" t="s">
        <v>737</v>
      </c>
      <c r="P778" s="219">
        <v>44197</v>
      </c>
      <c r="Q778" s="219">
        <v>44229</v>
      </c>
      <c r="R778" s="219">
        <v>1</v>
      </c>
      <c r="S778" s="219" t="s">
        <v>831</v>
      </c>
      <c r="T778" s="219"/>
      <c r="U778" s="220"/>
      <c r="V778" s="674">
        <v>0</v>
      </c>
      <c r="W778" s="220"/>
      <c r="X778" s="220"/>
      <c r="Y778" s="834">
        <f t="shared" ref="Y778:Y809" si="171">+AJ778-V778</f>
        <v>0</v>
      </c>
      <c r="Z778" s="220"/>
      <c r="AA778" s="220"/>
      <c r="AB778" s="220"/>
      <c r="AC778" s="132"/>
      <c r="AD778" s="132"/>
      <c r="AE778" s="598"/>
      <c r="AF778" s="359" t="s">
        <v>166</v>
      </c>
      <c r="AG778" s="763">
        <v>0</v>
      </c>
      <c r="AH778" s="764">
        <v>0</v>
      </c>
      <c r="AI778" s="75"/>
      <c r="AJ778" s="777"/>
      <c r="AK778" s="75"/>
      <c r="AL778" s="75"/>
      <c r="AM778" s="75"/>
      <c r="AN778" s="788" t="s">
        <v>39</v>
      </c>
      <c r="AO778" s="221"/>
      <c r="AP778" s="221"/>
      <c r="AQ778" s="221"/>
      <c r="AR778" s="221"/>
      <c r="AS778" s="221"/>
      <c r="AT778" s="221"/>
      <c r="AU778" s="654"/>
      <c r="AV778" s="1317"/>
    </row>
    <row r="779" spans="1:48" s="212" customFormat="1" ht="15" customHeight="1" outlineLevel="2" x14ac:dyDescent="0.25">
      <c r="A779" s="746" t="str">
        <f t="shared" si="127"/>
        <v>1.6.1.2.1.59</v>
      </c>
      <c r="B779" s="136">
        <v>1</v>
      </c>
      <c r="C779" s="136">
        <v>6</v>
      </c>
      <c r="D779" s="136">
        <v>1</v>
      </c>
      <c r="E779" s="136">
        <v>2</v>
      </c>
      <c r="F779" s="136">
        <v>1</v>
      </c>
      <c r="G779" s="136">
        <v>59</v>
      </c>
      <c r="H779" s="753"/>
      <c r="I779" s="753"/>
      <c r="J779" s="753"/>
      <c r="K779" s="753" t="s">
        <v>483</v>
      </c>
      <c r="L779" s="136" t="s">
        <v>830</v>
      </c>
      <c r="M779" s="136" t="s">
        <v>73</v>
      </c>
      <c r="N779" s="136" t="s">
        <v>74</v>
      </c>
      <c r="O779" s="136" t="s">
        <v>737</v>
      </c>
      <c r="P779" s="219"/>
      <c r="Q779" s="219"/>
      <c r="R779" s="219"/>
      <c r="S779" s="219"/>
      <c r="T779" s="219"/>
      <c r="U779" s="220"/>
      <c r="V779" s="674">
        <v>0</v>
      </c>
      <c r="W779" s="220"/>
      <c r="X779" s="220"/>
      <c r="Y779" s="834">
        <f t="shared" si="171"/>
        <v>0</v>
      </c>
      <c r="Z779" s="220"/>
      <c r="AA779" s="220"/>
      <c r="AB779" s="220"/>
      <c r="AC779" s="132"/>
      <c r="AD779" s="132"/>
      <c r="AE779" s="598"/>
      <c r="AF779" s="359" t="s">
        <v>166</v>
      </c>
      <c r="AG779" s="763">
        <v>0</v>
      </c>
      <c r="AH779" s="764">
        <v>0</v>
      </c>
      <c r="AI779" s="75"/>
      <c r="AJ779" s="777"/>
      <c r="AK779" s="75"/>
      <c r="AL779" s="75"/>
      <c r="AM779" s="75"/>
      <c r="AN779" s="788" t="s">
        <v>39</v>
      </c>
      <c r="AO779" s="221"/>
      <c r="AP779" s="221"/>
      <c r="AQ779" s="221"/>
      <c r="AR779" s="221"/>
      <c r="AS779" s="221"/>
      <c r="AT779" s="221"/>
      <c r="AU779" s="654"/>
      <c r="AV779" s="1318"/>
    </row>
    <row r="780" spans="1:48" s="212" customFormat="1" ht="15" customHeight="1" outlineLevel="2" x14ac:dyDescent="0.25">
      <c r="A780" s="746" t="str">
        <f t="shared" si="127"/>
        <v>1.6.1.2.1.60</v>
      </c>
      <c r="B780" s="136">
        <v>1</v>
      </c>
      <c r="C780" s="136">
        <v>6</v>
      </c>
      <c r="D780" s="136">
        <v>1</v>
      </c>
      <c r="E780" s="136">
        <v>2</v>
      </c>
      <c r="F780" s="136">
        <v>1</v>
      </c>
      <c r="G780" s="136">
        <v>60</v>
      </c>
      <c r="H780" s="753"/>
      <c r="I780" s="753"/>
      <c r="J780" s="753"/>
      <c r="K780" s="753" t="s">
        <v>484</v>
      </c>
      <c r="L780" s="136" t="s">
        <v>830</v>
      </c>
      <c r="M780" s="136" t="s">
        <v>73</v>
      </c>
      <c r="N780" s="136" t="s">
        <v>74</v>
      </c>
      <c r="O780" s="136" t="s">
        <v>737</v>
      </c>
      <c r="P780" s="219"/>
      <c r="Q780" s="219"/>
      <c r="R780" s="219"/>
      <c r="S780" s="219"/>
      <c r="T780" s="219"/>
      <c r="U780" s="220"/>
      <c r="V780" s="674">
        <v>0</v>
      </c>
      <c r="W780" s="220"/>
      <c r="X780" s="220"/>
      <c r="Y780" s="834">
        <f t="shared" si="171"/>
        <v>0</v>
      </c>
      <c r="Z780" s="220"/>
      <c r="AA780" s="220"/>
      <c r="AB780" s="220"/>
      <c r="AC780" s="132"/>
      <c r="AD780" s="132"/>
      <c r="AE780" s="598"/>
      <c r="AF780" s="359" t="s">
        <v>166</v>
      </c>
      <c r="AG780" s="763">
        <v>0</v>
      </c>
      <c r="AH780" s="764">
        <v>0</v>
      </c>
      <c r="AI780" s="75"/>
      <c r="AJ780" s="777"/>
      <c r="AK780" s="75"/>
      <c r="AL780" s="75"/>
      <c r="AM780" s="75"/>
      <c r="AN780" s="788" t="s">
        <v>39</v>
      </c>
      <c r="AO780" s="221"/>
      <c r="AP780" s="221"/>
      <c r="AQ780" s="221"/>
      <c r="AR780" s="221"/>
      <c r="AS780" s="221"/>
      <c r="AT780" s="221"/>
      <c r="AU780" s="654"/>
      <c r="AV780" s="1318"/>
    </row>
    <row r="781" spans="1:48" s="212" customFormat="1" ht="15" customHeight="1" outlineLevel="2" x14ac:dyDescent="0.25">
      <c r="A781" s="746" t="str">
        <f t="shared" si="127"/>
        <v>1.6.1.2.1.61</v>
      </c>
      <c r="B781" s="136">
        <v>1</v>
      </c>
      <c r="C781" s="136">
        <v>6</v>
      </c>
      <c r="D781" s="136">
        <v>1</v>
      </c>
      <c r="E781" s="136">
        <v>2</v>
      </c>
      <c r="F781" s="136">
        <v>1</v>
      </c>
      <c r="G781" s="136">
        <v>61</v>
      </c>
      <c r="H781" s="753"/>
      <c r="I781" s="753"/>
      <c r="J781" s="753"/>
      <c r="K781" s="753" t="s">
        <v>485</v>
      </c>
      <c r="L781" s="136" t="s">
        <v>830</v>
      </c>
      <c r="M781" s="136" t="s">
        <v>73</v>
      </c>
      <c r="N781" s="136" t="s">
        <v>74</v>
      </c>
      <c r="O781" s="136" t="s">
        <v>737</v>
      </c>
      <c r="P781" s="219"/>
      <c r="Q781" s="219"/>
      <c r="R781" s="219"/>
      <c r="S781" s="219"/>
      <c r="T781" s="219"/>
      <c r="U781" s="220"/>
      <c r="V781" s="674">
        <v>0</v>
      </c>
      <c r="W781" s="220"/>
      <c r="X781" s="220"/>
      <c r="Y781" s="834">
        <f t="shared" si="171"/>
        <v>0</v>
      </c>
      <c r="Z781" s="220"/>
      <c r="AA781" s="220"/>
      <c r="AB781" s="220"/>
      <c r="AC781" s="132"/>
      <c r="AD781" s="132"/>
      <c r="AE781" s="598"/>
      <c r="AF781" s="359" t="s">
        <v>166</v>
      </c>
      <c r="AG781" s="763">
        <v>0</v>
      </c>
      <c r="AH781" s="764">
        <v>0</v>
      </c>
      <c r="AI781" s="75"/>
      <c r="AJ781" s="777"/>
      <c r="AK781" s="75"/>
      <c r="AL781" s="75"/>
      <c r="AM781" s="75"/>
      <c r="AN781" s="788" t="s">
        <v>39</v>
      </c>
      <c r="AO781" s="221"/>
      <c r="AP781" s="221"/>
      <c r="AQ781" s="221"/>
      <c r="AR781" s="221"/>
      <c r="AS781" s="221"/>
      <c r="AT781" s="221"/>
      <c r="AU781" s="654"/>
      <c r="AV781" s="1318"/>
    </row>
    <row r="782" spans="1:48" s="212" customFormat="1" ht="15" customHeight="1" outlineLevel="2" x14ac:dyDescent="0.25">
      <c r="A782" s="746" t="str">
        <f t="shared" si="127"/>
        <v>1.6.1.2.1.62</v>
      </c>
      <c r="B782" s="136">
        <v>1</v>
      </c>
      <c r="C782" s="136">
        <v>6</v>
      </c>
      <c r="D782" s="136">
        <v>1</v>
      </c>
      <c r="E782" s="136">
        <v>2</v>
      </c>
      <c r="F782" s="136">
        <v>1</v>
      </c>
      <c r="G782" s="136">
        <v>62</v>
      </c>
      <c r="H782" s="753"/>
      <c r="I782" s="753"/>
      <c r="J782" s="753"/>
      <c r="K782" s="753" t="s">
        <v>832</v>
      </c>
      <c r="L782" s="136" t="s">
        <v>830</v>
      </c>
      <c r="M782" s="136" t="s">
        <v>73</v>
      </c>
      <c r="N782" s="136" t="s">
        <v>74</v>
      </c>
      <c r="O782" s="136" t="s">
        <v>737</v>
      </c>
      <c r="P782" s="219"/>
      <c r="Q782" s="219"/>
      <c r="R782" s="221"/>
      <c r="S782" s="219"/>
      <c r="T782" s="219"/>
      <c r="U782" s="220"/>
      <c r="V782" s="674">
        <v>0</v>
      </c>
      <c r="W782" s="220"/>
      <c r="X782" s="220"/>
      <c r="Y782" s="834">
        <f t="shared" si="171"/>
        <v>0</v>
      </c>
      <c r="Z782" s="220"/>
      <c r="AA782" s="220"/>
      <c r="AB782" s="220"/>
      <c r="AC782" s="132"/>
      <c r="AD782" s="132"/>
      <c r="AE782" s="598"/>
      <c r="AF782" s="359" t="s">
        <v>166</v>
      </c>
      <c r="AG782" s="763">
        <v>0</v>
      </c>
      <c r="AH782" s="764">
        <v>0</v>
      </c>
      <c r="AI782" s="75"/>
      <c r="AJ782" s="777"/>
      <c r="AK782" s="75"/>
      <c r="AL782" s="75"/>
      <c r="AM782" s="75"/>
      <c r="AN782" s="788" t="s">
        <v>39</v>
      </c>
      <c r="AO782" s="221"/>
      <c r="AP782" s="221"/>
      <c r="AQ782" s="221"/>
      <c r="AR782" s="221"/>
      <c r="AS782" s="221"/>
      <c r="AT782" s="221"/>
      <c r="AU782" s="654"/>
      <c r="AV782" s="1318"/>
    </row>
    <row r="783" spans="1:48" s="212" customFormat="1" ht="15" customHeight="1" outlineLevel="2" x14ac:dyDescent="0.25">
      <c r="A783" s="746" t="str">
        <f t="shared" si="127"/>
        <v>1.6.1.2.1.63</v>
      </c>
      <c r="B783" s="136">
        <v>1</v>
      </c>
      <c r="C783" s="136">
        <v>6</v>
      </c>
      <c r="D783" s="136">
        <v>1</v>
      </c>
      <c r="E783" s="136">
        <v>2</v>
      </c>
      <c r="F783" s="136">
        <v>1</v>
      </c>
      <c r="G783" s="136">
        <v>63</v>
      </c>
      <c r="H783" s="753"/>
      <c r="I783" s="753"/>
      <c r="J783" s="753"/>
      <c r="K783" s="753" t="s">
        <v>1757</v>
      </c>
      <c r="L783" s="136" t="s">
        <v>830</v>
      </c>
      <c r="M783" s="136" t="s">
        <v>73</v>
      </c>
      <c r="N783" s="136" t="s">
        <v>74</v>
      </c>
      <c r="O783" s="136" t="s">
        <v>737</v>
      </c>
      <c r="P783" s="219"/>
      <c r="Q783" s="219"/>
      <c r="R783" s="219"/>
      <c r="S783" s="219"/>
      <c r="T783" s="219"/>
      <c r="U783" s="220"/>
      <c r="V783" s="674">
        <v>0</v>
      </c>
      <c r="W783" s="220"/>
      <c r="X783" s="220"/>
      <c r="Y783" s="834">
        <f t="shared" si="171"/>
        <v>0</v>
      </c>
      <c r="Z783" s="220"/>
      <c r="AA783" s="220"/>
      <c r="AB783" s="220"/>
      <c r="AC783" s="132"/>
      <c r="AD783" s="132"/>
      <c r="AE783" s="598"/>
      <c r="AF783" s="359" t="s">
        <v>166</v>
      </c>
      <c r="AG783" s="763">
        <v>0</v>
      </c>
      <c r="AH783" s="764">
        <v>0</v>
      </c>
      <c r="AI783" s="75"/>
      <c r="AJ783" s="777"/>
      <c r="AK783" s="75"/>
      <c r="AL783" s="75"/>
      <c r="AM783" s="75"/>
      <c r="AN783" s="788" t="s">
        <v>39</v>
      </c>
      <c r="AO783" s="221"/>
      <c r="AP783" s="221"/>
      <c r="AQ783" s="221"/>
      <c r="AR783" s="221"/>
      <c r="AS783" s="221"/>
      <c r="AT783" s="221"/>
      <c r="AU783" s="654"/>
      <c r="AV783" s="1318"/>
    </row>
    <row r="784" spans="1:48" s="212" customFormat="1" ht="15" customHeight="1" outlineLevel="2" x14ac:dyDescent="0.25">
      <c r="A784" s="746" t="str">
        <f t="shared" si="127"/>
        <v>1.6.1.2.1.64</v>
      </c>
      <c r="B784" s="136">
        <v>1</v>
      </c>
      <c r="C784" s="136">
        <v>6</v>
      </c>
      <c r="D784" s="136">
        <v>1</v>
      </c>
      <c r="E784" s="136">
        <v>2</v>
      </c>
      <c r="F784" s="136">
        <v>1</v>
      </c>
      <c r="G784" s="136">
        <v>64</v>
      </c>
      <c r="H784" s="753"/>
      <c r="I784" s="753"/>
      <c r="J784" s="753"/>
      <c r="K784" s="753" t="s">
        <v>487</v>
      </c>
      <c r="L784" s="136" t="s">
        <v>830</v>
      </c>
      <c r="M784" s="136" t="s">
        <v>73</v>
      </c>
      <c r="N784" s="136" t="s">
        <v>74</v>
      </c>
      <c r="O784" s="136" t="s">
        <v>737</v>
      </c>
      <c r="P784" s="219"/>
      <c r="Q784" s="219"/>
      <c r="R784" s="219"/>
      <c r="S784" s="219"/>
      <c r="T784" s="219"/>
      <c r="U784" s="220"/>
      <c r="V784" s="674">
        <v>0</v>
      </c>
      <c r="W784" s="220"/>
      <c r="X784" s="220"/>
      <c r="Y784" s="834">
        <f t="shared" si="171"/>
        <v>0</v>
      </c>
      <c r="Z784" s="220"/>
      <c r="AA784" s="220"/>
      <c r="AB784" s="220"/>
      <c r="AC784" s="132"/>
      <c r="AD784" s="132"/>
      <c r="AE784" s="598"/>
      <c r="AF784" s="359" t="s">
        <v>166</v>
      </c>
      <c r="AG784" s="763">
        <v>0</v>
      </c>
      <c r="AH784" s="764">
        <v>0</v>
      </c>
      <c r="AI784" s="75"/>
      <c r="AJ784" s="777"/>
      <c r="AK784" s="75"/>
      <c r="AL784" s="75"/>
      <c r="AM784" s="75"/>
      <c r="AN784" s="788" t="s">
        <v>39</v>
      </c>
      <c r="AO784" s="221"/>
      <c r="AP784" s="221"/>
      <c r="AQ784" s="221"/>
      <c r="AR784" s="221"/>
      <c r="AS784" s="221"/>
      <c r="AT784" s="221"/>
      <c r="AU784" s="654"/>
      <c r="AV784" s="1319"/>
    </row>
    <row r="785" spans="1:48" s="212" customFormat="1" ht="21.75" customHeight="1" outlineLevel="2" x14ac:dyDescent="0.25">
      <c r="A785" s="746" t="str">
        <f t="shared" si="127"/>
        <v>1.6.1.2.2.58</v>
      </c>
      <c r="B785" s="136">
        <v>1</v>
      </c>
      <c r="C785" s="136">
        <v>6</v>
      </c>
      <c r="D785" s="136">
        <v>1</v>
      </c>
      <c r="E785" s="136">
        <v>2</v>
      </c>
      <c r="F785" s="136">
        <v>2</v>
      </c>
      <c r="G785" s="136">
        <v>58</v>
      </c>
      <c r="H785" s="753"/>
      <c r="I785" s="753"/>
      <c r="J785" s="753"/>
      <c r="K785" s="754" t="s">
        <v>833</v>
      </c>
      <c r="L785" s="136" t="s">
        <v>830</v>
      </c>
      <c r="M785" s="136" t="s">
        <v>73</v>
      </c>
      <c r="N785" s="136" t="s">
        <v>834</v>
      </c>
      <c r="O785" s="136" t="s">
        <v>737</v>
      </c>
      <c r="P785" s="210">
        <v>44197</v>
      </c>
      <c r="Q785" s="210">
        <v>44229</v>
      </c>
      <c r="R785" s="219">
        <v>1</v>
      </c>
      <c r="S785" s="219" t="s">
        <v>831</v>
      </c>
      <c r="T785" s="219"/>
      <c r="U785" s="220"/>
      <c r="V785" s="674">
        <v>0</v>
      </c>
      <c r="W785" s="220"/>
      <c r="X785" s="132">
        <f>+AH$785/7</f>
        <v>71428.571428571435</v>
      </c>
      <c r="Y785" s="834">
        <f t="shared" si="171"/>
        <v>53904.06</v>
      </c>
      <c r="Z785" s="220"/>
      <c r="AA785" s="220"/>
      <c r="AB785" s="220"/>
      <c r="AC785" s="132"/>
      <c r="AD785" s="132"/>
      <c r="AE785" s="598"/>
      <c r="AF785" s="360" t="s">
        <v>73</v>
      </c>
      <c r="AG785" s="763">
        <v>0</v>
      </c>
      <c r="AH785" s="1394">
        <v>500000</v>
      </c>
      <c r="AI785" s="322"/>
      <c r="AJ785" s="778">
        <v>53904.06</v>
      </c>
      <c r="AK785" s="322"/>
      <c r="AL785" s="322"/>
      <c r="AM785" s="322"/>
      <c r="AN785" s="788" t="s">
        <v>39</v>
      </c>
      <c r="AO785" s="221" t="s">
        <v>1819</v>
      </c>
      <c r="AP785" s="221" t="s">
        <v>2214</v>
      </c>
      <c r="AQ785" s="221" t="s">
        <v>2215</v>
      </c>
      <c r="AR785" s="890">
        <v>44638</v>
      </c>
      <c r="AS785" s="890">
        <v>44699</v>
      </c>
      <c r="AT785" s="890">
        <v>44694</v>
      </c>
      <c r="AU785" s="889">
        <v>1298</v>
      </c>
      <c r="AV785" s="1397" t="s">
        <v>2213</v>
      </c>
    </row>
    <row r="786" spans="1:48" s="212" customFormat="1" ht="15" customHeight="1" outlineLevel="2" x14ac:dyDescent="0.25">
      <c r="A786" s="746" t="str">
        <f t="shared" si="127"/>
        <v>1.6.1.2.2.59</v>
      </c>
      <c r="B786" s="136">
        <v>1</v>
      </c>
      <c r="C786" s="136">
        <v>6</v>
      </c>
      <c r="D786" s="136">
        <v>1</v>
      </c>
      <c r="E786" s="136">
        <v>2</v>
      </c>
      <c r="F786" s="136">
        <v>2</v>
      </c>
      <c r="G786" s="136">
        <v>59</v>
      </c>
      <c r="H786" s="753"/>
      <c r="I786" s="753"/>
      <c r="J786" s="753"/>
      <c r="K786" s="754" t="s">
        <v>836</v>
      </c>
      <c r="L786" s="136" t="s">
        <v>830</v>
      </c>
      <c r="M786" s="136" t="s">
        <v>73</v>
      </c>
      <c r="N786" s="136" t="s">
        <v>834</v>
      </c>
      <c r="O786" s="136" t="s">
        <v>737</v>
      </c>
      <c r="P786" s="219"/>
      <c r="Q786" s="219"/>
      <c r="R786" s="219"/>
      <c r="S786" s="219"/>
      <c r="T786" s="219"/>
      <c r="U786" s="220"/>
      <c r="V786" s="674">
        <v>0</v>
      </c>
      <c r="W786" s="220"/>
      <c r="X786" s="132">
        <f t="shared" ref="X786:X791" si="172">+AH$785/7</f>
        <v>71428.571428571435</v>
      </c>
      <c r="Y786" s="834">
        <f t="shared" si="171"/>
        <v>53904.09</v>
      </c>
      <c r="Z786" s="220"/>
      <c r="AA786" s="220"/>
      <c r="AB786" s="220"/>
      <c r="AC786" s="132"/>
      <c r="AD786" s="132"/>
      <c r="AE786" s="598"/>
      <c r="AF786" s="360" t="s">
        <v>73</v>
      </c>
      <c r="AG786" s="763">
        <v>0</v>
      </c>
      <c r="AH786" s="1395"/>
      <c r="AI786" s="323"/>
      <c r="AJ786" s="779">
        <v>53904.09</v>
      </c>
      <c r="AK786" s="323"/>
      <c r="AL786" s="323"/>
      <c r="AM786" s="323"/>
      <c r="AN786" s="788" t="s">
        <v>39</v>
      </c>
      <c r="AO786" s="221" t="s">
        <v>1819</v>
      </c>
      <c r="AP786" s="221" t="s">
        <v>2214</v>
      </c>
      <c r="AQ786" s="221" t="s">
        <v>2215</v>
      </c>
      <c r="AR786" s="890">
        <v>44638</v>
      </c>
      <c r="AS786" s="890">
        <v>44699</v>
      </c>
      <c r="AT786" s="890">
        <v>44694</v>
      </c>
      <c r="AU786" s="889">
        <v>1298</v>
      </c>
      <c r="AV786" s="1398"/>
    </row>
    <row r="787" spans="1:48" s="212" customFormat="1" ht="15" customHeight="1" outlineLevel="2" x14ac:dyDescent="0.25">
      <c r="A787" s="746" t="str">
        <f t="shared" si="127"/>
        <v>1.6.1.2.2.60</v>
      </c>
      <c r="B787" s="136">
        <v>1</v>
      </c>
      <c r="C787" s="136">
        <v>6</v>
      </c>
      <c r="D787" s="136">
        <v>1</v>
      </c>
      <c r="E787" s="136">
        <v>2</v>
      </c>
      <c r="F787" s="136">
        <v>2</v>
      </c>
      <c r="G787" s="136">
        <v>60</v>
      </c>
      <c r="H787" s="753"/>
      <c r="I787" s="753"/>
      <c r="J787" s="753"/>
      <c r="K787" s="754" t="s">
        <v>837</v>
      </c>
      <c r="L787" s="136" t="s">
        <v>830</v>
      </c>
      <c r="M787" s="136" t="s">
        <v>73</v>
      </c>
      <c r="N787" s="136" t="s">
        <v>834</v>
      </c>
      <c r="O787" s="136" t="s">
        <v>737</v>
      </c>
      <c r="P787" s="219"/>
      <c r="Q787" s="219"/>
      <c r="R787" s="219"/>
      <c r="S787" s="219"/>
      <c r="T787" s="219"/>
      <c r="U787" s="220"/>
      <c r="V787" s="674">
        <v>0</v>
      </c>
      <c r="W787" s="220"/>
      <c r="X787" s="132">
        <f t="shared" si="172"/>
        <v>71428.571428571435</v>
      </c>
      <c r="Y787" s="834">
        <f t="shared" si="171"/>
        <v>53904.09</v>
      </c>
      <c r="Z787" s="220"/>
      <c r="AA787" s="220"/>
      <c r="AB787" s="220"/>
      <c r="AC787" s="132"/>
      <c r="AD787" s="132"/>
      <c r="AE787" s="598"/>
      <c r="AF787" s="360" t="s">
        <v>73</v>
      </c>
      <c r="AG787" s="763">
        <v>0</v>
      </c>
      <c r="AH787" s="1395"/>
      <c r="AI787" s="323"/>
      <c r="AJ787" s="779">
        <v>53904.09</v>
      </c>
      <c r="AK787" s="323"/>
      <c r="AL787" s="323"/>
      <c r="AM787" s="323"/>
      <c r="AN787" s="788" t="s">
        <v>39</v>
      </c>
      <c r="AO787" s="221" t="s">
        <v>1819</v>
      </c>
      <c r="AP787" s="221" t="s">
        <v>2214</v>
      </c>
      <c r="AQ787" s="221" t="s">
        <v>2215</v>
      </c>
      <c r="AR787" s="890">
        <v>44638</v>
      </c>
      <c r="AS787" s="890">
        <v>44699</v>
      </c>
      <c r="AT787" s="890">
        <v>44694</v>
      </c>
      <c r="AU787" s="889">
        <v>1298</v>
      </c>
      <c r="AV787" s="1398"/>
    </row>
    <row r="788" spans="1:48" s="212" customFormat="1" ht="15" customHeight="1" outlineLevel="2" x14ac:dyDescent="0.25">
      <c r="A788" s="746" t="str">
        <f t="shared" si="127"/>
        <v>1.6.1.2.2.61</v>
      </c>
      <c r="B788" s="136">
        <v>1</v>
      </c>
      <c r="C788" s="136">
        <v>6</v>
      </c>
      <c r="D788" s="136">
        <v>1</v>
      </c>
      <c r="E788" s="136">
        <v>2</v>
      </c>
      <c r="F788" s="136">
        <v>2</v>
      </c>
      <c r="G788" s="136">
        <v>61</v>
      </c>
      <c r="H788" s="753"/>
      <c r="I788" s="753"/>
      <c r="J788" s="753"/>
      <c r="K788" s="754" t="s">
        <v>838</v>
      </c>
      <c r="L788" s="136" t="s">
        <v>830</v>
      </c>
      <c r="M788" s="136" t="s">
        <v>73</v>
      </c>
      <c r="N788" s="136" t="s">
        <v>834</v>
      </c>
      <c r="O788" s="136" t="s">
        <v>737</v>
      </c>
      <c r="P788" s="219"/>
      <c r="Q788" s="219"/>
      <c r="R788" s="219"/>
      <c r="S788" s="219"/>
      <c r="T788" s="219"/>
      <c r="U788" s="220"/>
      <c r="V788" s="674">
        <v>0</v>
      </c>
      <c r="W788" s="220"/>
      <c r="X788" s="132">
        <f t="shared" si="172"/>
        <v>71428.571428571435</v>
      </c>
      <c r="Y788" s="834">
        <f t="shared" si="171"/>
        <v>53904.09</v>
      </c>
      <c r="Z788" s="220"/>
      <c r="AA788" s="220"/>
      <c r="AB788" s="220"/>
      <c r="AC788" s="132"/>
      <c r="AD788" s="132"/>
      <c r="AE788" s="598"/>
      <c r="AF788" s="360" t="s">
        <v>73</v>
      </c>
      <c r="AG788" s="763">
        <v>0</v>
      </c>
      <c r="AH788" s="1395"/>
      <c r="AI788" s="323"/>
      <c r="AJ788" s="779">
        <v>53904.09</v>
      </c>
      <c r="AK788" s="323"/>
      <c r="AL788" s="323"/>
      <c r="AM788" s="323"/>
      <c r="AN788" s="788" t="s">
        <v>39</v>
      </c>
      <c r="AO788" s="221" t="s">
        <v>1819</v>
      </c>
      <c r="AP788" s="221" t="s">
        <v>2214</v>
      </c>
      <c r="AQ788" s="221" t="s">
        <v>2215</v>
      </c>
      <c r="AR788" s="890">
        <v>44638</v>
      </c>
      <c r="AS788" s="890">
        <v>44699</v>
      </c>
      <c r="AT788" s="890">
        <v>44694</v>
      </c>
      <c r="AU788" s="889">
        <v>1298</v>
      </c>
      <c r="AV788" s="1398"/>
    </row>
    <row r="789" spans="1:48" s="212" customFormat="1" ht="15" customHeight="1" outlineLevel="2" x14ac:dyDescent="0.25">
      <c r="A789" s="746" t="str">
        <f t="shared" si="127"/>
        <v>1.6.1.2.2.62</v>
      </c>
      <c r="B789" s="136">
        <v>1</v>
      </c>
      <c r="C789" s="136">
        <v>6</v>
      </c>
      <c r="D789" s="136">
        <v>1</v>
      </c>
      <c r="E789" s="136">
        <v>2</v>
      </c>
      <c r="F789" s="136">
        <v>2</v>
      </c>
      <c r="G789" s="136">
        <v>62</v>
      </c>
      <c r="H789" s="753"/>
      <c r="I789" s="753"/>
      <c r="J789" s="753"/>
      <c r="K789" s="754" t="s">
        <v>839</v>
      </c>
      <c r="L789" s="136" t="s">
        <v>830</v>
      </c>
      <c r="M789" s="136" t="s">
        <v>73</v>
      </c>
      <c r="N789" s="136" t="s">
        <v>834</v>
      </c>
      <c r="O789" s="136" t="s">
        <v>737</v>
      </c>
      <c r="P789" s="219"/>
      <c r="Q789" s="219"/>
      <c r="R789" s="221"/>
      <c r="S789" s="219"/>
      <c r="T789" s="219"/>
      <c r="U789" s="220"/>
      <c r="V789" s="674">
        <v>0</v>
      </c>
      <c r="W789" s="220"/>
      <c r="X789" s="132">
        <f t="shared" si="172"/>
        <v>71428.571428571435</v>
      </c>
      <c r="Y789" s="834">
        <f t="shared" si="171"/>
        <v>53904.09</v>
      </c>
      <c r="Z789" s="220"/>
      <c r="AA789" s="220"/>
      <c r="AB789" s="220"/>
      <c r="AC789" s="132"/>
      <c r="AD789" s="132"/>
      <c r="AE789" s="598"/>
      <c r="AF789" s="360" t="s">
        <v>73</v>
      </c>
      <c r="AG789" s="763">
        <v>0</v>
      </c>
      <c r="AH789" s="1395"/>
      <c r="AI789" s="323"/>
      <c r="AJ789" s="779">
        <v>53904.09</v>
      </c>
      <c r="AK789" s="323"/>
      <c r="AL789" s="323"/>
      <c r="AM789" s="323"/>
      <c r="AN789" s="788" t="s">
        <v>39</v>
      </c>
      <c r="AO789" s="221" t="s">
        <v>1819</v>
      </c>
      <c r="AP789" s="221" t="s">
        <v>2214</v>
      </c>
      <c r="AQ789" s="221" t="s">
        <v>2215</v>
      </c>
      <c r="AR789" s="890">
        <v>44638</v>
      </c>
      <c r="AS789" s="890">
        <v>44699</v>
      </c>
      <c r="AT789" s="890">
        <v>44694</v>
      </c>
      <c r="AU789" s="889">
        <v>1298</v>
      </c>
      <c r="AV789" s="1398"/>
    </row>
    <row r="790" spans="1:48" s="212" customFormat="1" ht="15" customHeight="1" outlineLevel="2" x14ac:dyDescent="0.25">
      <c r="A790" s="746" t="str">
        <f t="shared" si="127"/>
        <v>1.6.1.2.2.63</v>
      </c>
      <c r="B790" s="136">
        <v>1</v>
      </c>
      <c r="C790" s="136">
        <v>6</v>
      </c>
      <c r="D790" s="136">
        <v>1</v>
      </c>
      <c r="E790" s="136">
        <v>2</v>
      </c>
      <c r="F790" s="136">
        <v>2</v>
      </c>
      <c r="G790" s="136">
        <v>63</v>
      </c>
      <c r="H790" s="753"/>
      <c r="I790" s="753"/>
      <c r="J790" s="753"/>
      <c r="K790" s="753" t="s">
        <v>1758</v>
      </c>
      <c r="L790" s="136" t="s">
        <v>830</v>
      </c>
      <c r="M790" s="136" t="s">
        <v>73</v>
      </c>
      <c r="N790" s="136" t="s">
        <v>834</v>
      </c>
      <c r="O790" s="136" t="s">
        <v>737</v>
      </c>
      <c r="P790" s="219"/>
      <c r="Q790" s="219"/>
      <c r="R790" s="219"/>
      <c r="S790" s="219"/>
      <c r="T790" s="219"/>
      <c r="U790" s="220"/>
      <c r="V790" s="674">
        <v>0</v>
      </c>
      <c r="W790" s="220"/>
      <c r="X790" s="132">
        <f t="shared" si="172"/>
        <v>71428.571428571435</v>
      </c>
      <c r="Y790" s="834">
        <f t="shared" si="171"/>
        <v>53904.09</v>
      </c>
      <c r="Z790" s="220"/>
      <c r="AA790" s="220"/>
      <c r="AB790" s="220"/>
      <c r="AC790" s="132"/>
      <c r="AD790" s="132"/>
      <c r="AE790" s="598"/>
      <c r="AF790" s="360" t="s">
        <v>73</v>
      </c>
      <c r="AG790" s="763">
        <v>0</v>
      </c>
      <c r="AH790" s="1395"/>
      <c r="AI790" s="323"/>
      <c r="AJ790" s="779">
        <v>53904.09</v>
      </c>
      <c r="AK790" s="323"/>
      <c r="AL790" s="323"/>
      <c r="AM790" s="323"/>
      <c r="AN790" s="788" t="s">
        <v>39</v>
      </c>
      <c r="AO790" s="221" t="s">
        <v>1819</v>
      </c>
      <c r="AP790" s="221" t="s">
        <v>2214</v>
      </c>
      <c r="AQ790" s="221" t="s">
        <v>2215</v>
      </c>
      <c r="AR790" s="890">
        <v>44638</v>
      </c>
      <c r="AS790" s="890">
        <v>44699</v>
      </c>
      <c r="AT790" s="890">
        <v>44694</v>
      </c>
      <c r="AU790" s="889">
        <v>1298</v>
      </c>
      <c r="AV790" s="1398"/>
    </row>
    <row r="791" spans="1:48" s="212" customFormat="1" ht="15" customHeight="1" outlineLevel="2" x14ac:dyDescent="0.25">
      <c r="A791" s="746" t="str">
        <f t="shared" si="127"/>
        <v>1.6.1.2.2.64</v>
      </c>
      <c r="B791" s="136">
        <v>1</v>
      </c>
      <c r="C791" s="136">
        <v>6</v>
      </c>
      <c r="D791" s="136">
        <v>1</v>
      </c>
      <c r="E791" s="136">
        <v>2</v>
      </c>
      <c r="F791" s="136">
        <v>2</v>
      </c>
      <c r="G791" s="136">
        <v>64</v>
      </c>
      <c r="H791" s="753"/>
      <c r="I791" s="753"/>
      <c r="J791" s="753"/>
      <c r="K791" s="754" t="s">
        <v>840</v>
      </c>
      <c r="L791" s="136" t="s">
        <v>830</v>
      </c>
      <c r="M791" s="136" t="s">
        <v>73</v>
      </c>
      <c r="N791" s="136" t="s">
        <v>834</v>
      </c>
      <c r="O791" s="136" t="s">
        <v>737</v>
      </c>
      <c r="P791" s="219"/>
      <c r="Q791" s="219"/>
      <c r="R791" s="219"/>
      <c r="S791" s="219"/>
      <c r="T791" s="219"/>
      <c r="U791" s="220"/>
      <c r="V791" s="674">
        <v>0</v>
      </c>
      <c r="W791" s="220"/>
      <c r="X791" s="132">
        <f t="shared" si="172"/>
        <v>71428.571428571435</v>
      </c>
      <c r="Y791" s="834">
        <f t="shared" si="171"/>
        <v>53904.09</v>
      </c>
      <c r="Z791" s="220"/>
      <c r="AA791" s="220"/>
      <c r="AB791" s="220"/>
      <c r="AC791" s="132"/>
      <c r="AD791" s="132"/>
      <c r="AE791" s="598"/>
      <c r="AF791" s="360" t="s">
        <v>73</v>
      </c>
      <c r="AG791" s="763">
        <v>0</v>
      </c>
      <c r="AH791" s="1396"/>
      <c r="AI791" s="324"/>
      <c r="AJ791" s="780">
        <v>53904.09</v>
      </c>
      <c r="AK791" s="324"/>
      <c r="AL791" s="324"/>
      <c r="AM791" s="324"/>
      <c r="AN791" s="788" t="s">
        <v>39</v>
      </c>
      <c r="AO791" s="221" t="s">
        <v>1819</v>
      </c>
      <c r="AP791" s="221" t="s">
        <v>2214</v>
      </c>
      <c r="AQ791" s="221" t="s">
        <v>2215</v>
      </c>
      <c r="AR791" s="890">
        <v>44638</v>
      </c>
      <c r="AS791" s="890">
        <v>44699</v>
      </c>
      <c r="AT791" s="890">
        <v>44694</v>
      </c>
      <c r="AU791" s="889">
        <v>1298</v>
      </c>
      <c r="AV791" s="1399"/>
    </row>
    <row r="792" spans="1:48" s="212" customFormat="1" ht="15" customHeight="1" outlineLevel="2" x14ac:dyDescent="0.25">
      <c r="A792" s="746" t="str">
        <f t="shared" si="127"/>
        <v>1.6.1.2.3.58</v>
      </c>
      <c r="B792" s="136">
        <v>1</v>
      </c>
      <c r="C792" s="136">
        <v>6</v>
      </c>
      <c r="D792" s="136">
        <v>1</v>
      </c>
      <c r="E792" s="136">
        <v>2</v>
      </c>
      <c r="F792" s="136">
        <v>3</v>
      </c>
      <c r="G792" s="136">
        <v>58</v>
      </c>
      <c r="H792" s="753"/>
      <c r="I792" s="753"/>
      <c r="J792" s="753"/>
      <c r="K792" s="754" t="s">
        <v>841</v>
      </c>
      <c r="L792" s="136" t="s">
        <v>830</v>
      </c>
      <c r="M792" s="136" t="s">
        <v>73</v>
      </c>
      <c r="N792" s="136" t="s">
        <v>74</v>
      </c>
      <c r="O792" s="136" t="s">
        <v>737</v>
      </c>
      <c r="P792" s="222">
        <v>44197</v>
      </c>
      <c r="Q792" s="222">
        <v>44561</v>
      </c>
      <c r="R792" s="126">
        <v>1</v>
      </c>
      <c r="S792" s="126"/>
      <c r="T792" s="223"/>
      <c r="U792" s="132"/>
      <c r="V792" s="674">
        <v>0</v>
      </c>
      <c r="W792" s="132"/>
      <c r="X792" s="132"/>
      <c r="Y792" s="834">
        <f t="shared" si="171"/>
        <v>0</v>
      </c>
      <c r="Z792" s="132"/>
      <c r="AA792" s="132"/>
      <c r="AB792" s="132"/>
      <c r="AC792" s="132">
        <v>1</v>
      </c>
      <c r="AD792" s="132"/>
      <c r="AE792" s="598"/>
      <c r="AF792" s="359" t="s">
        <v>166</v>
      </c>
      <c r="AG792" s="763">
        <v>0</v>
      </c>
      <c r="AH792" s="764">
        <v>0</v>
      </c>
      <c r="AI792" s="75"/>
      <c r="AJ792" s="777"/>
      <c r="AK792" s="75"/>
      <c r="AL792" s="75"/>
      <c r="AM792" s="75"/>
      <c r="AN792" s="788" t="s">
        <v>39</v>
      </c>
      <c r="AO792" s="221"/>
      <c r="AP792" s="221"/>
      <c r="AQ792" s="419"/>
      <c r="AR792" s="221"/>
      <c r="AS792" s="485"/>
      <c r="AT792" s="221"/>
      <c r="AU792" s="654"/>
      <c r="AV792" s="451"/>
    </row>
    <row r="793" spans="1:48" s="212" customFormat="1" ht="15" customHeight="1" outlineLevel="2" x14ac:dyDescent="0.25">
      <c r="A793" s="746" t="str">
        <f t="shared" si="127"/>
        <v>1.6.1.2.3.59</v>
      </c>
      <c r="B793" s="136">
        <v>1</v>
      </c>
      <c r="C793" s="136">
        <v>6</v>
      </c>
      <c r="D793" s="136">
        <v>1</v>
      </c>
      <c r="E793" s="136">
        <v>2</v>
      </c>
      <c r="F793" s="136">
        <v>3</v>
      </c>
      <c r="G793" s="136">
        <v>59</v>
      </c>
      <c r="H793" s="753"/>
      <c r="I793" s="753"/>
      <c r="J793" s="753"/>
      <c r="K793" s="753" t="s">
        <v>842</v>
      </c>
      <c r="L793" s="136" t="s">
        <v>830</v>
      </c>
      <c r="M793" s="136" t="s">
        <v>73</v>
      </c>
      <c r="N793" s="136" t="s">
        <v>74</v>
      </c>
      <c r="O793" s="136" t="s">
        <v>737</v>
      </c>
      <c r="P793" s="222">
        <v>44197</v>
      </c>
      <c r="Q793" s="222">
        <v>44561</v>
      </c>
      <c r="R793" s="126">
        <v>1</v>
      </c>
      <c r="S793" s="126"/>
      <c r="T793" s="223"/>
      <c r="U793" s="132"/>
      <c r="V793" s="674">
        <v>0</v>
      </c>
      <c r="W793" s="132"/>
      <c r="X793" s="132"/>
      <c r="Y793" s="834">
        <f t="shared" si="171"/>
        <v>0</v>
      </c>
      <c r="Z793" s="132"/>
      <c r="AA793" s="132"/>
      <c r="AB793" s="132"/>
      <c r="AC793" s="132">
        <v>1</v>
      </c>
      <c r="AD793" s="132"/>
      <c r="AE793" s="598"/>
      <c r="AF793" s="359" t="s">
        <v>166</v>
      </c>
      <c r="AG793" s="763">
        <v>0</v>
      </c>
      <c r="AH793" s="764">
        <v>0</v>
      </c>
      <c r="AI793" s="75"/>
      <c r="AJ793" s="777"/>
      <c r="AK793" s="75"/>
      <c r="AL793" s="75"/>
      <c r="AM793" s="75"/>
      <c r="AN793" s="788" t="s">
        <v>39</v>
      </c>
      <c r="AO793" s="221"/>
      <c r="AP793" s="221"/>
      <c r="AQ793" s="419"/>
      <c r="AR793" s="221"/>
      <c r="AS793" s="485"/>
      <c r="AT793" s="221"/>
      <c r="AU793" s="654"/>
      <c r="AV793" s="451"/>
    </row>
    <row r="794" spans="1:48" s="212" customFormat="1" ht="15" customHeight="1" outlineLevel="2" x14ac:dyDescent="0.25">
      <c r="A794" s="746" t="str">
        <f t="shared" si="127"/>
        <v>1.6.1.2.3.60</v>
      </c>
      <c r="B794" s="136">
        <v>1</v>
      </c>
      <c r="C794" s="136">
        <v>6</v>
      </c>
      <c r="D794" s="136">
        <v>1</v>
      </c>
      <c r="E794" s="136">
        <v>2</v>
      </c>
      <c r="F794" s="136">
        <v>3</v>
      </c>
      <c r="G794" s="136">
        <v>60</v>
      </c>
      <c r="H794" s="753"/>
      <c r="I794" s="753"/>
      <c r="J794" s="753"/>
      <c r="K794" s="753" t="s">
        <v>843</v>
      </c>
      <c r="L794" s="136" t="s">
        <v>830</v>
      </c>
      <c r="M794" s="136" t="s">
        <v>73</v>
      </c>
      <c r="N794" s="136" t="s">
        <v>74</v>
      </c>
      <c r="O794" s="136" t="s">
        <v>737</v>
      </c>
      <c r="P794" s="222">
        <v>44197</v>
      </c>
      <c r="Q794" s="222">
        <v>44561</v>
      </c>
      <c r="R794" s="126">
        <v>1</v>
      </c>
      <c r="S794" s="126"/>
      <c r="T794" s="223"/>
      <c r="U794" s="132"/>
      <c r="V794" s="674">
        <v>0</v>
      </c>
      <c r="W794" s="132"/>
      <c r="X794" s="132"/>
      <c r="Y794" s="834">
        <f t="shared" si="171"/>
        <v>0</v>
      </c>
      <c r="Z794" s="132"/>
      <c r="AA794" s="132"/>
      <c r="AB794" s="132"/>
      <c r="AC794" s="132">
        <v>1</v>
      </c>
      <c r="AD794" s="132"/>
      <c r="AE794" s="598"/>
      <c r="AF794" s="359" t="s">
        <v>166</v>
      </c>
      <c r="AG794" s="763">
        <v>0</v>
      </c>
      <c r="AH794" s="764">
        <v>0</v>
      </c>
      <c r="AI794" s="75"/>
      <c r="AJ794" s="777"/>
      <c r="AK794" s="75"/>
      <c r="AL794" s="75"/>
      <c r="AM794" s="75"/>
      <c r="AN794" s="788" t="s">
        <v>39</v>
      </c>
      <c r="AO794" s="221"/>
      <c r="AP794" s="221"/>
      <c r="AQ794" s="419"/>
      <c r="AR794" s="221"/>
      <c r="AS794" s="485"/>
      <c r="AT794" s="221"/>
      <c r="AU794" s="654"/>
      <c r="AV794" s="451"/>
    </row>
    <row r="795" spans="1:48" s="212" customFormat="1" ht="15" customHeight="1" outlineLevel="2" x14ac:dyDescent="0.25">
      <c r="A795" s="746" t="str">
        <f t="shared" si="127"/>
        <v>1.6.1.2.3.61</v>
      </c>
      <c r="B795" s="136">
        <v>1</v>
      </c>
      <c r="C795" s="136">
        <v>6</v>
      </c>
      <c r="D795" s="136">
        <v>1</v>
      </c>
      <c r="E795" s="136">
        <v>2</v>
      </c>
      <c r="F795" s="136">
        <v>3</v>
      </c>
      <c r="G795" s="136">
        <v>61</v>
      </c>
      <c r="H795" s="753"/>
      <c r="I795" s="753"/>
      <c r="J795" s="753"/>
      <c r="K795" s="753" t="s">
        <v>844</v>
      </c>
      <c r="L795" s="136" t="s">
        <v>830</v>
      </c>
      <c r="M795" s="136" t="s">
        <v>73</v>
      </c>
      <c r="N795" s="136" t="s">
        <v>74</v>
      </c>
      <c r="O795" s="136" t="s">
        <v>737</v>
      </c>
      <c r="P795" s="222">
        <v>44197</v>
      </c>
      <c r="Q795" s="222">
        <v>44561</v>
      </c>
      <c r="R795" s="126">
        <v>1</v>
      </c>
      <c r="S795" s="126"/>
      <c r="T795" s="223"/>
      <c r="U795" s="132"/>
      <c r="V795" s="674">
        <v>0</v>
      </c>
      <c r="W795" s="132"/>
      <c r="X795" s="132"/>
      <c r="Y795" s="834">
        <f t="shared" si="171"/>
        <v>0</v>
      </c>
      <c r="Z795" s="132"/>
      <c r="AA795" s="132"/>
      <c r="AB795" s="132"/>
      <c r="AC795" s="132">
        <v>1</v>
      </c>
      <c r="AD795" s="132"/>
      <c r="AE795" s="598"/>
      <c r="AF795" s="359" t="s">
        <v>166</v>
      </c>
      <c r="AG795" s="763">
        <v>0</v>
      </c>
      <c r="AH795" s="764">
        <v>0</v>
      </c>
      <c r="AI795" s="75"/>
      <c r="AJ795" s="777"/>
      <c r="AK795" s="75"/>
      <c r="AL795" s="75"/>
      <c r="AM795" s="75"/>
      <c r="AN795" s="788" t="s">
        <v>39</v>
      </c>
      <c r="AO795" s="221"/>
      <c r="AP795" s="221"/>
      <c r="AQ795" s="419"/>
      <c r="AR795" s="221"/>
      <c r="AS795" s="485"/>
      <c r="AT795" s="221"/>
      <c r="AU795" s="654"/>
      <c r="AV795" s="451"/>
    </row>
    <row r="796" spans="1:48" s="212" customFormat="1" ht="15" customHeight="1" outlineLevel="2" x14ac:dyDescent="0.25">
      <c r="A796" s="746" t="str">
        <f t="shared" si="127"/>
        <v>1.6.1.2.3.62</v>
      </c>
      <c r="B796" s="136">
        <v>1</v>
      </c>
      <c r="C796" s="136">
        <v>6</v>
      </c>
      <c r="D796" s="136">
        <v>1</v>
      </c>
      <c r="E796" s="136">
        <v>2</v>
      </c>
      <c r="F796" s="136">
        <v>3</v>
      </c>
      <c r="G796" s="136">
        <v>62</v>
      </c>
      <c r="H796" s="753"/>
      <c r="I796" s="753"/>
      <c r="J796" s="753"/>
      <c r="K796" s="753" t="s">
        <v>845</v>
      </c>
      <c r="L796" s="136" t="s">
        <v>830</v>
      </c>
      <c r="M796" s="136" t="s">
        <v>73</v>
      </c>
      <c r="N796" s="136" t="s">
        <v>74</v>
      </c>
      <c r="O796" s="136" t="s">
        <v>737</v>
      </c>
      <c r="P796" s="222">
        <v>44197</v>
      </c>
      <c r="Q796" s="222">
        <v>44561</v>
      </c>
      <c r="R796" s="126">
        <v>1</v>
      </c>
      <c r="S796" s="126"/>
      <c r="T796" s="223"/>
      <c r="U796" s="132"/>
      <c r="V796" s="674">
        <v>0</v>
      </c>
      <c r="W796" s="132"/>
      <c r="X796" s="132"/>
      <c r="Y796" s="834">
        <f t="shared" si="171"/>
        <v>0</v>
      </c>
      <c r="Z796" s="132"/>
      <c r="AA796" s="132"/>
      <c r="AB796" s="132"/>
      <c r="AC796" s="132">
        <v>1</v>
      </c>
      <c r="AD796" s="132"/>
      <c r="AE796" s="598"/>
      <c r="AF796" s="359" t="s">
        <v>166</v>
      </c>
      <c r="AG796" s="763">
        <v>0</v>
      </c>
      <c r="AH796" s="764">
        <v>0</v>
      </c>
      <c r="AI796" s="75"/>
      <c r="AJ796" s="777"/>
      <c r="AK796" s="75"/>
      <c r="AL796" s="75"/>
      <c r="AM796" s="75"/>
      <c r="AN796" s="788" t="s">
        <v>39</v>
      </c>
      <c r="AO796" s="221"/>
      <c r="AP796" s="221"/>
      <c r="AQ796" s="419"/>
      <c r="AR796" s="221"/>
      <c r="AS796" s="485"/>
      <c r="AT796" s="221"/>
      <c r="AU796" s="654"/>
      <c r="AV796" s="451"/>
    </row>
    <row r="797" spans="1:48" s="212" customFormat="1" ht="15" customHeight="1" outlineLevel="2" x14ac:dyDescent="0.25">
      <c r="A797" s="746" t="str">
        <f t="shared" si="127"/>
        <v>1.6.1.2.3.63</v>
      </c>
      <c r="B797" s="136">
        <v>1</v>
      </c>
      <c r="C797" s="136">
        <v>6</v>
      </c>
      <c r="D797" s="136">
        <v>1</v>
      </c>
      <c r="E797" s="136">
        <v>2</v>
      </c>
      <c r="F797" s="136">
        <v>3</v>
      </c>
      <c r="G797" s="136">
        <v>63</v>
      </c>
      <c r="H797" s="753"/>
      <c r="I797" s="753"/>
      <c r="J797" s="753"/>
      <c r="K797" s="753" t="s">
        <v>1759</v>
      </c>
      <c r="L797" s="136" t="s">
        <v>830</v>
      </c>
      <c r="M797" s="136" t="s">
        <v>73</v>
      </c>
      <c r="N797" s="136" t="s">
        <v>74</v>
      </c>
      <c r="O797" s="136" t="s">
        <v>737</v>
      </c>
      <c r="P797" s="222">
        <v>44197</v>
      </c>
      <c r="Q797" s="222">
        <v>44561</v>
      </c>
      <c r="R797" s="126">
        <v>1</v>
      </c>
      <c r="S797" s="126"/>
      <c r="T797" s="223"/>
      <c r="U797" s="132"/>
      <c r="V797" s="674">
        <v>0</v>
      </c>
      <c r="W797" s="132"/>
      <c r="X797" s="132"/>
      <c r="Y797" s="834">
        <f t="shared" si="171"/>
        <v>0</v>
      </c>
      <c r="Z797" s="132"/>
      <c r="AA797" s="132"/>
      <c r="AB797" s="132"/>
      <c r="AC797" s="132">
        <v>1</v>
      </c>
      <c r="AD797" s="132"/>
      <c r="AE797" s="598"/>
      <c r="AF797" s="359" t="s">
        <v>166</v>
      </c>
      <c r="AG797" s="763">
        <v>0</v>
      </c>
      <c r="AH797" s="764">
        <v>0</v>
      </c>
      <c r="AI797" s="75"/>
      <c r="AJ797" s="777"/>
      <c r="AK797" s="75"/>
      <c r="AL797" s="75"/>
      <c r="AM797" s="75"/>
      <c r="AN797" s="788" t="s">
        <v>39</v>
      </c>
      <c r="AO797" s="221"/>
      <c r="AP797" s="221"/>
      <c r="AQ797" s="419"/>
      <c r="AR797" s="221"/>
      <c r="AS797" s="485"/>
      <c r="AT797" s="221"/>
      <c r="AU797" s="654"/>
      <c r="AV797" s="451"/>
    </row>
    <row r="798" spans="1:48" s="212" customFormat="1" ht="15" customHeight="1" outlineLevel="2" x14ac:dyDescent="0.25">
      <c r="A798" s="746" t="str">
        <f t="shared" si="127"/>
        <v>1.6.1.2.3.64</v>
      </c>
      <c r="B798" s="136">
        <v>1</v>
      </c>
      <c r="C798" s="136">
        <v>6</v>
      </c>
      <c r="D798" s="136">
        <v>1</v>
      </c>
      <c r="E798" s="136">
        <v>2</v>
      </c>
      <c r="F798" s="136">
        <v>3</v>
      </c>
      <c r="G798" s="136">
        <v>64</v>
      </c>
      <c r="H798" s="753"/>
      <c r="I798" s="753"/>
      <c r="J798" s="753"/>
      <c r="K798" s="753" t="s">
        <v>846</v>
      </c>
      <c r="L798" s="136" t="s">
        <v>830</v>
      </c>
      <c r="M798" s="136" t="s">
        <v>73</v>
      </c>
      <c r="N798" s="136" t="s">
        <v>74</v>
      </c>
      <c r="O798" s="136" t="s">
        <v>737</v>
      </c>
      <c r="P798" s="222">
        <v>44197</v>
      </c>
      <c r="Q798" s="222">
        <v>44561</v>
      </c>
      <c r="R798" s="126">
        <v>1</v>
      </c>
      <c r="S798" s="126"/>
      <c r="T798" s="223"/>
      <c r="U798" s="132"/>
      <c r="V798" s="674">
        <v>0</v>
      </c>
      <c r="W798" s="132"/>
      <c r="X798" s="132"/>
      <c r="Y798" s="834">
        <f t="shared" si="171"/>
        <v>0</v>
      </c>
      <c r="Z798" s="132"/>
      <c r="AA798" s="132"/>
      <c r="AB798" s="132"/>
      <c r="AC798" s="132">
        <v>1</v>
      </c>
      <c r="AD798" s="132"/>
      <c r="AE798" s="598"/>
      <c r="AF798" s="359" t="s">
        <v>166</v>
      </c>
      <c r="AG798" s="763">
        <v>0</v>
      </c>
      <c r="AH798" s="764">
        <v>0</v>
      </c>
      <c r="AI798" s="75"/>
      <c r="AJ798" s="777"/>
      <c r="AK798" s="75"/>
      <c r="AL798" s="75"/>
      <c r="AM798" s="75"/>
      <c r="AN798" s="788" t="s">
        <v>39</v>
      </c>
      <c r="AO798" s="221"/>
      <c r="AP798" s="221"/>
      <c r="AQ798" s="419"/>
      <c r="AR798" s="221"/>
      <c r="AS798" s="485"/>
      <c r="AT798" s="221"/>
      <c r="AU798" s="654"/>
      <c r="AV798" s="451"/>
    </row>
    <row r="799" spans="1:48" s="212" customFormat="1" ht="15" customHeight="1" outlineLevel="2" x14ac:dyDescent="0.25">
      <c r="A799" s="746" t="str">
        <f t="shared" si="127"/>
        <v>1.6.1.2.4.58</v>
      </c>
      <c r="B799" s="136">
        <v>1</v>
      </c>
      <c r="C799" s="136">
        <v>6</v>
      </c>
      <c r="D799" s="136">
        <v>1</v>
      </c>
      <c r="E799" s="136">
        <v>2</v>
      </c>
      <c r="F799" s="136">
        <v>4</v>
      </c>
      <c r="G799" s="136">
        <v>58</v>
      </c>
      <c r="H799" s="753"/>
      <c r="I799" s="753"/>
      <c r="J799" s="753"/>
      <c r="K799" s="753" t="s">
        <v>847</v>
      </c>
      <c r="L799" s="136" t="s">
        <v>72</v>
      </c>
      <c r="M799" s="136" t="s">
        <v>73</v>
      </c>
      <c r="N799" s="136" t="s">
        <v>74</v>
      </c>
      <c r="O799" s="136" t="s">
        <v>848</v>
      </c>
      <c r="P799" s="224">
        <v>44197</v>
      </c>
      <c r="Q799" s="224">
        <v>44229</v>
      </c>
      <c r="R799" s="219">
        <v>1</v>
      </c>
      <c r="S799" s="219" t="s">
        <v>831</v>
      </c>
      <c r="T799" s="219"/>
      <c r="U799" s="220"/>
      <c r="V799" s="674">
        <v>0</v>
      </c>
      <c r="W799" s="220"/>
      <c r="X799" s="220"/>
      <c r="Y799" s="834">
        <f t="shared" si="171"/>
        <v>0</v>
      </c>
      <c r="Z799" s="220"/>
      <c r="AA799" s="220"/>
      <c r="AB799" s="220"/>
      <c r="AC799" s="132"/>
      <c r="AD799" s="132"/>
      <c r="AE799" s="598"/>
      <c r="AF799" s="360" t="s">
        <v>649</v>
      </c>
      <c r="AG799" s="763">
        <v>0</v>
      </c>
      <c r="AH799" s="764">
        <v>0</v>
      </c>
      <c r="AI799" s="75"/>
      <c r="AJ799" s="777"/>
      <c r="AK799" s="75"/>
      <c r="AL799" s="75"/>
      <c r="AM799" s="75"/>
      <c r="AN799" s="788" t="s">
        <v>39</v>
      </c>
      <c r="AO799" s="221"/>
      <c r="AP799" s="221"/>
      <c r="AQ799" s="419"/>
      <c r="AR799" s="221"/>
      <c r="AS799" s="485"/>
      <c r="AT799" s="221"/>
      <c r="AU799" s="654"/>
      <c r="AV799" s="451"/>
    </row>
    <row r="800" spans="1:48" s="212" customFormat="1" ht="15" customHeight="1" outlineLevel="2" x14ac:dyDescent="0.25">
      <c r="A800" s="746" t="str">
        <f t="shared" si="127"/>
        <v>1.6.1.2.4.59</v>
      </c>
      <c r="B800" s="136">
        <v>1</v>
      </c>
      <c r="C800" s="136">
        <v>6</v>
      </c>
      <c r="D800" s="136">
        <v>1</v>
      </c>
      <c r="E800" s="136">
        <v>2</v>
      </c>
      <c r="F800" s="136">
        <v>4</v>
      </c>
      <c r="G800" s="136">
        <v>59</v>
      </c>
      <c r="H800" s="753"/>
      <c r="I800" s="753"/>
      <c r="J800" s="753"/>
      <c r="K800" s="753" t="s">
        <v>849</v>
      </c>
      <c r="L800" s="136" t="s">
        <v>72</v>
      </c>
      <c r="M800" s="136" t="s">
        <v>73</v>
      </c>
      <c r="N800" s="136" t="s">
        <v>74</v>
      </c>
      <c r="O800" s="136" t="s">
        <v>848</v>
      </c>
      <c r="P800" s="224"/>
      <c r="Q800" s="224"/>
      <c r="R800" s="219"/>
      <c r="S800" s="219"/>
      <c r="T800" s="219"/>
      <c r="U800" s="220"/>
      <c r="V800" s="674">
        <v>0</v>
      </c>
      <c r="W800" s="220"/>
      <c r="X800" s="220"/>
      <c r="Y800" s="834">
        <f t="shared" si="171"/>
        <v>0</v>
      </c>
      <c r="Z800" s="220"/>
      <c r="AA800" s="220"/>
      <c r="AB800" s="220"/>
      <c r="AC800" s="132"/>
      <c r="AD800" s="132"/>
      <c r="AE800" s="598"/>
      <c r="AF800" s="360"/>
      <c r="AG800" s="763">
        <v>0</v>
      </c>
      <c r="AH800" s="764">
        <v>0</v>
      </c>
      <c r="AI800" s="75"/>
      <c r="AJ800" s="777"/>
      <c r="AK800" s="75"/>
      <c r="AL800" s="75"/>
      <c r="AM800" s="75"/>
      <c r="AN800" s="788" t="s">
        <v>39</v>
      </c>
      <c r="AO800" s="221"/>
      <c r="AP800" s="221"/>
      <c r="AQ800" s="419"/>
      <c r="AR800" s="221"/>
      <c r="AS800" s="485"/>
      <c r="AT800" s="221"/>
      <c r="AU800" s="654"/>
      <c r="AV800" s="451"/>
    </row>
    <row r="801" spans="1:48" s="212" customFormat="1" ht="15" customHeight="1" outlineLevel="2" x14ac:dyDescent="0.25">
      <c r="A801" s="746" t="str">
        <f t="shared" si="127"/>
        <v>1.6.1.2.4.60</v>
      </c>
      <c r="B801" s="136">
        <v>1</v>
      </c>
      <c r="C801" s="136">
        <v>6</v>
      </c>
      <c r="D801" s="136">
        <v>1</v>
      </c>
      <c r="E801" s="136">
        <v>2</v>
      </c>
      <c r="F801" s="136">
        <v>4</v>
      </c>
      <c r="G801" s="136">
        <v>60</v>
      </c>
      <c r="H801" s="753"/>
      <c r="I801" s="753"/>
      <c r="J801" s="753"/>
      <c r="K801" s="753" t="s">
        <v>850</v>
      </c>
      <c r="L801" s="136" t="s">
        <v>72</v>
      </c>
      <c r="M801" s="136" t="s">
        <v>73</v>
      </c>
      <c r="N801" s="136" t="s">
        <v>74</v>
      </c>
      <c r="O801" s="136" t="s">
        <v>848</v>
      </c>
      <c r="P801" s="224"/>
      <c r="Q801" s="224"/>
      <c r="R801" s="219"/>
      <c r="S801" s="219"/>
      <c r="T801" s="219"/>
      <c r="U801" s="220"/>
      <c r="V801" s="674">
        <v>0</v>
      </c>
      <c r="W801" s="220"/>
      <c r="X801" s="220"/>
      <c r="Y801" s="834">
        <f t="shared" si="171"/>
        <v>0</v>
      </c>
      <c r="Z801" s="220"/>
      <c r="AA801" s="220"/>
      <c r="AB801" s="220"/>
      <c r="AC801" s="132"/>
      <c r="AD801" s="132"/>
      <c r="AE801" s="598"/>
      <c r="AF801" s="360"/>
      <c r="AG801" s="763">
        <v>0</v>
      </c>
      <c r="AH801" s="764">
        <v>0</v>
      </c>
      <c r="AI801" s="75"/>
      <c r="AJ801" s="777"/>
      <c r="AK801" s="75"/>
      <c r="AL801" s="75"/>
      <c r="AM801" s="75"/>
      <c r="AN801" s="788" t="s">
        <v>39</v>
      </c>
      <c r="AO801" s="221"/>
      <c r="AP801" s="221"/>
      <c r="AQ801" s="419"/>
      <c r="AR801" s="221"/>
      <c r="AS801" s="485"/>
      <c r="AT801" s="221"/>
      <c r="AU801" s="654"/>
      <c r="AV801" s="451"/>
    </row>
    <row r="802" spans="1:48" s="212" customFormat="1" ht="15" customHeight="1" outlineLevel="2" x14ac:dyDescent="0.25">
      <c r="A802" s="746" t="str">
        <f t="shared" si="127"/>
        <v>1.6.1.2.4.61</v>
      </c>
      <c r="B802" s="136">
        <v>1</v>
      </c>
      <c r="C802" s="136">
        <v>6</v>
      </c>
      <c r="D802" s="136">
        <v>1</v>
      </c>
      <c r="E802" s="136">
        <v>2</v>
      </c>
      <c r="F802" s="136">
        <v>4</v>
      </c>
      <c r="G802" s="136">
        <v>61</v>
      </c>
      <c r="H802" s="753"/>
      <c r="I802" s="753"/>
      <c r="J802" s="753"/>
      <c r="K802" s="753" t="s">
        <v>851</v>
      </c>
      <c r="L802" s="136" t="s">
        <v>72</v>
      </c>
      <c r="M802" s="136" t="s">
        <v>73</v>
      </c>
      <c r="N802" s="136" t="s">
        <v>74</v>
      </c>
      <c r="O802" s="136" t="s">
        <v>848</v>
      </c>
      <c r="P802" s="224"/>
      <c r="Q802" s="224"/>
      <c r="R802" s="219"/>
      <c r="S802" s="219"/>
      <c r="T802" s="219"/>
      <c r="U802" s="220"/>
      <c r="V802" s="674">
        <v>0</v>
      </c>
      <c r="W802" s="220"/>
      <c r="X802" s="220"/>
      <c r="Y802" s="834">
        <f t="shared" si="171"/>
        <v>0</v>
      </c>
      <c r="Z802" s="220"/>
      <c r="AA802" s="220"/>
      <c r="AB802" s="220"/>
      <c r="AC802" s="132"/>
      <c r="AD802" s="132"/>
      <c r="AE802" s="598"/>
      <c r="AF802" s="360"/>
      <c r="AG802" s="763">
        <v>0</v>
      </c>
      <c r="AH802" s="764">
        <v>0</v>
      </c>
      <c r="AI802" s="75"/>
      <c r="AJ802" s="777"/>
      <c r="AK802" s="75"/>
      <c r="AL802" s="75"/>
      <c r="AM802" s="75"/>
      <c r="AN802" s="788" t="s">
        <v>39</v>
      </c>
      <c r="AO802" s="221"/>
      <c r="AP802" s="221"/>
      <c r="AQ802" s="419"/>
      <c r="AR802" s="221"/>
      <c r="AS802" s="485"/>
      <c r="AT802" s="221"/>
      <c r="AU802" s="654"/>
      <c r="AV802" s="451"/>
    </row>
    <row r="803" spans="1:48" s="212" customFormat="1" ht="15" customHeight="1" outlineLevel="2" x14ac:dyDescent="0.25">
      <c r="A803" s="746" t="str">
        <f t="shared" si="127"/>
        <v>1.6.1.2.4.62</v>
      </c>
      <c r="B803" s="136">
        <v>1</v>
      </c>
      <c r="C803" s="136">
        <v>6</v>
      </c>
      <c r="D803" s="136">
        <v>1</v>
      </c>
      <c r="E803" s="136">
        <v>2</v>
      </c>
      <c r="F803" s="136">
        <v>4</v>
      </c>
      <c r="G803" s="136">
        <v>62</v>
      </c>
      <c r="H803" s="753"/>
      <c r="I803" s="753"/>
      <c r="J803" s="753"/>
      <c r="K803" s="753" t="s">
        <v>852</v>
      </c>
      <c r="L803" s="136" t="s">
        <v>72</v>
      </c>
      <c r="M803" s="136" t="s">
        <v>73</v>
      </c>
      <c r="N803" s="136" t="s">
        <v>74</v>
      </c>
      <c r="O803" s="136" t="s">
        <v>848</v>
      </c>
      <c r="P803" s="224"/>
      <c r="Q803" s="224"/>
      <c r="R803" s="221"/>
      <c r="S803" s="219"/>
      <c r="T803" s="219"/>
      <c r="U803" s="220"/>
      <c r="V803" s="674">
        <v>0</v>
      </c>
      <c r="W803" s="220"/>
      <c r="X803" s="220"/>
      <c r="Y803" s="834">
        <f t="shared" si="171"/>
        <v>0</v>
      </c>
      <c r="Z803" s="220"/>
      <c r="AA803" s="220"/>
      <c r="AB803" s="220"/>
      <c r="AC803" s="132"/>
      <c r="AD803" s="132"/>
      <c r="AE803" s="598"/>
      <c r="AF803" s="360"/>
      <c r="AG803" s="763">
        <v>0</v>
      </c>
      <c r="AH803" s="764">
        <v>0</v>
      </c>
      <c r="AI803" s="75"/>
      <c r="AJ803" s="777"/>
      <c r="AK803" s="75"/>
      <c r="AL803" s="75"/>
      <c r="AM803" s="75"/>
      <c r="AN803" s="788" t="s">
        <v>39</v>
      </c>
      <c r="AO803" s="221"/>
      <c r="AP803" s="221"/>
      <c r="AQ803" s="419"/>
      <c r="AR803" s="221"/>
      <c r="AS803" s="485"/>
      <c r="AT803" s="221"/>
      <c r="AU803" s="654"/>
      <c r="AV803" s="451"/>
    </row>
    <row r="804" spans="1:48" s="212" customFormat="1" ht="15" customHeight="1" outlineLevel="2" x14ac:dyDescent="0.25">
      <c r="A804" s="746" t="str">
        <f t="shared" si="127"/>
        <v>1.6.1.2.4.63</v>
      </c>
      <c r="B804" s="136">
        <v>1</v>
      </c>
      <c r="C804" s="136">
        <v>6</v>
      </c>
      <c r="D804" s="136">
        <v>1</v>
      </c>
      <c r="E804" s="136">
        <v>2</v>
      </c>
      <c r="F804" s="136">
        <v>4</v>
      </c>
      <c r="G804" s="136">
        <v>63</v>
      </c>
      <c r="H804" s="753"/>
      <c r="I804" s="753"/>
      <c r="J804" s="753"/>
      <c r="K804" s="753" t="s">
        <v>1760</v>
      </c>
      <c r="L804" s="136" t="s">
        <v>72</v>
      </c>
      <c r="M804" s="136" t="s">
        <v>73</v>
      </c>
      <c r="N804" s="136" t="s">
        <v>74</v>
      </c>
      <c r="O804" s="136" t="s">
        <v>848</v>
      </c>
      <c r="P804" s="224"/>
      <c r="Q804" s="224"/>
      <c r="R804" s="219"/>
      <c r="S804" s="219"/>
      <c r="T804" s="219"/>
      <c r="U804" s="220"/>
      <c r="V804" s="674">
        <v>0</v>
      </c>
      <c r="W804" s="220"/>
      <c r="X804" s="220"/>
      <c r="Y804" s="834">
        <f t="shared" si="171"/>
        <v>0</v>
      </c>
      <c r="Z804" s="220"/>
      <c r="AA804" s="220"/>
      <c r="AB804" s="220"/>
      <c r="AC804" s="132"/>
      <c r="AD804" s="132"/>
      <c r="AE804" s="598"/>
      <c r="AF804" s="360"/>
      <c r="AG804" s="763">
        <v>0</v>
      </c>
      <c r="AH804" s="764">
        <v>0</v>
      </c>
      <c r="AI804" s="75"/>
      <c r="AJ804" s="777"/>
      <c r="AK804" s="75"/>
      <c r="AL804" s="75"/>
      <c r="AM804" s="75"/>
      <c r="AN804" s="788" t="s">
        <v>39</v>
      </c>
      <c r="AO804" s="221"/>
      <c r="AP804" s="221"/>
      <c r="AQ804" s="419"/>
      <c r="AR804" s="221"/>
      <c r="AS804" s="485"/>
      <c r="AT804" s="221"/>
      <c r="AU804" s="654"/>
      <c r="AV804" s="451"/>
    </row>
    <row r="805" spans="1:48" s="212" customFormat="1" ht="15" customHeight="1" outlineLevel="2" x14ac:dyDescent="0.25">
      <c r="A805" s="746" t="str">
        <f t="shared" si="127"/>
        <v>1.6.1.2.4.64</v>
      </c>
      <c r="B805" s="136">
        <v>1</v>
      </c>
      <c r="C805" s="136">
        <v>6</v>
      </c>
      <c r="D805" s="136">
        <v>1</v>
      </c>
      <c r="E805" s="136">
        <v>2</v>
      </c>
      <c r="F805" s="136">
        <v>4</v>
      </c>
      <c r="G805" s="136">
        <v>64</v>
      </c>
      <c r="H805" s="753"/>
      <c r="I805" s="753"/>
      <c r="J805" s="753"/>
      <c r="K805" s="753" t="s">
        <v>853</v>
      </c>
      <c r="L805" s="136" t="s">
        <v>72</v>
      </c>
      <c r="M805" s="136" t="s">
        <v>73</v>
      </c>
      <c r="N805" s="136" t="s">
        <v>74</v>
      </c>
      <c r="O805" s="136" t="s">
        <v>848</v>
      </c>
      <c r="P805" s="224"/>
      <c r="Q805" s="224"/>
      <c r="R805" s="219"/>
      <c r="S805" s="219"/>
      <c r="T805" s="219"/>
      <c r="U805" s="220"/>
      <c r="V805" s="674">
        <v>0</v>
      </c>
      <c r="W805" s="220"/>
      <c r="X805" s="220"/>
      <c r="Y805" s="834">
        <f t="shared" si="171"/>
        <v>0</v>
      </c>
      <c r="Z805" s="220"/>
      <c r="AA805" s="220"/>
      <c r="AB805" s="220"/>
      <c r="AC805" s="132"/>
      <c r="AD805" s="132"/>
      <c r="AE805" s="598"/>
      <c r="AF805" s="360"/>
      <c r="AG805" s="763">
        <v>0</v>
      </c>
      <c r="AH805" s="764">
        <v>0</v>
      </c>
      <c r="AI805" s="75"/>
      <c r="AJ805" s="777"/>
      <c r="AK805" s="75"/>
      <c r="AL805" s="75"/>
      <c r="AM805" s="75"/>
      <c r="AN805" s="788" t="s">
        <v>39</v>
      </c>
      <c r="AO805" s="221"/>
      <c r="AP805" s="221"/>
      <c r="AQ805" s="419"/>
      <c r="AR805" s="221"/>
      <c r="AS805" s="485"/>
      <c r="AT805" s="221"/>
      <c r="AU805" s="654"/>
      <c r="AV805" s="451"/>
    </row>
    <row r="806" spans="1:48" s="212" customFormat="1" ht="15" customHeight="1" outlineLevel="2" x14ac:dyDescent="0.25">
      <c r="A806" s="746" t="str">
        <f t="shared" si="127"/>
        <v>1.6.1.2.5.58</v>
      </c>
      <c r="B806" s="136">
        <v>1</v>
      </c>
      <c r="C806" s="136">
        <v>6</v>
      </c>
      <c r="D806" s="136">
        <v>1</v>
      </c>
      <c r="E806" s="136">
        <v>2</v>
      </c>
      <c r="F806" s="136">
        <v>5</v>
      </c>
      <c r="G806" s="136">
        <v>58</v>
      </c>
      <c r="H806" s="753"/>
      <c r="I806" s="753"/>
      <c r="J806" s="753"/>
      <c r="K806" s="753" t="s">
        <v>854</v>
      </c>
      <c r="L806" s="136" t="s">
        <v>830</v>
      </c>
      <c r="M806" s="136" t="s">
        <v>73</v>
      </c>
      <c r="N806" s="136" t="s">
        <v>74</v>
      </c>
      <c r="O806" s="136" t="s">
        <v>737</v>
      </c>
      <c r="P806" s="224">
        <v>44197</v>
      </c>
      <c r="Q806" s="224">
        <v>44229</v>
      </c>
      <c r="R806" s="219">
        <v>1</v>
      </c>
      <c r="S806" s="219" t="s">
        <v>831</v>
      </c>
      <c r="T806" s="219"/>
      <c r="U806" s="220"/>
      <c r="V806" s="674">
        <v>0</v>
      </c>
      <c r="W806" s="220"/>
      <c r="X806" s="220"/>
      <c r="Y806" s="834">
        <f t="shared" si="171"/>
        <v>0</v>
      </c>
      <c r="Z806" s="220"/>
      <c r="AA806" s="220"/>
      <c r="AB806" s="220"/>
      <c r="AC806" s="132"/>
      <c r="AD806" s="132"/>
      <c r="AE806" s="598"/>
      <c r="AF806" s="360" t="s">
        <v>649</v>
      </c>
      <c r="AG806" s="763">
        <v>0</v>
      </c>
      <c r="AH806" s="764">
        <v>0</v>
      </c>
      <c r="AI806" s="75"/>
      <c r="AJ806" s="777"/>
      <c r="AK806" s="75"/>
      <c r="AL806" s="75"/>
      <c r="AM806" s="75"/>
      <c r="AN806" s="788" t="s">
        <v>39</v>
      </c>
      <c r="AO806" s="221"/>
      <c r="AP806" s="221"/>
      <c r="AQ806" s="419"/>
      <c r="AR806" s="221"/>
      <c r="AS806" s="485"/>
      <c r="AT806" s="221"/>
      <c r="AU806" s="654"/>
      <c r="AV806" s="451"/>
    </row>
    <row r="807" spans="1:48" s="212" customFormat="1" ht="15" customHeight="1" outlineLevel="2" x14ac:dyDescent="0.25">
      <c r="A807" s="746" t="str">
        <f t="shared" si="127"/>
        <v>1.6.1.2.5.59</v>
      </c>
      <c r="B807" s="136">
        <v>1</v>
      </c>
      <c r="C807" s="136">
        <v>6</v>
      </c>
      <c r="D807" s="136">
        <v>1</v>
      </c>
      <c r="E807" s="136">
        <v>2</v>
      </c>
      <c r="F807" s="136">
        <v>5</v>
      </c>
      <c r="G807" s="136">
        <v>59</v>
      </c>
      <c r="H807" s="753"/>
      <c r="I807" s="753"/>
      <c r="J807" s="753"/>
      <c r="K807" s="753" t="s">
        <v>855</v>
      </c>
      <c r="L807" s="136" t="s">
        <v>830</v>
      </c>
      <c r="M807" s="136" t="s">
        <v>73</v>
      </c>
      <c r="N807" s="136" t="s">
        <v>74</v>
      </c>
      <c r="O807" s="136" t="s">
        <v>737</v>
      </c>
      <c r="P807" s="224"/>
      <c r="Q807" s="224"/>
      <c r="R807" s="219"/>
      <c r="S807" s="219"/>
      <c r="T807" s="219"/>
      <c r="U807" s="220"/>
      <c r="V807" s="674">
        <v>0</v>
      </c>
      <c r="W807" s="220"/>
      <c r="X807" s="220"/>
      <c r="Y807" s="834">
        <f t="shared" si="171"/>
        <v>0</v>
      </c>
      <c r="Z807" s="220"/>
      <c r="AA807" s="220"/>
      <c r="AB807" s="220"/>
      <c r="AC807" s="132"/>
      <c r="AD807" s="132"/>
      <c r="AE807" s="598"/>
      <c r="AF807" s="360"/>
      <c r="AG807" s="763">
        <v>0</v>
      </c>
      <c r="AH807" s="764">
        <v>0</v>
      </c>
      <c r="AI807" s="75"/>
      <c r="AJ807" s="777"/>
      <c r="AK807" s="75"/>
      <c r="AL807" s="75"/>
      <c r="AM807" s="75"/>
      <c r="AN807" s="788" t="s">
        <v>39</v>
      </c>
      <c r="AO807" s="221"/>
      <c r="AP807" s="221"/>
      <c r="AQ807" s="419"/>
      <c r="AR807" s="221"/>
      <c r="AS807" s="485"/>
      <c r="AT807" s="221"/>
      <c r="AU807" s="654"/>
      <c r="AV807" s="451"/>
    </row>
    <row r="808" spans="1:48" s="212" customFormat="1" ht="15" customHeight="1" outlineLevel="2" x14ac:dyDescent="0.25">
      <c r="A808" s="746" t="str">
        <f t="shared" si="127"/>
        <v>1.6.1.2.5.60</v>
      </c>
      <c r="B808" s="136">
        <v>1</v>
      </c>
      <c r="C808" s="136">
        <v>6</v>
      </c>
      <c r="D808" s="136">
        <v>1</v>
      </c>
      <c r="E808" s="136">
        <v>2</v>
      </c>
      <c r="F808" s="136">
        <v>5</v>
      </c>
      <c r="G808" s="136">
        <v>60</v>
      </c>
      <c r="H808" s="753"/>
      <c r="I808" s="753"/>
      <c r="J808" s="753"/>
      <c r="K808" s="753" t="s">
        <v>856</v>
      </c>
      <c r="L808" s="136" t="s">
        <v>830</v>
      </c>
      <c r="M808" s="136" t="s">
        <v>73</v>
      </c>
      <c r="N808" s="136" t="s">
        <v>74</v>
      </c>
      <c r="O808" s="136" t="s">
        <v>737</v>
      </c>
      <c r="P808" s="224"/>
      <c r="Q808" s="224"/>
      <c r="R808" s="219"/>
      <c r="S808" s="219"/>
      <c r="T808" s="219"/>
      <c r="U808" s="220"/>
      <c r="V808" s="674">
        <v>0</v>
      </c>
      <c r="W808" s="220"/>
      <c r="X808" s="220"/>
      <c r="Y808" s="834">
        <f t="shared" si="171"/>
        <v>0</v>
      </c>
      <c r="Z808" s="220"/>
      <c r="AA808" s="220"/>
      <c r="AB808" s="220"/>
      <c r="AC808" s="132"/>
      <c r="AD808" s="132"/>
      <c r="AE808" s="598"/>
      <c r="AF808" s="360"/>
      <c r="AG808" s="763">
        <v>0</v>
      </c>
      <c r="AH808" s="764">
        <v>0</v>
      </c>
      <c r="AI808" s="75"/>
      <c r="AJ808" s="777"/>
      <c r="AK808" s="75"/>
      <c r="AL808" s="75"/>
      <c r="AM808" s="75"/>
      <c r="AN808" s="788" t="s">
        <v>39</v>
      </c>
      <c r="AO808" s="221"/>
      <c r="AP808" s="221"/>
      <c r="AQ808" s="419"/>
      <c r="AR808" s="221"/>
      <c r="AS808" s="485"/>
      <c r="AT808" s="221"/>
      <c r="AU808" s="654"/>
      <c r="AV808" s="451"/>
    </row>
    <row r="809" spans="1:48" s="212" customFormat="1" ht="15" customHeight="1" outlineLevel="2" x14ac:dyDescent="0.25">
      <c r="A809" s="746" t="str">
        <f t="shared" si="127"/>
        <v>1.6.1.2.5.61</v>
      </c>
      <c r="B809" s="136">
        <v>1</v>
      </c>
      <c r="C809" s="136">
        <v>6</v>
      </c>
      <c r="D809" s="136">
        <v>1</v>
      </c>
      <c r="E809" s="136">
        <v>2</v>
      </c>
      <c r="F809" s="136">
        <v>5</v>
      </c>
      <c r="G809" s="136">
        <v>61</v>
      </c>
      <c r="H809" s="753"/>
      <c r="I809" s="753"/>
      <c r="J809" s="753"/>
      <c r="K809" s="753" t="s">
        <v>857</v>
      </c>
      <c r="L809" s="136" t="s">
        <v>830</v>
      </c>
      <c r="M809" s="136" t="s">
        <v>73</v>
      </c>
      <c r="N809" s="136" t="s">
        <v>74</v>
      </c>
      <c r="O809" s="136" t="s">
        <v>737</v>
      </c>
      <c r="P809" s="219"/>
      <c r="Q809" s="219"/>
      <c r="R809" s="219"/>
      <c r="S809" s="219"/>
      <c r="T809" s="219"/>
      <c r="U809" s="220"/>
      <c r="V809" s="674">
        <v>0</v>
      </c>
      <c r="W809" s="220"/>
      <c r="X809" s="220"/>
      <c r="Y809" s="834">
        <f t="shared" si="171"/>
        <v>0</v>
      </c>
      <c r="Z809" s="220"/>
      <c r="AA809" s="220"/>
      <c r="AB809" s="220"/>
      <c r="AC809" s="132"/>
      <c r="AD809" s="132"/>
      <c r="AE809" s="598"/>
      <c r="AF809" s="360"/>
      <c r="AG809" s="763">
        <v>0</v>
      </c>
      <c r="AH809" s="764">
        <v>0</v>
      </c>
      <c r="AI809" s="75"/>
      <c r="AJ809" s="777"/>
      <c r="AK809" s="75"/>
      <c r="AL809" s="75"/>
      <c r="AM809" s="75"/>
      <c r="AN809" s="788" t="s">
        <v>39</v>
      </c>
      <c r="AO809" s="221"/>
      <c r="AP809" s="221"/>
      <c r="AQ809" s="419"/>
      <c r="AR809" s="221"/>
      <c r="AS809" s="485"/>
      <c r="AT809" s="221"/>
      <c r="AU809" s="654"/>
      <c r="AV809" s="451"/>
    </row>
    <row r="810" spans="1:48" s="212" customFormat="1" ht="15" customHeight="1" outlineLevel="2" x14ac:dyDescent="0.25">
      <c r="A810" s="746" t="str">
        <f t="shared" si="127"/>
        <v>1.6.1.2.5.62</v>
      </c>
      <c r="B810" s="136">
        <v>1</v>
      </c>
      <c r="C810" s="136">
        <v>6</v>
      </c>
      <c r="D810" s="136">
        <v>1</v>
      </c>
      <c r="E810" s="136">
        <v>2</v>
      </c>
      <c r="F810" s="136">
        <v>5</v>
      </c>
      <c r="G810" s="136">
        <v>62</v>
      </c>
      <c r="H810" s="753"/>
      <c r="I810" s="753"/>
      <c r="J810" s="753"/>
      <c r="K810" s="753" t="s">
        <v>858</v>
      </c>
      <c r="L810" s="136" t="s">
        <v>830</v>
      </c>
      <c r="M810" s="136" t="s">
        <v>73</v>
      </c>
      <c r="N810" s="136" t="s">
        <v>74</v>
      </c>
      <c r="O810" s="136" t="s">
        <v>737</v>
      </c>
      <c r="P810" s="219"/>
      <c r="Q810" s="219"/>
      <c r="R810" s="221"/>
      <c r="S810" s="219"/>
      <c r="T810" s="219"/>
      <c r="U810" s="220"/>
      <c r="V810" s="674">
        <v>0</v>
      </c>
      <c r="W810" s="220"/>
      <c r="X810" s="220"/>
      <c r="Y810" s="834">
        <f t="shared" ref="Y810:Y836" si="173">+AJ810-V810</f>
        <v>0</v>
      </c>
      <c r="Z810" s="220"/>
      <c r="AA810" s="220"/>
      <c r="AB810" s="220"/>
      <c r="AC810" s="132"/>
      <c r="AD810" s="132"/>
      <c r="AE810" s="598"/>
      <c r="AF810" s="360"/>
      <c r="AG810" s="763">
        <v>0</v>
      </c>
      <c r="AH810" s="764">
        <v>0</v>
      </c>
      <c r="AI810" s="75"/>
      <c r="AJ810" s="777"/>
      <c r="AK810" s="75"/>
      <c r="AL810" s="75"/>
      <c r="AM810" s="75"/>
      <c r="AN810" s="788" t="s">
        <v>39</v>
      </c>
      <c r="AO810" s="221"/>
      <c r="AP810" s="221"/>
      <c r="AQ810" s="419"/>
      <c r="AR810" s="221"/>
      <c r="AS810" s="485"/>
      <c r="AT810" s="221"/>
      <c r="AU810" s="654"/>
      <c r="AV810" s="451"/>
    </row>
    <row r="811" spans="1:48" s="212" customFormat="1" ht="15" customHeight="1" outlineLevel="2" x14ac:dyDescent="0.25">
      <c r="A811" s="746" t="str">
        <f t="shared" si="127"/>
        <v>1.6.1.2.5.63</v>
      </c>
      <c r="B811" s="136">
        <v>1</v>
      </c>
      <c r="C811" s="136">
        <v>6</v>
      </c>
      <c r="D811" s="136">
        <v>1</v>
      </c>
      <c r="E811" s="136">
        <v>2</v>
      </c>
      <c r="F811" s="136">
        <v>5</v>
      </c>
      <c r="G811" s="136">
        <v>63</v>
      </c>
      <c r="H811" s="753"/>
      <c r="I811" s="753"/>
      <c r="J811" s="753"/>
      <c r="K811" s="753" t="s">
        <v>1761</v>
      </c>
      <c r="L811" s="136" t="s">
        <v>830</v>
      </c>
      <c r="M811" s="136" t="s">
        <v>73</v>
      </c>
      <c r="N811" s="136" t="s">
        <v>74</v>
      </c>
      <c r="O811" s="136" t="s">
        <v>737</v>
      </c>
      <c r="P811" s="219"/>
      <c r="Q811" s="219"/>
      <c r="R811" s="219"/>
      <c r="S811" s="219"/>
      <c r="T811" s="219"/>
      <c r="U811" s="220"/>
      <c r="V811" s="674">
        <v>0</v>
      </c>
      <c r="W811" s="220"/>
      <c r="X811" s="220"/>
      <c r="Y811" s="834">
        <f t="shared" si="173"/>
        <v>0</v>
      </c>
      <c r="Z811" s="220"/>
      <c r="AA811" s="220"/>
      <c r="AB811" s="220"/>
      <c r="AC811" s="132"/>
      <c r="AD811" s="132"/>
      <c r="AE811" s="598"/>
      <c r="AF811" s="360"/>
      <c r="AG811" s="763">
        <v>0</v>
      </c>
      <c r="AH811" s="764">
        <v>0</v>
      </c>
      <c r="AI811" s="75"/>
      <c r="AJ811" s="777"/>
      <c r="AK811" s="75"/>
      <c r="AL811" s="75"/>
      <c r="AM811" s="75"/>
      <c r="AN811" s="788" t="s">
        <v>39</v>
      </c>
      <c r="AO811" s="221"/>
      <c r="AP811" s="221"/>
      <c r="AQ811" s="419"/>
      <c r="AR811" s="221"/>
      <c r="AS811" s="485"/>
      <c r="AT811" s="221"/>
      <c r="AU811" s="654"/>
      <c r="AV811" s="451"/>
    </row>
    <row r="812" spans="1:48" s="212" customFormat="1" ht="15" customHeight="1" outlineLevel="2" x14ac:dyDescent="0.25">
      <c r="A812" s="746" t="str">
        <f t="shared" si="127"/>
        <v>1.6.1.2.5.64</v>
      </c>
      <c r="B812" s="136">
        <v>1</v>
      </c>
      <c r="C812" s="136">
        <v>6</v>
      </c>
      <c r="D812" s="136">
        <v>1</v>
      </c>
      <c r="E812" s="136">
        <v>2</v>
      </c>
      <c r="F812" s="136">
        <v>5</v>
      </c>
      <c r="G812" s="136">
        <v>64</v>
      </c>
      <c r="H812" s="753"/>
      <c r="I812" s="753"/>
      <c r="J812" s="753"/>
      <c r="K812" s="753" t="s">
        <v>859</v>
      </c>
      <c r="L812" s="136" t="s">
        <v>830</v>
      </c>
      <c r="M812" s="136" t="s">
        <v>73</v>
      </c>
      <c r="N812" s="136" t="s">
        <v>74</v>
      </c>
      <c r="O812" s="136" t="s">
        <v>737</v>
      </c>
      <c r="P812" s="219"/>
      <c r="Q812" s="219"/>
      <c r="R812" s="219"/>
      <c r="S812" s="219"/>
      <c r="T812" s="219"/>
      <c r="U812" s="220"/>
      <c r="V812" s="674">
        <v>0</v>
      </c>
      <c r="W812" s="220"/>
      <c r="X812" s="220"/>
      <c r="Y812" s="834">
        <f t="shared" si="173"/>
        <v>0</v>
      </c>
      <c r="Z812" s="220"/>
      <c r="AA812" s="220"/>
      <c r="AB812" s="220"/>
      <c r="AC812" s="132"/>
      <c r="AD812" s="132"/>
      <c r="AE812" s="598"/>
      <c r="AF812" s="360"/>
      <c r="AG812" s="763">
        <v>0</v>
      </c>
      <c r="AH812" s="764">
        <v>0</v>
      </c>
      <c r="AI812" s="75"/>
      <c r="AJ812" s="777"/>
      <c r="AK812" s="75"/>
      <c r="AL812" s="75"/>
      <c r="AM812" s="75"/>
      <c r="AN812" s="788" t="s">
        <v>39</v>
      </c>
      <c r="AO812" s="221"/>
      <c r="AP812" s="221"/>
      <c r="AQ812" s="419"/>
      <c r="AR812" s="221"/>
      <c r="AS812" s="485"/>
      <c r="AT812" s="221"/>
      <c r="AU812" s="654"/>
      <c r="AV812" s="451"/>
    </row>
    <row r="813" spans="1:48" s="212" customFormat="1" ht="30" customHeight="1" outlineLevel="2" x14ac:dyDescent="0.25">
      <c r="A813" s="746" t="str">
        <f t="shared" si="127"/>
        <v>1.6.1.2.6.58</v>
      </c>
      <c r="B813" s="136">
        <v>1</v>
      </c>
      <c r="C813" s="136">
        <v>6</v>
      </c>
      <c r="D813" s="136">
        <v>1</v>
      </c>
      <c r="E813" s="136">
        <v>2</v>
      </c>
      <c r="F813" s="136">
        <v>6</v>
      </c>
      <c r="G813" s="136">
        <v>58</v>
      </c>
      <c r="H813" s="753"/>
      <c r="I813" s="753"/>
      <c r="J813" s="753"/>
      <c r="K813" s="754" t="s">
        <v>860</v>
      </c>
      <c r="L813" s="136" t="s">
        <v>830</v>
      </c>
      <c r="M813" s="136" t="s">
        <v>73</v>
      </c>
      <c r="N813" s="136" t="s">
        <v>74</v>
      </c>
      <c r="O813" s="136" t="s">
        <v>737</v>
      </c>
      <c r="P813" s="219">
        <v>44197</v>
      </c>
      <c r="Q813" s="219">
        <v>44560</v>
      </c>
      <c r="R813" s="219">
        <v>1</v>
      </c>
      <c r="S813" s="219" t="s">
        <v>831</v>
      </c>
      <c r="T813" s="219"/>
      <c r="U813" s="220"/>
      <c r="V813" s="674">
        <v>0</v>
      </c>
      <c r="W813" s="220"/>
      <c r="X813" s="220"/>
      <c r="Y813" s="834">
        <f t="shared" si="173"/>
        <v>0</v>
      </c>
      <c r="Z813" s="220"/>
      <c r="AA813" s="220"/>
      <c r="AB813" s="220"/>
      <c r="AC813" s="132"/>
      <c r="AD813" s="132"/>
      <c r="AE813" s="598"/>
      <c r="AF813" s="360" t="s">
        <v>649</v>
      </c>
      <c r="AG813" s="763">
        <v>0</v>
      </c>
      <c r="AH813" s="764">
        <v>0</v>
      </c>
      <c r="AI813" s="75"/>
      <c r="AJ813" s="777"/>
      <c r="AK813" s="75"/>
      <c r="AL813" s="75"/>
      <c r="AM813" s="75"/>
      <c r="AN813" s="788" t="s">
        <v>39</v>
      </c>
      <c r="AO813" s="221"/>
      <c r="AP813" s="221"/>
      <c r="AQ813" s="419"/>
      <c r="AR813" s="221"/>
      <c r="AS813" s="485"/>
      <c r="AT813" s="221"/>
      <c r="AU813" s="654"/>
      <c r="AV813" s="451"/>
    </row>
    <row r="814" spans="1:48" s="212" customFormat="1" ht="30" customHeight="1" outlineLevel="2" x14ac:dyDescent="0.25">
      <c r="A814" s="746" t="str">
        <f t="shared" si="127"/>
        <v>1.6.1.2.6.59</v>
      </c>
      <c r="B814" s="136">
        <v>1</v>
      </c>
      <c r="C814" s="136">
        <v>6</v>
      </c>
      <c r="D814" s="136">
        <v>1</v>
      </c>
      <c r="E814" s="136">
        <v>2</v>
      </c>
      <c r="F814" s="136">
        <v>6</v>
      </c>
      <c r="G814" s="136">
        <v>59</v>
      </c>
      <c r="H814" s="753"/>
      <c r="I814" s="753"/>
      <c r="J814" s="753"/>
      <c r="K814" s="754" t="s">
        <v>861</v>
      </c>
      <c r="L814" s="136" t="s">
        <v>830</v>
      </c>
      <c r="M814" s="136" t="s">
        <v>73</v>
      </c>
      <c r="N814" s="136" t="s">
        <v>74</v>
      </c>
      <c r="O814" s="136" t="s">
        <v>737</v>
      </c>
      <c r="P814" s="219"/>
      <c r="Q814" s="219"/>
      <c r="R814" s="219"/>
      <c r="S814" s="219"/>
      <c r="T814" s="219"/>
      <c r="U814" s="220"/>
      <c r="V814" s="674">
        <v>0</v>
      </c>
      <c r="W814" s="220"/>
      <c r="X814" s="220"/>
      <c r="Y814" s="834">
        <f t="shared" si="173"/>
        <v>0</v>
      </c>
      <c r="Z814" s="220"/>
      <c r="AA814" s="220"/>
      <c r="AB814" s="220"/>
      <c r="AC814" s="132"/>
      <c r="AD814" s="132"/>
      <c r="AE814" s="598"/>
      <c r="AF814" s="360"/>
      <c r="AG814" s="763">
        <v>0</v>
      </c>
      <c r="AH814" s="764">
        <v>0</v>
      </c>
      <c r="AI814" s="75"/>
      <c r="AJ814" s="777"/>
      <c r="AK814" s="75"/>
      <c r="AL814" s="75"/>
      <c r="AM814" s="75"/>
      <c r="AN814" s="788" t="s">
        <v>39</v>
      </c>
      <c r="AO814" s="221"/>
      <c r="AP814" s="221"/>
      <c r="AQ814" s="419"/>
      <c r="AR814" s="221"/>
      <c r="AS814" s="485"/>
      <c r="AT814" s="221"/>
      <c r="AU814" s="654"/>
      <c r="AV814" s="451"/>
    </row>
    <row r="815" spans="1:48" s="212" customFormat="1" ht="30" customHeight="1" outlineLevel="2" x14ac:dyDescent="0.25">
      <c r="A815" s="746" t="str">
        <f t="shared" si="127"/>
        <v>1.6.1.2.6.60</v>
      </c>
      <c r="B815" s="136">
        <v>1</v>
      </c>
      <c r="C815" s="136">
        <v>6</v>
      </c>
      <c r="D815" s="136">
        <v>1</v>
      </c>
      <c r="E815" s="136">
        <v>2</v>
      </c>
      <c r="F815" s="136">
        <v>6</v>
      </c>
      <c r="G815" s="136">
        <v>60</v>
      </c>
      <c r="H815" s="753"/>
      <c r="I815" s="753"/>
      <c r="J815" s="753"/>
      <c r="K815" s="754" t="s">
        <v>862</v>
      </c>
      <c r="L815" s="136" t="s">
        <v>830</v>
      </c>
      <c r="M815" s="136" t="s">
        <v>73</v>
      </c>
      <c r="N815" s="136" t="s">
        <v>74</v>
      </c>
      <c r="O815" s="136" t="s">
        <v>737</v>
      </c>
      <c r="P815" s="219"/>
      <c r="Q815" s="219"/>
      <c r="R815" s="219"/>
      <c r="S815" s="219"/>
      <c r="T815" s="219"/>
      <c r="U815" s="220"/>
      <c r="V815" s="674">
        <v>0</v>
      </c>
      <c r="W815" s="220"/>
      <c r="X815" s="220"/>
      <c r="Y815" s="834">
        <f t="shared" si="173"/>
        <v>0</v>
      </c>
      <c r="Z815" s="220"/>
      <c r="AA815" s="220"/>
      <c r="AB815" s="220"/>
      <c r="AC815" s="132"/>
      <c r="AD815" s="132"/>
      <c r="AE815" s="598"/>
      <c r="AF815" s="360"/>
      <c r="AG815" s="763">
        <v>0</v>
      </c>
      <c r="AH815" s="764">
        <v>0</v>
      </c>
      <c r="AI815" s="75"/>
      <c r="AJ815" s="777"/>
      <c r="AK815" s="75"/>
      <c r="AL815" s="75"/>
      <c r="AM815" s="75"/>
      <c r="AN815" s="788" t="s">
        <v>39</v>
      </c>
      <c r="AO815" s="221"/>
      <c r="AP815" s="221"/>
      <c r="AQ815" s="419"/>
      <c r="AR815" s="221"/>
      <c r="AS815" s="485"/>
      <c r="AT815" s="221"/>
      <c r="AU815" s="654"/>
      <c r="AV815" s="451"/>
    </row>
    <row r="816" spans="1:48" s="212" customFormat="1" ht="30" customHeight="1" outlineLevel="2" x14ac:dyDescent="0.25">
      <c r="A816" s="746" t="str">
        <f t="shared" si="127"/>
        <v>1.6.1.2.6.61</v>
      </c>
      <c r="B816" s="136">
        <v>1</v>
      </c>
      <c r="C816" s="136">
        <v>6</v>
      </c>
      <c r="D816" s="136">
        <v>1</v>
      </c>
      <c r="E816" s="136">
        <v>2</v>
      </c>
      <c r="F816" s="136">
        <v>6</v>
      </c>
      <c r="G816" s="136">
        <v>61</v>
      </c>
      <c r="H816" s="753"/>
      <c r="I816" s="753"/>
      <c r="J816" s="753"/>
      <c r="K816" s="754" t="s">
        <v>863</v>
      </c>
      <c r="L816" s="136" t="s">
        <v>830</v>
      </c>
      <c r="M816" s="136" t="s">
        <v>73</v>
      </c>
      <c r="N816" s="136" t="s">
        <v>74</v>
      </c>
      <c r="O816" s="136" t="s">
        <v>737</v>
      </c>
      <c r="P816" s="219"/>
      <c r="Q816" s="219"/>
      <c r="R816" s="219"/>
      <c r="S816" s="219"/>
      <c r="T816" s="219"/>
      <c r="U816" s="220"/>
      <c r="V816" s="674">
        <v>0</v>
      </c>
      <c r="W816" s="220"/>
      <c r="X816" s="220"/>
      <c r="Y816" s="834">
        <f t="shared" si="173"/>
        <v>0</v>
      </c>
      <c r="Z816" s="220"/>
      <c r="AA816" s="220"/>
      <c r="AB816" s="220"/>
      <c r="AC816" s="132"/>
      <c r="AD816" s="132"/>
      <c r="AE816" s="598"/>
      <c r="AF816" s="360"/>
      <c r="AG816" s="763">
        <v>0</v>
      </c>
      <c r="AH816" s="764">
        <v>0</v>
      </c>
      <c r="AI816" s="75"/>
      <c r="AJ816" s="777"/>
      <c r="AK816" s="75"/>
      <c r="AL816" s="75"/>
      <c r="AM816" s="75"/>
      <c r="AN816" s="788" t="s">
        <v>39</v>
      </c>
      <c r="AO816" s="221"/>
      <c r="AP816" s="221"/>
      <c r="AQ816" s="419"/>
      <c r="AR816" s="221"/>
      <c r="AS816" s="485"/>
      <c r="AT816" s="221"/>
      <c r="AU816" s="654"/>
      <c r="AV816" s="451"/>
    </row>
    <row r="817" spans="1:48" s="212" customFormat="1" ht="30" customHeight="1" outlineLevel="2" x14ac:dyDescent="0.25">
      <c r="A817" s="746" t="str">
        <f t="shared" si="127"/>
        <v>1.6.1.2.6.62</v>
      </c>
      <c r="B817" s="136">
        <v>1</v>
      </c>
      <c r="C817" s="136">
        <v>6</v>
      </c>
      <c r="D817" s="136">
        <v>1</v>
      </c>
      <c r="E817" s="136">
        <v>2</v>
      </c>
      <c r="F817" s="136">
        <v>6</v>
      </c>
      <c r="G817" s="136">
        <v>62</v>
      </c>
      <c r="H817" s="753"/>
      <c r="I817" s="753"/>
      <c r="J817" s="753"/>
      <c r="K817" s="754" t="s">
        <v>864</v>
      </c>
      <c r="L817" s="136" t="s">
        <v>830</v>
      </c>
      <c r="M817" s="136" t="s">
        <v>73</v>
      </c>
      <c r="N817" s="136" t="s">
        <v>74</v>
      </c>
      <c r="O817" s="136" t="s">
        <v>737</v>
      </c>
      <c r="P817" s="219"/>
      <c r="Q817" s="219"/>
      <c r="R817" s="219"/>
      <c r="S817" s="219"/>
      <c r="T817" s="219"/>
      <c r="U817" s="220"/>
      <c r="V817" s="674">
        <v>0</v>
      </c>
      <c r="W817" s="220"/>
      <c r="X817" s="220"/>
      <c r="Y817" s="834">
        <f t="shared" si="173"/>
        <v>0</v>
      </c>
      <c r="Z817" s="220"/>
      <c r="AA817" s="220"/>
      <c r="AB817" s="220"/>
      <c r="AC817" s="132"/>
      <c r="AD817" s="132"/>
      <c r="AE817" s="598"/>
      <c r="AF817" s="360"/>
      <c r="AG817" s="763">
        <v>0</v>
      </c>
      <c r="AH817" s="764">
        <v>0</v>
      </c>
      <c r="AI817" s="75"/>
      <c r="AJ817" s="777"/>
      <c r="AK817" s="75"/>
      <c r="AL817" s="75"/>
      <c r="AM817" s="75"/>
      <c r="AN817" s="788" t="s">
        <v>39</v>
      </c>
      <c r="AO817" s="221"/>
      <c r="AP817" s="221"/>
      <c r="AQ817" s="419"/>
      <c r="AR817" s="221"/>
      <c r="AS817" s="485"/>
      <c r="AT817" s="221"/>
      <c r="AU817" s="654"/>
      <c r="AV817" s="451"/>
    </row>
    <row r="818" spans="1:48" s="212" customFormat="1" ht="15" customHeight="1" outlineLevel="2" x14ac:dyDescent="0.25">
      <c r="A818" s="746" t="str">
        <f t="shared" si="127"/>
        <v>1.6.1.2.6.63</v>
      </c>
      <c r="B818" s="136">
        <v>1</v>
      </c>
      <c r="C818" s="136">
        <v>6</v>
      </c>
      <c r="D818" s="136">
        <v>1</v>
      </c>
      <c r="E818" s="136">
        <v>2</v>
      </c>
      <c r="F818" s="136">
        <v>6</v>
      </c>
      <c r="G818" s="136">
        <v>63</v>
      </c>
      <c r="H818" s="753"/>
      <c r="I818" s="753"/>
      <c r="J818" s="753"/>
      <c r="K818" s="754" t="s">
        <v>1762</v>
      </c>
      <c r="L818" s="136" t="s">
        <v>830</v>
      </c>
      <c r="M818" s="136" t="s">
        <v>73</v>
      </c>
      <c r="N818" s="136" t="s">
        <v>74</v>
      </c>
      <c r="O818" s="136" t="s">
        <v>737</v>
      </c>
      <c r="P818" s="219"/>
      <c r="Q818" s="219"/>
      <c r="R818" s="219"/>
      <c r="S818" s="219"/>
      <c r="T818" s="219"/>
      <c r="U818" s="220"/>
      <c r="V818" s="674">
        <v>0</v>
      </c>
      <c r="W818" s="220"/>
      <c r="X818" s="220"/>
      <c r="Y818" s="834">
        <f t="shared" si="173"/>
        <v>0</v>
      </c>
      <c r="Z818" s="220"/>
      <c r="AA818" s="220"/>
      <c r="AB818" s="220"/>
      <c r="AC818" s="132"/>
      <c r="AD818" s="132"/>
      <c r="AE818" s="598"/>
      <c r="AF818" s="360"/>
      <c r="AG818" s="763">
        <v>0</v>
      </c>
      <c r="AH818" s="764">
        <v>0</v>
      </c>
      <c r="AI818" s="75"/>
      <c r="AJ818" s="777"/>
      <c r="AK818" s="75"/>
      <c r="AL818" s="75"/>
      <c r="AM818" s="75"/>
      <c r="AN818" s="788" t="s">
        <v>39</v>
      </c>
      <c r="AO818" s="221"/>
      <c r="AP818" s="221"/>
      <c r="AQ818" s="419"/>
      <c r="AR818" s="221"/>
      <c r="AS818" s="485"/>
      <c r="AT818" s="221"/>
      <c r="AU818" s="654"/>
      <c r="AV818" s="451"/>
    </row>
    <row r="819" spans="1:48" s="212" customFormat="1" ht="30" customHeight="1" outlineLevel="2" x14ac:dyDescent="0.25">
      <c r="A819" s="746" t="str">
        <f t="shared" si="127"/>
        <v>1.6.1.2.6.64</v>
      </c>
      <c r="B819" s="136">
        <v>1</v>
      </c>
      <c r="C819" s="136">
        <v>6</v>
      </c>
      <c r="D819" s="136">
        <v>1</v>
      </c>
      <c r="E819" s="136">
        <v>2</v>
      </c>
      <c r="F819" s="136">
        <v>6</v>
      </c>
      <c r="G819" s="136">
        <v>64</v>
      </c>
      <c r="H819" s="753"/>
      <c r="I819" s="753"/>
      <c r="J819" s="753"/>
      <c r="K819" s="754" t="s">
        <v>865</v>
      </c>
      <c r="L819" s="136" t="s">
        <v>830</v>
      </c>
      <c r="M819" s="136" t="s">
        <v>73</v>
      </c>
      <c r="N819" s="136" t="s">
        <v>74</v>
      </c>
      <c r="O819" s="136" t="s">
        <v>737</v>
      </c>
      <c r="P819" s="219"/>
      <c r="Q819" s="219"/>
      <c r="R819" s="219"/>
      <c r="S819" s="219"/>
      <c r="T819" s="219"/>
      <c r="U819" s="220"/>
      <c r="V819" s="674">
        <v>0</v>
      </c>
      <c r="W819" s="220"/>
      <c r="X819" s="220"/>
      <c r="Y819" s="834">
        <f t="shared" si="173"/>
        <v>0</v>
      </c>
      <c r="Z819" s="220"/>
      <c r="AA819" s="220"/>
      <c r="AB819" s="220"/>
      <c r="AC819" s="132"/>
      <c r="AD819" s="132"/>
      <c r="AE819" s="598"/>
      <c r="AF819" s="360"/>
      <c r="AG819" s="763">
        <v>0</v>
      </c>
      <c r="AH819" s="764">
        <v>0</v>
      </c>
      <c r="AI819" s="75"/>
      <c r="AJ819" s="777"/>
      <c r="AK819" s="75"/>
      <c r="AL819" s="75"/>
      <c r="AM819" s="75"/>
      <c r="AN819" s="788" t="s">
        <v>39</v>
      </c>
      <c r="AO819" s="221"/>
      <c r="AP819" s="221"/>
      <c r="AQ819" s="419"/>
      <c r="AR819" s="221"/>
      <c r="AS819" s="485"/>
      <c r="AT819" s="221"/>
      <c r="AU819" s="654"/>
      <c r="AV819" s="451"/>
    </row>
    <row r="820" spans="1:48" s="212" customFormat="1" ht="15" customHeight="1" outlineLevel="2" x14ac:dyDescent="0.25">
      <c r="A820" s="746" t="str">
        <f t="shared" si="127"/>
        <v>1.6.1.2.7.0</v>
      </c>
      <c r="B820" s="136">
        <v>1</v>
      </c>
      <c r="C820" s="136">
        <v>6</v>
      </c>
      <c r="D820" s="136">
        <v>1</v>
      </c>
      <c r="E820" s="136">
        <v>2</v>
      </c>
      <c r="F820" s="136">
        <v>7</v>
      </c>
      <c r="G820" s="136">
        <v>0</v>
      </c>
      <c r="H820" s="753"/>
      <c r="I820" s="753"/>
      <c r="J820" s="753"/>
      <c r="K820" s="753" t="s">
        <v>866</v>
      </c>
      <c r="L820" s="136" t="s">
        <v>72</v>
      </c>
      <c r="M820" s="136" t="s">
        <v>73</v>
      </c>
      <c r="N820" s="136" t="s">
        <v>74</v>
      </c>
      <c r="O820" s="136" t="s">
        <v>867</v>
      </c>
      <c r="P820" s="219">
        <v>44197</v>
      </c>
      <c r="Q820" s="219">
        <v>41030</v>
      </c>
      <c r="R820" s="219">
        <v>1</v>
      </c>
      <c r="S820" s="219" t="s">
        <v>831</v>
      </c>
      <c r="T820" s="219"/>
      <c r="U820" s="220"/>
      <c r="V820" s="674">
        <v>0</v>
      </c>
      <c r="W820" s="220"/>
      <c r="X820" s="220"/>
      <c r="Y820" s="834">
        <f t="shared" si="173"/>
        <v>0</v>
      </c>
      <c r="Z820" s="220"/>
      <c r="AA820" s="220"/>
      <c r="AB820" s="220"/>
      <c r="AC820" s="132"/>
      <c r="AD820" s="132"/>
      <c r="AE820" s="598"/>
      <c r="AF820" s="360" t="s">
        <v>649</v>
      </c>
      <c r="AG820" s="763">
        <v>0</v>
      </c>
      <c r="AH820" s="764">
        <v>0</v>
      </c>
      <c r="AI820" s="75"/>
      <c r="AJ820" s="777"/>
      <c r="AK820" s="75"/>
      <c r="AL820" s="75"/>
      <c r="AM820" s="75"/>
      <c r="AN820" s="788" t="s">
        <v>39</v>
      </c>
      <c r="AO820" s="221"/>
      <c r="AP820" s="221"/>
      <c r="AQ820" s="419"/>
      <c r="AR820" s="221"/>
      <c r="AS820" s="485"/>
      <c r="AT820" s="221"/>
      <c r="AU820" s="654"/>
      <c r="AV820" s="451"/>
    </row>
    <row r="821" spans="1:48" s="212" customFormat="1" ht="60.75" customHeight="1" outlineLevel="2" x14ac:dyDescent="0.25">
      <c r="A821" s="746" t="str">
        <f t="shared" si="127"/>
        <v>1.6.1.2.8.58-64</v>
      </c>
      <c r="B821" s="136">
        <v>1</v>
      </c>
      <c r="C821" s="136">
        <v>6</v>
      </c>
      <c r="D821" s="136">
        <v>1</v>
      </c>
      <c r="E821" s="136">
        <v>2</v>
      </c>
      <c r="F821" s="136">
        <v>8</v>
      </c>
      <c r="G821" s="136" t="s">
        <v>64</v>
      </c>
      <c r="H821" s="753"/>
      <c r="I821" s="753"/>
      <c r="J821" s="753"/>
      <c r="K821" s="754" t="s">
        <v>1915</v>
      </c>
      <c r="L821" s="136" t="s">
        <v>72</v>
      </c>
      <c r="M821" s="136" t="s">
        <v>73</v>
      </c>
      <c r="N821" s="136" t="s">
        <v>382</v>
      </c>
      <c r="O821" s="136" t="s">
        <v>829</v>
      </c>
      <c r="P821" s="225">
        <v>44197</v>
      </c>
      <c r="Q821" s="225">
        <v>44560</v>
      </c>
      <c r="R821" s="136">
        <v>1</v>
      </c>
      <c r="S821" s="219" t="s">
        <v>76</v>
      </c>
      <c r="T821" s="219"/>
      <c r="U821" s="163">
        <v>331666.25</v>
      </c>
      <c r="V821" s="674">
        <v>574755.86</v>
      </c>
      <c r="W821" s="220">
        <v>761670</v>
      </c>
      <c r="X821" s="163">
        <f>+(AH821-U821)/3</f>
        <v>356111.25</v>
      </c>
      <c r="Y821" s="834">
        <f t="shared" si="173"/>
        <v>580295.02000000014</v>
      </c>
      <c r="Z821" s="226">
        <v>0</v>
      </c>
      <c r="AA821" s="163">
        <f>+(AH821-U821)/3</f>
        <v>356111.25</v>
      </c>
      <c r="AB821" s="226">
        <f>+(AL821-Y821)/3</f>
        <v>-193431.67333333337</v>
      </c>
      <c r="AC821" s="226">
        <f>+(AM821-Z821)/3</f>
        <v>0</v>
      </c>
      <c r="AD821" s="163">
        <f>+(AH821-U821)/3</f>
        <v>356111.25</v>
      </c>
      <c r="AE821" s="598"/>
      <c r="AF821" s="360" t="s">
        <v>868</v>
      </c>
      <c r="AG821" s="763">
        <v>1312195.55</v>
      </c>
      <c r="AH821" s="764">
        <v>1400000</v>
      </c>
      <c r="AI821" s="75"/>
      <c r="AJ821" s="777">
        <f>175169.24+27675+29410+175443.19+167058.43+167156.42+167638.79+167864.81+77635</f>
        <v>1155050.8800000001</v>
      </c>
      <c r="AK821" s="75"/>
      <c r="AL821" s="75"/>
      <c r="AM821" s="75"/>
      <c r="AN821" s="789" t="s">
        <v>39</v>
      </c>
      <c r="AO821" s="136" t="s">
        <v>1815</v>
      </c>
      <c r="AP821" s="136" t="s">
        <v>649</v>
      </c>
      <c r="AQ821" s="581" t="s">
        <v>649</v>
      </c>
      <c r="AR821" s="69">
        <v>44592</v>
      </c>
      <c r="AS821" s="554">
        <v>44926</v>
      </c>
      <c r="AT821" s="136" t="s">
        <v>1814</v>
      </c>
      <c r="AU821" s="875" t="s">
        <v>2222</v>
      </c>
      <c r="AV821" s="452" t="s">
        <v>2223</v>
      </c>
    </row>
    <row r="822" spans="1:48" s="212" customFormat="1" ht="15.75" outlineLevel="2" x14ac:dyDescent="0.25">
      <c r="A822" s="746" t="str">
        <f t="shared" si="127"/>
        <v>1.6.1.2.9.58-64</v>
      </c>
      <c r="B822" s="136">
        <v>1</v>
      </c>
      <c r="C822" s="136">
        <v>6</v>
      </c>
      <c r="D822" s="136">
        <v>1</v>
      </c>
      <c r="E822" s="136">
        <v>2</v>
      </c>
      <c r="F822" s="136">
        <v>9</v>
      </c>
      <c r="G822" s="136" t="s">
        <v>64</v>
      </c>
      <c r="H822" s="753"/>
      <c r="I822" s="753"/>
      <c r="J822" s="753"/>
      <c r="K822" s="753" t="s">
        <v>869</v>
      </c>
      <c r="L822" s="136" t="s">
        <v>830</v>
      </c>
      <c r="M822" s="136" t="s">
        <v>73</v>
      </c>
      <c r="N822" s="136" t="s">
        <v>870</v>
      </c>
      <c r="O822" s="136" t="s">
        <v>668</v>
      </c>
      <c r="P822" s="214">
        <v>44197</v>
      </c>
      <c r="Q822" s="214">
        <v>44561</v>
      </c>
      <c r="R822" s="136"/>
      <c r="S822" s="219" t="s">
        <v>871</v>
      </c>
      <c r="T822" s="219"/>
      <c r="U822" s="220"/>
      <c r="V822" s="674">
        <v>0</v>
      </c>
      <c r="W822" s="220"/>
      <c r="X822" s="220"/>
      <c r="Y822" s="834">
        <f t="shared" si="173"/>
        <v>0</v>
      </c>
      <c r="Z822" s="220"/>
      <c r="AA822" s="220"/>
      <c r="AB822" s="220"/>
      <c r="AC822" s="132"/>
      <c r="AD822" s="132"/>
      <c r="AE822" s="598"/>
      <c r="AF822" s="360" t="s">
        <v>649</v>
      </c>
      <c r="AG822" s="763">
        <v>0</v>
      </c>
      <c r="AH822" s="764">
        <v>0</v>
      </c>
      <c r="AI822" s="75"/>
      <c r="AJ822" s="777">
        <v>0</v>
      </c>
      <c r="AK822" s="75"/>
      <c r="AL822" s="75"/>
      <c r="AM822" s="75"/>
      <c r="AN822" s="788" t="s">
        <v>39</v>
      </c>
      <c r="AO822" s="313" t="s">
        <v>1819</v>
      </c>
      <c r="AP822" s="313" t="s">
        <v>2160</v>
      </c>
      <c r="AQ822" s="408" t="s">
        <v>2161</v>
      </c>
      <c r="AR822" s="69">
        <v>44658</v>
      </c>
      <c r="AS822" s="562">
        <v>45023</v>
      </c>
      <c r="AT822" s="89" t="s">
        <v>2029</v>
      </c>
      <c r="AU822" s="883" t="s">
        <v>2162</v>
      </c>
      <c r="AV822" s="453"/>
    </row>
    <row r="823" spans="1:48" s="212" customFormat="1" ht="15" customHeight="1" outlineLevel="2" x14ac:dyDescent="0.25">
      <c r="A823" s="746" t="str">
        <f t="shared" si="127"/>
        <v>1.6.1.2.10.58</v>
      </c>
      <c r="B823" s="136">
        <v>1</v>
      </c>
      <c r="C823" s="136">
        <v>6</v>
      </c>
      <c r="D823" s="136">
        <v>1</v>
      </c>
      <c r="E823" s="136">
        <v>2</v>
      </c>
      <c r="F823" s="136">
        <v>10</v>
      </c>
      <c r="G823" s="136">
        <v>58</v>
      </c>
      <c r="H823" s="753"/>
      <c r="I823" s="753"/>
      <c r="J823" s="753"/>
      <c r="K823" s="754" t="s">
        <v>872</v>
      </c>
      <c r="L823" s="136" t="s">
        <v>830</v>
      </c>
      <c r="M823" s="136" t="s">
        <v>73</v>
      </c>
      <c r="N823" s="136" t="s">
        <v>818</v>
      </c>
      <c r="O823" s="136" t="s">
        <v>873</v>
      </c>
      <c r="P823" s="219">
        <v>44315</v>
      </c>
      <c r="Q823" s="219">
        <v>44407</v>
      </c>
      <c r="R823" s="219">
        <v>1</v>
      </c>
      <c r="S823" s="219" t="s">
        <v>831</v>
      </c>
      <c r="T823" s="219"/>
      <c r="U823" s="220"/>
      <c r="V823" s="674">
        <v>0</v>
      </c>
      <c r="W823" s="220">
        <v>1</v>
      </c>
      <c r="X823" s="220"/>
      <c r="Y823" s="834">
        <f t="shared" si="173"/>
        <v>0</v>
      </c>
      <c r="Z823" s="220"/>
      <c r="AA823" s="220"/>
      <c r="AB823" s="220"/>
      <c r="AC823" s="132"/>
      <c r="AD823" s="132"/>
      <c r="AE823" s="598"/>
      <c r="AF823" s="361"/>
      <c r="AG823" s="763">
        <v>0</v>
      </c>
      <c r="AH823" s="764">
        <v>0</v>
      </c>
      <c r="AI823" s="75"/>
      <c r="AJ823" s="777"/>
      <c r="AK823" s="75"/>
      <c r="AL823" s="75"/>
      <c r="AM823" s="75"/>
      <c r="AN823" s="788" t="s">
        <v>39</v>
      </c>
      <c r="AO823" s="221"/>
      <c r="AP823" s="221"/>
      <c r="AQ823" s="221"/>
      <c r="AR823" s="221"/>
      <c r="AS823" s="221"/>
      <c r="AT823" s="221"/>
      <c r="AU823" s="654"/>
      <c r="AV823" s="1323"/>
    </row>
    <row r="824" spans="1:48" s="212" customFormat="1" ht="15" customHeight="1" outlineLevel="2" x14ac:dyDescent="0.25">
      <c r="A824" s="746" t="str">
        <f t="shared" si="127"/>
        <v>1.6.1.2.10.59</v>
      </c>
      <c r="B824" s="136">
        <v>1</v>
      </c>
      <c r="C824" s="136">
        <v>6</v>
      </c>
      <c r="D824" s="136">
        <v>1</v>
      </c>
      <c r="E824" s="136">
        <v>2</v>
      </c>
      <c r="F824" s="136">
        <v>10</v>
      </c>
      <c r="G824" s="136">
        <v>59</v>
      </c>
      <c r="H824" s="753"/>
      <c r="I824" s="753"/>
      <c r="J824" s="753"/>
      <c r="K824" s="753" t="s">
        <v>874</v>
      </c>
      <c r="L824" s="136" t="s">
        <v>830</v>
      </c>
      <c r="M824" s="136" t="s">
        <v>73</v>
      </c>
      <c r="N824" s="136" t="s">
        <v>818</v>
      </c>
      <c r="O824" s="136" t="s">
        <v>873</v>
      </c>
      <c r="P824" s="219"/>
      <c r="Q824" s="219"/>
      <c r="R824" s="219"/>
      <c r="S824" s="219"/>
      <c r="T824" s="219"/>
      <c r="U824" s="220"/>
      <c r="V824" s="674">
        <v>0</v>
      </c>
      <c r="W824" s="220"/>
      <c r="X824" s="220"/>
      <c r="Y824" s="834">
        <f t="shared" si="173"/>
        <v>0</v>
      </c>
      <c r="Z824" s="220"/>
      <c r="AA824" s="220"/>
      <c r="AB824" s="220"/>
      <c r="AC824" s="132"/>
      <c r="AD824" s="132"/>
      <c r="AE824" s="598"/>
      <c r="AF824" s="361"/>
      <c r="AG824" s="763">
        <v>0</v>
      </c>
      <c r="AH824" s="764">
        <v>0</v>
      </c>
      <c r="AI824" s="75"/>
      <c r="AJ824" s="777"/>
      <c r="AK824" s="75"/>
      <c r="AL824" s="75"/>
      <c r="AM824" s="75"/>
      <c r="AN824" s="788" t="s">
        <v>39</v>
      </c>
      <c r="AO824" s="221"/>
      <c r="AP824" s="221"/>
      <c r="AQ824" s="221"/>
      <c r="AR824" s="221"/>
      <c r="AS824" s="221"/>
      <c r="AT824" s="221"/>
      <c r="AU824" s="654"/>
      <c r="AV824" s="1324"/>
    </row>
    <row r="825" spans="1:48" s="212" customFormat="1" ht="15" customHeight="1" outlineLevel="2" x14ac:dyDescent="0.25">
      <c r="A825" s="746" t="str">
        <f t="shared" si="127"/>
        <v>1.6.1.2.10.60</v>
      </c>
      <c r="B825" s="136">
        <v>1</v>
      </c>
      <c r="C825" s="136">
        <v>6</v>
      </c>
      <c r="D825" s="136">
        <v>1</v>
      </c>
      <c r="E825" s="136">
        <v>2</v>
      </c>
      <c r="F825" s="136">
        <v>10</v>
      </c>
      <c r="G825" s="136">
        <v>60</v>
      </c>
      <c r="H825" s="753"/>
      <c r="I825" s="753"/>
      <c r="J825" s="753"/>
      <c r="K825" s="753" t="s">
        <v>875</v>
      </c>
      <c r="L825" s="136" t="s">
        <v>830</v>
      </c>
      <c r="M825" s="136" t="s">
        <v>73</v>
      </c>
      <c r="N825" s="136" t="s">
        <v>818</v>
      </c>
      <c r="O825" s="136" t="s">
        <v>873</v>
      </c>
      <c r="P825" s="219"/>
      <c r="Q825" s="219"/>
      <c r="R825" s="219"/>
      <c r="S825" s="219"/>
      <c r="T825" s="219"/>
      <c r="U825" s="220"/>
      <c r="V825" s="674">
        <v>0</v>
      </c>
      <c r="W825" s="220"/>
      <c r="X825" s="220"/>
      <c r="Y825" s="834">
        <f t="shared" si="173"/>
        <v>0</v>
      </c>
      <c r="Z825" s="220"/>
      <c r="AA825" s="220"/>
      <c r="AB825" s="220"/>
      <c r="AC825" s="132"/>
      <c r="AD825" s="132"/>
      <c r="AE825" s="598"/>
      <c r="AF825" s="361"/>
      <c r="AG825" s="763">
        <v>0</v>
      </c>
      <c r="AH825" s="764">
        <v>0</v>
      </c>
      <c r="AI825" s="75"/>
      <c r="AJ825" s="777"/>
      <c r="AK825" s="75"/>
      <c r="AL825" s="75"/>
      <c r="AM825" s="75"/>
      <c r="AN825" s="788" t="s">
        <v>39</v>
      </c>
      <c r="AO825" s="221"/>
      <c r="AP825" s="221"/>
      <c r="AQ825" s="221"/>
      <c r="AR825" s="221"/>
      <c r="AS825" s="221"/>
      <c r="AT825" s="221"/>
      <c r="AU825" s="654"/>
      <c r="AV825" s="1324"/>
    </row>
    <row r="826" spans="1:48" s="212" customFormat="1" ht="15" customHeight="1" outlineLevel="2" x14ac:dyDescent="0.25">
      <c r="A826" s="746" t="str">
        <f t="shared" si="127"/>
        <v>1.6.1.2.10.61</v>
      </c>
      <c r="B826" s="136">
        <v>1</v>
      </c>
      <c r="C826" s="136">
        <v>6</v>
      </c>
      <c r="D826" s="136">
        <v>1</v>
      </c>
      <c r="E826" s="136">
        <v>2</v>
      </c>
      <c r="F826" s="136">
        <v>10</v>
      </c>
      <c r="G826" s="136">
        <v>61</v>
      </c>
      <c r="H826" s="753"/>
      <c r="I826" s="753"/>
      <c r="J826" s="753"/>
      <c r="K826" s="753" t="s">
        <v>876</v>
      </c>
      <c r="L826" s="136" t="s">
        <v>830</v>
      </c>
      <c r="M826" s="136" t="s">
        <v>73</v>
      </c>
      <c r="N826" s="136" t="s">
        <v>818</v>
      </c>
      <c r="O826" s="136" t="s">
        <v>873</v>
      </c>
      <c r="P826" s="219"/>
      <c r="Q826" s="219"/>
      <c r="R826" s="219"/>
      <c r="S826" s="219"/>
      <c r="T826" s="219"/>
      <c r="U826" s="220"/>
      <c r="V826" s="674">
        <v>0</v>
      </c>
      <c r="W826" s="220"/>
      <c r="X826" s="220"/>
      <c r="Y826" s="834">
        <f t="shared" si="173"/>
        <v>0</v>
      </c>
      <c r="Z826" s="220"/>
      <c r="AA826" s="220"/>
      <c r="AB826" s="220"/>
      <c r="AC826" s="132"/>
      <c r="AD826" s="132"/>
      <c r="AE826" s="598"/>
      <c r="AF826" s="361"/>
      <c r="AG826" s="763">
        <v>0</v>
      </c>
      <c r="AH826" s="764">
        <v>0</v>
      </c>
      <c r="AI826" s="75"/>
      <c r="AJ826" s="777"/>
      <c r="AK826" s="75"/>
      <c r="AL826" s="75"/>
      <c r="AM826" s="75"/>
      <c r="AN826" s="788" t="s">
        <v>39</v>
      </c>
      <c r="AO826" s="221"/>
      <c r="AP826" s="221"/>
      <c r="AQ826" s="221"/>
      <c r="AR826" s="221"/>
      <c r="AS826" s="221"/>
      <c r="AT826" s="221"/>
      <c r="AU826" s="654"/>
      <c r="AV826" s="1324"/>
    </row>
    <row r="827" spans="1:48" s="212" customFormat="1" ht="15" customHeight="1" outlineLevel="2" x14ac:dyDescent="0.25">
      <c r="A827" s="746" t="str">
        <f t="shared" si="127"/>
        <v>1.6.1.2.10.62</v>
      </c>
      <c r="B827" s="136">
        <v>1</v>
      </c>
      <c r="C827" s="136">
        <v>6</v>
      </c>
      <c r="D827" s="136">
        <v>1</v>
      </c>
      <c r="E827" s="136">
        <v>2</v>
      </c>
      <c r="F827" s="136">
        <v>10</v>
      </c>
      <c r="G827" s="136">
        <v>62</v>
      </c>
      <c r="H827" s="753"/>
      <c r="I827" s="753"/>
      <c r="J827" s="753"/>
      <c r="K827" s="753" t="s">
        <v>877</v>
      </c>
      <c r="L827" s="136" t="s">
        <v>830</v>
      </c>
      <c r="M827" s="136" t="s">
        <v>73</v>
      </c>
      <c r="N827" s="136" t="s">
        <v>818</v>
      </c>
      <c r="O827" s="136" t="s">
        <v>873</v>
      </c>
      <c r="P827" s="219"/>
      <c r="Q827" s="219"/>
      <c r="R827" s="219"/>
      <c r="S827" s="219"/>
      <c r="T827" s="219"/>
      <c r="U827" s="220"/>
      <c r="V827" s="674">
        <v>0</v>
      </c>
      <c r="W827" s="220"/>
      <c r="X827" s="220"/>
      <c r="Y827" s="834">
        <f t="shared" si="173"/>
        <v>0</v>
      </c>
      <c r="Z827" s="220"/>
      <c r="AA827" s="220"/>
      <c r="AB827" s="220"/>
      <c r="AC827" s="132"/>
      <c r="AD827" s="132"/>
      <c r="AE827" s="598"/>
      <c r="AF827" s="361"/>
      <c r="AG827" s="763">
        <v>0</v>
      </c>
      <c r="AH827" s="764">
        <v>0</v>
      </c>
      <c r="AI827" s="75"/>
      <c r="AJ827" s="777"/>
      <c r="AK827" s="75"/>
      <c r="AL827" s="75"/>
      <c r="AM827" s="75"/>
      <c r="AN827" s="788" t="s">
        <v>39</v>
      </c>
      <c r="AO827" s="221"/>
      <c r="AP827" s="221"/>
      <c r="AQ827" s="221"/>
      <c r="AR827" s="221"/>
      <c r="AS827" s="221"/>
      <c r="AT827" s="221"/>
      <c r="AU827" s="654"/>
      <c r="AV827" s="1324"/>
    </row>
    <row r="828" spans="1:48" s="212" customFormat="1" ht="15" customHeight="1" outlineLevel="2" x14ac:dyDescent="0.25">
      <c r="A828" s="746" t="str">
        <f t="shared" si="127"/>
        <v>1.6.1.2.10.63</v>
      </c>
      <c r="B828" s="136">
        <v>1</v>
      </c>
      <c r="C828" s="136">
        <v>6</v>
      </c>
      <c r="D828" s="136">
        <v>1</v>
      </c>
      <c r="E828" s="136">
        <v>2</v>
      </c>
      <c r="F828" s="136">
        <v>10</v>
      </c>
      <c r="G828" s="136">
        <v>63</v>
      </c>
      <c r="H828" s="753"/>
      <c r="I828" s="753"/>
      <c r="J828" s="753"/>
      <c r="K828" s="753" t="s">
        <v>1763</v>
      </c>
      <c r="L828" s="136" t="s">
        <v>830</v>
      </c>
      <c r="M828" s="136" t="s">
        <v>73</v>
      </c>
      <c r="N828" s="136" t="s">
        <v>818</v>
      </c>
      <c r="O828" s="136" t="s">
        <v>873</v>
      </c>
      <c r="P828" s="219"/>
      <c r="Q828" s="219"/>
      <c r="R828" s="219"/>
      <c r="S828" s="219"/>
      <c r="T828" s="219"/>
      <c r="U828" s="220"/>
      <c r="V828" s="674">
        <v>0</v>
      </c>
      <c r="W828" s="220"/>
      <c r="X828" s="220"/>
      <c r="Y828" s="834">
        <f t="shared" si="173"/>
        <v>0</v>
      </c>
      <c r="Z828" s="220"/>
      <c r="AA828" s="220"/>
      <c r="AB828" s="220"/>
      <c r="AC828" s="132"/>
      <c r="AD828" s="132"/>
      <c r="AE828" s="598"/>
      <c r="AF828" s="361"/>
      <c r="AG828" s="763">
        <v>0</v>
      </c>
      <c r="AH828" s="764">
        <v>0</v>
      </c>
      <c r="AI828" s="75"/>
      <c r="AJ828" s="777"/>
      <c r="AK828" s="75"/>
      <c r="AL828" s="75"/>
      <c r="AM828" s="75"/>
      <c r="AN828" s="788" t="s">
        <v>39</v>
      </c>
      <c r="AO828" s="221"/>
      <c r="AP828" s="221"/>
      <c r="AQ828" s="221"/>
      <c r="AR828" s="221"/>
      <c r="AS828" s="221"/>
      <c r="AT828" s="221"/>
      <c r="AU828" s="654"/>
      <c r="AV828" s="1324"/>
    </row>
    <row r="829" spans="1:48" s="212" customFormat="1" ht="15" customHeight="1" outlineLevel="2" x14ac:dyDescent="0.25">
      <c r="A829" s="746" t="str">
        <f t="shared" si="127"/>
        <v>1.6.1.2.10.64</v>
      </c>
      <c r="B829" s="136">
        <v>1</v>
      </c>
      <c r="C829" s="136">
        <v>6</v>
      </c>
      <c r="D829" s="136">
        <v>1</v>
      </c>
      <c r="E829" s="136">
        <v>2</v>
      </c>
      <c r="F829" s="136">
        <v>10</v>
      </c>
      <c r="G829" s="136">
        <v>64</v>
      </c>
      <c r="H829" s="753"/>
      <c r="I829" s="753"/>
      <c r="J829" s="753"/>
      <c r="K829" s="753" t="s">
        <v>878</v>
      </c>
      <c r="L829" s="136" t="s">
        <v>830</v>
      </c>
      <c r="M829" s="136" t="s">
        <v>73</v>
      </c>
      <c r="N829" s="136" t="s">
        <v>818</v>
      </c>
      <c r="O829" s="136" t="s">
        <v>873</v>
      </c>
      <c r="P829" s="219"/>
      <c r="Q829" s="219"/>
      <c r="R829" s="219"/>
      <c r="S829" s="219"/>
      <c r="T829" s="219"/>
      <c r="U829" s="220"/>
      <c r="V829" s="674">
        <v>0</v>
      </c>
      <c r="W829" s="220"/>
      <c r="X829" s="220"/>
      <c r="Y829" s="834">
        <f t="shared" si="173"/>
        <v>0</v>
      </c>
      <c r="Z829" s="220"/>
      <c r="AA829" s="220"/>
      <c r="AB829" s="220"/>
      <c r="AC829" s="132"/>
      <c r="AD829" s="132"/>
      <c r="AE829" s="598"/>
      <c r="AF829" s="361"/>
      <c r="AG829" s="763">
        <v>0</v>
      </c>
      <c r="AH829" s="764">
        <v>0</v>
      </c>
      <c r="AI829" s="75"/>
      <c r="AJ829" s="777"/>
      <c r="AK829" s="75"/>
      <c r="AL829" s="75"/>
      <c r="AM829" s="75"/>
      <c r="AN829" s="788" t="s">
        <v>39</v>
      </c>
      <c r="AO829" s="221"/>
      <c r="AP829" s="221"/>
      <c r="AQ829" s="221"/>
      <c r="AR829" s="221"/>
      <c r="AS829" s="221"/>
      <c r="AT829" s="221"/>
      <c r="AU829" s="654"/>
      <c r="AV829" s="1325"/>
    </row>
    <row r="830" spans="1:48" s="212" customFormat="1" ht="15" customHeight="1" outlineLevel="2" x14ac:dyDescent="0.25">
      <c r="A830" s="746" t="str">
        <f t="shared" si="127"/>
        <v>1.6.1.2.11.58</v>
      </c>
      <c r="B830" s="136">
        <v>1</v>
      </c>
      <c r="C830" s="136">
        <v>6</v>
      </c>
      <c r="D830" s="136">
        <v>1</v>
      </c>
      <c r="E830" s="136">
        <v>2</v>
      </c>
      <c r="F830" s="136">
        <v>11</v>
      </c>
      <c r="G830" s="136">
        <v>58</v>
      </c>
      <c r="H830" s="753"/>
      <c r="I830" s="753"/>
      <c r="J830" s="753"/>
      <c r="K830" s="754" t="s">
        <v>879</v>
      </c>
      <c r="L830" s="136" t="s">
        <v>830</v>
      </c>
      <c r="M830" s="136" t="s">
        <v>73</v>
      </c>
      <c r="N830" s="136" t="s">
        <v>818</v>
      </c>
      <c r="O830" s="136" t="s">
        <v>737</v>
      </c>
      <c r="P830" s="227">
        <v>44197</v>
      </c>
      <c r="Q830" s="227">
        <v>44561</v>
      </c>
      <c r="R830" s="219">
        <v>1</v>
      </c>
      <c r="S830" s="219" t="s">
        <v>831</v>
      </c>
      <c r="T830" s="219"/>
      <c r="U830" s="220"/>
      <c r="V830" s="674">
        <v>0</v>
      </c>
      <c r="W830" s="220"/>
      <c r="X830" s="220"/>
      <c r="Y830" s="834">
        <f t="shared" si="173"/>
        <v>0</v>
      </c>
      <c r="Z830" s="220"/>
      <c r="AA830" s="220"/>
      <c r="AB830" s="220"/>
      <c r="AC830" s="132"/>
      <c r="AD830" s="132"/>
      <c r="AE830" s="598"/>
      <c r="AF830" s="360" t="s">
        <v>649</v>
      </c>
      <c r="AG830" s="763">
        <v>0</v>
      </c>
      <c r="AH830" s="764">
        <v>0</v>
      </c>
      <c r="AI830" s="75"/>
      <c r="AJ830" s="777"/>
      <c r="AK830" s="75"/>
      <c r="AL830" s="75"/>
      <c r="AM830" s="75"/>
      <c r="AN830" s="788" t="s">
        <v>39</v>
      </c>
      <c r="AO830" s="221"/>
      <c r="AP830" s="221"/>
      <c r="AQ830" s="221"/>
      <c r="AR830" s="221"/>
      <c r="AS830" s="221"/>
      <c r="AT830" s="221"/>
      <c r="AU830" s="654"/>
      <c r="AV830" s="451"/>
    </row>
    <row r="831" spans="1:48" s="212" customFormat="1" ht="15" customHeight="1" outlineLevel="2" x14ac:dyDescent="0.25">
      <c r="A831" s="746" t="str">
        <f t="shared" si="127"/>
        <v>1.6.1.2.11.59</v>
      </c>
      <c r="B831" s="136">
        <v>1</v>
      </c>
      <c r="C831" s="136">
        <v>6</v>
      </c>
      <c r="D831" s="136">
        <v>1</v>
      </c>
      <c r="E831" s="136">
        <v>2</v>
      </c>
      <c r="F831" s="136">
        <v>11</v>
      </c>
      <c r="G831" s="136">
        <v>59</v>
      </c>
      <c r="H831" s="753"/>
      <c r="I831" s="753"/>
      <c r="J831" s="753"/>
      <c r="K831" s="753" t="s">
        <v>880</v>
      </c>
      <c r="L831" s="136" t="s">
        <v>830</v>
      </c>
      <c r="M831" s="136" t="s">
        <v>73</v>
      </c>
      <c r="N831" s="136" t="s">
        <v>818</v>
      </c>
      <c r="O831" s="136" t="s">
        <v>737</v>
      </c>
      <c r="P831" s="227">
        <v>44197</v>
      </c>
      <c r="Q831" s="227">
        <v>44561</v>
      </c>
      <c r="R831" s="219"/>
      <c r="S831" s="219"/>
      <c r="T831" s="219"/>
      <c r="U831" s="220"/>
      <c r="V831" s="674">
        <v>0</v>
      </c>
      <c r="W831" s="220"/>
      <c r="X831" s="220"/>
      <c r="Y831" s="834">
        <f t="shared" si="173"/>
        <v>0</v>
      </c>
      <c r="Z831" s="220"/>
      <c r="AA831" s="220"/>
      <c r="AB831" s="220"/>
      <c r="AC831" s="132"/>
      <c r="AD831" s="132"/>
      <c r="AE831" s="598"/>
      <c r="AF831" s="360"/>
      <c r="AG831" s="763">
        <v>0</v>
      </c>
      <c r="AH831" s="764">
        <v>0</v>
      </c>
      <c r="AI831" s="75"/>
      <c r="AJ831" s="777"/>
      <c r="AK831" s="75"/>
      <c r="AL831" s="75"/>
      <c r="AM831" s="75"/>
      <c r="AN831" s="788" t="s">
        <v>39</v>
      </c>
      <c r="AO831" s="221"/>
      <c r="AP831" s="221"/>
      <c r="AQ831" s="419"/>
      <c r="AR831" s="221"/>
      <c r="AS831" s="485"/>
      <c r="AT831" s="221"/>
      <c r="AU831" s="654"/>
      <c r="AV831" s="451"/>
    </row>
    <row r="832" spans="1:48" s="212" customFormat="1" ht="15" customHeight="1" outlineLevel="2" x14ac:dyDescent="0.25">
      <c r="A832" s="746" t="str">
        <f t="shared" si="127"/>
        <v>1.6.1.2.11.60</v>
      </c>
      <c r="B832" s="136">
        <v>1</v>
      </c>
      <c r="C832" s="136">
        <v>6</v>
      </c>
      <c r="D832" s="136">
        <v>1</v>
      </c>
      <c r="E832" s="136">
        <v>2</v>
      </c>
      <c r="F832" s="136">
        <v>11</v>
      </c>
      <c r="G832" s="136">
        <v>60</v>
      </c>
      <c r="H832" s="753"/>
      <c r="I832" s="753"/>
      <c r="J832" s="753"/>
      <c r="K832" s="753" t="s">
        <v>881</v>
      </c>
      <c r="L832" s="136" t="s">
        <v>830</v>
      </c>
      <c r="M832" s="136" t="s">
        <v>73</v>
      </c>
      <c r="N832" s="136" t="s">
        <v>818</v>
      </c>
      <c r="O832" s="136" t="s">
        <v>737</v>
      </c>
      <c r="P832" s="227">
        <v>44197</v>
      </c>
      <c r="Q832" s="227">
        <v>44561</v>
      </c>
      <c r="R832" s="219"/>
      <c r="S832" s="219"/>
      <c r="T832" s="219"/>
      <c r="U832" s="220"/>
      <c r="V832" s="674">
        <v>0</v>
      </c>
      <c r="W832" s="220"/>
      <c r="X832" s="220"/>
      <c r="Y832" s="834">
        <f t="shared" si="173"/>
        <v>0</v>
      </c>
      <c r="Z832" s="220"/>
      <c r="AA832" s="220"/>
      <c r="AB832" s="220"/>
      <c r="AC832" s="132"/>
      <c r="AD832" s="132"/>
      <c r="AE832" s="598"/>
      <c r="AF832" s="360"/>
      <c r="AG832" s="763">
        <v>0</v>
      </c>
      <c r="AH832" s="764">
        <v>0</v>
      </c>
      <c r="AI832" s="75"/>
      <c r="AJ832" s="777"/>
      <c r="AK832" s="75"/>
      <c r="AL832" s="75"/>
      <c r="AM832" s="75"/>
      <c r="AN832" s="788" t="s">
        <v>39</v>
      </c>
      <c r="AO832" s="221"/>
      <c r="AP832" s="221"/>
      <c r="AQ832" s="419"/>
      <c r="AR832" s="221"/>
      <c r="AS832" s="485"/>
      <c r="AT832" s="221"/>
      <c r="AU832" s="654"/>
      <c r="AV832" s="451"/>
    </row>
    <row r="833" spans="1:48" s="212" customFormat="1" ht="15" customHeight="1" outlineLevel="2" x14ac:dyDescent="0.25">
      <c r="A833" s="746" t="str">
        <f t="shared" si="127"/>
        <v>1.6.1.2.11.61</v>
      </c>
      <c r="B833" s="136">
        <v>1</v>
      </c>
      <c r="C833" s="136">
        <v>6</v>
      </c>
      <c r="D833" s="136">
        <v>1</v>
      </c>
      <c r="E833" s="136">
        <v>2</v>
      </c>
      <c r="F833" s="136">
        <v>11</v>
      </c>
      <c r="G833" s="136">
        <v>61</v>
      </c>
      <c r="H833" s="753"/>
      <c r="I833" s="753"/>
      <c r="J833" s="753"/>
      <c r="K833" s="753" t="s">
        <v>882</v>
      </c>
      <c r="L833" s="136" t="s">
        <v>830</v>
      </c>
      <c r="M833" s="136" t="s">
        <v>73</v>
      </c>
      <c r="N833" s="136" t="s">
        <v>818</v>
      </c>
      <c r="O833" s="136" t="s">
        <v>737</v>
      </c>
      <c r="P833" s="227">
        <v>44197</v>
      </c>
      <c r="Q833" s="227">
        <v>44561</v>
      </c>
      <c r="R833" s="219"/>
      <c r="S833" s="219"/>
      <c r="T833" s="219"/>
      <c r="U833" s="220"/>
      <c r="V833" s="674">
        <v>0</v>
      </c>
      <c r="W833" s="220"/>
      <c r="X833" s="220"/>
      <c r="Y833" s="834">
        <f t="shared" si="173"/>
        <v>0</v>
      </c>
      <c r="Z833" s="220"/>
      <c r="AA833" s="220"/>
      <c r="AB833" s="220"/>
      <c r="AC833" s="132"/>
      <c r="AD833" s="132"/>
      <c r="AE833" s="598"/>
      <c r="AF833" s="360"/>
      <c r="AG833" s="763">
        <v>0</v>
      </c>
      <c r="AH833" s="764">
        <v>0</v>
      </c>
      <c r="AI833" s="75"/>
      <c r="AJ833" s="777"/>
      <c r="AK833" s="75"/>
      <c r="AL833" s="75"/>
      <c r="AM833" s="75"/>
      <c r="AN833" s="788" t="s">
        <v>39</v>
      </c>
      <c r="AO833" s="221"/>
      <c r="AP833" s="221"/>
      <c r="AQ833" s="419"/>
      <c r="AR833" s="221"/>
      <c r="AS833" s="485"/>
      <c r="AT833" s="221"/>
      <c r="AU833" s="654"/>
      <c r="AV833" s="451"/>
    </row>
    <row r="834" spans="1:48" s="212" customFormat="1" ht="15" customHeight="1" outlineLevel="2" x14ac:dyDescent="0.25">
      <c r="A834" s="746" t="str">
        <f t="shared" si="127"/>
        <v>1.6.1.2.11.62</v>
      </c>
      <c r="B834" s="136">
        <v>1</v>
      </c>
      <c r="C834" s="136">
        <v>6</v>
      </c>
      <c r="D834" s="136">
        <v>1</v>
      </c>
      <c r="E834" s="136">
        <v>2</v>
      </c>
      <c r="F834" s="136">
        <v>11</v>
      </c>
      <c r="G834" s="136">
        <v>62</v>
      </c>
      <c r="H834" s="753"/>
      <c r="I834" s="753"/>
      <c r="J834" s="753"/>
      <c r="K834" s="753" t="s">
        <v>883</v>
      </c>
      <c r="L834" s="136" t="s">
        <v>830</v>
      </c>
      <c r="M834" s="136" t="s">
        <v>73</v>
      </c>
      <c r="N834" s="136" t="s">
        <v>818</v>
      </c>
      <c r="O834" s="136" t="s">
        <v>737</v>
      </c>
      <c r="P834" s="227">
        <v>44197</v>
      </c>
      <c r="Q834" s="227">
        <v>44561</v>
      </c>
      <c r="R834" s="219"/>
      <c r="S834" s="219"/>
      <c r="T834" s="219"/>
      <c r="U834" s="220"/>
      <c r="V834" s="674">
        <v>0</v>
      </c>
      <c r="W834" s="220"/>
      <c r="X834" s="220"/>
      <c r="Y834" s="834">
        <f t="shared" si="173"/>
        <v>0</v>
      </c>
      <c r="Z834" s="220"/>
      <c r="AA834" s="220"/>
      <c r="AB834" s="220"/>
      <c r="AC834" s="132"/>
      <c r="AD834" s="132"/>
      <c r="AE834" s="598"/>
      <c r="AF834" s="360"/>
      <c r="AG834" s="763">
        <v>0</v>
      </c>
      <c r="AH834" s="764">
        <v>0</v>
      </c>
      <c r="AI834" s="75"/>
      <c r="AJ834" s="777"/>
      <c r="AK834" s="75"/>
      <c r="AL834" s="75"/>
      <c r="AM834" s="75"/>
      <c r="AN834" s="788" t="s">
        <v>39</v>
      </c>
      <c r="AO834" s="221"/>
      <c r="AP834" s="221"/>
      <c r="AQ834" s="419"/>
      <c r="AR834" s="221"/>
      <c r="AS834" s="485"/>
      <c r="AT834" s="221"/>
      <c r="AU834" s="654"/>
      <c r="AV834" s="451"/>
    </row>
    <row r="835" spans="1:48" s="212" customFormat="1" ht="15" customHeight="1" outlineLevel="2" x14ac:dyDescent="0.25">
      <c r="A835" s="746" t="str">
        <f t="shared" si="127"/>
        <v>1.6.1.2.11.63</v>
      </c>
      <c r="B835" s="136">
        <v>1</v>
      </c>
      <c r="C835" s="136">
        <v>6</v>
      </c>
      <c r="D835" s="136">
        <v>1</v>
      </c>
      <c r="E835" s="136">
        <v>2</v>
      </c>
      <c r="F835" s="136">
        <v>11</v>
      </c>
      <c r="G835" s="136">
        <v>63</v>
      </c>
      <c r="H835" s="753"/>
      <c r="I835" s="753"/>
      <c r="J835" s="753"/>
      <c r="K835" s="753" t="s">
        <v>1764</v>
      </c>
      <c r="L835" s="136" t="s">
        <v>830</v>
      </c>
      <c r="M835" s="136" t="s">
        <v>73</v>
      </c>
      <c r="N835" s="136" t="s">
        <v>818</v>
      </c>
      <c r="O835" s="136" t="s">
        <v>737</v>
      </c>
      <c r="P835" s="227">
        <v>44197</v>
      </c>
      <c r="Q835" s="227">
        <v>44561</v>
      </c>
      <c r="R835" s="219"/>
      <c r="S835" s="219"/>
      <c r="T835" s="219"/>
      <c r="U835" s="220"/>
      <c r="V835" s="674">
        <v>0</v>
      </c>
      <c r="W835" s="220"/>
      <c r="X835" s="220"/>
      <c r="Y835" s="834">
        <f t="shared" si="173"/>
        <v>0</v>
      </c>
      <c r="Z835" s="220"/>
      <c r="AA835" s="220"/>
      <c r="AB835" s="220"/>
      <c r="AC835" s="132"/>
      <c r="AD835" s="132"/>
      <c r="AE835" s="598"/>
      <c r="AF835" s="360"/>
      <c r="AG835" s="763">
        <v>0</v>
      </c>
      <c r="AH835" s="764">
        <v>0</v>
      </c>
      <c r="AI835" s="75"/>
      <c r="AJ835" s="777"/>
      <c r="AK835" s="75"/>
      <c r="AL835" s="75"/>
      <c r="AM835" s="75"/>
      <c r="AN835" s="788" t="s">
        <v>39</v>
      </c>
      <c r="AO835" s="221"/>
      <c r="AP835" s="221"/>
      <c r="AQ835" s="419"/>
      <c r="AR835" s="221"/>
      <c r="AS835" s="485"/>
      <c r="AT835" s="221"/>
      <c r="AU835" s="654"/>
      <c r="AV835" s="451"/>
    </row>
    <row r="836" spans="1:48" s="212" customFormat="1" ht="15" customHeight="1" outlineLevel="2" x14ac:dyDescent="0.25">
      <c r="A836" s="746" t="str">
        <f t="shared" si="127"/>
        <v>1.6.1.2.11.64</v>
      </c>
      <c r="B836" s="136">
        <v>1</v>
      </c>
      <c r="C836" s="136">
        <v>6</v>
      </c>
      <c r="D836" s="136">
        <v>1</v>
      </c>
      <c r="E836" s="136">
        <v>2</v>
      </c>
      <c r="F836" s="136">
        <v>11</v>
      </c>
      <c r="G836" s="136">
        <v>64</v>
      </c>
      <c r="H836" s="753"/>
      <c r="I836" s="753"/>
      <c r="J836" s="753"/>
      <c r="K836" s="753" t="s">
        <v>884</v>
      </c>
      <c r="L836" s="136" t="s">
        <v>830</v>
      </c>
      <c r="M836" s="136" t="s">
        <v>73</v>
      </c>
      <c r="N836" s="136" t="s">
        <v>818</v>
      </c>
      <c r="O836" s="136" t="s">
        <v>737</v>
      </c>
      <c r="P836" s="227">
        <v>44197</v>
      </c>
      <c r="Q836" s="227">
        <v>44561</v>
      </c>
      <c r="R836" s="219"/>
      <c r="S836" s="219"/>
      <c r="T836" s="219"/>
      <c r="U836" s="220"/>
      <c r="V836" s="674">
        <v>0</v>
      </c>
      <c r="W836" s="220"/>
      <c r="X836" s="220"/>
      <c r="Y836" s="834">
        <f t="shared" si="173"/>
        <v>0</v>
      </c>
      <c r="Z836" s="220"/>
      <c r="AA836" s="220"/>
      <c r="AB836" s="220"/>
      <c r="AC836" s="132"/>
      <c r="AD836" s="132"/>
      <c r="AE836" s="598"/>
      <c r="AF836" s="360"/>
      <c r="AG836" s="763">
        <v>0</v>
      </c>
      <c r="AH836" s="764">
        <v>0</v>
      </c>
      <c r="AI836" s="75"/>
      <c r="AJ836" s="777"/>
      <c r="AK836" s="75"/>
      <c r="AL836" s="75"/>
      <c r="AM836" s="75"/>
      <c r="AN836" s="788" t="s">
        <v>39</v>
      </c>
      <c r="AO836" s="221"/>
      <c r="AP836" s="221"/>
      <c r="AQ836" s="419"/>
      <c r="AR836" s="221"/>
      <c r="AS836" s="485"/>
      <c r="AT836" s="221"/>
      <c r="AU836" s="654"/>
      <c r="AV836" s="451"/>
    </row>
    <row r="837" spans="1:48" s="153" customFormat="1" ht="43.5" customHeight="1" outlineLevel="1" x14ac:dyDescent="0.25">
      <c r="A837" s="744" t="str">
        <f t="shared" si="127"/>
        <v>1.6.1.3.0.0</v>
      </c>
      <c r="B837" s="82">
        <v>1</v>
      </c>
      <c r="C837" s="82">
        <v>6</v>
      </c>
      <c r="D837" s="82">
        <v>1</v>
      </c>
      <c r="E837" s="82">
        <v>3</v>
      </c>
      <c r="F837" s="82">
        <v>0</v>
      </c>
      <c r="G837" s="82">
        <v>0</v>
      </c>
      <c r="H837" s="749"/>
      <c r="I837" s="749"/>
      <c r="J837" s="1326" t="s">
        <v>885</v>
      </c>
      <c r="K837" s="1327"/>
      <c r="L837" s="82">
        <v>0</v>
      </c>
      <c r="M837" s="82">
        <v>0</v>
      </c>
      <c r="N837" s="82" t="s">
        <v>818</v>
      </c>
      <c r="O837" s="82" t="s">
        <v>737</v>
      </c>
      <c r="P837" s="82"/>
      <c r="Q837" s="82"/>
      <c r="R837" s="82"/>
      <c r="S837" s="149"/>
      <c r="T837" s="82"/>
      <c r="U837" s="379">
        <f t="shared" ref="U837:AG837" si="174">+SUM(U838:U840)</f>
        <v>0</v>
      </c>
      <c r="V837" s="682">
        <f t="shared" si="174"/>
        <v>0</v>
      </c>
      <c r="W837" s="379">
        <f t="shared" si="174"/>
        <v>0</v>
      </c>
      <c r="X837" s="379">
        <f t="shared" si="174"/>
        <v>0</v>
      </c>
      <c r="Y837" s="845">
        <f t="shared" si="174"/>
        <v>0</v>
      </c>
      <c r="Z837" s="379">
        <f t="shared" si="174"/>
        <v>0</v>
      </c>
      <c r="AA837" s="379">
        <f t="shared" si="174"/>
        <v>0</v>
      </c>
      <c r="AB837" s="379">
        <f t="shared" si="174"/>
        <v>0</v>
      </c>
      <c r="AC837" s="379">
        <f t="shared" si="174"/>
        <v>0</v>
      </c>
      <c r="AD837" s="379">
        <f t="shared" si="174"/>
        <v>0</v>
      </c>
      <c r="AE837" s="379">
        <f t="shared" si="174"/>
        <v>0</v>
      </c>
      <c r="AF837" s="379">
        <f t="shared" si="174"/>
        <v>0</v>
      </c>
      <c r="AG837" s="766">
        <f t="shared" si="174"/>
        <v>0</v>
      </c>
      <c r="AH837" s="766">
        <f t="shared" ref="AH837:AM837" si="175">+SUM(AH838:AH840)</f>
        <v>0</v>
      </c>
      <c r="AI837" s="512">
        <f t="shared" si="175"/>
        <v>0</v>
      </c>
      <c r="AJ837" s="772">
        <f t="shared" si="175"/>
        <v>0</v>
      </c>
      <c r="AK837" s="512">
        <f t="shared" si="175"/>
        <v>0</v>
      </c>
      <c r="AL837" s="512">
        <f t="shared" si="175"/>
        <v>0</v>
      </c>
      <c r="AM837" s="512">
        <f t="shared" si="175"/>
        <v>0</v>
      </c>
      <c r="AN837" s="786" t="s">
        <v>39</v>
      </c>
      <c r="AO837" s="82"/>
      <c r="AP837" s="82"/>
      <c r="AQ837" s="365"/>
      <c r="AR837" s="82"/>
      <c r="AS837" s="483"/>
      <c r="AT837" s="82"/>
      <c r="AU837" s="666"/>
      <c r="AV837" s="444"/>
    </row>
    <row r="838" spans="1:48" s="212" customFormat="1" ht="15" customHeight="1" outlineLevel="3" x14ac:dyDescent="0.25">
      <c r="A838" s="746" t="str">
        <f t="shared" si="127"/>
        <v>1.6.1.3.1.58-64</v>
      </c>
      <c r="B838" s="136">
        <v>1</v>
      </c>
      <c r="C838" s="136">
        <v>6</v>
      </c>
      <c r="D838" s="136">
        <v>1</v>
      </c>
      <c r="E838" s="136">
        <v>3</v>
      </c>
      <c r="F838" s="136">
        <v>1</v>
      </c>
      <c r="G838" s="136" t="s">
        <v>64</v>
      </c>
      <c r="H838" s="753"/>
      <c r="I838" s="753"/>
      <c r="J838" s="755"/>
      <c r="K838" s="753" t="s">
        <v>886</v>
      </c>
      <c r="L838" s="136" t="s">
        <v>209</v>
      </c>
      <c r="M838" s="136" t="s">
        <v>887</v>
      </c>
      <c r="N838" s="136" t="s">
        <v>818</v>
      </c>
      <c r="O838" s="136" t="s">
        <v>737</v>
      </c>
      <c r="P838" s="214">
        <v>44531</v>
      </c>
      <c r="Q838" s="214">
        <v>44199</v>
      </c>
      <c r="R838" s="136"/>
      <c r="S838" s="125"/>
      <c r="T838" s="136"/>
      <c r="U838" s="132"/>
      <c r="V838" s="674">
        <v>0</v>
      </c>
      <c r="W838" s="132"/>
      <c r="X838" s="132"/>
      <c r="Y838" s="834">
        <f>+AJ838-V838</f>
        <v>0</v>
      </c>
      <c r="Z838" s="132"/>
      <c r="AA838" s="132"/>
      <c r="AB838" s="132"/>
      <c r="AC838" s="132"/>
      <c r="AD838" s="132"/>
      <c r="AE838" s="598"/>
      <c r="AF838" s="349" t="s">
        <v>1796</v>
      </c>
      <c r="AG838" s="763">
        <v>0</v>
      </c>
      <c r="AH838" s="764">
        <v>0</v>
      </c>
      <c r="AI838" s="75"/>
      <c r="AJ838" s="777"/>
      <c r="AK838" s="75"/>
      <c r="AL838" s="75"/>
      <c r="AM838" s="75"/>
      <c r="AN838" s="789" t="s">
        <v>39</v>
      </c>
      <c r="AO838" s="136"/>
      <c r="AP838" s="136"/>
      <c r="AQ838" s="414"/>
      <c r="AR838" s="136"/>
      <c r="AS838" s="477"/>
      <c r="AT838" s="136"/>
      <c r="AU838" s="646"/>
      <c r="AV838" s="448"/>
    </row>
    <row r="839" spans="1:48" s="212" customFormat="1" ht="30" customHeight="1" outlineLevel="3" x14ac:dyDescent="0.25">
      <c r="A839" s="746" t="str">
        <f t="shared" si="127"/>
        <v>1.6.1.3.2.58-64</v>
      </c>
      <c r="B839" s="136">
        <v>1</v>
      </c>
      <c r="C839" s="136">
        <v>6</v>
      </c>
      <c r="D839" s="136">
        <v>1</v>
      </c>
      <c r="E839" s="136">
        <v>3</v>
      </c>
      <c r="F839" s="136">
        <v>2</v>
      </c>
      <c r="G839" s="136" t="s">
        <v>64</v>
      </c>
      <c r="H839" s="753"/>
      <c r="I839" s="753"/>
      <c r="J839" s="755"/>
      <c r="K839" s="754" t="s">
        <v>888</v>
      </c>
      <c r="L839" s="136" t="s">
        <v>209</v>
      </c>
      <c r="M839" s="136" t="s">
        <v>73</v>
      </c>
      <c r="N839" s="136" t="s">
        <v>74</v>
      </c>
      <c r="O839" s="136" t="s">
        <v>737</v>
      </c>
      <c r="P839" s="214">
        <v>44197</v>
      </c>
      <c r="Q839" s="214">
        <v>44560</v>
      </c>
      <c r="R839" s="136"/>
      <c r="S839" s="125"/>
      <c r="T839" s="136"/>
      <c r="U839" s="132"/>
      <c r="V839" s="674">
        <v>0</v>
      </c>
      <c r="W839" s="132"/>
      <c r="X839" s="132"/>
      <c r="Y839" s="834">
        <f>+AJ839-V839</f>
        <v>0</v>
      </c>
      <c r="Z839" s="132"/>
      <c r="AA839" s="132"/>
      <c r="AB839" s="132"/>
      <c r="AC839" s="132"/>
      <c r="AD839" s="132"/>
      <c r="AE839" s="598"/>
      <c r="AF839" s="350" t="s">
        <v>1797</v>
      </c>
      <c r="AG839" s="763">
        <v>0</v>
      </c>
      <c r="AH839" s="764">
        <v>0</v>
      </c>
      <c r="AI839" s="75"/>
      <c r="AJ839" s="777"/>
      <c r="AK839" s="75"/>
      <c r="AL839" s="75"/>
      <c r="AM839" s="75"/>
      <c r="AN839" s="789" t="s">
        <v>39</v>
      </c>
      <c r="AO839" s="136"/>
      <c r="AP839" s="136"/>
      <c r="AQ839" s="414"/>
      <c r="AR839" s="136"/>
      <c r="AS839" s="477"/>
      <c r="AT839" s="136"/>
      <c r="AU839" s="646"/>
      <c r="AV839" s="448"/>
    </row>
    <row r="840" spans="1:48" s="212" customFormat="1" ht="15" customHeight="1" outlineLevel="3" x14ac:dyDescent="0.25">
      <c r="A840" s="746" t="str">
        <f t="shared" si="127"/>
        <v>1.6.1.3.3.58-64</v>
      </c>
      <c r="B840" s="136">
        <v>1</v>
      </c>
      <c r="C840" s="136">
        <v>6</v>
      </c>
      <c r="D840" s="136">
        <v>1</v>
      </c>
      <c r="E840" s="136">
        <v>3</v>
      </c>
      <c r="F840" s="136">
        <v>3</v>
      </c>
      <c r="G840" s="136" t="s">
        <v>64</v>
      </c>
      <c r="H840" s="753"/>
      <c r="I840" s="753"/>
      <c r="J840" s="755"/>
      <c r="K840" s="753" t="s">
        <v>889</v>
      </c>
      <c r="L840" s="136" t="s">
        <v>209</v>
      </c>
      <c r="M840" s="136" t="s">
        <v>817</v>
      </c>
      <c r="N840" s="136" t="s">
        <v>818</v>
      </c>
      <c r="O840" s="136" t="s">
        <v>737</v>
      </c>
      <c r="P840" s="214">
        <v>44197</v>
      </c>
      <c r="Q840" s="214">
        <v>44560</v>
      </c>
      <c r="R840" s="136"/>
      <c r="S840" s="125"/>
      <c r="T840" s="136"/>
      <c r="U840" s="132"/>
      <c r="V840" s="674">
        <v>0</v>
      </c>
      <c r="W840" s="132"/>
      <c r="X840" s="132"/>
      <c r="Y840" s="834">
        <f>+AJ840-V840</f>
        <v>0</v>
      </c>
      <c r="Z840" s="132"/>
      <c r="AA840" s="132"/>
      <c r="AB840" s="132"/>
      <c r="AC840" s="132"/>
      <c r="AD840" s="132"/>
      <c r="AE840" s="598"/>
      <c r="AF840" s="349" t="s">
        <v>890</v>
      </c>
      <c r="AG840" s="763">
        <v>0</v>
      </c>
      <c r="AH840" s="764">
        <v>0</v>
      </c>
      <c r="AI840" s="75"/>
      <c r="AJ840" s="777"/>
      <c r="AK840" s="75"/>
      <c r="AL840" s="75"/>
      <c r="AM840" s="75"/>
      <c r="AN840" s="789" t="s">
        <v>39</v>
      </c>
      <c r="AO840" s="136"/>
      <c r="AP840" s="136"/>
      <c r="AQ840" s="414"/>
      <c r="AR840" s="136"/>
      <c r="AS840" s="477"/>
      <c r="AT840" s="136"/>
      <c r="AU840" s="646"/>
      <c r="AV840" s="448"/>
    </row>
    <row r="841" spans="1:48" s="153" customFormat="1" ht="43.5" customHeight="1" outlineLevel="1" x14ac:dyDescent="0.25">
      <c r="A841" s="744" t="str">
        <f t="shared" si="127"/>
        <v>1.6.1.4.0.0</v>
      </c>
      <c r="B841" s="82">
        <v>1</v>
      </c>
      <c r="C841" s="82">
        <v>6</v>
      </c>
      <c r="D841" s="82">
        <v>1</v>
      </c>
      <c r="E841" s="82">
        <v>4</v>
      </c>
      <c r="F841" s="82">
        <v>0</v>
      </c>
      <c r="G841" s="82">
        <v>0</v>
      </c>
      <c r="H841" s="749"/>
      <c r="I841" s="749"/>
      <c r="J841" s="1304" t="s">
        <v>891</v>
      </c>
      <c r="K841" s="1303"/>
      <c r="L841" s="82" t="s">
        <v>202</v>
      </c>
      <c r="M841" s="82" t="s">
        <v>76</v>
      </c>
      <c r="N841" s="82" t="s">
        <v>180</v>
      </c>
      <c r="O841" s="82" t="s">
        <v>737</v>
      </c>
      <c r="P841" s="82"/>
      <c r="Q841" s="82"/>
      <c r="R841" s="82"/>
      <c r="S841" s="149"/>
      <c r="T841" s="82"/>
      <c r="U841" s="209">
        <f t="shared" ref="U841:AG841" si="176">SUM(U842:U845)</f>
        <v>5592600</v>
      </c>
      <c r="V841" s="683">
        <f t="shared" si="176"/>
        <v>0</v>
      </c>
      <c r="W841" s="209">
        <f t="shared" si="176"/>
        <v>0</v>
      </c>
      <c r="X841" s="209">
        <f t="shared" si="176"/>
        <v>5592600</v>
      </c>
      <c r="Y841" s="846">
        <f t="shared" si="176"/>
        <v>4827700</v>
      </c>
      <c r="Z841" s="209">
        <f t="shared" si="176"/>
        <v>0</v>
      </c>
      <c r="AA841" s="209">
        <f t="shared" si="176"/>
        <v>5592600</v>
      </c>
      <c r="AB841" s="209">
        <f t="shared" si="176"/>
        <v>0</v>
      </c>
      <c r="AC841" s="209">
        <f t="shared" si="176"/>
        <v>0</v>
      </c>
      <c r="AD841" s="209">
        <f t="shared" si="176"/>
        <v>5592600</v>
      </c>
      <c r="AE841" s="209">
        <f t="shared" si="176"/>
        <v>0</v>
      </c>
      <c r="AF841" s="209">
        <f t="shared" si="176"/>
        <v>0</v>
      </c>
      <c r="AG841" s="767">
        <f t="shared" si="176"/>
        <v>5598544.6060591321</v>
      </c>
      <c r="AH841" s="766">
        <f>+SUM(AH842:AH845)</f>
        <v>22370400</v>
      </c>
      <c r="AI841" s="512">
        <f>+SUM(AI842:AI845)</f>
        <v>0</v>
      </c>
      <c r="AJ841" s="772">
        <f>+SUM(AJ842:AJ845)</f>
        <v>4827700</v>
      </c>
      <c r="AK841" s="152"/>
      <c r="AL841" s="152"/>
      <c r="AM841" s="152"/>
      <c r="AN841" s="786" t="s">
        <v>39</v>
      </c>
      <c r="AO841" s="82"/>
      <c r="AP841" s="82"/>
      <c r="AQ841" s="365"/>
      <c r="AR841" s="82"/>
      <c r="AS841" s="483"/>
      <c r="AT841" s="82"/>
      <c r="AU841" s="666"/>
      <c r="AV841" s="449" t="s">
        <v>1798</v>
      </c>
    </row>
    <row r="842" spans="1:48" ht="15" customHeight="1" outlineLevel="3" x14ac:dyDescent="0.25">
      <c r="A842" s="745" t="str">
        <f t="shared" si="127"/>
        <v>1.6.1.4.1.58-64</v>
      </c>
      <c r="B842" s="64">
        <v>1</v>
      </c>
      <c r="C842" s="64">
        <v>6</v>
      </c>
      <c r="D842" s="64">
        <v>1</v>
      </c>
      <c r="E842" s="64">
        <v>4</v>
      </c>
      <c r="F842" s="64">
        <v>1</v>
      </c>
      <c r="G842" s="64" t="s">
        <v>64</v>
      </c>
      <c r="H842" s="750"/>
      <c r="I842" s="750"/>
      <c r="J842" s="750"/>
      <c r="K842" s="750" t="s">
        <v>892</v>
      </c>
      <c r="L842" s="64" t="s">
        <v>209</v>
      </c>
      <c r="M842" s="64" t="s">
        <v>73</v>
      </c>
      <c r="N842" s="64" t="s">
        <v>818</v>
      </c>
      <c r="O842" s="64" t="s">
        <v>737</v>
      </c>
      <c r="P842" s="64"/>
      <c r="Q842" s="64"/>
      <c r="R842" s="64"/>
      <c r="S842" s="65"/>
      <c r="T842" s="64"/>
      <c r="U842" s="75"/>
      <c r="V842" s="674">
        <v>0</v>
      </c>
      <c r="W842" s="75"/>
      <c r="X842" s="75"/>
      <c r="Y842" s="834">
        <f>+AJ842-V842</f>
        <v>0</v>
      </c>
      <c r="Z842" s="75"/>
      <c r="AA842" s="75"/>
      <c r="AB842" s="75"/>
      <c r="AC842" s="75"/>
      <c r="AD842" s="75"/>
      <c r="AE842" s="592"/>
      <c r="AF842" s="259"/>
      <c r="AG842" s="763">
        <v>0</v>
      </c>
      <c r="AH842" s="764">
        <v>0</v>
      </c>
      <c r="AI842" s="75"/>
      <c r="AJ842" s="777"/>
      <c r="AK842" s="75"/>
      <c r="AL842" s="75"/>
      <c r="AM842" s="75"/>
      <c r="AN842" s="787" t="s">
        <v>39</v>
      </c>
      <c r="AO842" s="64"/>
      <c r="AP842" s="64"/>
      <c r="AQ842" s="189"/>
      <c r="AR842" s="64"/>
      <c r="AS842" s="476"/>
      <c r="AT842" s="64"/>
      <c r="AU842" s="646"/>
      <c r="AV842" s="185" t="s">
        <v>127</v>
      </c>
    </row>
    <row r="843" spans="1:48" ht="34.5" customHeight="1" outlineLevel="3" x14ac:dyDescent="0.25">
      <c r="A843" s="745" t="str">
        <f t="shared" si="127"/>
        <v>1.6.1.4.2.58-64</v>
      </c>
      <c r="B843" s="64">
        <v>1</v>
      </c>
      <c r="C843" s="64">
        <v>6</v>
      </c>
      <c r="D843" s="64">
        <v>1</v>
      </c>
      <c r="E843" s="64">
        <v>4</v>
      </c>
      <c r="F843" s="64">
        <v>2</v>
      </c>
      <c r="G843" s="64" t="s">
        <v>64</v>
      </c>
      <c r="H843" s="750"/>
      <c r="I843" s="750"/>
      <c r="J843" s="750"/>
      <c r="K843" s="756" t="s">
        <v>1864</v>
      </c>
      <c r="L843" s="631" t="s">
        <v>209</v>
      </c>
      <c r="M843" s="229" t="s">
        <v>893</v>
      </c>
      <c r="N843" s="228" t="s">
        <v>382</v>
      </c>
      <c r="O843" s="228" t="s">
        <v>737</v>
      </c>
      <c r="P843" s="230">
        <v>44197</v>
      </c>
      <c r="Q843" s="230">
        <v>44560</v>
      </c>
      <c r="R843" s="228"/>
      <c r="S843" s="231"/>
      <c r="T843" s="228"/>
      <c r="U843" s="232">
        <f>+AH843/4</f>
        <v>5592600</v>
      </c>
      <c r="V843" s="674">
        <v>0</v>
      </c>
      <c r="W843" s="233"/>
      <c r="X843" s="232">
        <f>+AH843/4</f>
        <v>5592600</v>
      </c>
      <c r="Y843" s="834">
        <f>+AJ843-V843</f>
        <v>4827700</v>
      </c>
      <c r="Z843" s="233"/>
      <c r="AA843" s="232">
        <f>+AH843/4</f>
        <v>5592600</v>
      </c>
      <c r="AB843" s="232"/>
      <c r="AC843" s="233"/>
      <c r="AD843" s="232">
        <f>+AH843/4</f>
        <v>5592600</v>
      </c>
      <c r="AE843" s="604"/>
      <c r="AF843" s="362"/>
      <c r="AG843" s="768">
        <v>5598544.6060591321</v>
      </c>
      <c r="AH843" s="769">
        <v>22370400</v>
      </c>
      <c r="AI843" s="232"/>
      <c r="AJ843" s="781">
        <f>949100+1898200+82200+949100+949100</f>
        <v>4827700</v>
      </c>
      <c r="AK843" s="232"/>
      <c r="AL843" s="232"/>
      <c r="AM843" s="232"/>
      <c r="AN843" s="787" t="s">
        <v>39</v>
      </c>
      <c r="AO843" s="64" t="s">
        <v>1815</v>
      </c>
      <c r="AP843" s="64"/>
      <c r="AQ843" s="64"/>
      <c r="AR843" s="69">
        <v>44562</v>
      </c>
      <c r="AS843" s="69">
        <v>44926</v>
      </c>
      <c r="AT843" s="64"/>
      <c r="AU843" s="860" t="s">
        <v>2155</v>
      </c>
      <c r="AV843" s="335" t="s">
        <v>2015</v>
      </c>
    </row>
    <row r="844" spans="1:48" ht="15" customHeight="1" outlineLevel="3" x14ac:dyDescent="0.25">
      <c r="A844" s="745" t="str">
        <f t="shared" si="127"/>
        <v>1.6.1.4.3.58-64</v>
      </c>
      <c r="B844" s="64">
        <v>1</v>
      </c>
      <c r="C844" s="64">
        <v>6</v>
      </c>
      <c r="D844" s="64">
        <v>1</v>
      </c>
      <c r="E844" s="64">
        <v>4</v>
      </c>
      <c r="F844" s="64">
        <v>3</v>
      </c>
      <c r="G844" s="64" t="s">
        <v>64</v>
      </c>
      <c r="H844" s="750"/>
      <c r="I844" s="750"/>
      <c r="J844" s="751"/>
      <c r="K844" s="750" t="s">
        <v>1865</v>
      </c>
      <c r="L844" s="64" t="s">
        <v>209</v>
      </c>
      <c r="M844" s="64" t="s">
        <v>73</v>
      </c>
      <c r="N844" s="64" t="s">
        <v>818</v>
      </c>
      <c r="O844" s="64" t="s">
        <v>737</v>
      </c>
      <c r="P844" s="69">
        <v>44197</v>
      </c>
      <c r="Q844" s="69">
        <v>44560</v>
      </c>
      <c r="R844" s="64"/>
      <c r="S844" s="65"/>
      <c r="T844" s="64"/>
      <c r="U844" s="75"/>
      <c r="V844" s="674">
        <v>0</v>
      </c>
      <c r="W844" s="75"/>
      <c r="X844" s="75"/>
      <c r="Y844" s="834">
        <f>+AJ844-V844</f>
        <v>0</v>
      </c>
      <c r="Z844" s="75"/>
      <c r="AA844" s="75"/>
      <c r="AB844" s="75"/>
      <c r="AC844" s="75"/>
      <c r="AD844" s="75"/>
      <c r="AE844" s="592"/>
      <c r="AF844" s="259"/>
      <c r="AG844" s="763">
        <v>0</v>
      </c>
      <c r="AH844" s="764">
        <v>0</v>
      </c>
      <c r="AI844" s="75"/>
      <c r="AJ844" s="777"/>
      <c r="AK844" s="75"/>
      <c r="AL844" s="75"/>
      <c r="AM844" s="75"/>
      <c r="AN844" s="787" t="s">
        <v>39</v>
      </c>
      <c r="AO844" s="64"/>
      <c r="AP844" s="64"/>
      <c r="AQ844" s="189"/>
      <c r="AR844" s="64"/>
      <c r="AS844" s="476"/>
      <c r="AT844" s="64"/>
      <c r="AU844" s="646"/>
      <c r="AV844" s="185"/>
    </row>
    <row r="845" spans="1:48" ht="15" customHeight="1" outlineLevel="3" x14ac:dyDescent="0.25">
      <c r="A845" s="745" t="str">
        <f t="shared" si="127"/>
        <v>1.6.1.4.4.58-64</v>
      </c>
      <c r="B845" s="64">
        <v>1</v>
      </c>
      <c r="C845" s="64">
        <v>6</v>
      </c>
      <c r="D845" s="64">
        <v>1</v>
      </c>
      <c r="E845" s="64">
        <v>4</v>
      </c>
      <c r="F845" s="64">
        <v>4</v>
      </c>
      <c r="G845" s="64" t="s">
        <v>64</v>
      </c>
      <c r="H845" s="750"/>
      <c r="I845" s="750"/>
      <c r="J845" s="751"/>
      <c r="K845" s="750" t="s">
        <v>1866</v>
      </c>
      <c r="L845" s="64" t="s">
        <v>209</v>
      </c>
      <c r="M845" s="64" t="s">
        <v>73</v>
      </c>
      <c r="N845" s="64" t="s">
        <v>818</v>
      </c>
      <c r="O845" s="64" t="s">
        <v>737</v>
      </c>
      <c r="P845" s="69">
        <v>44531</v>
      </c>
      <c r="Q845" s="69">
        <v>44560</v>
      </c>
      <c r="R845" s="64"/>
      <c r="S845" s="65"/>
      <c r="T845" s="64"/>
      <c r="U845" s="75"/>
      <c r="V845" s="674">
        <v>0</v>
      </c>
      <c r="W845" s="75"/>
      <c r="X845" s="75"/>
      <c r="Y845" s="834">
        <f>+AJ845-V845</f>
        <v>0</v>
      </c>
      <c r="Z845" s="75"/>
      <c r="AA845" s="75"/>
      <c r="AB845" s="75"/>
      <c r="AC845" s="75"/>
      <c r="AD845" s="75"/>
      <c r="AE845" s="592"/>
      <c r="AF845" s="259"/>
      <c r="AG845" s="763">
        <v>0</v>
      </c>
      <c r="AH845" s="764">
        <v>0</v>
      </c>
      <c r="AI845" s="75"/>
      <c r="AJ845" s="777"/>
      <c r="AK845" s="75"/>
      <c r="AL845" s="75"/>
      <c r="AM845" s="75"/>
      <c r="AN845" s="787" t="s">
        <v>39</v>
      </c>
      <c r="AO845" s="64"/>
      <c r="AP845" s="64"/>
      <c r="AQ845" s="189"/>
      <c r="AR845" s="64"/>
      <c r="AS845" s="476"/>
      <c r="AT845" s="64"/>
      <c r="AU845" s="646"/>
      <c r="AV845" s="185"/>
    </row>
    <row r="846" spans="1:48" s="153" customFormat="1" ht="43.5" customHeight="1" outlineLevel="1" x14ac:dyDescent="0.25">
      <c r="A846" s="744" t="str">
        <f t="shared" si="127"/>
        <v>1.6.1.5.0.0</v>
      </c>
      <c r="B846" s="82">
        <v>1</v>
      </c>
      <c r="C846" s="82">
        <v>6</v>
      </c>
      <c r="D846" s="82">
        <v>1</v>
      </c>
      <c r="E846" s="82">
        <v>5</v>
      </c>
      <c r="F846" s="82">
        <v>0</v>
      </c>
      <c r="G846" s="82">
        <v>0</v>
      </c>
      <c r="H846" s="749"/>
      <c r="I846" s="749"/>
      <c r="J846" s="1304" t="s">
        <v>895</v>
      </c>
      <c r="K846" s="1303"/>
      <c r="L846" s="82" t="s">
        <v>236</v>
      </c>
      <c r="M846" s="82" t="s">
        <v>73</v>
      </c>
      <c r="N846" s="82" t="s">
        <v>74</v>
      </c>
      <c r="O846" s="82" t="s">
        <v>359</v>
      </c>
      <c r="P846" s="82"/>
      <c r="Q846" s="82"/>
      <c r="R846" s="82"/>
      <c r="S846" s="149"/>
      <c r="T846" s="82"/>
      <c r="U846" s="379">
        <f>SUM(U847:U860)</f>
        <v>436600</v>
      </c>
      <c r="V846" s="682">
        <f>SUM(V847:V860)</f>
        <v>349280</v>
      </c>
      <c r="W846" s="379">
        <f t="shared" ref="W846:AG846" si="177">SUM(W847:W860)</f>
        <v>0</v>
      </c>
      <c r="X846" s="379">
        <f t="shared" si="177"/>
        <v>436600</v>
      </c>
      <c r="Y846" s="845">
        <f t="shared" si="177"/>
        <v>0</v>
      </c>
      <c r="Z846" s="379">
        <f t="shared" si="177"/>
        <v>0</v>
      </c>
      <c r="AA846" s="379">
        <f t="shared" si="177"/>
        <v>349280</v>
      </c>
      <c r="AB846" s="379">
        <f t="shared" si="177"/>
        <v>0</v>
      </c>
      <c r="AC846" s="379">
        <f t="shared" si="177"/>
        <v>0</v>
      </c>
      <c r="AD846" s="379">
        <f t="shared" si="177"/>
        <v>349280</v>
      </c>
      <c r="AE846" s="379">
        <f t="shared" si="177"/>
        <v>0</v>
      </c>
      <c r="AF846" s="379">
        <f t="shared" si="177"/>
        <v>0</v>
      </c>
      <c r="AG846" s="766">
        <f t="shared" si="177"/>
        <v>0</v>
      </c>
      <c r="AH846" s="766">
        <f>SUM(AH847:AH860)</f>
        <v>1746400</v>
      </c>
      <c r="AI846" s="512">
        <f>SUM(AI847:AI860)</f>
        <v>0</v>
      </c>
      <c r="AJ846" s="772">
        <f>SUM(AJ847:AJ860)</f>
        <v>349280</v>
      </c>
      <c r="AK846" s="152"/>
      <c r="AL846" s="152"/>
      <c r="AM846" s="152"/>
      <c r="AN846" s="786" t="s">
        <v>39</v>
      </c>
      <c r="AO846" s="82"/>
      <c r="AP846" s="82"/>
      <c r="AQ846" s="365"/>
      <c r="AR846" s="82"/>
      <c r="AS846" s="483"/>
      <c r="AT846" s="82"/>
      <c r="AU846" s="666"/>
      <c r="AV846" s="444" t="s">
        <v>896</v>
      </c>
    </row>
    <row r="847" spans="1:48" ht="30" customHeight="1" outlineLevel="2" x14ac:dyDescent="0.25">
      <c r="A847" s="745" t="str">
        <f t="shared" si="127"/>
        <v>1.6.1.5.1.58</v>
      </c>
      <c r="B847" s="64">
        <v>1</v>
      </c>
      <c r="C847" s="64">
        <v>6</v>
      </c>
      <c r="D847" s="64">
        <v>1</v>
      </c>
      <c r="E847" s="64">
        <v>5</v>
      </c>
      <c r="F847" s="64">
        <v>1</v>
      </c>
      <c r="G847" s="64">
        <v>58</v>
      </c>
      <c r="H847" s="750"/>
      <c r="I847" s="750"/>
      <c r="J847" s="750"/>
      <c r="K847" s="752" t="s">
        <v>897</v>
      </c>
      <c r="L847" s="64" t="s">
        <v>236</v>
      </c>
      <c r="M847" s="64" t="s">
        <v>73</v>
      </c>
      <c r="N847" s="68" t="s">
        <v>898</v>
      </c>
      <c r="O847" s="64" t="s">
        <v>359</v>
      </c>
      <c r="P847" s="170"/>
      <c r="Q847" s="170"/>
      <c r="R847" s="68"/>
      <c r="S847" s="65"/>
      <c r="T847" s="64"/>
      <c r="U847" s="75"/>
      <c r="V847" s="674">
        <v>0</v>
      </c>
      <c r="W847" s="75"/>
      <c r="X847" s="75"/>
      <c r="Y847" s="834">
        <f t="shared" ref="Y847:Y860" si="178">+AJ847-V847</f>
        <v>0</v>
      </c>
      <c r="Z847" s="75"/>
      <c r="AA847" s="75"/>
      <c r="AB847" s="75"/>
      <c r="AC847" s="75"/>
      <c r="AD847" s="75"/>
      <c r="AE847" s="592"/>
      <c r="AF847" s="259"/>
      <c r="AG847" s="763">
        <v>0</v>
      </c>
      <c r="AH847" s="764">
        <v>0</v>
      </c>
      <c r="AI847" s="75"/>
      <c r="AJ847" s="777"/>
      <c r="AK847" s="75"/>
      <c r="AL847" s="75"/>
      <c r="AM847" s="75"/>
      <c r="AN847" s="787" t="s">
        <v>39</v>
      </c>
      <c r="AO847" s="64"/>
      <c r="AP847" s="64"/>
      <c r="AQ847" s="189"/>
      <c r="AR847" s="64"/>
      <c r="AS847" s="476"/>
      <c r="AT847" s="64"/>
      <c r="AU847" s="646"/>
      <c r="AV847" s="335"/>
    </row>
    <row r="848" spans="1:48" ht="30" customHeight="1" outlineLevel="2" x14ac:dyDescent="0.25">
      <c r="A848" s="745" t="str">
        <f t="shared" si="127"/>
        <v>1.6.1.5.1.59</v>
      </c>
      <c r="B848" s="64">
        <v>1</v>
      </c>
      <c r="C848" s="64">
        <v>6</v>
      </c>
      <c r="D848" s="64">
        <v>1</v>
      </c>
      <c r="E848" s="64">
        <v>5</v>
      </c>
      <c r="F848" s="64">
        <v>1</v>
      </c>
      <c r="G848" s="64">
        <v>59</v>
      </c>
      <c r="H848" s="750"/>
      <c r="I848" s="750"/>
      <c r="J848" s="750"/>
      <c r="K848" s="752" t="s">
        <v>897</v>
      </c>
      <c r="L848" s="64" t="s">
        <v>236</v>
      </c>
      <c r="M848" s="64" t="s">
        <v>73</v>
      </c>
      <c r="N848" s="68" t="s">
        <v>898</v>
      </c>
      <c r="O848" s="64" t="s">
        <v>359</v>
      </c>
      <c r="P848" s="170"/>
      <c r="Q848" s="170"/>
      <c r="R848" s="68"/>
      <c r="S848" s="65"/>
      <c r="T848" s="64"/>
      <c r="U848" s="75"/>
      <c r="V848" s="674">
        <v>0</v>
      </c>
      <c r="W848" s="75"/>
      <c r="X848" s="75"/>
      <c r="Y848" s="834">
        <f t="shared" si="178"/>
        <v>0</v>
      </c>
      <c r="Z848" s="75"/>
      <c r="AA848" s="75"/>
      <c r="AB848" s="75"/>
      <c r="AC848" s="75"/>
      <c r="AD848" s="75"/>
      <c r="AE848" s="592"/>
      <c r="AF848" s="259"/>
      <c r="AG848" s="763">
        <v>0</v>
      </c>
      <c r="AH848" s="764">
        <v>0</v>
      </c>
      <c r="AI848" s="75"/>
      <c r="AJ848" s="777"/>
      <c r="AK848" s="75"/>
      <c r="AL848" s="75"/>
      <c r="AM848" s="75"/>
      <c r="AN848" s="787" t="s">
        <v>39</v>
      </c>
      <c r="AO848" s="64"/>
      <c r="AP848" s="64"/>
      <c r="AQ848" s="189"/>
      <c r="AR848" s="64"/>
      <c r="AS848" s="476"/>
      <c r="AT848" s="64"/>
      <c r="AU848" s="646"/>
      <c r="AV848" s="185"/>
    </row>
    <row r="849" spans="1:48" ht="30" customHeight="1" outlineLevel="2" x14ac:dyDescent="0.25">
      <c r="A849" s="745" t="str">
        <f t="shared" si="127"/>
        <v>1.6.1.5.1.60</v>
      </c>
      <c r="B849" s="64">
        <v>1</v>
      </c>
      <c r="C849" s="64">
        <v>6</v>
      </c>
      <c r="D849" s="64">
        <v>1</v>
      </c>
      <c r="E849" s="64">
        <v>5</v>
      </c>
      <c r="F849" s="64">
        <v>1</v>
      </c>
      <c r="G849" s="64">
        <v>60</v>
      </c>
      <c r="H849" s="750"/>
      <c r="I849" s="750"/>
      <c r="J849" s="750"/>
      <c r="K849" s="752" t="s">
        <v>897</v>
      </c>
      <c r="L849" s="64" t="s">
        <v>236</v>
      </c>
      <c r="M849" s="64" t="s">
        <v>73</v>
      </c>
      <c r="N849" s="68" t="s">
        <v>898</v>
      </c>
      <c r="O849" s="64" t="s">
        <v>359</v>
      </c>
      <c r="P849" s="170"/>
      <c r="Q849" s="170"/>
      <c r="R849" s="68"/>
      <c r="S849" s="65"/>
      <c r="T849" s="64"/>
      <c r="U849" s="75"/>
      <c r="V849" s="674">
        <v>0</v>
      </c>
      <c r="W849" s="75"/>
      <c r="X849" s="75"/>
      <c r="Y849" s="834">
        <f t="shared" si="178"/>
        <v>0</v>
      </c>
      <c r="Z849" s="75"/>
      <c r="AA849" s="75"/>
      <c r="AB849" s="75"/>
      <c r="AC849" s="75"/>
      <c r="AD849" s="75"/>
      <c r="AE849" s="592"/>
      <c r="AF849" s="259"/>
      <c r="AG849" s="763">
        <v>0</v>
      </c>
      <c r="AH849" s="764">
        <v>0</v>
      </c>
      <c r="AI849" s="75"/>
      <c r="AJ849" s="777"/>
      <c r="AK849" s="75"/>
      <c r="AL849" s="75"/>
      <c r="AM849" s="75"/>
      <c r="AN849" s="787" t="s">
        <v>39</v>
      </c>
      <c r="AO849" s="64"/>
      <c r="AP849" s="64"/>
      <c r="AQ849" s="189"/>
      <c r="AR849" s="64"/>
      <c r="AS849" s="476"/>
      <c r="AT849" s="64"/>
      <c r="AU849" s="646"/>
      <c r="AV849" s="185"/>
    </row>
    <row r="850" spans="1:48" ht="30" customHeight="1" outlineLevel="2" x14ac:dyDescent="0.25">
      <c r="A850" s="745" t="str">
        <f t="shared" si="127"/>
        <v>1.6.1.5.1.61</v>
      </c>
      <c r="B850" s="64">
        <v>1</v>
      </c>
      <c r="C850" s="64">
        <v>6</v>
      </c>
      <c r="D850" s="64">
        <v>1</v>
      </c>
      <c r="E850" s="64">
        <v>5</v>
      </c>
      <c r="F850" s="64">
        <v>1</v>
      </c>
      <c r="G850" s="64">
        <v>61</v>
      </c>
      <c r="H850" s="750"/>
      <c r="I850" s="750"/>
      <c r="J850" s="750"/>
      <c r="K850" s="752" t="s">
        <v>897</v>
      </c>
      <c r="L850" s="64" t="s">
        <v>236</v>
      </c>
      <c r="M850" s="64" t="s">
        <v>73</v>
      </c>
      <c r="N850" s="68" t="s">
        <v>898</v>
      </c>
      <c r="O850" s="64" t="s">
        <v>359</v>
      </c>
      <c r="P850" s="170"/>
      <c r="Q850" s="170"/>
      <c r="R850" s="68"/>
      <c r="S850" s="65"/>
      <c r="T850" s="64"/>
      <c r="U850" s="75"/>
      <c r="V850" s="674">
        <v>0</v>
      </c>
      <c r="W850" s="75"/>
      <c r="X850" s="75"/>
      <c r="Y850" s="834">
        <f t="shared" si="178"/>
        <v>0</v>
      </c>
      <c r="Z850" s="75"/>
      <c r="AA850" s="75"/>
      <c r="AB850" s="75"/>
      <c r="AC850" s="75"/>
      <c r="AD850" s="75"/>
      <c r="AE850" s="592"/>
      <c r="AF850" s="259"/>
      <c r="AG850" s="763">
        <v>0</v>
      </c>
      <c r="AH850" s="764">
        <v>0</v>
      </c>
      <c r="AI850" s="75"/>
      <c r="AJ850" s="777"/>
      <c r="AK850" s="75"/>
      <c r="AL850" s="75"/>
      <c r="AM850" s="75"/>
      <c r="AN850" s="787" t="s">
        <v>39</v>
      </c>
      <c r="AO850" s="64"/>
      <c r="AP850" s="64"/>
      <c r="AQ850" s="189"/>
      <c r="AR850" s="64"/>
      <c r="AS850" s="476"/>
      <c r="AT850" s="64"/>
      <c r="AU850" s="646"/>
      <c r="AV850" s="185"/>
    </row>
    <row r="851" spans="1:48" ht="30" customHeight="1" outlineLevel="2" x14ac:dyDescent="0.25">
      <c r="A851" s="745" t="str">
        <f t="shared" si="127"/>
        <v>1.6.1.5.1.62</v>
      </c>
      <c r="B851" s="64">
        <v>1</v>
      </c>
      <c r="C851" s="64">
        <v>6</v>
      </c>
      <c r="D851" s="64">
        <v>1</v>
      </c>
      <c r="E851" s="64">
        <v>5</v>
      </c>
      <c r="F851" s="64">
        <v>1</v>
      </c>
      <c r="G851" s="64">
        <v>62</v>
      </c>
      <c r="H851" s="750"/>
      <c r="I851" s="750"/>
      <c r="J851" s="750"/>
      <c r="K851" s="752" t="s">
        <v>897</v>
      </c>
      <c r="L851" s="64" t="s">
        <v>236</v>
      </c>
      <c r="M851" s="64" t="s">
        <v>73</v>
      </c>
      <c r="N851" s="68" t="s">
        <v>898</v>
      </c>
      <c r="O851" s="64" t="s">
        <v>359</v>
      </c>
      <c r="P851" s="170"/>
      <c r="Q851" s="170"/>
      <c r="R851" s="68"/>
      <c r="S851" s="65"/>
      <c r="T851" s="64"/>
      <c r="U851" s="75"/>
      <c r="V851" s="674">
        <v>0</v>
      </c>
      <c r="W851" s="75"/>
      <c r="X851" s="75"/>
      <c r="Y851" s="834">
        <f t="shared" si="178"/>
        <v>0</v>
      </c>
      <c r="Z851" s="75"/>
      <c r="AA851" s="75"/>
      <c r="AB851" s="75"/>
      <c r="AC851" s="75"/>
      <c r="AD851" s="75"/>
      <c r="AE851" s="592"/>
      <c r="AF851" s="259"/>
      <c r="AG851" s="763">
        <v>0</v>
      </c>
      <c r="AH851" s="764">
        <v>0</v>
      </c>
      <c r="AI851" s="75"/>
      <c r="AJ851" s="777"/>
      <c r="AK851" s="75"/>
      <c r="AL851" s="75"/>
      <c r="AM851" s="75"/>
      <c r="AN851" s="787" t="s">
        <v>39</v>
      </c>
      <c r="AO851" s="64"/>
      <c r="AP851" s="64"/>
      <c r="AQ851" s="189"/>
      <c r="AR851" s="64"/>
      <c r="AS851" s="476"/>
      <c r="AT851" s="64"/>
      <c r="AU851" s="646"/>
      <c r="AV851" s="185"/>
    </row>
    <row r="852" spans="1:48" ht="30" customHeight="1" outlineLevel="2" x14ac:dyDescent="0.25">
      <c r="A852" s="745" t="str">
        <f t="shared" si="127"/>
        <v>1.6.1.5.1.63</v>
      </c>
      <c r="B852" s="64">
        <v>1</v>
      </c>
      <c r="C852" s="64">
        <v>6</v>
      </c>
      <c r="D852" s="64">
        <v>1</v>
      </c>
      <c r="E852" s="64">
        <v>5</v>
      </c>
      <c r="F852" s="64">
        <v>1</v>
      </c>
      <c r="G852" s="64">
        <v>63</v>
      </c>
      <c r="H852" s="750"/>
      <c r="I852" s="750"/>
      <c r="J852" s="750"/>
      <c r="K852" s="752" t="s">
        <v>897</v>
      </c>
      <c r="L852" s="64" t="s">
        <v>236</v>
      </c>
      <c r="M852" s="64" t="s">
        <v>73</v>
      </c>
      <c r="N852" s="68" t="s">
        <v>898</v>
      </c>
      <c r="O852" s="64" t="s">
        <v>359</v>
      </c>
      <c r="P852" s="170"/>
      <c r="Q852" s="170"/>
      <c r="R852" s="68"/>
      <c r="S852" s="65"/>
      <c r="T852" s="64"/>
      <c r="U852" s="75"/>
      <c r="V852" s="674">
        <v>0</v>
      </c>
      <c r="W852" s="75"/>
      <c r="X852" s="75"/>
      <c r="Y852" s="834">
        <f t="shared" si="178"/>
        <v>0</v>
      </c>
      <c r="Z852" s="75"/>
      <c r="AA852" s="75"/>
      <c r="AB852" s="75"/>
      <c r="AC852" s="75"/>
      <c r="AD852" s="75"/>
      <c r="AE852" s="592"/>
      <c r="AF852" s="259"/>
      <c r="AG852" s="763">
        <v>0</v>
      </c>
      <c r="AH852" s="764">
        <v>0</v>
      </c>
      <c r="AI852" s="75"/>
      <c r="AJ852" s="777"/>
      <c r="AK852" s="75"/>
      <c r="AL852" s="75"/>
      <c r="AM852" s="75"/>
      <c r="AN852" s="787" t="s">
        <v>39</v>
      </c>
      <c r="AO852" s="64"/>
      <c r="AP852" s="64"/>
      <c r="AQ852" s="189"/>
      <c r="AR852" s="64"/>
      <c r="AS852" s="476"/>
      <c r="AT852" s="64"/>
      <c r="AU852" s="646"/>
      <c r="AV852" s="185"/>
    </row>
    <row r="853" spans="1:48" ht="30" customHeight="1" outlineLevel="2" x14ac:dyDescent="0.25">
      <c r="A853" s="745" t="str">
        <f t="shared" si="127"/>
        <v>1.6.1.5.1.64</v>
      </c>
      <c r="B853" s="64">
        <v>1</v>
      </c>
      <c r="C853" s="64">
        <v>6</v>
      </c>
      <c r="D853" s="64">
        <v>1</v>
      </c>
      <c r="E853" s="64">
        <v>5</v>
      </c>
      <c r="F853" s="64">
        <v>1</v>
      </c>
      <c r="G853" s="64">
        <v>64</v>
      </c>
      <c r="H853" s="750"/>
      <c r="I853" s="750"/>
      <c r="J853" s="750"/>
      <c r="K853" s="752" t="s">
        <v>897</v>
      </c>
      <c r="L853" s="64" t="s">
        <v>236</v>
      </c>
      <c r="M853" s="64" t="s">
        <v>73</v>
      </c>
      <c r="N853" s="68" t="s">
        <v>898</v>
      </c>
      <c r="O853" s="64" t="s">
        <v>359</v>
      </c>
      <c r="P853" s="170"/>
      <c r="Q853" s="170"/>
      <c r="R853" s="68"/>
      <c r="S853" s="65"/>
      <c r="T853" s="64"/>
      <c r="U853" s="75"/>
      <c r="V853" s="674">
        <v>0</v>
      </c>
      <c r="W853" s="75"/>
      <c r="X853" s="75"/>
      <c r="Y853" s="834">
        <f t="shared" si="178"/>
        <v>0</v>
      </c>
      <c r="Z853" s="75"/>
      <c r="AA853" s="75"/>
      <c r="AB853" s="75"/>
      <c r="AC853" s="75"/>
      <c r="AD853" s="75"/>
      <c r="AE853" s="592"/>
      <c r="AF853" s="259"/>
      <c r="AG853" s="763">
        <v>0</v>
      </c>
      <c r="AH853" s="764">
        <v>0</v>
      </c>
      <c r="AI853" s="75"/>
      <c r="AJ853" s="777"/>
      <c r="AK853" s="75"/>
      <c r="AL853" s="75"/>
      <c r="AM853" s="75"/>
      <c r="AN853" s="787" t="s">
        <v>39</v>
      </c>
      <c r="AO853" s="64"/>
      <c r="AP853" s="64"/>
      <c r="AQ853" s="189"/>
      <c r="AR853" s="64"/>
      <c r="AS853" s="476"/>
      <c r="AT853" s="64"/>
      <c r="AU853" s="646"/>
      <c r="AV853" s="185"/>
    </row>
    <row r="854" spans="1:48" ht="45" customHeight="1" outlineLevel="2" x14ac:dyDescent="0.25">
      <c r="A854" s="745" t="str">
        <f t="shared" si="127"/>
        <v>1.6.1.5.2.58</v>
      </c>
      <c r="B854" s="64">
        <v>1</v>
      </c>
      <c r="C854" s="64">
        <v>6</v>
      </c>
      <c r="D854" s="64">
        <v>1</v>
      </c>
      <c r="E854" s="64">
        <v>5</v>
      </c>
      <c r="F854" s="64">
        <v>2</v>
      </c>
      <c r="G854" s="64">
        <v>58</v>
      </c>
      <c r="H854" s="750"/>
      <c r="I854" s="750"/>
      <c r="J854" s="750"/>
      <c r="K854" s="752" t="s">
        <v>899</v>
      </c>
      <c r="L854" s="64" t="s">
        <v>236</v>
      </c>
      <c r="M854" s="64" t="s">
        <v>73</v>
      </c>
      <c r="N854" s="64" t="s">
        <v>900</v>
      </c>
      <c r="O854" s="64" t="s">
        <v>359</v>
      </c>
      <c r="P854" s="234"/>
      <c r="Q854" s="234"/>
      <c r="R854" s="90" t="s">
        <v>901</v>
      </c>
      <c r="S854" s="67" t="s">
        <v>902</v>
      </c>
      <c r="T854" s="64"/>
      <c r="U854" s="1382">
        <f>+AH854/4</f>
        <v>436600</v>
      </c>
      <c r="V854" s="1388">
        <v>349280</v>
      </c>
      <c r="W854" s="75"/>
      <c r="X854" s="1382">
        <f>+AH854/4</f>
        <v>436600</v>
      </c>
      <c r="Y854" s="834">
        <f t="shared" si="178"/>
        <v>0</v>
      </c>
      <c r="Z854" s="75"/>
      <c r="AA854" s="1382">
        <v>349280</v>
      </c>
      <c r="AB854" s="577"/>
      <c r="AC854" s="75"/>
      <c r="AD854" s="1382">
        <v>349280</v>
      </c>
      <c r="AE854" s="605"/>
      <c r="AF854" s="1311"/>
      <c r="AG854" s="763">
        <v>0</v>
      </c>
      <c r="AH854" s="1385">
        <v>1746400</v>
      </c>
      <c r="AI854" s="325"/>
      <c r="AJ854" s="1391">
        <v>349280</v>
      </c>
      <c r="AK854" s="325"/>
      <c r="AL854" s="325"/>
      <c r="AM854" s="325"/>
      <c r="AN854" s="1314" t="s">
        <v>39</v>
      </c>
      <c r="AO854" s="1305" t="s">
        <v>1819</v>
      </c>
      <c r="AP854" s="1305" t="s">
        <v>2149</v>
      </c>
      <c r="AQ854" s="1305" t="s">
        <v>2150</v>
      </c>
      <c r="AR854" s="1305"/>
      <c r="AS854" s="1305"/>
      <c r="AT854" s="1305"/>
      <c r="AU854" s="1411">
        <v>551</v>
      </c>
      <c r="AV854" s="1274" t="s">
        <v>1981</v>
      </c>
    </row>
    <row r="855" spans="1:48" ht="30" customHeight="1" outlineLevel="2" x14ac:dyDescent="0.25">
      <c r="A855" s="745" t="str">
        <f t="shared" si="127"/>
        <v>1.6.1.5.2.59</v>
      </c>
      <c r="B855" s="64">
        <v>1</v>
      </c>
      <c r="C855" s="64">
        <v>6</v>
      </c>
      <c r="D855" s="64">
        <v>1</v>
      </c>
      <c r="E855" s="64">
        <v>5</v>
      </c>
      <c r="F855" s="64">
        <v>2</v>
      </c>
      <c r="G855" s="64">
        <v>59</v>
      </c>
      <c r="H855" s="750"/>
      <c r="I855" s="750"/>
      <c r="J855" s="750"/>
      <c r="K855" s="752" t="s">
        <v>899</v>
      </c>
      <c r="L855" s="64" t="s">
        <v>236</v>
      </c>
      <c r="M855" s="64" t="s">
        <v>73</v>
      </c>
      <c r="N855" s="64" t="s">
        <v>900</v>
      </c>
      <c r="O855" s="64" t="s">
        <v>359</v>
      </c>
      <c r="P855" s="170"/>
      <c r="Q855" s="170"/>
      <c r="R855" s="170"/>
      <c r="S855" s="67"/>
      <c r="T855" s="64"/>
      <c r="U855" s="1383"/>
      <c r="V855" s="1389"/>
      <c r="W855" s="75"/>
      <c r="X855" s="1383"/>
      <c r="Y855" s="834">
        <f t="shared" si="178"/>
        <v>0</v>
      </c>
      <c r="Z855" s="75"/>
      <c r="AA855" s="1383"/>
      <c r="AB855" s="578"/>
      <c r="AC855" s="75"/>
      <c r="AD855" s="1383"/>
      <c r="AE855" s="606"/>
      <c r="AF855" s="1312"/>
      <c r="AG855" s="763">
        <v>0</v>
      </c>
      <c r="AH855" s="1386"/>
      <c r="AI855" s="326"/>
      <c r="AJ855" s="1392"/>
      <c r="AK855" s="326"/>
      <c r="AL855" s="326"/>
      <c r="AM855" s="326"/>
      <c r="AN855" s="1315"/>
      <c r="AO855" s="1306"/>
      <c r="AP855" s="1306"/>
      <c r="AQ855" s="1306"/>
      <c r="AR855" s="1306"/>
      <c r="AS855" s="1306"/>
      <c r="AT855" s="1306"/>
      <c r="AU855" s="1412"/>
      <c r="AV855" s="1275"/>
    </row>
    <row r="856" spans="1:48" ht="30" customHeight="1" outlineLevel="2" x14ac:dyDescent="0.25">
      <c r="A856" s="745" t="str">
        <f t="shared" si="127"/>
        <v>1.6.1.5.2.60</v>
      </c>
      <c r="B856" s="64">
        <v>1</v>
      </c>
      <c r="C856" s="64">
        <v>6</v>
      </c>
      <c r="D856" s="64">
        <v>1</v>
      </c>
      <c r="E856" s="64">
        <v>5</v>
      </c>
      <c r="F856" s="64">
        <v>2</v>
      </c>
      <c r="G856" s="64">
        <v>60</v>
      </c>
      <c r="H856" s="750"/>
      <c r="I856" s="750"/>
      <c r="J856" s="750"/>
      <c r="K856" s="752" t="s">
        <v>899</v>
      </c>
      <c r="L856" s="64" t="s">
        <v>236</v>
      </c>
      <c r="M856" s="64" t="s">
        <v>73</v>
      </c>
      <c r="N856" s="64" t="s">
        <v>900</v>
      </c>
      <c r="O856" s="64" t="s">
        <v>359</v>
      </c>
      <c r="P856" s="170"/>
      <c r="Q856" s="170"/>
      <c r="R856" s="170"/>
      <c r="S856" s="67"/>
      <c r="T856" s="64"/>
      <c r="U856" s="1383"/>
      <c r="V856" s="1389"/>
      <c r="W856" s="75"/>
      <c r="X856" s="1383"/>
      <c r="Y856" s="834">
        <f t="shared" si="178"/>
        <v>0</v>
      </c>
      <c r="Z856" s="75"/>
      <c r="AA856" s="1383"/>
      <c r="AB856" s="578"/>
      <c r="AC856" s="75"/>
      <c r="AD856" s="1383"/>
      <c r="AE856" s="606"/>
      <c r="AF856" s="1312"/>
      <c r="AG856" s="763">
        <v>0</v>
      </c>
      <c r="AH856" s="1386"/>
      <c r="AI856" s="326"/>
      <c r="AJ856" s="1392"/>
      <c r="AK856" s="326"/>
      <c r="AL856" s="326"/>
      <c r="AM856" s="326"/>
      <c r="AN856" s="1315"/>
      <c r="AO856" s="1306"/>
      <c r="AP856" s="1306"/>
      <c r="AQ856" s="1306"/>
      <c r="AR856" s="1306"/>
      <c r="AS856" s="1306"/>
      <c r="AT856" s="1306"/>
      <c r="AU856" s="1412"/>
      <c r="AV856" s="1275"/>
    </row>
    <row r="857" spans="1:48" ht="30" customHeight="1" outlineLevel="2" x14ac:dyDescent="0.25">
      <c r="A857" s="745" t="str">
        <f t="shared" si="127"/>
        <v>1.6.1.5.2.61</v>
      </c>
      <c r="B857" s="64">
        <v>1</v>
      </c>
      <c r="C857" s="64">
        <v>6</v>
      </c>
      <c r="D857" s="64">
        <v>1</v>
      </c>
      <c r="E857" s="64">
        <v>5</v>
      </c>
      <c r="F857" s="64">
        <v>2</v>
      </c>
      <c r="G857" s="64">
        <v>61</v>
      </c>
      <c r="H857" s="750"/>
      <c r="I857" s="750"/>
      <c r="J857" s="750"/>
      <c r="K857" s="752" t="s">
        <v>899</v>
      </c>
      <c r="L857" s="64" t="s">
        <v>236</v>
      </c>
      <c r="M857" s="64" t="s">
        <v>73</v>
      </c>
      <c r="N857" s="64" t="s">
        <v>900</v>
      </c>
      <c r="O857" s="64" t="s">
        <v>359</v>
      </c>
      <c r="P857" s="170"/>
      <c r="Q857" s="170"/>
      <c r="R857" s="170"/>
      <c r="S857" s="67"/>
      <c r="T857" s="64"/>
      <c r="U857" s="1383"/>
      <c r="V857" s="1389"/>
      <c r="W857" s="75"/>
      <c r="X857" s="1383"/>
      <c r="Y857" s="834">
        <f t="shared" si="178"/>
        <v>0</v>
      </c>
      <c r="Z857" s="75"/>
      <c r="AA857" s="1383"/>
      <c r="AB857" s="578"/>
      <c r="AC857" s="75"/>
      <c r="AD857" s="1383"/>
      <c r="AE857" s="606"/>
      <c r="AF857" s="1312"/>
      <c r="AG857" s="763">
        <v>0</v>
      </c>
      <c r="AH857" s="1386"/>
      <c r="AI857" s="326"/>
      <c r="AJ857" s="1392"/>
      <c r="AK857" s="326"/>
      <c r="AL857" s="326"/>
      <c r="AM857" s="326"/>
      <c r="AN857" s="1315"/>
      <c r="AO857" s="1306"/>
      <c r="AP857" s="1306"/>
      <c r="AQ857" s="1306"/>
      <c r="AR857" s="1306"/>
      <c r="AS857" s="1306"/>
      <c r="AT857" s="1306"/>
      <c r="AU857" s="1412"/>
      <c r="AV857" s="1275"/>
    </row>
    <row r="858" spans="1:48" ht="30" customHeight="1" outlineLevel="2" x14ac:dyDescent="0.25">
      <c r="A858" s="745" t="str">
        <f t="shared" si="127"/>
        <v>1.6.1.5.2.62</v>
      </c>
      <c r="B858" s="64">
        <v>1</v>
      </c>
      <c r="C858" s="64">
        <v>6</v>
      </c>
      <c r="D858" s="64">
        <v>1</v>
      </c>
      <c r="E858" s="64">
        <v>5</v>
      </c>
      <c r="F858" s="64">
        <v>2</v>
      </c>
      <c r="G858" s="64">
        <v>62</v>
      </c>
      <c r="H858" s="750"/>
      <c r="I858" s="750"/>
      <c r="J858" s="750"/>
      <c r="K858" s="752" t="s">
        <v>899</v>
      </c>
      <c r="L858" s="64" t="s">
        <v>236</v>
      </c>
      <c r="M858" s="64" t="s">
        <v>73</v>
      </c>
      <c r="N858" s="64" t="s">
        <v>900</v>
      </c>
      <c r="O858" s="64" t="s">
        <v>359</v>
      </c>
      <c r="P858" s="170"/>
      <c r="Q858" s="170"/>
      <c r="R858" s="170"/>
      <c r="S858" s="67"/>
      <c r="T858" s="64"/>
      <c r="U858" s="1383"/>
      <c r="V858" s="1389"/>
      <c r="W858" s="75"/>
      <c r="X858" s="1383"/>
      <c r="Y858" s="834">
        <f t="shared" si="178"/>
        <v>0</v>
      </c>
      <c r="Z858" s="75"/>
      <c r="AA858" s="1383"/>
      <c r="AB858" s="578"/>
      <c r="AC858" s="75"/>
      <c r="AD858" s="1383"/>
      <c r="AE858" s="606"/>
      <c r="AF858" s="1312"/>
      <c r="AG858" s="763">
        <v>0</v>
      </c>
      <c r="AH858" s="1386"/>
      <c r="AI858" s="326"/>
      <c r="AJ858" s="1392"/>
      <c r="AK858" s="326"/>
      <c r="AL858" s="326"/>
      <c r="AM858" s="326"/>
      <c r="AN858" s="1315"/>
      <c r="AO858" s="1306"/>
      <c r="AP858" s="1306"/>
      <c r="AQ858" s="1306"/>
      <c r="AR858" s="1306"/>
      <c r="AS858" s="1306"/>
      <c r="AT858" s="1306"/>
      <c r="AU858" s="1412"/>
      <c r="AV858" s="1275"/>
    </row>
    <row r="859" spans="1:48" ht="30" customHeight="1" outlineLevel="2" x14ac:dyDescent="0.25">
      <c r="A859" s="745" t="str">
        <f t="shared" si="127"/>
        <v>1.6.1.5.2.63</v>
      </c>
      <c r="B859" s="64">
        <v>1</v>
      </c>
      <c r="C859" s="64">
        <v>6</v>
      </c>
      <c r="D859" s="64">
        <v>1</v>
      </c>
      <c r="E859" s="64">
        <v>5</v>
      </c>
      <c r="F859" s="64">
        <v>2</v>
      </c>
      <c r="G859" s="64">
        <v>63</v>
      </c>
      <c r="H859" s="750"/>
      <c r="I859" s="750"/>
      <c r="J859" s="750"/>
      <c r="K859" s="752" t="s">
        <v>899</v>
      </c>
      <c r="L859" s="64" t="s">
        <v>236</v>
      </c>
      <c r="M859" s="64" t="s">
        <v>73</v>
      </c>
      <c r="N859" s="64" t="s">
        <v>900</v>
      </c>
      <c r="O859" s="64" t="s">
        <v>359</v>
      </c>
      <c r="P859" s="170"/>
      <c r="Q859" s="170"/>
      <c r="R859" s="170"/>
      <c r="S859" s="67"/>
      <c r="T859" s="64"/>
      <c r="U859" s="1383"/>
      <c r="V859" s="1389"/>
      <c r="W859" s="75"/>
      <c r="X859" s="1383"/>
      <c r="Y859" s="834">
        <f t="shared" si="178"/>
        <v>0</v>
      </c>
      <c r="Z859" s="75"/>
      <c r="AA859" s="1383"/>
      <c r="AB859" s="578"/>
      <c r="AC859" s="75"/>
      <c r="AD859" s="1383"/>
      <c r="AE859" s="606"/>
      <c r="AF859" s="1312"/>
      <c r="AG859" s="763">
        <v>0</v>
      </c>
      <c r="AH859" s="1386"/>
      <c r="AI859" s="326"/>
      <c r="AJ859" s="1392"/>
      <c r="AK859" s="326"/>
      <c r="AL859" s="326"/>
      <c r="AM859" s="326"/>
      <c r="AN859" s="1315"/>
      <c r="AO859" s="1306"/>
      <c r="AP859" s="1306"/>
      <c r="AQ859" s="1306"/>
      <c r="AR859" s="1306"/>
      <c r="AS859" s="1306"/>
      <c r="AT859" s="1306"/>
      <c r="AU859" s="1412"/>
      <c r="AV859" s="1275"/>
    </row>
    <row r="860" spans="1:48" ht="31.5" outlineLevel="2" x14ac:dyDescent="0.25">
      <c r="A860" s="745" t="str">
        <f t="shared" si="127"/>
        <v>1.6.1.5.2.64</v>
      </c>
      <c r="B860" s="64">
        <v>1</v>
      </c>
      <c r="C860" s="64">
        <v>6</v>
      </c>
      <c r="D860" s="64">
        <v>1</v>
      </c>
      <c r="E860" s="64">
        <v>5</v>
      </c>
      <c r="F860" s="64">
        <v>2</v>
      </c>
      <c r="G860" s="64">
        <v>64</v>
      </c>
      <c r="H860" s="750"/>
      <c r="I860" s="750"/>
      <c r="J860" s="750"/>
      <c r="K860" s="752" t="s">
        <v>899</v>
      </c>
      <c r="L860" s="64" t="s">
        <v>236</v>
      </c>
      <c r="M860" s="64" t="s">
        <v>73</v>
      </c>
      <c r="N860" s="64" t="s">
        <v>900</v>
      </c>
      <c r="O860" s="64" t="s">
        <v>359</v>
      </c>
      <c r="P860" s="170"/>
      <c r="Q860" s="170"/>
      <c r="R860" s="170"/>
      <c r="S860" s="67"/>
      <c r="T860" s="64"/>
      <c r="U860" s="1384"/>
      <c r="V860" s="1390"/>
      <c r="W860" s="75"/>
      <c r="X860" s="1384"/>
      <c r="Y860" s="834">
        <f t="shared" si="178"/>
        <v>0</v>
      </c>
      <c r="Z860" s="75"/>
      <c r="AA860" s="1384"/>
      <c r="AB860" s="579"/>
      <c r="AC860" s="75"/>
      <c r="AD860" s="1384"/>
      <c r="AE860" s="607"/>
      <c r="AF860" s="1313"/>
      <c r="AG860" s="763">
        <v>0</v>
      </c>
      <c r="AH860" s="1387"/>
      <c r="AI860" s="327"/>
      <c r="AJ860" s="1393"/>
      <c r="AK860" s="327"/>
      <c r="AL860" s="327"/>
      <c r="AM860" s="327"/>
      <c r="AN860" s="1316"/>
      <c r="AO860" s="1307"/>
      <c r="AP860" s="1307"/>
      <c r="AQ860" s="1307"/>
      <c r="AR860" s="1307"/>
      <c r="AS860" s="1307"/>
      <c r="AT860" s="1307"/>
      <c r="AU860" s="1413"/>
      <c r="AV860" s="1276"/>
    </row>
    <row r="861" spans="1:48" s="153" customFormat="1" ht="30" outlineLevel="1" x14ac:dyDescent="0.25">
      <c r="A861" s="743" t="str">
        <f t="shared" si="127"/>
        <v>1.7.1.0.0.0</v>
      </c>
      <c r="B861" s="109">
        <v>1</v>
      </c>
      <c r="C861" s="109">
        <v>7</v>
      </c>
      <c r="D861" s="109">
        <v>1</v>
      </c>
      <c r="E861" s="109">
        <v>0</v>
      </c>
      <c r="F861" s="109">
        <v>0</v>
      </c>
      <c r="G861" s="109">
        <v>0</v>
      </c>
      <c r="H861" s="748"/>
      <c r="I861" s="1302" t="s">
        <v>903</v>
      </c>
      <c r="J861" s="1303"/>
      <c r="K861" s="1303"/>
      <c r="L861" s="109" t="s">
        <v>816</v>
      </c>
      <c r="M861" s="109" t="s">
        <v>904</v>
      </c>
      <c r="N861" s="109" t="s">
        <v>818</v>
      </c>
      <c r="O861" s="109" t="s">
        <v>905</v>
      </c>
      <c r="P861" s="109"/>
      <c r="Q861" s="109"/>
      <c r="R861" s="109">
        <v>1700</v>
      </c>
      <c r="S861" s="110" t="s">
        <v>906</v>
      </c>
      <c r="T861" s="109"/>
      <c r="U861" s="112">
        <f>+U862+U881+U886+U888+U898</f>
        <v>5328988.83</v>
      </c>
      <c r="V861" s="680">
        <f>+V862+V881+V886+V888+V898</f>
        <v>0</v>
      </c>
      <c r="W861" s="112">
        <f>+W862+W881+W886+W888+W898</f>
        <v>0</v>
      </c>
      <c r="X861" s="112">
        <f>+X862+X881+X886+X888+X898</f>
        <v>5328988.83</v>
      </c>
      <c r="Y861" s="832">
        <f>+Y862+Y881+Y886+Y888+Y898</f>
        <v>976301.34</v>
      </c>
      <c r="Z861" s="112"/>
      <c r="AA861" s="112">
        <f>+AA862+AA881+AA886+AA888+AA898</f>
        <v>129409.125</v>
      </c>
      <c r="AB861" s="112"/>
      <c r="AC861" s="112">
        <f>+AC862+AC881+AC886+AC888+AC898</f>
        <v>0</v>
      </c>
      <c r="AD861" s="112">
        <f>+AD862+AD881+AD886+AD888+AD898</f>
        <v>129409.125</v>
      </c>
      <c r="AE861" s="574"/>
      <c r="AF861" s="333"/>
      <c r="AG861" s="770">
        <f t="shared" ref="AG861:AM861" si="179">+SUM(AG886+AG881+AG862+AG888+AG898)</f>
        <v>6211216.5</v>
      </c>
      <c r="AH861" s="771">
        <f t="shared" si="179"/>
        <v>12644795.949999999</v>
      </c>
      <c r="AI861" s="514">
        <f t="shared" si="179"/>
        <v>0</v>
      </c>
      <c r="AJ861" s="770">
        <f>+SUM(AJ886+AJ881+AJ862+AJ888+AJ898)</f>
        <v>976301.34</v>
      </c>
      <c r="AK861" s="514">
        <f t="shared" si="179"/>
        <v>0</v>
      </c>
      <c r="AL861" s="514">
        <f t="shared" si="179"/>
        <v>0</v>
      </c>
      <c r="AM861" s="514">
        <f t="shared" si="179"/>
        <v>0</v>
      </c>
      <c r="AN861" s="785" t="s">
        <v>39</v>
      </c>
      <c r="AO861" s="109"/>
      <c r="AP861" s="109"/>
      <c r="AQ861" s="411"/>
      <c r="AR861" s="109"/>
      <c r="AS861" s="473"/>
      <c r="AT861" s="109"/>
      <c r="AU861" s="659"/>
      <c r="AV861" s="429" t="s">
        <v>907</v>
      </c>
    </row>
    <row r="862" spans="1:48" s="153" customFormat="1" ht="24.75" customHeight="1" outlineLevel="1" x14ac:dyDescent="0.25">
      <c r="A862" s="744" t="str">
        <f t="shared" si="127"/>
        <v>1.7.1.1.0.0</v>
      </c>
      <c r="B862" s="82">
        <v>1</v>
      </c>
      <c r="C862" s="82">
        <v>7</v>
      </c>
      <c r="D862" s="82">
        <v>1</v>
      </c>
      <c r="E862" s="82">
        <v>1</v>
      </c>
      <c r="F862" s="82">
        <v>0</v>
      </c>
      <c r="G862" s="82">
        <v>0</v>
      </c>
      <c r="H862" s="749"/>
      <c r="I862" s="749"/>
      <c r="J862" s="1304" t="s">
        <v>908</v>
      </c>
      <c r="K862" s="1303"/>
      <c r="L862" s="82" t="s">
        <v>209</v>
      </c>
      <c r="M862" s="82">
        <v>0</v>
      </c>
      <c r="N862" s="82" t="s">
        <v>818</v>
      </c>
      <c r="O862" s="82">
        <v>0</v>
      </c>
      <c r="P862" s="82"/>
      <c r="Q862" s="82"/>
      <c r="R862" s="82"/>
      <c r="S862" s="149"/>
      <c r="T862" s="82"/>
      <c r="U862" s="209">
        <f>SUM(U863:U880)</f>
        <v>3221909.125</v>
      </c>
      <c r="V862" s="683">
        <f>SUM(V863:V880)</f>
        <v>0</v>
      </c>
      <c r="W862" s="152"/>
      <c r="X862" s="209">
        <f>SUM(X863:X880)</f>
        <v>3221909.125</v>
      </c>
      <c r="Y862" s="846">
        <f>SUM(Y863:Y880)</f>
        <v>226301.34</v>
      </c>
      <c r="Z862" s="152"/>
      <c r="AA862" s="209">
        <f>SUM(AA863:AA880)</f>
        <v>129409.125</v>
      </c>
      <c r="AB862" s="209"/>
      <c r="AC862" s="152"/>
      <c r="AD862" s="209">
        <f>SUM(AD863:AD880)</f>
        <v>129409.125</v>
      </c>
      <c r="AE862" s="603"/>
      <c r="AF862" s="358"/>
      <c r="AG862" s="772">
        <f>+SUM(AG863:AG880)</f>
        <v>3551216.5</v>
      </c>
      <c r="AH862" s="766">
        <f>+SUM(AH863:AH880)</f>
        <v>6702636.5</v>
      </c>
      <c r="AI862" s="512">
        <f>+SUM(AI863:AI880)</f>
        <v>0</v>
      </c>
      <c r="AJ862" s="772">
        <f>+SUM(AJ863:AJ880)</f>
        <v>226301.34</v>
      </c>
      <c r="AK862" s="152"/>
      <c r="AL862" s="152"/>
      <c r="AM862" s="152"/>
      <c r="AN862" s="786" t="s">
        <v>39</v>
      </c>
      <c r="AO862" s="82"/>
      <c r="AP862" s="82"/>
      <c r="AQ862" s="365"/>
      <c r="AR862" s="82"/>
      <c r="AS862" s="483"/>
      <c r="AT862" s="82"/>
      <c r="AU862" s="666"/>
      <c r="AV862" s="444"/>
    </row>
    <row r="863" spans="1:48" ht="19.5" customHeight="1" outlineLevel="3" x14ac:dyDescent="0.25">
      <c r="A863" s="745" t="str">
        <f t="shared" si="127"/>
        <v>1.7.1.1.1.58-64</v>
      </c>
      <c r="B863" s="64">
        <v>1</v>
      </c>
      <c r="C863" s="64">
        <v>7</v>
      </c>
      <c r="D863" s="64">
        <v>1</v>
      </c>
      <c r="E863" s="64">
        <v>1</v>
      </c>
      <c r="F863" s="64">
        <v>1</v>
      </c>
      <c r="G863" s="64" t="s">
        <v>64</v>
      </c>
      <c r="H863" s="750"/>
      <c r="I863" s="750"/>
      <c r="J863" s="751"/>
      <c r="K863" s="750" t="s">
        <v>909</v>
      </c>
      <c r="L863" s="64" t="s">
        <v>910</v>
      </c>
      <c r="M863" s="64" t="s">
        <v>911</v>
      </c>
      <c r="N863" s="64" t="s">
        <v>910</v>
      </c>
      <c r="O863" s="64" t="s">
        <v>819</v>
      </c>
      <c r="P863" s="69">
        <v>44197</v>
      </c>
      <c r="Q863" s="69">
        <v>44348</v>
      </c>
      <c r="R863" s="64">
        <v>7</v>
      </c>
      <c r="S863" s="65" t="s">
        <v>912</v>
      </c>
      <c r="T863" s="64">
        <v>2</v>
      </c>
      <c r="U863" s="75"/>
      <c r="V863" s="674">
        <v>0</v>
      </c>
      <c r="W863" s="75">
        <v>5</v>
      </c>
      <c r="X863" s="75"/>
      <c r="Y863" s="834">
        <f t="shared" ref="Y863:Y880" si="180">+AJ863-V863</f>
        <v>102778</v>
      </c>
      <c r="Z863" s="75"/>
      <c r="AA863" s="75"/>
      <c r="AB863" s="75"/>
      <c r="AC863" s="75"/>
      <c r="AD863" s="75"/>
      <c r="AE863" s="592"/>
      <c r="AF863" s="259" t="s">
        <v>913</v>
      </c>
      <c r="AG863" s="763">
        <v>0</v>
      </c>
      <c r="AH863" s="764">
        <v>0</v>
      </c>
      <c r="AI863" s="75"/>
      <c r="AJ863" s="777">
        <f>38232+64546</f>
        <v>102778</v>
      </c>
      <c r="AK863" s="75"/>
      <c r="AL863" s="75"/>
      <c r="AM863" s="75"/>
      <c r="AN863" s="787" t="s">
        <v>39</v>
      </c>
      <c r="AO863" s="64" t="s">
        <v>1819</v>
      </c>
      <c r="AP863" s="68" t="s">
        <v>2226</v>
      </c>
      <c r="AQ863" s="189" t="s">
        <v>2192</v>
      </c>
      <c r="AR863" s="544" t="s">
        <v>2228</v>
      </c>
      <c r="AS863" s="880" t="s">
        <v>2229</v>
      </c>
      <c r="AT863" s="544" t="s">
        <v>2227</v>
      </c>
      <c r="AU863" s="879" t="s">
        <v>2225</v>
      </c>
      <c r="AV863" s="185"/>
    </row>
    <row r="864" spans="1:48" ht="51" customHeight="1" outlineLevel="3" x14ac:dyDescent="0.25">
      <c r="A864" s="745" t="str">
        <f t="shared" si="127"/>
        <v>1.7.1.1.2.58</v>
      </c>
      <c r="B864" s="64">
        <v>1</v>
      </c>
      <c r="C864" s="64">
        <v>7</v>
      </c>
      <c r="D864" s="64">
        <v>1</v>
      </c>
      <c r="E864" s="64">
        <v>1</v>
      </c>
      <c r="F864" s="64">
        <v>2</v>
      </c>
      <c r="G864" s="64">
        <v>58</v>
      </c>
      <c r="H864" s="750"/>
      <c r="I864" s="750"/>
      <c r="J864" s="751"/>
      <c r="K864" s="752" t="s">
        <v>914</v>
      </c>
      <c r="L864" s="64" t="s">
        <v>915</v>
      </c>
      <c r="M864" s="64" t="s">
        <v>916</v>
      </c>
      <c r="N864" s="64" t="s">
        <v>917</v>
      </c>
      <c r="O864" s="64" t="s">
        <v>918</v>
      </c>
      <c r="P864" s="69">
        <v>44197</v>
      </c>
      <c r="Q864" s="69">
        <v>44560</v>
      </c>
      <c r="R864" s="64">
        <v>1</v>
      </c>
      <c r="S864" s="65" t="s">
        <v>919</v>
      </c>
      <c r="T864" s="64"/>
      <c r="U864" s="75"/>
      <c r="V864" s="674">
        <v>0</v>
      </c>
      <c r="W864" s="75"/>
      <c r="X864" s="75"/>
      <c r="Y864" s="834">
        <f t="shared" si="180"/>
        <v>0</v>
      </c>
      <c r="Z864" s="75"/>
      <c r="AA864" s="75"/>
      <c r="AB864" s="75"/>
      <c r="AC864" s="75"/>
      <c r="AD864" s="75"/>
      <c r="AE864" s="592"/>
      <c r="AF864" s="343" t="s">
        <v>1799</v>
      </c>
      <c r="AG864" s="763">
        <v>0</v>
      </c>
      <c r="AH864" s="764">
        <v>0</v>
      </c>
      <c r="AI864" s="75"/>
      <c r="AJ864" s="777"/>
      <c r="AK864" s="75"/>
      <c r="AL864" s="75"/>
      <c r="AM864" s="75"/>
      <c r="AN864" s="787" t="s">
        <v>39</v>
      </c>
      <c r="AO864" s="64"/>
      <c r="AP864" s="64"/>
      <c r="AQ864" s="189"/>
      <c r="AR864" s="64"/>
      <c r="AS864" s="476"/>
      <c r="AT864" s="64"/>
      <c r="AU864" s="646"/>
      <c r="AV864" s="185"/>
    </row>
    <row r="865" spans="1:48" ht="51" customHeight="1" outlineLevel="3" x14ac:dyDescent="0.25">
      <c r="A865" s="745" t="str">
        <f t="shared" si="127"/>
        <v>1.7.1.1.2.59</v>
      </c>
      <c r="B865" s="64">
        <v>1</v>
      </c>
      <c r="C865" s="64">
        <v>7</v>
      </c>
      <c r="D865" s="64">
        <v>1</v>
      </c>
      <c r="E865" s="64">
        <v>1</v>
      </c>
      <c r="F865" s="64">
        <v>2</v>
      </c>
      <c r="G865" s="64">
        <v>59</v>
      </c>
      <c r="H865" s="750"/>
      <c r="I865" s="750"/>
      <c r="J865" s="751"/>
      <c r="K865" s="752" t="s">
        <v>920</v>
      </c>
      <c r="L865" s="64" t="s">
        <v>915</v>
      </c>
      <c r="M865" s="64" t="s">
        <v>916</v>
      </c>
      <c r="N865" s="64" t="s">
        <v>917</v>
      </c>
      <c r="O865" s="64" t="s">
        <v>918</v>
      </c>
      <c r="P865" s="69"/>
      <c r="Q865" s="69"/>
      <c r="R865" s="64"/>
      <c r="S865" s="65"/>
      <c r="T865" s="64"/>
      <c r="U865" s="75"/>
      <c r="V865" s="674">
        <v>0</v>
      </c>
      <c r="W865" s="75"/>
      <c r="X865" s="75"/>
      <c r="Y865" s="834">
        <f t="shared" si="180"/>
        <v>0</v>
      </c>
      <c r="Z865" s="75"/>
      <c r="AA865" s="75"/>
      <c r="AB865" s="75"/>
      <c r="AC865" s="75"/>
      <c r="AD865" s="75"/>
      <c r="AE865" s="592"/>
      <c r="AF865" s="343"/>
      <c r="AG865" s="763">
        <v>0</v>
      </c>
      <c r="AH865" s="764">
        <v>0</v>
      </c>
      <c r="AI865" s="75"/>
      <c r="AJ865" s="777"/>
      <c r="AK865" s="75"/>
      <c r="AL865" s="75"/>
      <c r="AM865" s="75"/>
      <c r="AN865" s="787" t="s">
        <v>39</v>
      </c>
      <c r="AO865" s="64"/>
      <c r="AP865" s="64"/>
      <c r="AQ865" s="189"/>
      <c r="AR865" s="64"/>
      <c r="AS865" s="476"/>
      <c r="AT865" s="64"/>
      <c r="AU865" s="646"/>
      <c r="AV865" s="185"/>
    </row>
    <row r="866" spans="1:48" ht="51" customHeight="1" outlineLevel="3" x14ac:dyDescent="0.25">
      <c r="A866" s="745" t="str">
        <f t="shared" si="127"/>
        <v>1.7.1.1.2.60</v>
      </c>
      <c r="B866" s="64">
        <v>1</v>
      </c>
      <c r="C866" s="64">
        <v>7</v>
      </c>
      <c r="D866" s="64">
        <v>1</v>
      </c>
      <c r="E866" s="64">
        <v>1</v>
      </c>
      <c r="F866" s="64">
        <v>2</v>
      </c>
      <c r="G866" s="64">
        <v>60</v>
      </c>
      <c r="H866" s="750"/>
      <c r="I866" s="750"/>
      <c r="J866" s="751"/>
      <c r="K866" s="752" t="s">
        <v>921</v>
      </c>
      <c r="L866" s="64" t="s">
        <v>915</v>
      </c>
      <c r="M866" s="64" t="s">
        <v>916</v>
      </c>
      <c r="N866" s="64" t="s">
        <v>917</v>
      </c>
      <c r="O866" s="64" t="s">
        <v>918</v>
      </c>
      <c r="P866" s="69"/>
      <c r="Q866" s="69"/>
      <c r="R866" s="64"/>
      <c r="S866" s="65"/>
      <c r="T866" s="64"/>
      <c r="U866" s="75"/>
      <c r="V866" s="674">
        <v>0</v>
      </c>
      <c r="W866" s="75"/>
      <c r="X866" s="75"/>
      <c r="Y866" s="834">
        <f t="shared" si="180"/>
        <v>0</v>
      </c>
      <c r="Z866" s="75"/>
      <c r="AA866" s="75"/>
      <c r="AB866" s="75"/>
      <c r="AC866" s="75"/>
      <c r="AD866" s="75"/>
      <c r="AE866" s="592"/>
      <c r="AF866" s="343"/>
      <c r="AG866" s="763">
        <v>0</v>
      </c>
      <c r="AH866" s="764">
        <v>0</v>
      </c>
      <c r="AI866" s="75"/>
      <c r="AJ866" s="777"/>
      <c r="AK866" s="75"/>
      <c r="AL866" s="75"/>
      <c r="AM866" s="75"/>
      <c r="AN866" s="787" t="s">
        <v>39</v>
      </c>
      <c r="AO866" s="64"/>
      <c r="AP866" s="64"/>
      <c r="AQ866" s="189"/>
      <c r="AR866" s="64"/>
      <c r="AS866" s="476"/>
      <c r="AT866" s="64"/>
      <c r="AU866" s="646"/>
      <c r="AV866" s="185"/>
    </row>
    <row r="867" spans="1:48" ht="51" customHeight="1" outlineLevel="3" x14ac:dyDescent="0.25">
      <c r="A867" s="745" t="str">
        <f t="shared" si="127"/>
        <v>1.7.1.1.2.61</v>
      </c>
      <c r="B867" s="64">
        <v>1</v>
      </c>
      <c r="C867" s="64">
        <v>7</v>
      </c>
      <c r="D867" s="64">
        <v>1</v>
      </c>
      <c r="E867" s="64">
        <v>1</v>
      </c>
      <c r="F867" s="64">
        <v>2</v>
      </c>
      <c r="G867" s="64">
        <v>61</v>
      </c>
      <c r="H867" s="750"/>
      <c r="I867" s="750"/>
      <c r="J867" s="751"/>
      <c r="K867" s="752" t="s">
        <v>922</v>
      </c>
      <c r="L867" s="64" t="s">
        <v>915</v>
      </c>
      <c r="M867" s="64" t="s">
        <v>916</v>
      </c>
      <c r="N867" s="64" t="s">
        <v>917</v>
      </c>
      <c r="O867" s="64" t="s">
        <v>918</v>
      </c>
      <c r="P867" s="69"/>
      <c r="Q867" s="69"/>
      <c r="R867" s="64"/>
      <c r="S867" s="65"/>
      <c r="T867" s="64"/>
      <c r="U867" s="75"/>
      <c r="V867" s="674">
        <v>0</v>
      </c>
      <c r="W867" s="75"/>
      <c r="X867" s="75"/>
      <c r="Y867" s="834">
        <f t="shared" si="180"/>
        <v>0</v>
      </c>
      <c r="Z867" s="75"/>
      <c r="AA867" s="75"/>
      <c r="AB867" s="75"/>
      <c r="AC867" s="75"/>
      <c r="AD867" s="75"/>
      <c r="AE867" s="592"/>
      <c r="AF867" s="343"/>
      <c r="AG867" s="763">
        <v>0</v>
      </c>
      <c r="AH867" s="764">
        <v>0</v>
      </c>
      <c r="AI867" s="75"/>
      <c r="AJ867" s="777"/>
      <c r="AK867" s="75"/>
      <c r="AL867" s="75"/>
      <c r="AM867" s="75"/>
      <c r="AN867" s="787" t="s">
        <v>39</v>
      </c>
      <c r="AO867" s="64"/>
      <c r="AP867" s="64"/>
      <c r="AQ867" s="189"/>
      <c r="AR867" s="64"/>
      <c r="AS867" s="476"/>
      <c r="AT867" s="64"/>
      <c r="AU867" s="646"/>
      <c r="AV867" s="185"/>
    </row>
    <row r="868" spans="1:48" ht="51" customHeight="1" outlineLevel="3" x14ac:dyDescent="0.25">
      <c r="A868" s="745" t="str">
        <f t="shared" si="127"/>
        <v>1.7.1.1.2.62</v>
      </c>
      <c r="B868" s="64">
        <v>1</v>
      </c>
      <c r="C868" s="64">
        <v>7</v>
      </c>
      <c r="D868" s="64">
        <v>1</v>
      </c>
      <c r="E868" s="64">
        <v>1</v>
      </c>
      <c r="F868" s="64">
        <v>2</v>
      </c>
      <c r="G868" s="64">
        <v>62</v>
      </c>
      <c r="H868" s="750"/>
      <c r="I868" s="750"/>
      <c r="J868" s="751"/>
      <c r="K868" s="752" t="s">
        <v>923</v>
      </c>
      <c r="L868" s="64" t="s">
        <v>915</v>
      </c>
      <c r="M868" s="64" t="s">
        <v>916</v>
      </c>
      <c r="N868" s="64" t="s">
        <v>917</v>
      </c>
      <c r="O868" s="64" t="s">
        <v>918</v>
      </c>
      <c r="P868" s="69"/>
      <c r="Q868" s="69"/>
      <c r="R868" s="64"/>
      <c r="S868" s="65"/>
      <c r="T868" s="64"/>
      <c r="U868" s="75"/>
      <c r="V868" s="674">
        <v>0</v>
      </c>
      <c r="W868" s="75"/>
      <c r="X868" s="75"/>
      <c r="Y868" s="834">
        <f t="shared" si="180"/>
        <v>0</v>
      </c>
      <c r="Z868" s="75"/>
      <c r="AA868" s="75"/>
      <c r="AB868" s="75"/>
      <c r="AC868" s="75"/>
      <c r="AD868" s="75"/>
      <c r="AE868" s="592"/>
      <c r="AF868" s="343"/>
      <c r="AG868" s="763">
        <v>0</v>
      </c>
      <c r="AH868" s="764">
        <v>0</v>
      </c>
      <c r="AI868" s="75"/>
      <c r="AJ868" s="777"/>
      <c r="AK868" s="75"/>
      <c r="AL868" s="75"/>
      <c r="AM868" s="75"/>
      <c r="AN868" s="787" t="s">
        <v>39</v>
      </c>
      <c r="AO868" s="64"/>
      <c r="AP868" s="64"/>
      <c r="AQ868" s="189"/>
      <c r="AR868" s="64"/>
      <c r="AS868" s="476"/>
      <c r="AT868" s="64"/>
      <c r="AU868" s="646"/>
      <c r="AV868" s="185"/>
    </row>
    <row r="869" spans="1:48" ht="51" customHeight="1" outlineLevel="3" x14ac:dyDescent="0.25">
      <c r="A869" s="745" t="str">
        <f t="shared" ref="A869:A932" si="181">CONCATENATE(B869,".",C869,".",D869,".",E869,".",F869,".",G869)</f>
        <v>1.7.1.1.2.63</v>
      </c>
      <c r="B869" s="64">
        <v>1</v>
      </c>
      <c r="C869" s="64">
        <v>7</v>
      </c>
      <c r="D869" s="64">
        <v>1</v>
      </c>
      <c r="E869" s="64">
        <v>1</v>
      </c>
      <c r="F869" s="64">
        <v>2</v>
      </c>
      <c r="G869" s="64">
        <v>63</v>
      </c>
      <c r="H869" s="750"/>
      <c r="I869" s="750"/>
      <c r="J869" s="751"/>
      <c r="K869" s="752" t="s">
        <v>1765</v>
      </c>
      <c r="L869" s="64" t="s">
        <v>915</v>
      </c>
      <c r="M869" s="64" t="s">
        <v>916</v>
      </c>
      <c r="N869" s="64" t="s">
        <v>917</v>
      </c>
      <c r="O869" s="64" t="s">
        <v>918</v>
      </c>
      <c r="P869" s="69"/>
      <c r="Q869" s="69"/>
      <c r="R869" s="64"/>
      <c r="S869" s="65"/>
      <c r="T869" s="64"/>
      <c r="U869" s="75"/>
      <c r="V869" s="674">
        <v>0</v>
      </c>
      <c r="W869" s="75"/>
      <c r="X869" s="75"/>
      <c r="Y869" s="834">
        <f t="shared" si="180"/>
        <v>0</v>
      </c>
      <c r="Z869" s="75"/>
      <c r="AA869" s="75"/>
      <c r="AB869" s="75"/>
      <c r="AC869" s="75"/>
      <c r="AD869" s="75"/>
      <c r="AE869" s="592"/>
      <c r="AF869" s="343"/>
      <c r="AG869" s="763">
        <v>0</v>
      </c>
      <c r="AH869" s="764">
        <v>0</v>
      </c>
      <c r="AI869" s="75"/>
      <c r="AJ869" s="777"/>
      <c r="AK869" s="75"/>
      <c r="AL869" s="75"/>
      <c r="AM869" s="75"/>
      <c r="AN869" s="787" t="s">
        <v>39</v>
      </c>
      <c r="AO869" s="64"/>
      <c r="AP869" s="64"/>
      <c r="AQ869" s="189"/>
      <c r="AR869" s="64"/>
      <c r="AS869" s="476"/>
      <c r="AT869" s="64"/>
      <c r="AU869" s="646"/>
      <c r="AV869" s="185"/>
    </row>
    <row r="870" spans="1:48" ht="51" customHeight="1" outlineLevel="3" x14ac:dyDescent="0.25">
      <c r="A870" s="745" t="str">
        <f t="shared" si="181"/>
        <v>1.7.1.1.2.64</v>
      </c>
      <c r="B870" s="64">
        <v>1</v>
      </c>
      <c r="C870" s="64">
        <v>7</v>
      </c>
      <c r="D870" s="64">
        <v>1</v>
      </c>
      <c r="E870" s="64">
        <v>1</v>
      </c>
      <c r="F870" s="64">
        <v>2</v>
      </c>
      <c r="G870" s="64">
        <v>64</v>
      </c>
      <c r="H870" s="750"/>
      <c r="I870" s="750"/>
      <c r="J870" s="751"/>
      <c r="K870" s="752" t="s">
        <v>924</v>
      </c>
      <c r="L870" s="64" t="s">
        <v>915</v>
      </c>
      <c r="M870" s="64" t="s">
        <v>916</v>
      </c>
      <c r="N870" s="64" t="s">
        <v>917</v>
      </c>
      <c r="O870" s="64" t="s">
        <v>918</v>
      </c>
      <c r="P870" s="69"/>
      <c r="Q870" s="69"/>
      <c r="R870" s="64"/>
      <c r="S870" s="65"/>
      <c r="T870" s="64"/>
      <c r="U870" s="75"/>
      <c r="V870" s="674">
        <v>0</v>
      </c>
      <c r="W870" s="75"/>
      <c r="X870" s="75"/>
      <c r="Y870" s="834">
        <f t="shared" si="180"/>
        <v>0</v>
      </c>
      <c r="Z870" s="75"/>
      <c r="AA870" s="75"/>
      <c r="AB870" s="75"/>
      <c r="AC870" s="75"/>
      <c r="AD870" s="75"/>
      <c r="AE870" s="592"/>
      <c r="AF870" s="343"/>
      <c r="AG870" s="763">
        <v>0</v>
      </c>
      <c r="AH870" s="764">
        <v>0</v>
      </c>
      <c r="AI870" s="75"/>
      <c r="AJ870" s="777"/>
      <c r="AK870" s="75"/>
      <c r="AL870" s="75"/>
      <c r="AM870" s="75"/>
      <c r="AN870" s="787" t="s">
        <v>39</v>
      </c>
      <c r="AO870" s="64"/>
      <c r="AP870" s="64"/>
      <c r="AQ870" s="189"/>
      <c r="AR870" s="64"/>
      <c r="AS870" s="476"/>
      <c r="AT870" s="64"/>
      <c r="AU870" s="646"/>
      <c r="AV870" s="185"/>
    </row>
    <row r="871" spans="1:48" ht="27.75" customHeight="1" outlineLevel="3" x14ac:dyDescent="0.25">
      <c r="A871" s="745" t="str">
        <f t="shared" si="181"/>
        <v>1.7.1.1.3.58-64</v>
      </c>
      <c r="B871" s="64">
        <v>1</v>
      </c>
      <c r="C871" s="64">
        <v>7</v>
      </c>
      <c r="D871" s="64">
        <v>1</v>
      </c>
      <c r="E871" s="64">
        <v>1</v>
      </c>
      <c r="F871" s="64">
        <v>3</v>
      </c>
      <c r="G871" s="64" t="s">
        <v>64</v>
      </c>
      <c r="H871" s="750"/>
      <c r="I871" s="750"/>
      <c r="J871" s="751"/>
      <c r="K871" s="750" t="s">
        <v>925</v>
      </c>
      <c r="L871" s="64" t="s">
        <v>209</v>
      </c>
      <c r="M871" s="64" t="s">
        <v>926</v>
      </c>
      <c r="N871" s="64" t="s">
        <v>818</v>
      </c>
      <c r="O871" s="64" t="s">
        <v>819</v>
      </c>
      <c r="P871" s="69">
        <v>44197</v>
      </c>
      <c r="Q871" s="69">
        <v>44560</v>
      </c>
      <c r="R871" s="64" t="s">
        <v>887</v>
      </c>
      <c r="S871" s="65" t="s">
        <v>299</v>
      </c>
      <c r="T871" s="64"/>
      <c r="U871" s="75"/>
      <c r="V871" s="674">
        <v>0</v>
      </c>
      <c r="W871" s="75"/>
      <c r="X871" s="75"/>
      <c r="Y871" s="834">
        <f t="shared" si="180"/>
        <v>0</v>
      </c>
      <c r="Z871" s="75"/>
      <c r="AA871" s="75"/>
      <c r="AB871" s="75"/>
      <c r="AC871" s="75"/>
      <c r="AD871" s="75"/>
      <c r="AE871" s="592"/>
      <c r="AF871" s="343" t="s">
        <v>1799</v>
      </c>
      <c r="AG871" s="763">
        <v>0</v>
      </c>
      <c r="AH871" s="764">
        <v>0</v>
      </c>
      <c r="AI871" s="75"/>
      <c r="AJ871" s="777"/>
      <c r="AK871" s="75"/>
      <c r="AL871" s="75"/>
      <c r="AM871" s="75"/>
      <c r="AN871" s="787" t="s">
        <v>39</v>
      </c>
      <c r="AO871" s="64"/>
      <c r="AP871" s="64"/>
      <c r="AQ871" s="189"/>
      <c r="AR871" s="64"/>
      <c r="AS871" s="476"/>
      <c r="AT871" s="64"/>
      <c r="AU871" s="646"/>
      <c r="AV871" s="185"/>
    </row>
    <row r="872" spans="1:48" ht="47.25" customHeight="1" outlineLevel="3" x14ac:dyDescent="0.25">
      <c r="A872" s="745" t="str">
        <f t="shared" si="181"/>
        <v>1.7.1.1.4.58-64</v>
      </c>
      <c r="B872" s="64">
        <v>1</v>
      </c>
      <c r="C872" s="64">
        <v>7</v>
      </c>
      <c r="D872" s="64">
        <v>1</v>
      </c>
      <c r="E872" s="64">
        <v>1</v>
      </c>
      <c r="F872" s="64">
        <v>4</v>
      </c>
      <c r="G872" s="64" t="s">
        <v>64</v>
      </c>
      <c r="H872" s="750"/>
      <c r="I872" s="750"/>
      <c r="J872" s="750"/>
      <c r="K872" s="750" t="s">
        <v>927</v>
      </c>
      <c r="L872" s="64" t="s">
        <v>209</v>
      </c>
      <c r="M872" s="68" t="s">
        <v>928</v>
      </c>
      <c r="N872" s="64" t="s">
        <v>818</v>
      </c>
      <c r="O872" s="64" t="s">
        <v>819</v>
      </c>
      <c r="P872" s="69">
        <v>44197</v>
      </c>
      <c r="Q872" s="69">
        <v>44560</v>
      </c>
      <c r="R872" s="64">
        <v>1700</v>
      </c>
      <c r="S872" s="65" t="s">
        <v>646</v>
      </c>
      <c r="T872" s="64"/>
      <c r="U872" s="75"/>
      <c r="V872" s="674">
        <v>0</v>
      </c>
      <c r="W872" s="75">
        <v>700</v>
      </c>
      <c r="X872" s="75"/>
      <c r="Y872" s="834">
        <f t="shared" si="180"/>
        <v>123523.34</v>
      </c>
      <c r="Z872" s="75">
        <v>500</v>
      </c>
      <c r="AA872" s="75"/>
      <c r="AB872" s="75"/>
      <c r="AC872" s="75">
        <v>500</v>
      </c>
      <c r="AD872" s="75"/>
      <c r="AE872" s="592"/>
      <c r="AF872" s="343" t="s">
        <v>1799</v>
      </c>
      <c r="AG872" s="763">
        <v>0</v>
      </c>
      <c r="AH872" s="764">
        <v>0</v>
      </c>
      <c r="AI872" s="75"/>
      <c r="AJ872" s="777">
        <f>123523.34</f>
        <v>123523.34</v>
      </c>
      <c r="AK872" s="75"/>
      <c r="AL872" s="75"/>
      <c r="AM872" s="75"/>
      <c r="AN872" s="787" t="s">
        <v>39</v>
      </c>
      <c r="AO872" s="64" t="s">
        <v>1819</v>
      </c>
      <c r="AP872" s="68" t="s">
        <v>2112</v>
      </c>
      <c r="AQ872" s="873" t="s">
        <v>2116</v>
      </c>
      <c r="AR872" s="544" t="s">
        <v>2113</v>
      </c>
      <c r="AS872" s="880" t="s">
        <v>2114</v>
      </c>
      <c r="AT872" s="544" t="s">
        <v>2115</v>
      </c>
      <c r="AU872" s="879">
        <v>731</v>
      </c>
      <c r="AV872" s="335" t="s">
        <v>2117</v>
      </c>
    </row>
    <row r="873" spans="1:48" ht="28.5" customHeight="1" outlineLevel="3" x14ac:dyDescent="0.25">
      <c r="A873" s="745" t="str">
        <f t="shared" si="181"/>
        <v>1.7.1.1.5.58-64</v>
      </c>
      <c r="B873" s="64">
        <v>1</v>
      </c>
      <c r="C873" s="64">
        <v>7</v>
      </c>
      <c r="D873" s="64">
        <v>1</v>
      </c>
      <c r="E873" s="64">
        <v>1</v>
      </c>
      <c r="F873" s="64">
        <v>5</v>
      </c>
      <c r="G873" s="64" t="s">
        <v>64</v>
      </c>
      <c r="H873" s="750"/>
      <c r="I873" s="750"/>
      <c r="J873" s="751"/>
      <c r="K873" s="750" t="s">
        <v>929</v>
      </c>
      <c r="L873" s="64" t="s">
        <v>209</v>
      </c>
      <c r="M873" s="64" t="s">
        <v>930</v>
      </c>
      <c r="N873" s="64" t="s">
        <v>818</v>
      </c>
      <c r="O873" s="64" t="s">
        <v>819</v>
      </c>
      <c r="P873" s="69">
        <v>44197</v>
      </c>
      <c r="Q873" s="69">
        <v>44560</v>
      </c>
      <c r="R873" s="64" t="s">
        <v>887</v>
      </c>
      <c r="S873" s="65"/>
      <c r="T873" s="64"/>
      <c r="U873" s="75"/>
      <c r="V873" s="674">
        <v>0</v>
      </c>
      <c r="W873" s="75"/>
      <c r="X873" s="75"/>
      <c r="Y873" s="834">
        <f t="shared" si="180"/>
        <v>0</v>
      </c>
      <c r="Z873" s="75"/>
      <c r="AA873" s="75"/>
      <c r="AB873" s="75"/>
      <c r="AC873" s="75"/>
      <c r="AD873" s="75"/>
      <c r="AE873" s="592"/>
      <c r="AF873" s="343" t="s">
        <v>1799</v>
      </c>
      <c r="AG873" s="763">
        <v>0</v>
      </c>
      <c r="AH873" s="764">
        <v>0</v>
      </c>
      <c r="AI873" s="75"/>
      <c r="AJ873" s="777"/>
      <c r="AK873" s="75"/>
      <c r="AL873" s="75"/>
      <c r="AM873" s="75"/>
      <c r="AN873" s="787" t="s">
        <v>39</v>
      </c>
      <c r="AO873" s="64"/>
      <c r="AP873" s="64"/>
      <c r="AQ873" s="189"/>
      <c r="AR873" s="64"/>
      <c r="AS873" s="476"/>
      <c r="AT873" s="64"/>
      <c r="AU873" s="646"/>
      <c r="AV873" s="185"/>
    </row>
    <row r="874" spans="1:48" ht="48.75" customHeight="1" outlineLevel="3" x14ac:dyDescent="0.25">
      <c r="A874" s="745" t="str">
        <f t="shared" si="181"/>
        <v>1.7.1.1.6.58-64</v>
      </c>
      <c r="B874" s="64">
        <v>1</v>
      </c>
      <c r="C874" s="64">
        <v>7</v>
      </c>
      <c r="D874" s="64">
        <v>1</v>
      </c>
      <c r="E874" s="64">
        <v>1</v>
      </c>
      <c r="F874" s="64">
        <v>6</v>
      </c>
      <c r="G874" s="64" t="s">
        <v>64</v>
      </c>
      <c r="H874" s="750"/>
      <c r="I874" s="750"/>
      <c r="J874" s="751"/>
      <c r="K874" s="750" t="s">
        <v>931</v>
      </c>
      <c r="L874" s="64" t="s">
        <v>209</v>
      </c>
      <c r="M874" s="68" t="s">
        <v>932</v>
      </c>
      <c r="N874" s="64" t="s">
        <v>818</v>
      </c>
      <c r="O874" s="64" t="s">
        <v>819</v>
      </c>
      <c r="P874" s="69">
        <v>44197</v>
      </c>
      <c r="Q874" s="69">
        <v>44560</v>
      </c>
      <c r="R874" s="64">
        <v>1700</v>
      </c>
      <c r="S874" s="65" t="s">
        <v>933</v>
      </c>
      <c r="T874" s="64"/>
      <c r="U874" s="75"/>
      <c r="V874" s="674">
        <v>0</v>
      </c>
      <c r="W874" s="75"/>
      <c r="X874" s="75"/>
      <c r="Y874" s="834">
        <f t="shared" si="180"/>
        <v>0</v>
      </c>
      <c r="Z874" s="75"/>
      <c r="AA874" s="75"/>
      <c r="AB874" s="75"/>
      <c r="AC874" s="75"/>
      <c r="AD874" s="75"/>
      <c r="AE874" s="592"/>
      <c r="AF874" s="343" t="s">
        <v>1799</v>
      </c>
      <c r="AG874" s="763">
        <v>0</v>
      </c>
      <c r="AH874" s="764">
        <v>0</v>
      </c>
      <c r="AI874" s="75"/>
      <c r="AJ874" s="777"/>
      <c r="AK874" s="75"/>
      <c r="AL874" s="75"/>
      <c r="AM874" s="75"/>
      <c r="AN874" s="787" t="s">
        <v>39</v>
      </c>
      <c r="AO874" s="64"/>
      <c r="AP874" s="64"/>
      <c r="AQ874" s="189"/>
      <c r="AR874" s="64"/>
      <c r="AS874" s="476"/>
      <c r="AT874" s="64"/>
      <c r="AU874" s="646"/>
      <c r="AV874" s="185"/>
    </row>
    <row r="875" spans="1:48" ht="37.5" customHeight="1" outlineLevel="3" x14ac:dyDescent="0.25">
      <c r="A875" s="745" t="str">
        <f t="shared" si="181"/>
        <v>1.7.1.1.7.58-64</v>
      </c>
      <c r="B875" s="64">
        <v>1</v>
      </c>
      <c r="C875" s="64">
        <v>7</v>
      </c>
      <c r="D875" s="64">
        <v>1</v>
      </c>
      <c r="E875" s="64">
        <v>1</v>
      </c>
      <c r="F875" s="64">
        <v>7</v>
      </c>
      <c r="G875" s="64" t="s">
        <v>64</v>
      </c>
      <c r="H875" s="750"/>
      <c r="I875" s="750"/>
      <c r="J875" s="751"/>
      <c r="K875" s="750" t="s">
        <v>934</v>
      </c>
      <c r="L875" s="64" t="s">
        <v>209</v>
      </c>
      <c r="M875" s="68" t="s">
        <v>935</v>
      </c>
      <c r="N875" s="64" t="s">
        <v>818</v>
      </c>
      <c r="O875" s="64" t="s">
        <v>819</v>
      </c>
      <c r="P875" s="69">
        <v>44197</v>
      </c>
      <c r="Q875" s="69">
        <v>44560</v>
      </c>
      <c r="R875" s="64" t="s">
        <v>887</v>
      </c>
      <c r="S875" s="65"/>
      <c r="T875" s="64"/>
      <c r="U875" s="155">
        <f>+AH875/2</f>
        <v>1150000</v>
      </c>
      <c r="V875" s="674">
        <v>0</v>
      </c>
      <c r="W875" s="155"/>
      <c r="X875" s="155">
        <f>+AH875/2</f>
        <v>1150000</v>
      </c>
      <c r="Y875" s="834">
        <f t="shared" si="180"/>
        <v>0</v>
      </c>
      <c r="Z875" s="75"/>
      <c r="AA875" s="75"/>
      <c r="AB875" s="75"/>
      <c r="AC875" s="75"/>
      <c r="AD875" s="75"/>
      <c r="AE875" s="592"/>
      <c r="AF875" s="343" t="s">
        <v>936</v>
      </c>
      <c r="AG875" s="763">
        <v>1150000</v>
      </c>
      <c r="AH875" s="764">
        <f>2300000</f>
        <v>2300000</v>
      </c>
      <c r="AI875" s="75"/>
      <c r="AJ875" s="777"/>
      <c r="AK875" s="75"/>
      <c r="AL875" s="75"/>
      <c r="AM875" s="75"/>
      <c r="AN875" s="787" t="s">
        <v>39</v>
      </c>
      <c r="AO875" s="64"/>
      <c r="AP875" s="64"/>
      <c r="AQ875" s="189"/>
      <c r="AR875" s="64"/>
      <c r="AS875" s="476"/>
      <c r="AT875" s="64"/>
      <c r="AU875" s="646"/>
      <c r="AV875" s="185" t="s">
        <v>589</v>
      </c>
    </row>
    <row r="876" spans="1:48" ht="23.25" customHeight="1" outlineLevel="3" x14ac:dyDescent="0.25">
      <c r="A876" s="745" t="str">
        <f t="shared" si="181"/>
        <v>1.7.1.1.8.58-64</v>
      </c>
      <c r="B876" s="64">
        <v>1</v>
      </c>
      <c r="C876" s="64">
        <v>7</v>
      </c>
      <c r="D876" s="64">
        <v>1</v>
      </c>
      <c r="E876" s="64">
        <v>1</v>
      </c>
      <c r="F876" s="64">
        <v>8</v>
      </c>
      <c r="G876" s="64" t="s">
        <v>64</v>
      </c>
      <c r="H876" s="750"/>
      <c r="I876" s="750"/>
      <c r="J876" s="750"/>
      <c r="K876" s="750" t="s">
        <v>937</v>
      </c>
      <c r="L876" s="64" t="s">
        <v>209</v>
      </c>
      <c r="M876" s="64" t="s">
        <v>73</v>
      </c>
      <c r="N876" s="64" t="s">
        <v>74</v>
      </c>
      <c r="O876" s="64" t="s">
        <v>819</v>
      </c>
      <c r="P876" s="69">
        <v>44197</v>
      </c>
      <c r="Q876" s="69">
        <v>44560</v>
      </c>
      <c r="R876" s="64">
        <v>1700</v>
      </c>
      <c r="S876" s="65" t="s">
        <v>938</v>
      </c>
      <c r="T876" s="64"/>
      <c r="U876" s="155">
        <f>+AH876/2</f>
        <v>1620000</v>
      </c>
      <c r="V876" s="674">
        <v>0</v>
      </c>
      <c r="W876" s="155"/>
      <c r="X876" s="155">
        <f>+AH876/2</f>
        <v>1620000</v>
      </c>
      <c r="Y876" s="834">
        <f t="shared" si="180"/>
        <v>0</v>
      </c>
      <c r="Z876" s="75"/>
      <c r="AA876" s="75"/>
      <c r="AB876" s="75"/>
      <c r="AC876" s="75"/>
      <c r="AD876" s="75"/>
      <c r="AE876" s="592"/>
      <c r="AF876" s="259" t="s">
        <v>939</v>
      </c>
      <c r="AG876" s="763">
        <v>1620000</v>
      </c>
      <c r="AH876" s="764">
        <f>135000*24</f>
        <v>3240000</v>
      </c>
      <c r="AI876" s="75"/>
      <c r="AJ876" s="777"/>
      <c r="AK876" s="75"/>
      <c r="AL876" s="75"/>
      <c r="AM876" s="75"/>
      <c r="AN876" s="787" t="s">
        <v>39</v>
      </c>
      <c r="AO876" s="64"/>
      <c r="AP876" s="64"/>
      <c r="AQ876" s="189"/>
      <c r="AR876" s="64"/>
      <c r="AS876" s="476"/>
      <c r="AT876" s="64"/>
      <c r="AU876" s="646"/>
      <c r="AV876" s="185" t="s">
        <v>589</v>
      </c>
    </row>
    <row r="877" spans="1:48" ht="28.5" customHeight="1" outlineLevel="3" x14ac:dyDescent="0.25">
      <c r="A877" s="745" t="str">
        <f t="shared" si="181"/>
        <v>1.7.1.1.9.58-64</v>
      </c>
      <c r="B877" s="64">
        <v>1</v>
      </c>
      <c r="C877" s="64">
        <v>7</v>
      </c>
      <c r="D877" s="64">
        <v>1</v>
      </c>
      <c r="E877" s="64">
        <v>1</v>
      </c>
      <c r="F877" s="64">
        <v>9</v>
      </c>
      <c r="G877" s="64" t="s">
        <v>64</v>
      </c>
      <c r="H877" s="750"/>
      <c r="I877" s="750"/>
      <c r="J877" s="751"/>
      <c r="K877" s="752" t="s">
        <v>940</v>
      </c>
      <c r="L877" s="64" t="s">
        <v>209</v>
      </c>
      <c r="M877" s="64" t="s">
        <v>941</v>
      </c>
      <c r="N877" s="64" t="s">
        <v>818</v>
      </c>
      <c r="O877" s="64" t="s">
        <v>819</v>
      </c>
      <c r="P877" s="69">
        <v>44197</v>
      </c>
      <c r="Q877" s="69">
        <v>44560</v>
      </c>
      <c r="R877" s="64">
        <v>1700</v>
      </c>
      <c r="S877" s="65" t="s">
        <v>942</v>
      </c>
      <c r="T877" s="64"/>
      <c r="U877" s="75"/>
      <c r="V877" s="674">
        <v>0</v>
      </c>
      <c r="W877" s="75">
        <v>700</v>
      </c>
      <c r="X877" s="75"/>
      <c r="Y877" s="834">
        <f t="shared" si="180"/>
        <v>0</v>
      </c>
      <c r="Z877" s="75">
        <v>500</v>
      </c>
      <c r="AA877" s="75"/>
      <c r="AB877" s="75"/>
      <c r="AC877" s="75">
        <v>500</v>
      </c>
      <c r="AD877" s="75"/>
      <c r="AE877" s="592"/>
      <c r="AF877" s="343" t="s">
        <v>1799</v>
      </c>
      <c r="AG877" s="763">
        <v>0</v>
      </c>
      <c r="AH877" s="764">
        <v>0</v>
      </c>
      <c r="AI877" s="75"/>
      <c r="AJ877" s="777"/>
      <c r="AK877" s="75"/>
      <c r="AL877" s="75"/>
      <c r="AM877" s="75"/>
      <c r="AN877" s="787" t="s">
        <v>39</v>
      </c>
      <c r="AO877" s="64"/>
      <c r="AP877" s="64"/>
      <c r="AQ877" s="189"/>
      <c r="AR877" s="64"/>
      <c r="AS877" s="476"/>
      <c r="AT877" s="64"/>
      <c r="AU877" s="646"/>
      <c r="AV877" s="185"/>
    </row>
    <row r="878" spans="1:48" ht="28.5" customHeight="1" outlineLevel="3" x14ac:dyDescent="0.25">
      <c r="A878" s="745" t="str">
        <f t="shared" si="181"/>
        <v>1.7.1.1.10.58-64</v>
      </c>
      <c r="B878" s="64">
        <v>1</v>
      </c>
      <c r="C878" s="64">
        <v>7</v>
      </c>
      <c r="D878" s="64">
        <v>1</v>
      </c>
      <c r="E878" s="64">
        <v>1</v>
      </c>
      <c r="F878" s="64">
        <v>10</v>
      </c>
      <c r="G878" s="64" t="s">
        <v>64</v>
      </c>
      <c r="H878" s="750"/>
      <c r="I878" s="750"/>
      <c r="J878" s="751"/>
      <c r="K878" s="752" t="s">
        <v>943</v>
      </c>
      <c r="L878" s="64"/>
      <c r="M878" s="64"/>
      <c r="N878" s="64"/>
      <c r="O878" s="64"/>
      <c r="P878" s="69"/>
      <c r="Q878" s="69"/>
      <c r="R878" s="64"/>
      <c r="S878" s="65"/>
      <c r="T878" s="64"/>
      <c r="U878" s="75">
        <f>+AH878/2</f>
        <v>322500</v>
      </c>
      <c r="V878" s="674">
        <v>0</v>
      </c>
      <c r="W878" s="75"/>
      <c r="X878" s="75">
        <f>+AH878/2</f>
        <v>322500</v>
      </c>
      <c r="Y878" s="834">
        <f t="shared" si="180"/>
        <v>0</v>
      </c>
      <c r="Z878" s="75"/>
      <c r="AA878" s="75"/>
      <c r="AB878" s="75"/>
      <c r="AC878" s="75"/>
      <c r="AD878" s="75"/>
      <c r="AE878" s="592"/>
      <c r="AF878" s="343" t="s">
        <v>944</v>
      </c>
      <c r="AG878" s="763">
        <v>264735</v>
      </c>
      <c r="AH878" s="764">
        <f>683000-38000</f>
        <v>645000</v>
      </c>
      <c r="AI878" s="75"/>
      <c r="AJ878" s="777"/>
      <c r="AK878" s="75"/>
      <c r="AL878" s="75"/>
      <c r="AM878" s="75"/>
      <c r="AN878" s="787" t="s">
        <v>39</v>
      </c>
      <c r="AO878" s="64"/>
      <c r="AP878" s="64"/>
      <c r="AQ878" s="189"/>
      <c r="AR878" s="64"/>
      <c r="AS878" s="476"/>
      <c r="AT878" s="64"/>
      <c r="AU878" s="646"/>
      <c r="AV878" s="185" t="s">
        <v>589</v>
      </c>
    </row>
    <row r="879" spans="1:48" ht="28.5" customHeight="1" outlineLevel="3" x14ac:dyDescent="0.25">
      <c r="A879" s="745" t="str">
        <f t="shared" si="181"/>
        <v>1.7.1.1.11.58-64</v>
      </c>
      <c r="B879" s="64">
        <v>1</v>
      </c>
      <c r="C879" s="64">
        <v>7</v>
      </c>
      <c r="D879" s="64">
        <v>1</v>
      </c>
      <c r="E879" s="64">
        <v>1</v>
      </c>
      <c r="F879" s="64">
        <v>11</v>
      </c>
      <c r="G879" s="64" t="s">
        <v>64</v>
      </c>
      <c r="H879" s="750"/>
      <c r="I879" s="750"/>
      <c r="J879" s="751"/>
      <c r="K879" s="752" t="s">
        <v>1867</v>
      </c>
      <c r="L879" s="64"/>
      <c r="M879" s="64"/>
      <c r="N879" s="64"/>
      <c r="O879" s="64"/>
      <c r="P879" s="69"/>
      <c r="Q879" s="69"/>
      <c r="R879" s="64"/>
      <c r="S879" s="65"/>
      <c r="T879" s="64"/>
      <c r="U879" s="75">
        <f>$AH$879/4</f>
        <v>129409.125</v>
      </c>
      <c r="V879" s="674">
        <v>0</v>
      </c>
      <c r="W879" s="75"/>
      <c r="X879" s="75">
        <f>$AH$879/4</f>
        <v>129409.125</v>
      </c>
      <c r="Y879" s="834">
        <f t="shared" si="180"/>
        <v>0</v>
      </c>
      <c r="Z879" s="75"/>
      <c r="AA879" s="75">
        <f>$AH$879/4</f>
        <v>129409.125</v>
      </c>
      <c r="AB879" s="75"/>
      <c r="AC879" s="75"/>
      <c r="AD879" s="75">
        <f>$AH$879/4</f>
        <v>129409.125</v>
      </c>
      <c r="AE879" s="592"/>
      <c r="AF879" s="343" t="s">
        <v>945</v>
      </c>
      <c r="AG879" s="763">
        <v>516481.5</v>
      </c>
      <c r="AH879" s="764">
        <f>43200+432000+1900+18590+3322.5+1500+2070+744+12000+2310</f>
        <v>517636.5</v>
      </c>
      <c r="AI879" s="75"/>
      <c r="AJ879" s="777"/>
      <c r="AK879" s="75"/>
      <c r="AL879" s="75"/>
      <c r="AM879" s="75"/>
      <c r="AN879" s="787" t="s">
        <v>39</v>
      </c>
      <c r="AO879" s="64"/>
      <c r="AP879" s="64"/>
      <c r="AQ879" s="189"/>
      <c r="AR879" s="64"/>
      <c r="AS879" s="476"/>
      <c r="AT879" s="64"/>
      <c r="AU879" s="646"/>
      <c r="AV879" s="185" t="s">
        <v>589</v>
      </c>
    </row>
    <row r="880" spans="1:48" ht="28.5" customHeight="1" outlineLevel="3" x14ac:dyDescent="0.25">
      <c r="A880" s="745" t="str">
        <f t="shared" si="181"/>
        <v>1.7.1.1.12.58-64</v>
      </c>
      <c r="B880" s="64">
        <v>1</v>
      </c>
      <c r="C880" s="64">
        <v>7</v>
      </c>
      <c r="D880" s="64">
        <v>1</v>
      </c>
      <c r="E880" s="64">
        <v>1</v>
      </c>
      <c r="F880" s="64">
        <v>12</v>
      </c>
      <c r="G880" s="64" t="s">
        <v>64</v>
      </c>
      <c r="H880" s="750"/>
      <c r="I880" s="750"/>
      <c r="J880" s="751"/>
      <c r="K880" s="752" t="s">
        <v>947</v>
      </c>
      <c r="L880" s="64"/>
      <c r="M880" s="64"/>
      <c r="N880" s="64"/>
      <c r="O880" s="64"/>
      <c r="P880" s="69"/>
      <c r="Q880" s="69"/>
      <c r="R880" s="64"/>
      <c r="S880" s="65"/>
      <c r="T880" s="64"/>
      <c r="U880" s="75"/>
      <c r="V880" s="674">
        <v>0</v>
      </c>
      <c r="W880" s="75"/>
      <c r="X880" s="75"/>
      <c r="Y880" s="834">
        <f t="shared" si="180"/>
        <v>0</v>
      </c>
      <c r="Z880" s="75"/>
      <c r="AA880" s="75"/>
      <c r="AB880" s="75"/>
      <c r="AC880" s="75"/>
      <c r="AD880" s="75"/>
      <c r="AE880" s="592"/>
      <c r="AF880" s="343" t="s">
        <v>948</v>
      </c>
      <c r="AG880" s="763">
        <v>0</v>
      </c>
      <c r="AH880" s="764">
        <v>0</v>
      </c>
      <c r="AI880" s="75"/>
      <c r="AJ880" s="777"/>
      <c r="AK880" s="75"/>
      <c r="AL880" s="75"/>
      <c r="AM880" s="75"/>
      <c r="AN880" s="787" t="s">
        <v>39</v>
      </c>
      <c r="AO880" s="64"/>
      <c r="AP880" s="64"/>
      <c r="AQ880" s="189"/>
      <c r="AR880" s="64"/>
      <c r="AS880" s="476"/>
      <c r="AT880" s="64"/>
      <c r="AU880" s="646"/>
      <c r="AV880" s="335" t="s">
        <v>949</v>
      </c>
    </row>
    <row r="881" spans="1:48" s="153" customFormat="1" ht="31.5" customHeight="1" outlineLevel="1" x14ac:dyDescent="0.25">
      <c r="A881" s="744" t="str">
        <f t="shared" si="181"/>
        <v>1.7.1.2.0.0</v>
      </c>
      <c r="B881" s="82">
        <v>1</v>
      </c>
      <c r="C881" s="82">
        <v>7</v>
      </c>
      <c r="D881" s="82">
        <v>1</v>
      </c>
      <c r="E881" s="82">
        <v>2</v>
      </c>
      <c r="F881" s="82">
        <v>0</v>
      </c>
      <c r="G881" s="82">
        <v>0</v>
      </c>
      <c r="H881" s="749"/>
      <c r="I881" s="749"/>
      <c r="J881" s="1304" t="s">
        <v>950</v>
      </c>
      <c r="K881" s="1303"/>
      <c r="L881" s="82" t="s">
        <v>209</v>
      </c>
      <c r="M881" s="83" t="s">
        <v>951</v>
      </c>
      <c r="N881" s="82" t="s">
        <v>818</v>
      </c>
      <c r="O881" s="82" t="s">
        <v>819</v>
      </c>
      <c r="P881" s="82"/>
      <c r="Q881" s="82"/>
      <c r="R881" s="82"/>
      <c r="S881" s="149"/>
      <c r="T881" s="82"/>
      <c r="U881" s="209">
        <f>SUM(U882:U885)</f>
        <v>1632079.7050000001</v>
      </c>
      <c r="V881" s="683">
        <f>SUM(V882:V885)</f>
        <v>0</v>
      </c>
      <c r="W881" s="848">
        <f t="shared" ref="W881:AG881" si="182">+SUM(W882:W885)</f>
        <v>0</v>
      </c>
      <c r="X881" s="848">
        <f t="shared" si="182"/>
        <v>1632079.7050000001</v>
      </c>
      <c r="Y881" s="847">
        <f t="shared" si="182"/>
        <v>0</v>
      </c>
      <c r="Z881" s="848">
        <f t="shared" si="182"/>
        <v>1</v>
      </c>
      <c r="AA881" s="848">
        <f t="shared" si="182"/>
        <v>0</v>
      </c>
      <c r="AB881" s="848">
        <f t="shared" si="182"/>
        <v>0</v>
      </c>
      <c r="AC881" s="848">
        <f t="shared" si="182"/>
        <v>0</v>
      </c>
      <c r="AD881" s="848">
        <f t="shared" si="182"/>
        <v>0</v>
      </c>
      <c r="AE881" s="848">
        <f t="shared" si="182"/>
        <v>0</v>
      </c>
      <c r="AF881" s="848">
        <f t="shared" si="182"/>
        <v>0</v>
      </c>
      <c r="AG881" s="849">
        <f t="shared" si="182"/>
        <v>1710000</v>
      </c>
      <c r="AH881" s="849">
        <f>+SUM(AH882:AH885)</f>
        <v>3264159.41</v>
      </c>
      <c r="AI881" s="850">
        <f>+SUM(AI882:AI885)</f>
        <v>0</v>
      </c>
      <c r="AJ881" s="851">
        <f>+SUM(AJ882:AJ885)</f>
        <v>0</v>
      </c>
      <c r="AK881" s="852"/>
      <c r="AL881" s="852"/>
      <c r="AM881" s="852"/>
      <c r="AN881" s="853" t="s">
        <v>39</v>
      </c>
      <c r="AO881" s="82"/>
      <c r="AP881" s="82"/>
      <c r="AQ881" s="365"/>
      <c r="AR881" s="82"/>
      <c r="AS881" s="483"/>
      <c r="AT881" s="82"/>
      <c r="AU881" s="666"/>
      <c r="AV881" s="444" t="s">
        <v>952</v>
      </c>
    </row>
    <row r="882" spans="1:48" ht="36" customHeight="1" outlineLevel="3" x14ac:dyDescent="0.25">
      <c r="A882" s="745" t="str">
        <f t="shared" si="181"/>
        <v>1.7.1.2.1.58-64</v>
      </c>
      <c r="B882" s="64">
        <v>1</v>
      </c>
      <c r="C882" s="64">
        <v>7</v>
      </c>
      <c r="D882" s="64">
        <v>1</v>
      </c>
      <c r="E882" s="64">
        <v>2</v>
      </c>
      <c r="F882" s="64">
        <v>1</v>
      </c>
      <c r="G882" s="64" t="s">
        <v>64</v>
      </c>
      <c r="H882" s="750"/>
      <c r="I882" s="750"/>
      <c r="J882" s="751"/>
      <c r="K882" s="750" t="s">
        <v>953</v>
      </c>
      <c r="L882" s="64" t="s">
        <v>209</v>
      </c>
      <c r="M882" s="64" t="s">
        <v>954</v>
      </c>
      <c r="N882" s="64" t="s">
        <v>818</v>
      </c>
      <c r="O882" s="64" t="s">
        <v>819</v>
      </c>
      <c r="P882" s="69">
        <v>44562</v>
      </c>
      <c r="Q882" s="69">
        <v>44925</v>
      </c>
      <c r="R882" s="64">
        <v>1700</v>
      </c>
      <c r="S882" s="65" t="s">
        <v>955</v>
      </c>
      <c r="T882" s="64"/>
      <c r="U882" s="127">
        <f>+AH882/2</f>
        <v>1632079.7050000001</v>
      </c>
      <c r="V882" s="674">
        <v>0</v>
      </c>
      <c r="W882" s="75"/>
      <c r="X882" s="127">
        <f>+AH882/2</f>
        <v>1632079.7050000001</v>
      </c>
      <c r="Y882" s="834">
        <f>+AJ882-V882</f>
        <v>0</v>
      </c>
      <c r="Z882" s="75"/>
      <c r="AA882" s="127"/>
      <c r="AB882" s="75"/>
      <c r="AC882" s="75"/>
      <c r="AD882" s="127"/>
      <c r="AE882" s="592"/>
      <c r="AF882" s="343" t="s">
        <v>956</v>
      </c>
      <c r="AG882" s="763">
        <v>1710000</v>
      </c>
      <c r="AH882" s="774">
        <v>3264159.41</v>
      </c>
      <c r="AI882" s="75"/>
      <c r="AJ882" s="777"/>
      <c r="AK882" s="75"/>
      <c r="AL882" s="75"/>
      <c r="AM882" s="75"/>
      <c r="AN882" s="787" t="s">
        <v>39</v>
      </c>
      <c r="AO882" s="64"/>
      <c r="AP882" s="64"/>
      <c r="AQ882" s="189"/>
      <c r="AR882" s="64"/>
      <c r="AS882" s="476"/>
      <c r="AT882" s="64"/>
      <c r="AU882" s="646"/>
      <c r="AV882" s="185" t="s">
        <v>589</v>
      </c>
    </row>
    <row r="883" spans="1:48" ht="30" customHeight="1" outlineLevel="3" x14ac:dyDescent="0.25">
      <c r="A883" s="745" t="str">
        <f t="shared" si="181"/>
        <v>1.7.1.2.2.58-64</v>
      </c>
      <c r="B883" s="64">
        <v>1</v>
      </c>
      <c r="C883" s="64">
        <v>7</v>
      </c>
      <c r="D883" s="64">
        <v>1</v>
      </c>
      <c r="E883" s="64">
        <v>2</v>
      </c>
      <c r="F883" s="64">
        <v>2</v>
      </c>
      <c r="G883" s="64" t="s">
        <v>64</v>
      </c>
      <c r="H883" s="750"/>
      <c r="I883" s="750"/>
      <c r="J883" s="751"/>
      <c r="K883" s="750" t="s">
        <v>957</v>
      </c>
      <c r="L883" s="64" t="s">
        <v>209</v>
      </c>
      <c r="M883" s="64" t="s">
        <v>958</v>
      </c>
      <c r="N883" s="64" t="s">
        <v>818</v>
      </c>
      <c r="O883" s="64" t="s">
        <v>819</v>
      </c>
      <c r="P883" s="69">
        <v>44197</v>
      </c>
      <c r="Q883" s="69">
        <v>44560</v>
      </c>
      <c r="R883" s="64">
        <v>2</v>
      </c>
      <c r="S883" s="65" t="s">
        <v>959</v>
      </c>
      <c r="T883" s="64">
        <v>1</v>
      </c>
      <c r="U883" s="75"/>
      <c r="V883" s="674">
        <v>0</v>
      </c>
      <c r="W883" s="75"/>
      <c r="X883" s="75"/>
      <c r="Y883" s="834">
        <f>+AJ883-V883</f>
        <v>0</v>
      </c>
      <c r="Z883" s="75">
        <v>1</v>
      </c>
      <c r="AA883" s="75"/>
      <c r="AB883" s="75"/>
      <c r="AC883" s="75"/>
      <c r="AD883" s="75"/>
      <c r="AE883" s="592"/>
      <c r="AF883" s="343" t="s">
        <v>1799</v>
      </c>
      <c r="AG883" s="763">
        <v>0</v>
      </c>
      <c r="AH883" s="764">
        <v>0</v>
      </c>
      <c r="AI883" s="75"/>
      <c r="AJ883" s="777"/>
      <c r="AK883" s="75"/>
      <c r="AL883" s="75"/>
      <c r="AM883" s="75"/>
      <c r="AN883" s="787" t="s">
        <v>39</v>
      </c>
      <c r="AO883" s="64"/>
      <c r="AP883" s="64"/>
      <c r="AQ883" s="189"/>
      <c r="AR883" s="64"/>
      <c r="AS883" s="476"/>
      <c r="AT883" s="64"/>
      <c r="AU883" s="646"/>
      <c r="AV883" s="185"/>
    </row>
    <row r="884" spans="1:48" ht="30.75" customHeight="1" outlineLevel="3" x14ac:dyDescent="0.25">
      <c r="A884" s="745" t="str">
        <f t="shared" si="181"/>
        <v>1.7.1.2.3.58-64</v>
      </c>
      <c r="B884" s="64">
        <v>1</v>
      </c>
      <c r="C884" s="64">
        <v>7</v>
      </c>
      <c r="D884" s="64">
        <v>1</v>
      </c>
      <c r="E884" s="64">
        <v>2</v>
      </c>
      <c r="F884" s="64">
        <v>3</v>
      </c>
      <c r="G884" s="64" t="s">
        <v>64</v>
      </c>
      <c r="H884" s="750"/>
      <c r="I884" s="750"/>
      <c r="J884" s="751"/>
      <c r="K884" s="750" t="s">
        <v>960</v>
      </c>
      <c r="L884" s="64" t="s">
        <v>209</v>
      </c>
      <c r="M884" s="64" t="s">
        <v>961</v>
      </c>
      <c r="N884" s="64" t="s">
        <v>818</v>
      </c>
      <c r="O884" s="64" t="s">
        <v>819</v>
      </c>
      <c r="P884" s="69">
        <v>44197</v>
      </c>
      <c r="Q884" s="69">
        <v>44560</v>
      </c>
      <c r="R884" s="64"/>
      <c r="S884" s="65"/>
      <c r="T884" s="64"/>
      <c r="U884" s="75"/>
      <c r="V884" s="674">
        <v>0</v>
      </c>
      <c r="W884" s="75"/>
      <c r="X884" s="75"/>
      <c r="Y884" s="834">
        <f>+AJ884-V884</f>
        <v>0</v>
      </c>
      <c r="Z884" s="75"/>
      <c r="AA884" s="75"/>
      <c r="AB884" s="75"/>
      <c r="AC884" s="75"/>
      <c r="AD884" s="75"/>
      <c r="AE884" s="592"/>
      <c r="AF884" s="343" t="s">
        <v>1799</v>
      </c>
      <c r="AG884" s="763">
        <v>0</v>
      </c>
      <c r="AH884" s="764">
        <v>0</v>
      </c>
      <c r="AI884" s="75"/>
      <c r="AJ884" s="777"/>
      <c r="AK884" s="75"/>
      <c r="AL884" s="75"/>
      <c r="AM884" s="75"/>
      <c r="AN884" s="787" t="s">
        <v>39</v>
      </c>
      <c r="AO884" s="64"/>
      <c r="AP884" s="64"/>
      <c r="AQ884" s="189"/>
      <c r="AR884" s="64"/>
      <c r="AS884" s="476"/>
      <c r="AT884" s="64"/>
      <c r="AU884" s="646"/>
      <c r="AV884" s="185"/>
    </row>
    <row r="885" spans="1:48" ht="31.5" customHeight="1" outlineLevel="3" x14ac:dyDescent="0.25">
      <c r="A885" s="745" t="str">
        <f t="shared" si="181"/>
        <v>1.7.1.2.4.58-64</v>
      </c>
      <c r="B885" s="64">
        <v>1</v>
      </c>
      <c r="C885" s="64">
        <v>7</v>
      </c>
      <c r="D885" s="64">
        <v>1</v>
      </c>
      <c r="E885" s="64">
        <v>2</v>
      </c>
      <c r="F885" s="64">
        <v>4</v>
      </c>
      <c r="G885" s="64" t="s">
        <v>64</v>
      </c>
      <c r="H885" s="750"/>
      <c r="I885" s="750"/>
      <c r="J885" s="751"/>
      <c r="K885" s="752" t="s">
        <v>962</v>
      </c>
      <c r="L885" s="64"/>
      <c r="M885" s="64"/>
      <c r="N885" s="64"/>
      <c r="O885" s="64"/>
      <c r="P885" s="69">
        <v>44197</v>
      </c>
      <c r="Q885" s="69">
        <v>44560</v>
      </c>
      <c r="R885" s="64"/>
      <c r="S885" s="65"/>
      <c r="T885" s="64"/>
      <c r="U885" s="75"/>
      <c r="V885" s="674">
        <v>0</v>
      </c>
      <c r="W885" s="75"/>
      <c r="X885" s="75"/>
      <c r="Y885" s="834">
        <f>+AJ885-V885</f>
        <v>0</v>
      </c>
      <c r="Z885" s="75"/>
      <c r="AA885" s="75"/>
      <c r="AB885" s="75"/>
      <c r="AC885" s="75"/>
      <c r="AD885" s="75"/>
      <c r="AE885" s="592"/>
      <c r="AF885" s="343" t="s">
        <v>963</v>
      </c>
      <c r="AG885" s="763">
        <v>0</v>
      </c>
      <c r="AH885" s="764">
        <v>0</v>
      </c>
      <c r="AI885" s="75"/>
      <c r="AJ885" s="777"/>
      <c r="AK885" s="75"/>
      <c r="AL885" s="75"/>
      <c r="AM885" s="75"/>
      <c r="AN885" s="787" t="s">
        <v>39</v>
      </c>
      <c r="AO885" s="64"/>
      <c r="AP885" s="64"/>
      <c r="AQ885" s="189"/>
      <c r="AR885" s="64"/>
      <c r="AS885" s="476"/>
      <c r="AT885" s="64"/>
      <c r="AU885" s="646"/>
      <c r="AV885" s="185"/>
    </row>
    <row r="886" spans="1:48" s="153" customFormat="1" ht="37.5" customHeight="1" outlineLevel="1" x14ac:dyDescent="0.25">
      <c r="A886" s="744" t="str">
        <f t="shared" si="181"/>
        <v>1.7.1.3.0.0</v>
      </c>
      <c r="B886" s="82">
        <v>1</v>
      </c>
      <c r="C886" s="82">
        <v>7</v>
      </c>
      <c r="D886" s="82">
        <v>1</v>
      </c>
      <c r="E886" s="82">
        <v>3</v>
      </c>
      <c r="F886" s="82">
        <v>0</v>
      </c>
      <c r="G886" s="82">
        <v>0</v>
      </c>
      <c r="H886" s="749"/>
      <c r="I886" s="749"/>
      <c r="J886" s="1304" t="s">
        <v>964</v>
      </c>
      <c r="K886" s="1303"/>
      <c r="L886" s="82" t="s">
        <v>209</v>
      </c>
      <c r="M886" s="83" t="s">
        <v>965</v>
      </c>
      <c r="N886" s="82" t="s">
        <v>818</v>
      </c>
      <c r="O886" s="82" t="s">
        <v>819</v>
      </c>
      <c r="P886" s="82"/>
      <c r="Q886" s="82"/>
      <c r="R886" s="82">
        <v>3</v>
      </c>
      <c r="S886" s="149" t="s">
        <v>966</v>
      </c>
      <c r="T886" s="82"/>
      <c r="U886" s="209">
        <f>SUM(U887)</f>
        <v>475000</v>
      </c>
      <c r="V886" s="683">
        <f>SUM(V887)</f>
        <v>0</v>
      </c>
      <c r="W886" s="209">
        <f t="shared" ref="W886:AG886" si="183">SUM(W887)</f>
        <v>0</v>
      </c>
      <c r="X886" s="209">
        <f t="shared" si="183"/>
        <v>475000</v>
      </c>
      <c r="Y886" s="846">
        <f t="shared" si="183"/>
        <v>0</v>
      </c>
      <c r="Z886" s="209">
        <f t="shared" si="183"/>
        <v>0</v>
      </c>
      <c r="AA886" s="209">
        <f t="shared" si="183"/>
        <v>0</v>
      </c>
      <c r="AB886" s="209">
        <f t="shared" si="183"/>
        <v>0</v>
      </c>
      <c r="AC886" s="209">
        <f t="shared" si="183"/>
        <v>0</v>
      </c>
      <c r="AD886" s="209">
        <f t="shared" si="183"/>
        <v>0</v>
      </c>
      <c r="AE886" s="209">
        <f t="shared" si="183"/>
        <v>0</v>
      </c>
      <c r="AF886" s="209">
        <f t="shared" si="183"/>
        <v>0</v>
      </c>
      <c r="AG886" s="767">
        <f t="shared" si="183"/>
        <v>950000</v>
      </c>
      <c r="AH886" s="762">
        <f>+SUM(AH887)</f>
        <v>950000</v>
      </c>
      <c r="AI886" s="522">
        <f>+SUM(AI887)</f>
        <v>0</v>
      </c>
      <c r="AJ886" s="765">
        <f>+SUM(AJ887)</f>
        <v>0</v>
      </c>
      <c r="AK886" s="218"/>
      <c r="AL886" s="218"/>
      <c r="AM886" s="218"/>
      <c r="AN886" s="786" t="s">
        <v>39</v>
      </c>
      <c r="AO886" s="82"/>
      <c r="AP886" s="82"/>
      <c r="AQ886" s="365"/>
      <c r="AR886" s="82"/>
      <c r="AS886" s="483"/>
      <c r="AT886" s="82"/>
      <c r="AU886" s="666"/>
      <c r="AV886" s="444" t="s">
        <v>967</v>
      </c>
    </row>
    <row r="887" spans="1:48" ht="49.5" customHeight="1" outlineLevel="2" x14ac:dyDescent="0.25">
      <c r="A887" s="745" t="str">
        <f t="shared" si="181"/>
        <v>1.7.1.3.1.58-64</v>
      </c>
      <c r="B887" s="64">
        <v>1</v>
      </c>
      <c r="C887" s="64">
        <v>7</v>
      </c>
      <c r="D887" s="64">
        <v>1</v>
      </c>
      <c r="E887" s="64">
        <v>3</v>
      </c>
      <c r="F887" s="64">
        <v>1</v>
      </c>
      <c r="G887" s="64" t="s">
        <v>64</v>
      </c>
      <c r="H887" s="750"/>
      <c r="I887" s="750"/>
      <c r="J887" s="750"/>
      <c r="K887" s="750" t="s">
        <v>968</v>
      </c>
      <c r="L887" s="64" t="s">
        <v>209</v>
      </c>
      <c r="M887" s="68" t="s">
        <v>969</v>
      </c>
      <c r="N887" s="64" t="s">
        <v>818</v>
      </c>
      <c r="O887" s="64" t="s">
        <v>819</v>
      </c>
      <c r="P887" s="69">
        <v>44256</v>
      </c>
      <c r="Q887" s="69">
        <v>44560</v>
      </c>
      <c r="R887" s="64"/>
      <c r="S887" s="65"/>
      <c r="T887" s="64"/>
      <c r="U887" s="75">
        <f>+AH887/2</f>
        <v>475000</v>
      </c>
      <c r="V887" s="674">
        <v>0</v>
      </c>
      <c r="W887" s="75"/>
      <c r="X887" s="75">
        <f>+AH887/2</f>
        <v>475000</v>
      </c>
      <c r="Y887" s="834">
        <f>+AJ887-V887</f>
        <v>0</v>
      </c>
      <c r="Z887" s="75"/>
      <c r="AA887" s="75"/>
      <c r="AB887" s="75"/>
      <c r="AC887" s="75"/>
      <c r="AD887" s="75"/>
      <c r="AE887" s="592"/>
      <c r="AF887" s="259"/>
      <c r="AG887" s="763">
        <f>1900000/2</f>
        <v>950000</v>
      </c>
      <c r="AH887" s="764">
        <f>1900000/2</f>
        <v>950000</v>
      </c>
      <c r="AI887" s="75"/>
      <c r="AJ887" s="777"/>
      <c r="AK887" s="75"/>
      <c r="AL887" s="75"/>
      <c r="AM887" s="75"/>
      <c r="AN887" s="787"/>
      <c r="AO887" s="64"/>
      <c r="AP887" s="64"/>
      <c r="AQ887" s="189"/>
      <c r="AR887" s="64"/>
      <c r="AS887" s="476"/>
      <c r="AT887" s="64"/>
      <c r="AU887" s="646"/>
      <c r="AV887" s="185" t="s">
        <v>589</v>
      </c>
    </row>
    <row r="888" spans="1:48" s="153" customFormat="1" ht="30.75" customHeight="1" outlineLevel="1" x14ac:dyDescent="0.25">
      <c r="A888" s="744" t="str">
        <f t="shared" si="181"/>
        <v>1.7.1.4.0.0</v>
      </c>
      <c r="B888" s="82">
        <v>1</v>
      </c>
      <c r="C888" s="82">
        <v>7</v>
      </c>
      <c r="D888" s="82">
        <v>1</v>
      </c>
      <c r="E888" s="82">
        <v>4</v>
      </c>
      <c r="F888" s="82">
        <v>0</v>
      </c>
      <c r="G888" s="82">
        <v>0</v>
      </c>
      <c r="H888" s="749"/>
      <c r="I888" s="749"/>
      <c r="J888" s="1304" t="s">
        <v>891</v>
      </c>
      <c r="K888" s="1303"/>
      <c r="L888" s="82" t="s">
        <v>209</v>
      </c>
      <c r="M888" s="82" t="s">
        <v>73</v>
      </c>
      <c r="N888" s="83" t="s">
        <v>970</v>
      </c>
      <c r="O888" s="82" t="s">
        <v>737</v>
      </c>
      <c r="P888" s="82"/>
      <c r="Q888" s="82"/>
      <c r="R888" s="82"/>
      <c r="S888" s="149"/>
      <c r="T888" s="82"/>
      <c r="U888" s="379">
        <f t="shared" ref="U888:AG888" si="184">+SUM(U889:U897)</f>
        <v>0</v>
      </c>
      <c r="V888" s="682">
        <f t="shared" si="184"/>
        <v>0</v>
      </c>
      <c r="W888" s="379">
        <f t="shared" si="184"/>
        <v>0</v>
      </c>
      <c r="X888" s="379">
        <f t="shared" si="184"/>
        <v>0</v>
      </c>
      <c r="Y888" s="845">
        <f t="shared" si="184"/>
        <v>0</v>
      </c>
      <c r="Z888" s="379">
        <f t="shared" si="184"/>
        <v>0</v>
      </c>
      <c r="AA888" s="379">
        <f t="shared" si="184"/>
        <v>0</v>
      </c>
      <c r="AB888" s="379">
        <f t="shared" si="184"/>
        <v>0</v>
      </c>
      <c r="AC888" s="379">
        <f t="shared" si="184"/>
        <v>0</v>
      </c>
      <c r="AD888" s="379">
        <f t="shared" si="184"/>
        <v>0</v>
      </c>
      <c r="AE888" s="379">
        <f t="shared" si="184"/>
        <v>0</v>
      </c>
      <c r="AF888" s="379">
        <f t="shared" si="184"/>
        <v>0</v>
      </c>
      <c r="AG888" s="766">
        <f t="shared" si="184"/>
        <v>0</v>
      </c>
      <c r="AH888" s="766">
        <f>+SUM(AH889:AH897)</f>
        <v>0</v>
      </c>
      <c r="AI888" s="512">
        <f>+SUM(AI889:AI897)</f>
        <v>0</v>
      </c>
      <c r="AJ888" s="772">
        <f>+SUM(AJ889:AJ897)</f>
        <v>0</v>
      </c>
      <c r="AK888" s="152"/>
      <c r="AL888" s="152"/>
      <c r="AM888" s="152"/>
      <c r="AN888" s="786" t="s">
        <v>39</v>
      </c>
      <c r="AO888" s="82"/>
      <c r="AP888" s="82"/>
      <c r="AQ888" s="365"/>
      <c r="AR888" s="82"/>
      <c r="AS888" s="483"/>
      <c r="AT888" s="82"/>
      <c r="AU888" s="666"/>
      <c r="AV888" s="444"/>
    </row>
    <row r="889" spans="1:48" s="212" customFormat="1" ht="21" customHeight="1" outlineLevel="2" x14ac:dyDescent="0.25">
      <c r="A889" s="746" t="str">
        <f t="shared" si="181"/>
        <v>1.7.1.4.1.58-64</v>
      </c>
      <c r="B889" s="136">
        <v>1</v>
      </c>
      <c r="C889" s="136">
        <v>7</v>
      </c>
      <c r="D889" s="136">
        <v>1</v>
      </c>
      <c r="E889" s="136">
        <v>4</v>
      </c>
      <c r="F889" s="136">
        <v>1</v>
      </c>
      <c r="G889" s="136" t="s">
        <v>64</v>
      </c>
      <c r="H889" s="753"/>
      <c r="I889" s="753"/>
      <c r="J889" s="755"/>
      <c r="K889" s="753" t="s">
        <v>892</v>
      </c>
      <c r="L889" s="136" t="s">
        <v>209</v>
      </c>
      <c r="M889" s="136" t="s">
        <v>73</v>
      </c>
      <c r="N889" s="136" t="s">
        <v>818</v>
      </c>
      <c r="O889" s="136" t="s">
        <v>737</v>
      </c>
      <c r="P889" s="136"/>
      <c r="Q889" s="136"/>
      <c r="R889" s="136"/>
      <c r="S889" s="125"/>
      <c r="T889" s="136"/>
      <c r="U889" s="132"/>
      <c r="V889" s="674">
        <v>0</v>
      </c>
      <c r="W889" s="132"/>
      <c r="X889" s="132"/>
      <c r="Y889" s="834">
        <f t="shared" ref="Y889:Y897" si="185">+AJ889-V889</f>
        <v>0</v>
      </c>
      <c r="Z889" s="132"/>
      <c r="AA889" s="132"/>
      <c r="AB889" s="132"/>
      <c r="AC889" s="132"/>
      <c r="AD889" s="132"/>
      <c r="AE889" s="598"/>
      <c r="AF889" s="349"/>
      <c r="AG889" s="763">
        <v>0</v>
      </c>
      <c r="AH889" s="764">
        <v>0</v>
      </c>
      <c r="AI889" s="154"/>
      <c r="AJ889" s="782"/>
      <c r="AK889" s="154"/>
      <c r="AL889" s="154"/>
      <c r="AM889" s="154"/>
      <c r="AN889" s="789"/>
      <c r="AO889" s="136"/>
      <c r="AP889" s="136"/>
      <c r="AQ889" s="414"/>
      <c r="AR889" s="136"/>
      <c r="AS889" s="477"/>
      <c r="AT889" s="136"/>
      <c r="AU889" s="646"/>
      <c r="AV889" s="448"/>
    </row>
    <row r="890" spans="1:48" s="212" customFormat="1" ht="21" customHeight="1" outlineLevel="2" x14ac:dyDescent="0.25">
      <c r="A890" s="746" t="str">
        <f t="shared" si="181"/>
        <v>1.7.1.4.3.58</v>
      </c>
      <c r="B890" s="136">
        <v>1</v>
      </c>
      <c r="C890" s="136">
        <v>7</v>
      </c>
      <c r="D890" s="136">
        <v>1</v>
      </c>
      <c r="E890" s="136">
        <v>4</v>
      </c>
      <c r="F890" s="136">
        <v>3</v>
      </c>
      <c r="G890" s="136">
        <v>58</v>
      </c>
      <c r="H890" s="753"/>
      <c r="I890" s="753"/>
      <c r="J890" s="753"/>
      <c r="K890" s="753" t="s">
        <v>971</v>
      </c>
      <c r="L890" s="136" t="s">
        <v>209</v>
      </c>
      <c r="M890" s="136" t="s">
        <v>73</v>
      </c>
      <c r="N890" s="136" t="s">
        <v>818</v>
      </c>
      <c r="O890" s="136" t="s">
        <v>737</v>
      </c>
      <c r="P890" s="136"/>
      <c r="Q890" s="136"/>
      <c r="R890" s="136"/>
      <c r="S890" s="125"/>
      <c r="T890" s="136"/>
      <c r="U890" s="132"/>
      <c r="V890" s="674">
        <v>0</v>
      </c>
      <c r="W890" s="132"/>
      <c r="X890" s="132"/>
      <c r="Y890" s="834">
        <f t="shared" si="185"/>
        <v>0</v>
      </c>
      <c r="Z890" s="132"/>
      <c r="AA890" s="132"/>
      <c r="AB890" s="132"/>
      <c r="AC890" s="132"/>
      <c r="AD890" s="132"/>
      <c r="AE890" s="598"/>
      <c r="AF890" s="349"/>
      <c r="AG890" s="763">
        <v>0</v>
      </c>
      <c r="AH890" s="764">
        <v>0</v>
      </c>
      <c r="AI890" s="154"/>
      <c r="AJ890" s="782"/>
      <c r="AK890" s="154"/>
      <c r="AL890" s="154"/>
      <c r="AM890" s="154"/>
      <c r="AN890" s="789"/>
      <c r="AO890" s="136"/>
      <c r="AP890" s="136"/>
      <c r="AQ890" s="414"/>
      <c r="AR890" s="136"/>
      <c r="AS890" s="477"/>
      <c r="AT890" s="136"/>
      <c r="AU890" s="646"/>
      <c r="AV890" s="448"/>
    </row>
    <row r="891" spans="1:48" s="212" customFormat="1" ht="21" customHeight="1" outlineLevel="2" x14ac:dyDescent="0.25">
      <c r="A891" s="746" t="str">
        <f t="shared" si="181"/>
        <v>1.7.1.4.3.59</v>
      </c>
      <c r="B891" s="136">
        <v>1</v>
      </c>
      <c r="C891" s="136">
        <v>7</v>
      </c>
      <c r="D891" s="136">
        <v>1</v>
      </c>
      <c r="E891" s="136">
        <v>4</v>
      </c>
      <c r="F891" s="136">
        <v>3</v>
      </c>
      <c r="G891" s="136">
        <v>59</v>
      </c>
      <c r="H891" s="753"/>
      <c r="I891" s="753"/>
      <c r="J891" s="753"/>
      <c r="K891" s="753" t="s">
        <v>972</v>
      </c>
      <c r="L891" s="136" t="s">
        <v>209</v>
      </c>
      <c r="M891" s="136" t="s">
        <v>73</v>
      </c>
      <c r="N891" s="136" t="s">
        <v>818</v>
      </c>
      <c r="O891" s="136" t="s">
        <v>737</v>
      </c>
      <c r="P891" s="136"/>
      <c r="Q891" s="136"/>
      <c r="R891" s="136"/>
      <c r="S891" s="125"/>
      <c r="T891" s="136"/>
      <c r="U891" s="132"/>
      <c r="V891" s="674">
        <v>0</v>
      </c>
      <c r="W891" s="132"/>
      <c r="X891" s="132"/>
      <c r="Y891" s="834">
        <f t="shared" si="185"/>
        <v>0</v>
      </c>
      <c r="Z891" s="132"/>
      <c r="AA891" s="132"/>
      <c r="AB891" s="132"/>
      <c r="AC891" s="132"/>
      <c r="AD891" s="132"/>
      <c r="AE891" s="598"/>
      <c r="AF891" s="349"/>
      <c r="AG891" s="763">
        <v>0</v>
      </c>
      <c r="AH891" s="764">
        <v>0</v>
      </c>
      <c r="AI891" s="154"/>
      <c r="AJ891" s="782"/>
      <c r="AK891" s="154"/>
      <c r="AL891" s="154"/>
      <c r="AM891" s="154"/>
      <c r="AN891" s="789"/>
      <c r="AO891" s="136"/>
      <c r="AP891" s="136"/>
      <c r="AQ891" s="414"/>
      <c r="AR891" s="136"/>
      <c r="AS891" s="477"/>
      <c r="AT891" s="136"/>
      <c r="AU891" s="646"/>
      <c r="AV891" s="448"/>
    </row>
    <row r="892" spans="1:48" s="212" customFormat="1" ht="21" customHeight="1" outlineLevel="2" x14ac:dyDescent="0.25">
      <c r="A892" s="746" t="str">
        <f t="shared" si="181"/>
        <v>1.7.1.4.3.60</v>
      </c>
      <c r="B892" s="136">
        <v>1</v>
      </c>
      <c r="C892" s="136">
        <v>7</v>
      </c>
      <c r="D892" s="136">
        <v>1</v>
      </c>
      <c r="E892" s="136">
        <v>4</v>
      </c>
      <c r="F892" s="136">
        <v>3</v>
      </c>
      <c r="G892" s="136">
        <v>60</v>
      </c>
      <c r="H892" s="753"/>
      <c r="I892" s="753"/>
      <c r="J892" s="753"/>
      <c r="K892" s="753" t="s">
        <v>973</v>
      </c>
      <c r="L892" s="136" t="s">
        <v>209</v>
      </c>
      <c r="M892" s="136" t="s">
        <v>73</v>
      </c>
      <c r="N892" s="136" t="s">
        <v>818</v>
      </c>
      <c r="O892" s="136" t="s">
        <v>737</v>
      </c>
      <c r="P892" s="136"/>
      <c r="Q892" s="136"/>
      <c r="R892" s="136"/>
      <c r="S892" s="125"/>
      <c r="T892" s="136"/>
      <c r="U892" s="132"/>
      <c r="V892" s="674">
        <v>0</v>
      </c>
      <c r="W892" s="132"/>
      <c r="X892" s="132"/>
      <c r="Y892" s="834">
        <f t="shared" si="185"/>
        <v>0</v>
      </c>
      <c r="Z892" s="132"/>
      <c r="AA892" s="132"/>
      <c r="AB892" s="132"/>
      <c r="AC892" s="132"/>
      <c r="AD892" s="132"/>
      <c r="AE892" s="598"/>
      <c r="AF892" s="349"/>
      <c r="AG892" s="763">
        <v>0</v>
      </c>
      <c r="AH892" s="764">
        <v>0</v>
      </c>
      <c r="AI892" s="154"/>
      <c r="AJ892" s="782"/>
      <c r="AK892" s="154"/>
      <c r="AL892" s="154"/>
      <c r="AM892" s="154"/>
      <c r="AN892" s="789"/>
      <c r="AO892" s="136"/>
      <c r="AP892" s="136"/>
      <c r="AQ892" s="414"/>
      <c r="AR892" s="136"/>
      <c r="AS892" s="477"/>
      <c r="AT892" s="136"/>
      <c r="AU892" s="646"/>
      <c r="AV892" s="448"/>
    </row>
    <row r="893" spans="1:48" s="212" customFormat="1" ht="21" customHeight="1" outlineLevel="2" x14ac:dyDescent="0.25">
      <c r="A893" s="746" t="str">
        <f t="shared" si="181"/>
        <v>1.7.1.4.3.61</v>
      </c>
      <c r="B893" s="136">
        <v>1</v>
      </c>
      <c r="C893" s="136">
        <v>7</v>
      </c>
      <c r="D893" s="136">
        <v>1</v>
      </c>
      <c r="E893" s="136">
        <v>4</v>
      </c>
      <c r="F893" s="136">
        <v>3</v>
      </c>
      <c r="G893" s="136">
        <v>61</v>
      </c>
      <c r="H893" s="753"/>
      <c r="I893" s="753"/>
      <c r="J893" s="753"/>
      <c r="K893" s="753" t="s">
        <v>974</v>
      </c>
      <c r="L893" s="136" t="s">
        <v>209</v>
      </c>
      <c r="M893" s="136" t="s">
        <v>73</v>
      </c>
      <c r="N893" s="136" t="s">
        <v>818</v>
      </c>
      <c r="O893" s="136" t="s">
        <v>737</v>
      </c>
      <c r="P893" s="136"/>
      <c r="Q893" s="136"/>
      <c r="R893" s="136"/>
      <c r="S893" s="125"/>
      <c r="T893" s="136"/>
      <c r="U893" s="132"/>
      <c r="V893" s="674">
        <v>0</v>
      </c>
      <c r="W893" s="132"/>
      <c r="X893" s="132"/>
      <c r="Y893" s="834">
        <f t="shared" si="185"/>
        <v>0</v>
      </c>
      <c r="Z893" s="132"/>
      <c r="AA893" s="132"/>
      <c r="AB893" s="132"/>
      <c r="AC893" s="132"/>
      <c r="AD893" s="132"/>
      <c r="AE893" s="598"/>
      <c r="AF893" s="349"/>
      <c r="AG893" s="763">
        <v>0</v>
      </c>
      <c r="AH893" s="764">
        <v>0</v>
      </c>
      <c r="AI893" s="154"/>
      <c r="AJ893" s="782"/>
      <c r="AK893" s="154"/>
      <c r="AL893" s="154"/>
      <c r="AM893" s="154"/>
      <c r="AN893" s="789"/>
      <c r="AO893" s="136"/>
      <c r="AP893" s="136"/>
      <c r="AQ893" s="414"/>
      <c r="AR893" s="136"/>
      <c r="AS893" s="477"/>
      <c r="AT893" s="136"/>
      <c r="AU893" s="646"/>
      <c r="AV893" s="448"/>
    </row>
    <row r="894" spans="1:48" s="212" customFormat="1" ht="21" customHeight="1" outlineLevel="2" x14ac:dyDescent="0.25">
      <c r="A894" s="746" t="str">
        <f t="shared" si="181"/>
        <v>1.7.1.4.3.62</v>
      </c>
      <c r="B894" s="136">
        <v>1</v>
      </c>
      <c r="C894" s="136">
        <v>7</v>
      </c>
      <c r="D894" s="136">
        <v>1</v>
      </c>
      <c r="E894" s="136">
        <v>4</v>
      </c>
      <c r="F894" s="136">
        <v>3</v>
      </c>
      <c r="G894" s="136">
        <v>62</v>
      </c>
      <c r="H894" s="753"/>
      <c r="I894" s="753"/>
      <c r="J894" s="753"/>
      <c r="K894" s="753" t="s">
        <v>975</v>
      </c>
      <c r="L894" s="136" t="s">
        <v>209</v>
      </c>
      <c r="M894" s="136" t="s">
        <v>73</v>
      </c>
      <c r="N894" s="136" t="s">
        <v>818</v>
      </c>
      <c r="O894" s="136" t="s">
        <v>737</v>
      </c>
      <c r="P894" s="136"/>
      <c r="Q894" s="136"/>
      <c r="R894" s="136"/>
      <c r="S894" s="125"/>
      <c r="T894" s="136"/>
      <c r="U894" s="132"/>
      <c r="V894" s="674">
        <v>0</v>
      </c>
      <c r="W894" s="132"/>
      <c r="X894" s="132"/>
      <c r="Y894" s="834">
        <f t="shared" si="185"/>
        <v>0</v>
      </c>
      <c r="Z894" s="132"/>
      <c r="AA894" s="132"/>
      <c r="AB894" s="132"/>
      <c r="AC894" s="132"/>
      <c r="AD894" s="132"/>
      <c r="AE894" s="598"/>
      <c r="AF894" s="349"/>
      <c r="AG894" s="763">
        <v>0</v>
      </c>
      <c r="AH894" s="764">
        <v>0</v>
      </c>
      <c r="AI894" s="154"/>
      <c r="AJ894" s="782"/>
      <c r="AK894" s="154"/>
      <c r="AL894" s="154"/>
      <c r="AM894" s="154"/>
      <c r="AN894" s="789"/>
      <c r="AO894" s="136"/>
      <c r="AP894" s="136"/>
      <c r="AQ894" s="414"/>
      <c r="AR894" s="136"/>
      <c r="AS894" s="477"/>
      <c r="AT894" s="136"/>
      <c r="AU894" s="646"/>
      <c r="AV894" s="448"/>
    </row>
    <row r="895" spans="1:48" s="212" customFormat="1" ht="21" customHeight="1" outlineLevel="2" x14ac:dyDescent="0.25">
      <c r="A895" s="746" t="str">
        <f t="shared" si="181"/>
        <v>1.7.1.4.3.63</v>
      </c>
      <c r="B895" s="136">
        <v>1</v>
      </c>
      <c r="C895" s="136">
        <v>7</v>
      </c>
      <c r="D895" s="136">
        <v>1</v>
      </c>
      <c r="E895" s="136">
        <v>4</v>
      </c>
      <c r="F895" s="136">
        <v>3</v>
      </c>
      <c r="G895" s="136">
        <v>63</v>
      </c>
      <c r="H895" s="753"/>
      <c r="I895" s="753"/>
      <c r="J895" s="753"/>
      <c r="K895" s="753" t="s">
        <v>1766</v>
      </c>
      <c r="L895" s="136" t="s">
        <v>209</v>
      </c>
      <c r="M895" s="136" t="s">
        <v>73</v>
      </c>
      <c r="N895" s="136" t="s">
        <v>818</v>
      </c>
      <c r="O895" s="136" t="s">
        <v>737</v>
      </c>
      <c r="P895" s="136"/>
      <c r="Q895" s="136"/>
      <c r="R895" s="136"/>
      <c r="S895" s="125"/>
      <c r="T895" s="136"/>
      <c r="U895" s="132"/>
      <c r="V895" s="674">
        <v>0</v>
      </c>
      <c r="W895" s="132"/>
      <c r="X895" s="132"/>
      <c r="Y895" s="834">
        <f t="shared" si="185"/>
        <v>0</v>
      </c>
      <c r="Z895" s="132"/>
      <c r="AA895" s="132"/>
      <c r="AB895" s="132"/>
      <c r="AC895" s="132"/>
      <c r="AD895" s="132"/>
      <c r="AE895" s="598"/>
      <c r="AF895" s="349"/>
      <c r="AG895" s="763">
        <v>0</v>
      </c>
      <c r="AH895" s="764">
        <v>0</v>
      </c>
      <c r="AI895" s="154"/>
      <c r="AJ895" s="782"/>
      <c r="AK895" s="154"/>
      <c r="AL895" s="154"/>
      <c r="AM895" s="154"/>
      <c r="AN895" s="789"/>
      <c r="AO895" s="136"/>
      <c r="AP895" s="136"/>
      <c r="AQ895" s="414"/>
      <c r="AR895" s="136"/>
      <c r="AS895" s="477"/>
      <c r="AT895" s="136"/>
      <c r="AU895" s="646"/>
      <c r="AV895" s="448"/>
    </row>
    <row r="896" spans="1:48" s="212" customFormat="1" ht="21" customHeight="1" outlineLevel="2" x14ac:dyDescent="0.25">
      <c r="A896" s="746" t="str">
        <f t="shared" si="181"/>
        <v>1.7.1.4.3.64</v>
      </c>
      <c r="B896" s="136">
        <v>1</v>
      </c>
      <c r="C896" s="136">
        <v>7</v>
      </c>
      <c r="D896" s="136">
        <v>1</v>
      </c>
      <c r="E896" s="136">
        <v>4</v>
      </c>
      <c r="F896" s="136">
        <v>3</v>
      </c>
      <c r="G896" s="136">
        <v>64</v>
      </c>
      <c r="H896" s="753"/>
      <c r="I896" s="753"/>
      <c r="J896" s="753"/>
      <c r="K896" s="753" t="s">
        <v>976</v>
      </c>
      <c r="L896" s="136" t="s">
        <v>209</v>
      </c>
      <c r="M896" s="136" t="s">
        <v>73</v>
      </c>
      <c r="N896" s="136" t="s">
        <v>818</v>
      </c>
      <c r="O896" s="136" t="s">
        <v>737</v>
      </c>
      <c r="P896" s="136"/>
      <c r="Q896" s="136"/>
      <c r="R896" s="136"/>
      <c r="S896" s="125"/>
      <c r="T896" s="136"/>
      <c r="U896" s="132"/>
      <c r="V896" s="674">
        <v>0</v>
      </c>
      <c r="W896" s="132"/>
      <c r="X896" s="132"/>
      <c r="Y896" s="834">
        <f t="shared" si="185"/>
        <v>0</v>
      </c>
      <c r="Z896" s="132"/>
      <c r="AA896" s="132"/>
      <c r="AB896" s="132"/>
      <c r="AC896" s="132"/>
      <c r="AD896" s="132"/>
      <c r="AE896" s="598"/>
      <c r="AF896" s="349"/>
      <c r="AG896" s="763">
        <v>0</v>
      </c>
      <c r="AH896" s="764">
        <v>0</v>
      </c>
      <c r="AI896" s="154"/>
      <c r="AJ896" s="782"/>
      <c r="AK896" s="154"/>
      <c r="AL896" s="154"/>
      <c r="AM896" s="154"/>
      <c r="AN896" s="789"/>
      <c r="AO896" s="136"/>
      <c r="AP896" s="136"/>
      <c r="AQ896" s="414"/>
      <c r="AR896" s="136"/>
      <c r="AS896" s="477"/>
      <c r="AT896" s="136"/>
      <c r="AU896" s="646"/>
      <c r="AV896" s="448"/>
    </row>
    <row r="897" spans="1:48" s="212" customFormat="1" ht="15" customHeight="1" outlineLevel="2" x14ac:dyDescent="0.25">
      <c r="A897" s="747" t="str">
        <f t="shared" si="181"/>
        <v>1.7.1.4.4.58-64</v>
      </c>
      <c r="B897" s="235">
        <v>1</v>
      </c>
      <c r="C897" s="235">
        <v>7</v>
      </c>
      <c r="D897" s="235">
        <v>1</v>
      </c>
      <c r="E897" s="235">
        <v>4</v>
      </c>
      <c r="F897" s="235">
        <v>4</v>
      </c>
      <c r="G897" s="235" t="s">
        <v>64</v>
      </c>
      <c r="H897" s="757"/>
      <c r="I897" s="758"/>
      <c r="J897" s="753"/>
      <c r="K897" s="759" t="s">
        <v>263</v>
      </c>
      <c r="L897" s="235" t="s">
        <v>209</v>
      </c>
      <c r="M897" s="235" t="s">
        <v>73</v>
      </c>
      <c r="N897" s="235" t="s">
        <v>818</v>
      </c>
      <c r="O897" s="235" t="s">
        <v>737</v>
      </c>
      <c r="P897" s="236"/>
      <c r="Q897" s="236"/>
      <c r="R897" s="236"/>
      <c r="S897" s="236"/>
      <c r="T897" s="236"/>
      <c r="U897" s="237"/>
      <c r="V897" s="674">
        <v>0</v>
      </c>
      <c r="W897" s="237"/>
      <c r="X897" s="237"/>
      <c r="Y897" s="834">
        <f t="shared" si="185"/>
        <v>0</v>
      </c>
      <c r="Z897" s="237"/>
      <c r="AA897" s="238"/>
      <c r="AB897" s="238"/>
      <c r="AC897" s="132"/>
      <c r="AD897" s="239"/>
      <c r="AE897" s="239"/>
      <c r="AF897" s="363"/>
      <c r="AG897" s="763">
        <v>0</v>
      </c>
      <c r="AH897" s="764">
        <v>0</v>
      </c>
      <c r="AI897" s="328"/>
      <c r="AJ897" s="783"/>
      <c r="AK897" s="328"/>
      <c r="AL897" s="328"/>
      <c r="AM897" s="328"/>
      <c r="AN897" s="790"/>
      <c r="AO897" s="221"/>
      <c r="AP897" s="221"/>
      <c r="AQ897" s="221"/>
      <c r="AR897" s="221"/>
      <c r="AS897" s="240"/>
      <c r="AT897" s="221"/>
      <c r="AU897" s="654"/>
    </row>
    <row r="898" spans="1:48" s="153" customFormat="1" ht="27" customHeight="1" outlineLevel="1" x14ac:dyDescent="0.25">
      <c r="A898" s="744" t="str">
        <f t="shared" si="181"/>
        <v>1.7.1.5.0.0</v>
      </c>
      <c r="B898" s="82">
        <v>1</v>
      </c>
      <c r="C898" s="82">
        <v>7</v>
      </c>
      <c r="D898" s="82">
        <v>1</v>
      </c>
      <c r="E898" s="82">
        <v>5</v>
      </c>
      <c r="F898" s="82">
        <v>0</v>
      </c>
      <c r="G898" s="82">
        <v>0</v>
      </c>
      <c r="H898" s="749"/>
      <c r="I898" s="749"/>
      <c r="J898" s="1304" t="s">
        <v>687</v>
      </c>
      <c r="K898" s="1303"/>
      <c r="L898" s="82" t="s">
        <v>72</v>
      </c>
      <c r="M898" s="82" t="s">
        <v>977</v>
      </c>
      <c r="N898" s="83" t="s">
        <v>978</v>
      </c>
      <c r="O898" s="82" t="s">
        <v>737</v>
      </c>
      <c r="P898" s="82"/>
      <c r="Q898" s="82"/>
      <c r="R898" s="82"/>
      <c r="S898" s="149"/>
      <c r="T898" s="82"/>
      <c r="U898" s="379">
        <f t="shared" ref="U898:AG898" si="186">+SUM(U899:U901)</f>
        <v>0</v>
      </c>
      <c r="V898" s="682">
        <f t="shared" si="186"/>
        <v>0</v>
      </c>
      <c r="W898" s="379">
        <f t="shared" si="186"/>
        <v>0</v>
      </c>
      <c r="X898" s="379">
        <f t="shared" si="186"/>
        <v>0</v>
      </c>
      <c r="Y898" s="845">
        <f t="shared" si="186"/>
        <v>750000</v>
      </c>
      <c r="Z898" s="379">
        <f t="shared" si="186"/>
        <v>0</v>
      </c>
      <c r="AA898" s="379">
        <f t="shared" si="186"/>
        <v>0</v>
      </c>
      <c r="AB898" s="379">
        <f t="shared" si="186"/>
        <v>0</v>
      </c>
      <c r="AC898" s="379">
        <f t="shared" si="186"/>
        <v>0</v>
      </c>
      <c r="AD898" s="379">
        <f t="shared" si="186"/>
        <v>0</v>
      </c>
      <c r="AE898" s="379">
        <f t="shared" si="186"/>
        <v>0</v>
      </c>
      <c r="AF898" s="379">
        <f t="shared" si="186"/>
        <v>0</v>
      </c>
      <c r="AG898" s="766">
        <f t="shared" si="186"/>
        <v>0</v>
      </c>
      <c r="AH898" s="766">
        <f>+SUM(AH899:AH901)</f>
        <v>1728000.04</v>
      </c>
      <c r="AI898" s="512">
        <f>+SUM(AI899:AI901)</f>
        <v>0</v>
      </c>
      <c r="AJ898" s="772">
        <f>+SUM(AJ899:AJ901)</f>
        <v>750000</v>
      </c>
      <c r="AK898" s="152"/>
      <c r="AL898" s="152"/>
      <c r="AM898" s="152"/>
      <c r="AN898" s="786" t="s">
        <v>39</v>
      </c>
      <c r="AO898" s="82"/>
      <c r="AP898" s="82"/>
      <c r="AQ898" s="365"/>
      <c r="AR898" s="82"/>
      <c r="AS898" s="483"/>
      <c r="AT898" s="82"/>
      <c r="AU898" s="666"/>
      <c r="AV898" s="444"/>
    </row>
    <row r="899" spans="1:48" ht="33" customHeight="1" outlineLevel="2" x14ac:dyDescent="0.25">
      <c r="A899" s="745" t="str">
        <f t="shared" si="181"/>
        <v>1.7.1.5.1.58-64</v>
      </c>
      <c r="B899" s="64">
        <v>1</v>
      </c>
      <c r="C899" s="64">
        <v>7</v>
      </c>
      <c r="D899" s="64">
        <v>1</v>
      </c>
      <c r="E899" s="64">
        <v>5</v>
      </c>
      <c r="F899" s="64">
        <v>1</v>
      </c>
      <c r="G899" s="64" t="s">
        <v>64</v>
      </c>
      <c r="H899" s="750"/>
      <c r="I899" s="750"/>
      <c r="J899" s="751"/>
      <c r="K899" s="750" t="s">
        <v>869</v>
      </c>
      <c r="L899" s="64" t="s">
        <v>72</v>
      </c>
      <c r="M899" s="64" t="s">
        <v>73</v>
      </c>
      <c r="N899" s="64" t="s">
        <v>74</v>
      </c>
      <c r="O899" s="64" t="s">
        <v>737</v>
      </c>
      <c r="P899" s="64"/>
      <c r="Q899" s="64"/>
      <c r="R899" s="64"/>
      <c r="S899" s="65"/>
      <c r="T899" s="64"/>
      <c r="U899" s="75"/>
      <c r="V899" s="674">
        <v>0</v>
      </c>
      <c r="W899" s="75"/>
      <c r="X899" s="75"/>
      <c r="Y899" s="834">
        <f>+AJ899-V899</f>
        <v>750000</v>
      </c>
      <c r="Z899" s="75"/>
      <c r="AA899" s="75"/>
      <c r="AB899" s="75"/>
      <c r="AC899" s="75"/>
      <c r="AD899" s="75"/>
      <c r="AE899" s="592"/>
      <c r="AF899" s="259"/>
      <c r="AG899" s="763">
        <v>0</v>
      </c>
      <c r="AH899" s="764">
        <f>500000+1228000+0.04</f>
        <v>1728000.04</v>
      </c>
      <c r="AI899" s="75"/>
      <c r="AJ899" s="777">
        <f>300000+450000</f>
        <v>750000</v>
      </c>
      <c r="AK899" s="75"/>
      <c r="AL899" s="75"/>
      <c r="AM899" s="75"/>
      <c r="AN899" s="787"/>
      <c r="AO899" s="313" t="s">
        <v>1819</v>
      </c>
      <c r="AP899" s="313" t="s">
        <v>2160</v>
      </c>
      <c r="AQ899" s="408" t="s">
        <v>2161</v>
      </c>
      <c r="AR899" s="69">
        <v>44658</v>
      </c>
      <c r="AS899" s="562">
        <v>45023</v>
      </c>
      <c r="AT899" s="89" t="s">
        <v>2029</v>
      </c>
      <c r="AU899" s="883" t="s">
        <v>2162</v>
      </c>
      <c r="AV899" s="335" t="s">
        <v>979</v>
      </c>
    </row>
    <row r="900" spans="1:48" s="212" customFormat="1" ht="26.25" customHeight="1" outlineLevel="2" x14ac:dyDescent="0.25">
      <c r="A900" s="746" t="str">
        <f t="shared" si="181"/>
        <v>1.7.1.5.2.58-64</v>
      </c>
      <c r="B900" s="136">
        <v>1</v>
      </c>
      <c r="C900" s="136">
        <v>7</v>
      </c>
      <c r="D900" s="136">
        <v>1</v>
      </c>
      <c r="E900" s="136">
        <v>5</v>
      </c>
      <c r="F900" s="136">
        <v>2</v>
      </c>
      <c r="G900" s="136" t="s">
        <v>64</v>
      </c>
      <c r="H900" s="753"/>
      <c r="I900" s="753"/>
      <c r="J900" s="753"/>
      <c r="K900" s="753" t="s">
        <v>628</v>
      </c>
      <c r="L900" s="136" t="s">
        <v>72</v>
      </c>
      <c r="M900" s="64" t="s">
        <v>73</v>
      </c>
      <c r="N900" s="64" t="s">
        <v>834</v>
      </c>
      <c r="O900" s="64" t="s">
        <v>737</v>
      </c>
      <c r="P900" s="64"/>
      <c r="Q900" s="64"/>
      <c r="R900" s="136"/>
      <c r="S900" s="65"/>
      <c r="T900" s="64"/>
      <c r="U900" s="132"/>
      <c r="V900" s="674">
        <v>0</v>
      </c>
      <c r="W900" s="75"/>
      <c r="X900" s="132"/>
      <c r="Y900" s="834">
        <f>+AJ900-V900</f>
        <v>0</v>
      </c>
      <c r="Z900" s="75"/>
      <c r="AA900" s="132"/>
      <c r="AB900" s="75"/>
      <c r="AC900" s="75"/>
      <c r="AD900" s="132"/>
      <c r="AE900" s="592"/>
      <c r="AF900" s="259"/>
      <c r="AG900" s="763">
        <v>0</v>
      </c>
      <c r="AH900" s="775">
        <v>0</v>
      </c>
      <c r="AI900" s="132"/>
      <c r="AJ900" s="784"/>
      <c r="AK900" s="132"/>
      <c r="AL900" s="132"/>
      <c r="AM900" s="132"/>
      <c r="AN900" s="789"/>
      <c r="AO900" s="136"/>
      <c r="AP900" s="136"/>
      <c r="AQ900" s="136"/>
      <c r="AR900" s="136"/>
      <c r="AS900" s="136"/>
      <c r="AT900" s="136"/>
      <c r="AU900" s="646"/>
      <c r="AV900" s="448"/>
    </row>
    <row r="901" spans="1:48" ht="21.75" customHeight="1" outlineLevel="2" x14ac:dyDescent="0.25">
      <c r="A901" s="745" t="str">
        <f t="shared" si="181"/>
        <v>1.7.1.5.3.58-64</v>
      </c>
      <c r="B901" s="64">
        <v>1</v>
      </c>
      <c r="C901" s="64">
        <v>7</v>
      </c>
      <c r="D901" s="64">
        <v>1</v>
      </c>
      <c r="E901" s="64">
        <v>5</v>
      </c>
      <c r="F901" s="64">
        <v>3</v>
      </c>
      <c r="G901" s="64" t="s">
        <v>64</v>
      </c>
      <c r="H901" s="750"/>
      <c r="I901" s="750"/>
      <c r="J901" s="751"/>
      <c r="K901" s="750" t="s">
        <v>980</v>
      </c>
      <c r="L901" s="64" t="s">
        <v>72</v>
      </c>
      <c r="M901" s="64" t="s">
        <v>73</v>
      </c>
      <c r="N901" s="64" t="s">
        <v>74</v>
      </c>
      <c r="O901" s="64" t="s">
        <v>737</v>
      </c>
      <c r="P901" s="64"/>
      <c r="Q901" s="64"/>
      <c r="R901" s="64"/>
      <c r="S901" s="65"/>
      <c r="T901" s="64"/>
      <c r="U901" s="75"/>
      <c r="V901" s="674">
        <v>0</v>
      </c>
      <c r="W901" s="75"/>
      <c r="X901" s="75"/>
      <c r="Y901" s="834">
        <f>+AJ901-V901</f>
        <v>0</v>
      </c>
      <c r="Z901" s="75"/>
      <c r="AA901" s="75"/>
      <c r="AB901" s="75"/>
      <c r="AC901" s="75"/>
      <c r="AD901" s="75"/>
      <c r="AE901" s="592"/>
      <c r="AF901" s="259"/>
      <c r="AG901" s="763">
        <v>0</v>
      </c>
      <c r="AH901" s="764">
        <v>0</v>
      </c>
      <c r="AI901" s="75"/>
      <c r="AJ901" s="777"/>
      <c r="AK901" s="75"/>
      <c r="AL901" s="75"/>
      <c r="AM901" s="75"/>
      <c r="AN901" s="787"/>
      <c r="AO901" s="64"/>
      <c r="AP901" s="64"/>
      <c r="AQ901" s="189"/>
      <c r="AR901" s="64"/>
      <c r="AS901" s="476"/>
      <c r="AT901" s="64"/>
      <c r="AU901" s="646"/>
      <c r="AV901" s="185"/>
    </row>
    <row r="902" spans="1:48" s="153" customFormat="1" ht="33.75" customHeight="1" outlineLevel="1" x14ac:dyDescent="0.25">
      <c r="A902" s="108" t="str">
        <f t="shared" si="181"/>
        <v>1.8.1.0.0.0</v>
      </c>
      <c r="B902" s="109">
        <v>1</v>
      </c>
      <c r="C902" s="109">
        <v>8</v>
      </c>
      <c r="D902" s="109">
        <v>1</v>
      </c>
      <c r="E902" s="109">
        <v>0</v>
      </c>
      <c r="F902" s="109">
        <v>0</v>
      </c>
      <c r="G902" s="109">
        <v>0</v>
      </c>
      <c r="H902" s="110"/>
      <c r="I902" s="1258" t="s">
        <v>981</v>
      </c>
      <c r="J902" s="1259"/>
      <c r="K902" s="1259"/>
      <c r="L902" s="109" t="s">
        <v>982</v>
      </c>
      <c r="M902" s="113" t="s">
        <v>983</v>
      </c>
      <c r="N902" s="109" t="s">
        <v>226</v>
      </c>
      <c r="O902" s="109" t="s">
        <v>984</v>
      </c>
      <c r="P902" s="109"/>
      <c r="Q902" s="109"/>
      <c r="R902" s="109"/>
      <c r="S902" s="110"/>
      <c r="T902" s="109"/>
      <c r="U902" s="374">
        <f t="shared" ref="U902:AG902" si="187">+U903+U912+U929</f>
        <v>0</v>
      </c>
      <c r="V902" s="686">
        <f t="shared" si="187"/>
        <v>0</v>
      </c>
      <c r="W902" s="374">
        <f t="shared" si="187"/>
        <v>4000</v>
      </c>
      <c r="X902" s="374">
        <f t="shared" si="187"/>
        <v>0</v>
      </c>
      <c r="Y902" s="837">
        <f t="shared" si="187"/>
        <v>0</v>
      </c>
      <c r="Z902" s="374">
        <f t="shared" si="187"/>
        <v>4000</v>
      </c>
      <c r="AA902" s="374">
        <f t="shared" si="187"/>
        <v>0</v>
      </c>
      <c r="AB902" s="374">
        <f t="shared" si="187"/>
        <v>0</v>
      </c>
      <c r="AC902" s="374">
        <f t="shared" si="187"/>
        <v>4000</v>
      </c>
      <c r="AD902" s="374">
        <f t="shared" si="187"/>
        <v>0</v>
      </c>
      <c r="AE902" s="374">
        <f t="shared" si="187"/>
        <v>0</v>
      </c>
      <c r="AF902" s="374">
        <f t="shared" si="187"/>
        <v>0</v>
      </c>
      <c r="AG902" s="374">
        <f t="shared" si="187"/>
        <v>0</v>
      </c>
      <c r="AH902" s="374">
        <f>+AH903+AH912+AH929</f>
        <v>0</v>
      </c>
      <c r="AI902" s="514">
        <f>+AI903+AI912+AI929</f>
        <v>0</v>
      </c>
      <c r="AJ902" s="514">
        <f>+AJ903+AJ912+AJ929</f>
        <v>0</v>
      </c>
      <c r="AK902" s="112"/>
      <c r="AL902" s="112"/>
      <c r="AM902" s="112"/>
      <c r="AN902" s="109" t="s">
        <v>39</v>
      </c>
      <c r="AO902" s="109"/>
      <c r="AP902" s="109"/>
      <c r="AQ902" s="411"/>
      <c r="AR902" s="109"/>
      <c r="AS902" s="473"/>
      <c r="AT902" s="109"/>
      <c r="AU902" s="659"/>
      <c r="AV902" s="445"/>
    </row>
    <row r="903" spans="1:48" s="153" customFormat="1" ht="24.75" customHeight="1" outlineLevel="1" x14ac:dyDescent="0.25">
      <c r="A903" s="148" t="str">
        <f t="shared" si="181"/>
        <v>1.8.1.1.0.0</v>
      </c>
      <c r="B903" s="82">
        <v>1</v>
      </c>
      <c r="C903" s="82">
        <v>8</v>
      </c>
      <c r="D903" s="82">
        <v>1</v>
      </c>
      <c r="E903" s="82">
        <v>1</v>
      </c>
      <c r="F903" s="82">
        <v>0</v>
      </c>
      <c r="G903" s="82">
        <v>0</v>
      </c>
      <c r="H903" s="149"/>
      <c r="I903" s="149"/>
      <c r="J903" s="1260" t="s">
        <v>985</v>
      </c>
      <c r="K903" s="1259"/>
      <c r="L903" s="82" t="s">
        <v>986</v>
      </c>
      <c r="M903" s="83" t="s">
        <v>987</v>
      </c>
      <c r="N903" s="82" t="s">
        <v>988</v>
      </c>
      <c r="O903" s="82" t="s">
        <v>359</v>
      </c>
      <c r="P903" s="82"/>
      <c r="Q903" s="82"/>
      <c r="R903" s="82"/>
      <c r="S903" s="149"/>
      <c r="T903" s="82"/>
      <c r="U903" s="379">
        <f t="shared" ref="U903:AG903" si="188">SUM(U904:U911)</f>
        <v>0</v>
      </c>
      <c r="V903" s="682">
        <f t="shared" si="188"/>
        <v>0</v>
      </c>
      <c r="W903" s="379">
        <f t="shared" si="188"/>
        <v>0</v>
      </c>
      <c r="X903" s="379">
        <f t="shared" si="188"/>
        <v>0</v>
      </c>
      <c r="Y903" s="845">
        <f t="shared" si="188"/>
        <v>0</v>
      </c>
      <c r="Z903" s="379">
        <f t="shared" si="188"/>
        <v>0</v>
      </c>
      <c r="AA903" s="379">
        <f t="shared" si="188"/>
        <v>0</v>
      </c>
      <c r="AB903" s="379">
        <f t="shared" si="188"/>
        <v>0</v>
      </c>
      <c r="AC903" s="379">
        <f t="shared" si="188"/>
        <v>0</v>
      </c>
      <c r="AD903" s="379">
        <f t="shared" si="188"/>
        <v>0</v>
      </c>
      <c r="AE903" s="379">
        <f t="shared" si="188"/>
        <v>0</v>
      </c>
      <c r="AF903" s="379">
        <f t="shared" si="188"/>
        <v>0</v>
      </c>
      <c r="AG903" s="379">
        <f t="shared" si="188"/>
        <v>0</v>
      </c>
      <c r="AH903" s="379">
        <f>SUM(AH904:AH911)</f>
        <v>0</v>
      </c>
      <c r="AI903" s="512">
        <f>SUM(AI904:AI911)</f>
        <v>0</v>
      </c>
      <c r="AJ903" s="512">
        <f>SUM(AJ904:AJ911)</f>
        <v>0</v>
      </c>
      <c r="AK903" s="152"/>
      <c r="AL903" s="152"/>
      <c r="AM903" s="152"/>
      <c r="AN903" s="82" t="s">
        <v>39</v>
      </c>
      <c r="AO903" s="82"/>
      <c r="AP903" s="82"/>
      <c r="AQ903" s="365"/>
      <c r="AR903" s="82"/>
      <c r="AS903" s="483"/>
      <c r="AT903" s="82"/>
      <c r="AU903" s="666"/>
      <c r="AV903" s="444"/>
    </row>
    <row r="904" spans="1:48" ht="40.5" customHeight="1" outlineLevel="3" x14ac:dyDescent="0.25">
      <c r="A904" s="63" t="str">
        <f t="shared" si="181"/>
        <v>1.8.1.1.1.58-64</v>
      </c>
      <c r="B904" s="64">
        <v>1</v>
      </c>
      <c r="C904" s="64">
        <v>8</v>
      </c>
      <c r="D904" s="64">
        <v>1</v>
      </c>
      <c r="E904" s="64">
        <v>1</v>
      </c>
      <c r="F904" s="64">
        <v>1</v>
      </c>
      <c r="G904" s="64" t="s">
        <v>64</v>
      </c>
      <c r="H904" s="65"/>
      <c r="I904" s="65"/>
      <c r="J904" s="66"/>
      <c r="K904" s="67" t="s">
        <v>989</v>
      </c>
      <c r="L904" s="64" t="s">
        <v>986</v>
      </c>
      <c r="M904" s="64" t="s">
        <v>990</v>
      </c>
      <c r="N904" s="64" t="s">
        <v>988</v>
      </c>
      <c r="O904" s="64" t="s">
        <v>359</v>
      </c>
      <c r="P904" s="69">
        <v>44197</v>
      </c>
      <c r="Q904" s="69">
        <v>44285</v>
      </c>
      <c r="R904" s="64">
        <v>7</v>
      </c>
      <c r="S904" s="65"/>
      <c r="T904" s="64"/>
      <c r="U904" s="75"/>
      <c r="V904" s="674">
        <v>0</v>
      </c>
      <c r="W904" s="75"/>
      <c r="X904" s="75"/>
      <c r="Y904" s="834">
        <f t="shared" ref="Y904:Y911" si="189">+AJ904-V904</f>
        <v>0</v>
      </c>
      <c r="Z904" s="75"/>
      <c r="AA904" s="75"/>
      <c r="AB904" s="75"/>
      <c r="AC904" s="75"/>
      <c r="AD904" s="75"/>
      <c r="AE904" s="592"/>
      <c r="AF904" s="259"/>
      <c r="AG904" s="510">
        <v>0</v>
      </c>
      <c r="AH904" s="370">
        <v>0</v>
      </c>
      <c r="AI904" s="154"/>
      <c r="AJ904" s="154"/>
      <c r="AK904" s="154"/>
      <c r="AL904" s="154"/>
      <c r="AM904" s="154"/>
      <c r="AN904" s="64" t="s">
        <v>39</v>
      </c>
      <c r="AO904" s="64"/>
      <c r="AP904" s="64"/>
      <c r="AQ904" s="189"/>
      <c r="AR904" s="64"/>
      <c r="AS904" s="476"/>
      <c r="AT904" s="64"/>
      <c r="AU904" s="646"/>
      <c r="AV904" s="185"/>
    </row>
    <row r="905" spans="1:48" ht="39" customHeight="1" outlineLevel="3" x14ac:dyDescent="0.25">
      <c r="A905" s="63" t="str">
        <f t="shared" si="181"/>
        <v>1.8.1.1.2.58</v>
      </c>
      <c r="B905" s="64">
        <v>1</v>
      </c>
      <c r="C905" s="64">
        <v>8</v>
      </c>
      <c r="D905" s="64">
        <v>1</v>
      </c>
      <c r="E905" s="64">
        <v>1</v>
      </c>
      <c r="F905" s="64">
        <v>2</v>
      </c>
      <c r="G905" s="64">
        <v>58</v>
      </c>
      <c r="H905" s="65"/>
      <c r="I905" s="65"/>
      <c r="J905" s="65"/>
      <c r="K905" s="67" t="s">
        <v>991</v>
      </c>
      <c r="L905" s="64" t="s">
        <v>986</v>
      </c>
      <c r="M905" s="64" t="s">
        <v>992</v>
      </c>
      <c r="N905" s="64" t="s">
        <v>993</v>
      </c>
      <c r="O905" s="64" t="s">
        <v>994</v>
      </c>
      <c r="P905" s="69">
        <v>44197</v>
      </c>
      <c r="Q905" s="69">
        <v>44285</v>
      </c>
      <c r="R905" s="64"/>
      <c r="S905" s="65"/>
      <c r="T905" s="64"/>
      <c r="U905" s="75"/>
      <c r="V905" s="674">
        <v>0</v>
      </c>
      <c r="W905" s="75"/>
      <c r="X905" s="75"/>
      <c r="Y905" s="834">
        <f t="shared" si="189"/>
        <v>0</v>
      </c>
      <c r="Z905" s="75"/>
      <c r="AA905" s="75"/>
      <c r="AB905" s="75"/>
      <c r="AC905" s="75"/>
      <c r="AD905" s="75"/>
      <c r="AE905" s="592"/>
      <c r="AF905" s="259"/>
      <c r="AG905" s="510">
        <v>0</v>
      </c>
      <c r="AH905" s="370">
        <v>0</v>
      </c>
      <c r="AI905" s="154"/>
      <c r="AJ905" s="154"/>
      <c r="AK905" s="154"/>
      <c r="AL905" s="154"/>
      <c r="AM905" s="154"/>
      <c r="AN905" s="64" t="s">
        <v>39</v>
      </c>
      <c r="AO905" s="64"/>
      <c r="AP905" s="64"/>
      <c r="AQ905" s="189"/>
      <c r="AR905" s="64"/>
      <c r="AS905" s="476"/>
      <c r="AT905" s="64"/>
      <c r="AU905" s="646"/>
      <c r="AV905" s="185"/>
    </row>
    <row r="906" spans="1:48" ht="39" customHeight="1" outlineLevel="3" x14ac:dyDescent="0.25">
      <c r="A906" s="63" t="str">
        <f t="shared" si="181"/>
        <v>1.8.1.1.2.59</v>
      </c>
      <c r="B906" s="64">
        <v>1</v>
      </c>
      <c r="C906" s="64">
        <v>8</v>
      </c>
      <c r="D906" s="64">
        <v>1</v>
      </c>
      <c r="E906" s="64">
        <v>1</v>
      </c>
      <c r="F906" s="64">
        <v>2</v>
      </c>
      <c r="G906" s="64">
        <v>59</v>
      </c>
      <c r="H906" s="65"/>
      <c r="I906" s="65"/>
      <c r="J906" s="65"/>
      <c r="K906" s="67" t="s">
        <v>995</v>
      </c>
      <c r="L906" s="64" t="s">
        <v>986</v>
      </c>
      <c r="M906" s="64" t="s">
        <v>992</v>
      </c>
      <c r="N906" s="64" t="s">
        <v>993</v>
      </c>
      <c r="O906" s="64" t="s">
        <v>994</v>
      </c>
      <c r="P906" s="69"/>
      <c r="Q906" s="69"/>
      <c r="R906" s="64"/>
      <c r="S906" s="65"/>
      <c r="T906" s="64"/>
      <c r="U906" s="75"/>
      <c r="V906" s="674">
        <v>0</v>
      </c>
      <c r="W906" s="75"/>
      <c r="X906" s="75"/>
      <c r="Y906" s="834">
        <f t="shared" si="189"/>
        <v>0</v>
      </c>
      <c r="Z906" s="75"/>
      <c r="AA906" s="75"/>
      <c r="AB906" s="75"/>
      <c r="AC906" s="75"/>
      <c r="AD906" s="75"/>
      <c r="AE906" s="592"/>
      <c r="AF906" s="259"/>
      <c r="AG906" s="510">
        <v>0</v>
      </c>
      <c r="AH906" s="370">
        <v>0</v>
      </c>
      <c r="AI906" s="154"/>
      <c r="AJ906" s="154"/>
      <c r="AK906" s="154"/>
      <c r="AL906" s="154"/>
      <c r="AM906" s="154"/>
      <c r="AN906" s="64" t="s">
        <v>39</v>
      </c>
      <c r="AO906" s="64"/>
      <c r="AP906" s="64"/>
      <c r="AQ906" s="189"/>
      <c r="AR906" s="64"/>
      <c r="AS906" s="476"/>
      <c r="AT906" s="64"/>
      <c r="AU906" s="646"/>
      <c r="AV906" s="185"/>
    </row>
    <row r="907" spans="1:48" ht="39" customHeight="1" outlineLevel="3" x14ac:dyDescent="0.25">
      <c r="A907" s="63" t="str">
        <f t="shared" si="181"/>
        <v>1.8.1.1.2.60</v>
      </c>
      <c r="B907" s="64">
        <v>1</v>
      </c>
      <c r="C907" s="64">
        <v>8</v>
      </c>
      <c r="D907" s="64">
        <v>1</v>
      </c>
      <c r="E907" s="64">
        <v>1</v>
      </c>
      <c r="F907" s="64">
        <v>2</v>
      </c>
      <c r="G907" s="64">
        <v>60</v>
      </c>
      <c r="H907" s="65"/>
      <c r="I907" s="65"/>
      <c r="J907" s="65"/>
      <c r="K907" s="67" t="s">
        <v>996</v>
      </c>
      <c r="L907" s="64" t="s">
        <v>986</v>
      </c>
      <c r="M907" s="64" t="s">
        <v>992</v>
      </c>
      <c r="N907" s="64" t="s">
        <v>993</v>
      </c>
      <c r="O907" s="64" t="s">
        <v>994</v>
      </c>
      <c r="P907" s="69"/>
      <c r="Q907" s="69"/>
      <c r="R907" s="64"/>
      <c r="S907" s="65"/>
      <c r="T907" s="64"/>
      <c r="U907" s="75"/>
      <c r="V907" s="674">
        <v>0</v>
      </c>
      <c r="W907" s="75"/>
      <c r="X907" s="75"/>
      <c r="Y907" s="834">
        <f t="shared" si="189"/>
        <v>0</v>
      </c>
      <c r="Z907" s="75"/>
      <c r="AA907" s="75"/>
      <c r="AB907" s="75"/>
      <c r="AC907" s="75"/>
      <c r="AD907" s="75"/>
      <c r="AE907" s="592"/>
      <c r="AF907" s="259"/>
      <c r="AG907" s="510">
        <v>0</v>
      </c>
      <c r="AH907" s="370">
        <v>0</v>
      </c>
      <c r="AI907" s="154"/>
      <c r="AJ907" s="154"/>
      <c r="AK907" s="154"/>
      <c r="AL907" s="154"/>
      <c r="AM907" s="154"/>
      <c r="AN907" s="64" t="s">
        <v>39</v>
      </c>
      <c r="AO907" s="64"/>
      <c r="AP907" s="64"/>
      <c r="AQ907" s="189"/>
      <c r="AR907" s="64"/>
      <c r="AS907" s="476"/>
      <c r="AT907" s="64"/>
      <c r="AU907" s="646"/>
      <c r="AV907" s="185"/>
    </row>
    <row r="908" spans="1:48" ht="39" customHeight="1" outlineLevel="3" x14ac:dyDescent="0.25">
      <c r="A908" s="63" t="str">
        <f t="shared" si="181"/>
        <v>1.8.1.1.2.61</v>
      </c>
      <c r="B908" s="64">
        <v>1</v>
      </c>
      <c r="C908" s="64">
        <v>8</v>
      </c>
      <c r="D908" s="64">
        <v>1</v>
      </c>
      <c r="E908" s="64">
        <v>1</v>
      </c>
      <c r="F908" s="64">
        <v>2</v>
      </c>
      <c r="G908" s="64">
        <v>61</v>
      </c>
      <c r="H908" s="65"/>
      <c r="I908" s="65"/>
      <c r="J908" s="65"/>
      <c r="K908" s="67" t="s">
        <v>997</v>
      </c>
      <c r="L908" s="64" t="s">
        <v>986</v>
      </c>
      <c r="M908" s="64" t="s">
        <v>992</v>
      </c>
      <c r="N908" s="64" t="s">
        <v>993</v>
      </c>
      <c r="O908" s="64" t="s">
        <v>994</v>
      </c>
      <c r="P908" s="69"/>
      <c r="Q908" s="69"/>
      <c r="R908" s="64"/>
      <c r="S908" s="65"/>
      <c r="T908" s="64"/>
      <c r="U908" s="75"/>
      <c r="V908" s="674">
        <v>0</v>
      </c>
      <c r="W908" s="75"/>
      <c r="X908" s="75"/>
      <c r="Y908" s="834">
        <f t="shared" si="189"/>
        <v>0</v>
      </c>
      <c r="Z908" s="75"/>
      <c r="AA908" s="75"/>
      <c r="AB908" s="75"/>
      <c r="AC908" s="75"/>
      <c r="AD908" s="75"/>
      <c r="AE908" s="592"/>
      <c r="AF908" s="259"/>
      <c r="AG908" s="510">
        <v>0</v>
      </c>
      <c r="AH908" s="370">
        <v>0</v>
      </c>
      <c r="AI908" s="154"/>
      <c r="AJ908" s="154"/>
      <c r="AK908" s="154"/>
      <c r="AL908" s="154"/>
      <c r="AM908" s="154"/>
      <c r="AN908" s="64" t="s">
        <v>39</v>
      </c>
      <c r="AO908" s="64"/>
      <c r="AP908" s="64"/>
      <c r="AQ908" s="189"/>
      <c r="AR908" s="64"/>
      <c r="AS908" s="476"/>
      <c r="AT908" s="64"/>
      <c r="AU908" s="646"/>
      <c r="AV908" s="185"/>
    </row>
    <row r="909" spans="1:48" ht="39" customHeight="1" outlineLevel="3" x14ac:dyDescent="0.25">
      <c r="A909" s="63" t="str">
        <f t="shared" si="181"/>
        <v>1.8.1.1.2.62</v>
      </c>
      <c r="B909" s="64">
        <v>1</v>
      </c>
      <c r="C909" s="64">
        <v>8</v>
      </c>
      <c r="D909" s="64">
        <v>1</v>
      </c>
      <c r="E909" s="64">
        <v>1</v>
      </c>
      <c r="F909" s="64">
        <v>2</v>
      </c>
      <c r="G909" s="64">
        <v>62</v>
      </c>
      <c r="H909" s="65"/>
      <c r="I909" s="65"/>
      <c r="J909" s="65"/>
      <c r="K909" s="67" t="s">
        <v>998</v>
      </c>
      <c r="L909" s="64" t="s">
        <v>986</v>
      </c>
      <c r="M909" s="64" t="s">
        <v>992</v>
      </c>
      <c r="N909" s="64" t="s">
        <v>993</v>
      </c>
      <c r="O909" s="64" t="s">
        <v>994</v>
      </c>
      <c r="P909" s="69"/>
      <c r="Q909" s="69"/>
      <c r="R909" s="64"/>
      <c r="S909" s="65"/>
      <c r="T909" s="64"/>
      <c r="U909" s="75"/>
      <c r="V909" s="674">
        <v>0</v>
      </c>
      <c r="W909" s="75"/>
      <c r="X909" s="75"/>
      <c r="Y909" s="834">
        <f t="shared" si="189"/>
        <v>0</v>
      </c>
      <c r="Z909" s="75"/>
      <c r="AA909" s="75"/>
      <c r="AB909" s="75"/>
      <c r="AC909" s="75"/>
      <c r="AD909" s="75"/>
      <c r="AE909" s="592"/>
      <c r="AF909" s="259"/>
      <c r="AG909" s="510">
        <v>0</v>
      </c>
      <c r="AH909" s="370">
        <v>0</v>
      </c>
      <c r="AI909" s="154"/>
      <c r="AJ909" s="154"/>
      <c r="AK909" s="154"/>
      <c r="AL909" s="154"/>
      <c r="AM909" s="154"/>
      <c r="AN909" s="64" t="s">
        <v>39</v>
      </c>
      <c r="AO909" s="64"/>
      <c r="AP909" s="64"/>
      <c r="AQ909" s="189"/>
      <c r="AR909" s="64"/>
      <c r="AS909" s="476"/>
      <c r="AT909" s="64"/>
      <c r="AU909" s="646"/>
      <c r="AV909" s="185"/>
    </row>
    <row r="910" spans="1:48" ht="39" customHeight="1" outlineLevel="3" x14ac:dyDescent="0.25">
      <c r="A910" s="63" t="str">
        <f t="shared" si="181"/>
        <v>1.8.1.1.2.63</v>
      </c>
      <c r="B910" s="64">
        <v>1</v>
      </c>
      <c r="C910" s="64">
        <v>8</v>
      </c>
      <c r="D910" s="64">
        <v>1</v>
      </c>
      <c r="E910" s="64">
        <v>1</v>
      </c>
      <c r="F910" s="64">
        <v>2</v>
      </c>
      <c r="G910" s="64">
        <v>63</v>
      </c>
      <c r="H910" s="65"/>
      <c r="I910" s="65"/>
      <c r="J910" s="65"/>
      <c r="K910" s="67" t="s">
        <v>1767</v>
      </c>
      <c r="L910" s="64" t="s">
        <v>986</v>
      </c>
      <c r="M910" s="64" t="s">
        <v>992</v>
      </c>
      <c r="N910" s="64" t="s">
        <v>993</v>
      </c>
      <c r="O910" s="64" t="s">
        <v>994</v>
      </c>
      <c r="P910" s="69"/>
      <c r="Q910" s="69"/>
      <c r="R910" s="64"/>
      <c r="S910" s="65"/>
      <c r="T910" s="64"/>
      <c r="U910" s="75"/>
      <c r="V910" s="674">
        <v>0</v>
      </c>
      <c r="W910" s="75"/>
      <c r="X910" s="75"/>
      <c r="Y910" s="834">
        <f t="shared" si="189"/>
        <v>0</v>
      </c>
      <c r="Z910" s="75"/>
      <c r="AA910" s="75"/>
      <c r="AB910" s="75"/>
      <c r="AC910" s="75"/>
      <c r="AD910" s="75"/>
      <c r="AE910" s="592"/>
      <c r="AF910" s="259"/>
      <c r="AG910" s="510">
        <v>0</v>
      </c>
      <c r="AH910" s="370">
        <v>0</v>
      </c>
      <c r="AI910" s="154"/>
      <c r="AJ910" s="154"/>
      <c r="AK910" s="154"/>
      <c r="AL910" s="154"/>
      <c r="AM910" s="154"/>
      <c r="AN910" s="64" t="s">
        <v>39</v>
      </c>
      <c r="AO910" s="64"/>
      <c r="AP910" s="64"/>
      <c r="AQ910" s="189"/>
      <c r="AR910" s="64"/>
      <c r="AS910" s="476"/>
      <c r="AT910" s="64"/>
      <c r="AU910" s="646"/>
      <c r="AV910" s="185"/>
    </row>
    <row r="911" spans="1:48" ht="39" customHeight="1" outlineLevel="3" x14ac:dyDescent="0.25">
      <c r="A911" s="63" t="str">
        <f t="shared" si="181"/>
        <v>1.8.1.1.2.64</v>
      </c>
      <c r="B911" s="64">
        <v>1</v>
      </c>
      <c r="C911" s="64">
        <v>8</v>
      </c>
      <c r="D911" s="64">
        <v>1</v>
      </c>
      <c r="E911" s="64">
        <v>1</v>
      </c>
      <c r="F911" s="64">
        <v>2</v>
      </c>
      <c r="G911" s="64">
        <v>64</v>
      </c>
      <c r="H911" s="65"/>
      <c r="I911" s="65"/>
      <c r="J911" s="65"/>
      <c r="K911" s="67" t="s">
        <v>999</v>
      </c>
      <c r="L911" s="64" t="s">
        <v>986</v>
      </c>
      <c r="M911" s="64" t="s">
        <v>992</v>
      </c>
      <c r="N911" s="64" t="s">
        <v>993</v>
      </c>
      <c r="O911" s="64" t="s">
        <v>994</v>
      </c>
      <c r="P911" s="69"/>
      <c r="Q911" s="69"/>
      <c r="R911" s="64"/>
      <c r="S911" s="65"/>
      <c r="T911" s="64"/>
      <c r="U911" s="75"/>
      <c r="V911" s="674">
        <v>0</v>
      </c>
      <c r="W911" s="75"/>
      <c r="X911" s="75"/>
      <c r="Y911" s="834">
        <f t="shared" si="189"/>
        <v>0</v>
      </c>
      <c r="Z911" s="75"/>
      <c r="AA911" s="75"/>
      <c r="AB911" s="75"/>
      <c r="AC911" s="75"/>
      <c r="AD911" s="75"/>
      <c r="AE911" s="592"/>
      <c r="AF911" s="259"/>
      <c r="AG911" s="510">
        <v>0</v>
      </c>
      <c r="AH911" s="370">
        <v>0</v>
      </c>
      <c r="AI911" s="154"/>
      <c r="AJ911" s="154"/>
      <c r="AK911" s="154"/>
      <c r="AL911" s="154"/>
      <c r="AM911" s="154"/>
      <c r="AN911" s="64" t="s">
        <v>39</v>
      </c>
      <c r="AO911" s="64"/>
      <c r="AP911" s="64"/>
      <c r="AQ911" s="189"/>
      <c r="AR911" s="64"/>
      <c r="AS911" s="476"/>
      <c r="AT911" s="64"/>
      <c r="AU911" s="646"/>
      <c r="AV911" s="185"/>
    </row>
    <row r="912" spans="1:48" s="153" customFormat="1" ht="29.25" customHeight="1" outlineLevel="1" x14ac:dyDescent="0.25">
      <c r="A912" s="148" t="str">
        <f t="shared" si="181"/>
        <v>1.8.1.2.0.0</v>
      </c>
      <c r="B912" s="82">
        <v>1</v>
      </c>
      <c r="C912" s="82">
        <v>8</v>
      </c>
      <c r="D912" s="82">
        <v>1</v>
      </c>
      <c r="E912" s="82">
        <v>2</v>
      </c>
      <c r="F912" s="82">
        <v>0</v>
      </c>
      <c r="G912" s="82">
        <v>0</v>
      </c>
      <c r="H912" s="149"/>
      <c r="I912" s="149"/>
      <c r="J912" s="1260" t="s">
        <v>1000</v>
      </c>
      <c r="K912" s="1259"/>
      <c r="L912" s="82" t="s">
        <v>1001</v>
      </c>
      <c r="M912" s="83" t="s">
        <v>1002</v>
      </c>
      <c r="N912" s="83" t="s">
        <v>1003</v>
      </c>
      <c r="O912" s="82" t="s">
        <v>1004</v>
      </c>
      <c r="P912" s="82"/>
      <c r="Q912" s="82"/>
      <c r="R912" s="82"/>
      <c r="S912" s="149"/>
      <c r="T912" s="82"/>
      <c r="U912" s="379">
        <f t="shared" ref="U912:AG912" si="190">+SUM(U913:U928)</f>
        <v>0</v>
      </c>
      <c r="V912" s="682">
        <f t="shared" si="190"/>
        <v>0</v>
      </c>
      <c r="W912" s="379">
        <f t="shared" si="190"/>
        <v>4000</v>
      </c>
      <c r="X912" s="379">
        <f t="shared" si="190"/>
        <v>0</v>
      </c>
      <c r="Y912" s="845">
        <f t="shared" si="190"/>
        <v>0</v>
      </c>
      <c r="Z912" s="379">
        <f t="shared" si="190"/>
        <v>4000</v>
      </c>
      <c r="AA912" s="379">
        <f t="shared" si="190"/>
        <v>0</v>
      </c>
      <c r="AB912" s="379">
        <f t="shared" si="190"/>
        <v>0</v>
      </c>
      <c r="AC912" s="379">
        <f t="shared" si="190"/>
        <v>4000</v>
      </c>
      <c r="AD912" s="379">
        <f t="shared" si="190"/>
        <v>0</v>
      </c>
      <c r="AE912" s="379">
        <f t="shared" si="190"/>
        <v>0</v>
      </c>
      <c r="AF912" s="379">
        <f t="shared" si="190"/>
        <v>0</v>
      </c>
      <c r="AG912" s="379">
        <f t="shared" si="190"/>
        <v>0</v>
      </c>
      <c r="AH912" s="379">
        <f>+SUM(AH913:AH928)</f>
        <v>0</v>
      </c>
      <c r="AI912" s="512">
        <f>+SUM(AI913:AI928)</f>
        <v>0</v>
      </c>
      <c r="AJ912" s="512">
        <f>+SUM(AJ913:AJ928)</f>
        <v>0</v>
      </c>
      <c r="AK912" s="152"/>
      <c r="AL912" s="152"/>
      <c r="AM912" s="152"/>
      <c r="AN912" s="82" t="s">
        <v>39</v>
      </c>
      <c r="AO912" s="82"/>
      <c r="AP912" s="82"/>
      <c r="AQ912" s="365"/>
      <c r="AR912" s="82"/>
      <c r="AS912" s="483"/>
      <c r="AT912" s="82"/>
      <c r="AU912" s="666"/>
      <c r="AV912" s="444"/>
    </row>
    <row r="913" spans="1:48" ht="33.75" customHeight="1" outlineLevel="2" x14ac:dyDescent="0.25">
      <c r="A913" s="63" t="str">
        <f t="shared" si="181"/>
        <v>1.8.1.2.1.58</v>
      </c>
      <c r="B913" s="64">
        <v>1</v>
      </c>
      <c r="C913" s="64">
        <v>8</v>
      </c>
      <c r="D913" s="64">
        <v>1</v>
      </c>
      <c r="E913" s="64">
        <v>2</v>
      </c>
      <c r="F913" s="64">
        <v>1</v>
      </c>
      <c r="G913" s="64">
        <v>58</v>
      </c>
      <c r="H913" s="65"/>
      <c r="I913" s="65"/>
      <c r="J913" s="66"/>
      <c r="K913" s="67" t="s">
        <v>1005</v>
      </c>
      <c r="L913" s="64" t="s">
        <v>75</v>
      </c>
      <c r="M913" s="68" t="s">
        <v>1006</v>
      </c>
      <c r="N913" s="64" t="s">
        <v>47</v>
      </c>
      <c r="O913" s="64" t="s">
        <v>1007</v>
      </c>
      <c r="P913" s="69">
        <v>44228</v>
      </c>
      <c r="Q913" s="69">
        <v>44560</v>
      </c>
      <c r="R913" s="124">
        <v>15000</v>
      </c>
      <c r="S913" s="170" t="s">
        <v>1008</v>
      </c>
      <c r="T913" s="64">
        <v>5000</v>
      </c>
      <c r="U913" s="75"/>
      <c r="V913" s="674">
        <v>0</v>
      </c>
      <c r="W913" s="75">
        <v>4000</v>
      </c>
      <c r="X913" s="75"/>
      <c r="Y913" s="834">
        <f t="shared" ref="Y913:Y928" si="191">+AJ913-V913</f>
        <v>0</v>
      </c>
      <c r="Z913" s="75">
        <v>4000</v>
      </c>
      <c r="AA913" s="75"/>
      <c r="AB913" s="75"/>
      <c r="AC913" s="75">
        <v>4000</v>
      </c>
      <c r="AD913" s="75"/>
      <c r="AE913" s="592"/>
      <c r="AF913" s="259"/>
      <c r="AG913" s="510">
        <v>0</v>
      </c>
      <c r="AH913" s="370">
        <v>0</v>
      </c>
      <c r="AI913" s="154"/>
      <c r="AJ913" s="154"/>
      <c r="AK913" s="154"/>
      <c r="AL913" s="154"/>
      <c r="AM913" s="154"/>
      <c r="AN913" s="64" t="s">
        <v>39</v>
      </c>
      <c r="AO913" s="64"/>
      <c r="AP913" s="64"/>
      <c r="AQ913" s="189"/>
      <c r="AR913" s="64"/>
      <c r="AS913" s="476"/>
      <c r="AT913" s="64"/>
      <c r="AU913" s="646"/>
      <c r="AV913" s="185"/>
    </row>
    <row r="914" spans="1:48" ht="31.5" customHeight="1" outlineLevel="2" x14ac:dyDescent="0.25">
      <c r="A914" s="63" t="str">
        <f t="shared" si="181"/>
        <v>1.8.1.2.1.59</v>
      </c>
      <c r="B914" s="64">
        <v>1</v>
      </c>
      <c r="C914" s="64">
        <v>8</v>
      </c>
      <c r="D914" s="64">
        <v>1</v>
      </c>
      <c r="E914" s="64">
        <v>2</v>
      </c>
      <c r="F914" s="64">
        <v>1</v>
      </c>
      <c r="G914" s="64">
        <v>59</v>
      </c>
      <c r="H914" s="65"/>
      <c r="I914" s="65"/>
      <c r="J914" s="66"/>
      <c r="K914" s="67" t="s">
        <v>1009</v>
      </c>
      <c r="L914" s="64" t="s">
        <v>75</v>
      </c>
      <c r="M914" s="68" t="s">
        <v>1006</v>
      </c>
      <c r="N914" s="64" t="s">
        <v>47</v>
      </c>
      <c r="O914" s="64" t="s">
        <v>1007</v>
      </c>
      <c r="P914" s="69"/>
      <c r="Q914" s="69"/>
      <c r="R914" s="124"/>
      <c r="S914" s="170"/>
      <c r="T914" s="64"/>
      <c r="U914" s="75"/>
      <c r="V914" s="674">
        <v>0</v>
      </c>
      <c r="W914" s="75"/>
      <c r="X914" s="75"/>
      <c r="Y914" s="834">
        <f t="shared" si="191"/>
        <v>0</v>
      </c>
      <c r="Z914" s="75"/>
      <c r="AA914" s="75"/>
      <c r="AB914" s="75"/>
      <c r="AC914" s="75"/>
      <c r="AD914" s="75"/>
      <c r="AE914" s="592"/>
      <c r="AF914" s="259"/>
      <c r="AG914" s="510">
        <v>0</v>
      </c>
      <c r="AH914" s="370">
        <v>0</v>
      </c>
      <c r="AI914" s="154"/>
      <c r="AJ914" s="154"/>
      <c r="AK914" s="154"/>
      <c r="AL914" s="154"/>
      <c r="AM914" s="154"/>
      <c r="AN914" s="64" t="s">
        <v>39</v>
      </c>
      <c r="AO914" s="64"/>
      <c r="AP914" s="64"/>
      <c r="AQ914" s="189"/>
      <c r="AR914" s="64"/>
      <c r="AS914" s="476"/>
      <c r="AT914" s="64"/>
      <c r="AU914" s="646"/>
      <c r="AV914" s="185"/>
    </row>
    <row r="915" spans="1:48" ht="31.5" customHeight="1" outlineLevel="2" x14ac:dyDescent="0.25">
      <c r="A915" s="63" t="str">
        <f t="shared" si="181"/>
        <v>1.8.1.2.1.60</v>
      </c>
      <c r="B915" s="64">
        <v>1</v>
      </c>
      <c r="C915" s="64">
        <v>8</v>
      </c>
      <c r="D915" s="64">
        <v>1</v>
      </c>
      <c r="E915" s="64">
        <v>2</v>
      </c>
      <c r="F915" s="64">
        <v>1</v>
      </c>
      <c r="G915" s="64">
        <v>60</v>
      </c>
      <c r="H915" s="65"/>
      <c r="I915" s="65"/>
      <c r="J915" s="66"/>
      <c r="K915" s="67" t="s">
        <v>1010</v>
      </c>
      <c r="L915" s="64" t="s">
        <v>75</v>
      </c>
      <c r="M915" s="68" t="s">
        <v>1006</v>
      </c>
      <c r="N915" s="64" t="s">
        <v>47</v>
      </c>
      <c r="O915" s="64" t="s">
        <v>1007</v>
      </c>
      <c r="P915" s="69"/>
      <c r="Q915" s="69"/>
      <c r="R915" s="124"/>
      <c r="S915" s="170"/>
      <c r="T915" s="64"/>
      <c r="U915" s="75"/>
      <c r="V915" s="674">
        <v>0</v>
      </c>
      <c r="W915" s="75"/>
      <c r="X915" s="75"/>
      <c r="Y915" s="834">
        <f t="shared" si="191"/>
        <v>0</v>
      </c>
      <c r="Z915" s="75"/>
      <c r="AA915" s="75"/>
      <c r="AB915" s="75"/>
      <c r="AC915" s="75"/>
      <c r="AD915" s="75"/>
      <c r="AE915" s="592"/>
      <c r="AF915" s="259"/>
      <c r="AG915" s="510">
        <v>0</v>
      </c>
      <c r="AH915" s="370">
        <v>0</v>
      </c>
      <c r="AI915" s="154"/>
      <c r="AJ915" s="154"/>
      <c r="AK915" s="154"/>
      <c r="AL915" s="154"/>
      <c r="AM915" s="154"/>
      <c r="AN915" s="64" t="s">
        <v>39</v>
      </c>
      <c r="AO915" s="64"/>
      <c r="AP915" s="64"/>
      <c r="AQ915" s="189"/>
      <c r="AR915" s="64"/>
      <c r="AS915" s="476"/>
      <c r="AT915" s="64"/>
      <c r="AU915" s="646"/>
      <c r="AV915" s="185"/>
    </row>
    <row r="916" spans="1:48" ht="31.5" customHeight="1" outlineLevel="2" x14ac:dyDescent="0.25">
      <c r="A916" s="63" t="str">
        <f t="shared" si="181"/>
        <v>1.8.1.2.1.61</v>
      </c>
      <c r="B916" s="64">
        <v>1</v>
      </c>
      <c r="C916" s="64">
        <v>8</v>
      </c>
      <c r="D916" s="64">
        <v>1</v>
      </c>
      <c r="E916" s="64">
        <v>2</v>
      </c>
      <c r="F916" s="64">
        <v>1</v>
      </c>
      <c r="G916" s="64">
        <v>61</v>
      </c>
      <c r="H916" s="65"/>
      <c r="I916" s="65"/>
      <c r="J916" s="66"/>
      <c r="K916" s="67" t="s">
        <v>1011</v>
      </c>
      <c r="L916" s="64" t="s">
        <v>75</v>
      </c>
      <c r="M916" s="68" t="s">
        <v>1006</v>
      </c>
      <c r="N916" s="64" t="s">
        <v>47</v>
      </c>
      <c r="O916" s="64" t="s">
        <v>1007</v>
      </c>
      <c r="P916" s="69"/>
      <c r="Q916" s="69"/>
      <c r="R916" s="124"/>
      <c r="S916" s="170"/>
      <c r="T916" s="64"/>
      <c r="U916" s="75"/>
      <c r="V916" s="674">
        <v>0</v>
      </c>
      <c r="W916" s="75"/>
      <c r="X916" s="75"/>
      <c r="Y916" s="834">
        <f t="shared" si="191"/>
        <v>0</v>
      </c>
      <c r="Z916" s="75"/>
      <c r="AA916" s="75"/>
      <c r="AB916" s="75"/>
      <c r="AC916" s="75"/>
      <c r="AD916" s="75"/>
      <c r="AE916" s="592"/>
      <c r="AF916" s="259"/>
      <c r="AG916" s="510">
        <v>0</v>
      </c>
      <c r="AH916" s="370">
        <v>0</v>
      </c>
      <c r="AI916" s="154"/>
      <c r="AJ916" s="154"/>
      <c r="AK916" s="154"/>
      <c r="AL916" s="154"/>
      <c r="AM916" s="154"/>
      <c r="AN916" s="64" t="s">
        <v>39</v>
      </c>
      <c r="AO916" s="64"/>
      <c r="AP916" s="64"/>
      <c r="AQ916" s="189"/>
      <c r="AR916" s="64"/>
      <c r="AS916" s="476"/>
      <c r="AT916" s="64"/>
      <c r="AU916" s="646"/>
      <c r="AV916" s="185"/>
    </row>
    <row r="917" spans="1:48" ht="31.5" customHeight="1" outlineLevel="2" x14ac:dyDescent="0.25">
      <c r="A917" s="63" t="str">
        <f t="shared" si="181"/>
        <v>1.8.1.2.1.62</v>
      </c>
      <c r="B917" s="64">
        <v>1</v>
      </c>
      <c r="C917" s="64">
        <v>8</v>
      </c>
      <c r="D917" s="64">
        <v>1</v>
      </c>
      <c r="E917" s="64">
        <v>2</v>
      </c>
      <c r="F917" s="64">
        <v>1</v>
      </c>
      <c r="G917" s="64">
        <v>62</v>
      </c>
      <c r="H917" s="65"/>
      <c r="I917" s="65"/>
      <c r="J917" s="66"/>
      <c r="K917" s="67" t="s">
        <v>1012</v>
      </c>
      <c r="L917" s="64" t="s">
        <v>75</v>
      </c>
      <c r="M917" s="68" t="s">
        <v>1006</v>
      </c>
      <c r="N917" s="64" t="s">
        <v>47</v>
      </c>
      <c r="O917" s="64" t="s">
        <v>1007</v>
      </c>
      <c r="P917" s="69"/>
      <c r="Q917" s="69"/>
      <c r="R917" s="124"/>
      <c r="S917" s="170"/>
      <c r="T917" s="64"/>
      <c r="U917" s="75"/>
      <c r="V917" s="674">
        <v>0</v>
      </c>
      <c r="W917" s="75"/>
      <c r="X917" s="75"/>
      <c r="Y917" s="834">
        <f t="shared" si="191"/>
        <v>0</v>
      </c>
      <c r="Z917" s="75"/>
      <c r="AA917" s="75"/>
      <c r="AB917" s="75"/>
      <c r="AC917" s="75"/>
      <c r="AD917" s="75"/>
      <c r="AE917" s="592"/>
      <c r="AF917" s="259"/>
      <c r="AG917" s="510">
        <v>0</v>
      </c>
      <c r="AH917" s="370">
        <v>0</v>
      </c>
      <c r="AI917" s="154"/>
      <c r="AJ917" s="154"/>
      <c r="AK917" s="154"/>
      <c r="AL917" s="154"/>
      <c r="AM917" s="154"/>
      <c r="AN917" s="64" t="s">
        <v>39</v>
      </c>
      <c r="AO917" s="64"/>
      <c r="AP917" s="64"/>
      <c r="AQ917" s="189"/>
      <c r="AR917" s="64"/>
      <c r="AS917" s="476"/>
      <c r="AT917" s="64"/>
      <c r="AU917" s="646"/>
      <c r="AV917" s="185"/>
    </row>
    <row r="918" spans="1:48" ht="31.5" customHeight="1" outlineLevel="2" x14ac:dyDescent="0.25">
      <c r="A918" s="63" t="str">
        <f t="shared" si="181"/>
        <v>1.8.1.2.1.63</v>
      </c>
      <c r="B918" s="64">
        <v>1</v>
      </c>
      <c r="C918" s="64">
        <v>8</v>
      </c>
      <c r="D918" s="64">
        <v>1</v>
      </c>
      <c r="E918" s="64">
        <v>2</v>
      </c>
      <c r="F918" s="64">
        <v>1</v>
      </c>
      <c r="G918" s="64">
        <v>63</v>
      </c>
      <c r="H918" s="65"/>
      <c r="I918" s="65"/>
      <c r="J918" s="66"/>
      <c r="K918" s="67" t="s">
        <v>1768</v>
      </c>
      <c r="L918" s="64" t="s">
        <v>75</v>
      </c>
      <c r="M918" s="68" t="s">
        <v>1006</v>
      </c>
      <c r="N918" s="64" t="s">
        <v>47</v>
      </c>
      <c r="O918" s="64" t="s">
        <v>1007</v>
      </c>
      <c r="P918" s="69"/>
      <c r="Q918" s="69"/>
      <c r="R918" s="124"/>
      <c r="S918" s="170"/>
      <c r="T918" s="64"/>
      <c r="U918" s="75"/>
      <c r="V918" s="674">
        <v>0</v>
      </c>
      <c r="W918" s="75"/>
      <c r="X918" s="75"/>
      <c r="Y918" s="834">
        <f t="shared" si="191"/>
        <v>0</v>
      </c>
      <c r="Z918" s="75"/>
      <c r="AA918" s="75"/>
      <c r="AB918" s="75"/>
      <c r="AC918" s="75"/>
      <c r="AD918" s="75"/>
      <c r="AE918" s="592"/>
      <c r="AF918" s="259"/>
      <c r="AG918" s="510">
        <v>0</v>
      </c>
      <c r="AH918" s="370">
        <v>0</v>
      </c>
      <c r="AI918" s="154"/>
      <c r="AJ918" s="154"/>
      <c r="AK918" s="154"/>
      <c r="AL918" s="154"/>
      <c r="AM918" s="154"/>
      <c r="AN918" s="64" t="s">
        <v>39</v>
      </c>
      <c r="AO918" s="64"/>
      <c r="AP918" s="64"/>
      <c r="AQ918" s="189"/>
      <c r="AR918" s="64"/>
      <c r="AS918" s="476"/>
      <c r="AT918" s="64"/>
      <c r="AU918" s="646"/>
      <c r="AV918" s="185"/>
    </row>
    <row r="919" spans="1:48" ht="31.5" customHeight="1" outlineLevel="2" x14ac:dyDescent="0.25">
      <c r="A919" s="63" t="str">
        <f t="shared" si="181"/>
        <v>1.8.1.2.1.64</v>
      </c>
      <c r="B919" s="64">
        <v>1</v>
      </c>
      <c r="C919" s="64">
        <v>8</v>
      </c>
      <c r="D919" s="64">
        <v>1</v>
      </c>
      <c r="E919" s="64">
        <v>2</v>
      </c>
      <c r="F919" s="64">
        <v>1</v>
      </c>
      <c r="G919" s="64">
        <v>64</v>
      </c>
      <c r="H919" s="65"/>
      <c r="I919" s="65"/>
      <c r="J919" s="66"/>
      <c r="K919" s="67" t="s">
        <v>1013</v>
      </c>
      <c r="L919" s="64" t="s">
        <v>75</v>
      </c>
      <c r="M919" s="68" t="s">
        <v>1006</v>
      </c>
      <c r="N919" s="64" t="s">
        <v>47</v>
      </c>
      <c r="O919" s="64" t="s">
        <v>1007</v>
      </c>
      <c r="P919" s="69"/>
      <c r="Q919" s="69"/>
      <c r="R919" s="124"/>
      <c r="S919" s="170"/>
      <c r="T919" s="64"/>
      <c r="U919" s="75"/>
      <c r="V919" s="674">
        <v>0</v>
      </c>
      <c r="W919" s="75"/>
      <c r="X919" s="75"/>
      <c r="Y919" s="834">
        <f t="shared" si="191"/>
        <v>0</v>
      </c>
      <c r="Z919" s="75"/>
      <c r="AA919" s="75"/>
      <c r="AB919" s="75"/>
      <c r="AC919" s="75"/>
      <c r="AD919" s="75"/>
      <c r="AE919" s="592"/>
      <c r="AF919" s="259"/>
      <c r="AG919" s="510">
        <v>0</v>
      </c>
      <c r="AH919" s="370">
        <v>0</v>
      </c>
      <c r="AI919" s="154"/>
      <c r="AJ919" s="154"/>
      <c r="AK919" s="154"/>
      <c r="AL919" s="154"/>
      <c r="AM919" s="154"/>
      <c r="AN919" s="64" t="s">
        <v>39</v>
      </c>
      <c r="AO919" s="64"/>
      <c r="AP919" s="64"/>
      <c r="AQ919" s="189"/>
      <c r="AR919" s="64"/>
      <c r="AS919" s="476"/>
      <c r="AT919" s="64"/>
      <c r="AU919" s="646"/>
      <c r="AV919" s="185"/>
    </row>
    <row r="920" spans="1:48" ht="33.75" customHeight="1" outlineLevel="2" x14ac:dyDescent="0.25">
      <c r="A920" s="63" t="str">
        <f t="shared" si="181"/>
        <v>1.8.1.2.2.58-64</v>
      </c>
      <c r="B920" s="64">
        <v>1</v>
      </c>
      <c r="C920" s="64">
        <v>8</v>
      </c>
      <c r="D920" s="64">
        <v>1</v>
      </c>
      <c r="E920" s="64">
        <v>2</v>
      </c>
      <c r="F920" s="64">
        <v>2</v>
      </c>
      <c r="G920" s="64" t="s">
        <v>64</v>
      </c>
      <c r="H920" s="65"/>
      <c r="I920" s="65"/>
      <c r="J920" s="66"/>
      <c r="K920" s="67" t="s">
        <v>1014</v>
      </c>
      <c r="L920" s="64" t="s">
        <v>72</v>
      </c>
      <c r="M920" s="64" t="s">
        <v>73</v>
      </c>
      <c r="N920" s="64" t="s">
        <v>74</v>
      </c>
      <c r="O920" s="64" t="s">
        <v>75</v>
      </c>
      <c r="P920" s="69">
        <v>44228</v>
      </c>
      <c r="Q920" s="69">
        <v>44377</v>
      </c>
      <c r="R920" s="64">
        <v>1</v>
      </c>
      <c r="S920" s="65" t="s">
        <v>73</v>
      </c>
      <c r="T920" s="64">
        <v>1</v>
      </c>
      <c r="U920" s="75"/>
      <c r="V920" s="674">
        <v>0</v>
      </c>
      <c r="W920" s="75"/>
      <c r="X920" s="75"/>
      <c r="Y920" s="834">
        <f t="shared" si="191"/>
        <v>0</v>
      </c>
      <c r="Z920" s="75"/>
      <c r="AA920" s="75"/>
      <c r="AB920" s="75"/>
      <c r="AC920" s="75"/>
      <c r="AD920" s="75"/>
      <c r="AE920" s="592"/>
      <c r="AF920" s="259"/>
      <c r="AG920" s="510">
        <v>0</v>
      </c>
      <c r="AH920" s="370">
        <v>0</v>
      </c>
      <c r="AI920" s="154"/>
      <c r="AJ920" s="154"/>
      <c r="AK920" s="154"/>
      <c r="AL920" s="154"/>
      <c r="AM920" s="154"/>
      <c r="AN920" s="64" t="s">
        <v>39</v>
      </c>
      <c r="AO920" s="64"/>
      <c r="AP920" s="64"/>
      <c r="AQ920" s="189"/>
      <c r="AR920" s="64"/>
      <c r="AS920" s="476"/>
      <c r="AT920" s="64"/>
      <c r="AU920" s="646"/>
      <c r="AV920" s="454" t="s">
        <v>1015</v>
      </c>
    </row>
    <row r="921" spans="1:48" ht="38.25" customHeight="1" outlineLevel="2" x14ac:dyDescent="0.25">
      <c r="A921" s="63" t="str">
        <f t="shared" si="181"/>
        <v>1.8.1.2.3.58</v>
      </c>
      <c r="B921" s="64">
        <v>1</v>
      </c>
      <c r="C921" s="64">
        <v>8</v>
      </c>
      <c r="D921" s="64">
        <v>1</v>
      </c>
      <c r="E921" s="64">
        <v>2</v>
      </c>
      <c r="F921" s="64">
        <v>3</v>
      </c>
      <c r="G921" s="64">
        <v>58</v>
      </c>
      <c r="H921" s="65"/>
      <c r="I921" s="65"/>
      <c r="J921" s="65"/>
      <c r="K921" s="67" t="s">
        <v>1016</v>
      </c>
      <c r="L921" s="64" t="s">
        <v>72</v>
      </c>
      <c r="M921" s="64" t="s">
        <v>73</v>
      </c>
      <c r="N921" s="64" t="s">
        <v>74</v>
      </c>
      <c r="O921" s="64" t="s">
        <v>75</v>
      </c>
      <c r="P921" s="69">
        <v>44228</v>
      </c>
      <c r="Q921" s="69">
        <v>44560</v>
      </c>
      <c r="R921" s="64">
        <v>1</v>
      </c>
      <c r="S921" s="65" t="s">
        <v>73</v>
      </c>
      <c r="T921" s="64">
        <v>1</v>
      </c>
      <c r="U921" s="75"/>
      <c r="V921" s="674">
        <v>0</v>
      </c>
      <c r="W921" s="75"/>
      <c r="X921" s="75"/>
      <c r="Y921" s="834">
        <f t="shared" si="191"/>
        <v>0</v>
      </c>
      <c r="Z921" s="75"/>
      <c r="AA921" s="75"/>
      <c r="AB921" s="75"/>
      <c r="AC921" s="75"/>
      <c r="AD921" s="75"/>
      <c r="AE921" s="592"/>
      <c r="AF921" s="259"/>
      <c r="AG921" s="510">
        <v>0</v>
      </c>
      <c r="AH921" s="370">
        <v>0</v>
      </c>
      <c r="AI921" s="154"/>
      <c r="AJ921" s="154"/>
      <c r="AK921" s="154"/>
      <c r="AL921" s="154"/>
      <c r="AM921" s="154"/>
      <c r="AN921" s="64" t="s">
        <v>39</v>
      </c>
      <c r="AO921" s="64"/>
      <c r="AP921" s="64"/>
      <c r="AQ921" s="189"/>
      <c r="AR921" s="64"/>
      <c r="AS921" s="476"/>
      <c r="AT921" s="64"/>
      <c r="AU921" s="646"/>
      <c r="AV921" s="335" t="s">
        <v>127</v>
      </c>
    </row>
    <row r="922" spans="1:48" ht="38.25" customHeight="1" outlineLevel="2" x14ac:dyDescent="0.25">
      <c r="A922" s="63" t="str">
        <f t="shared" si="181"/>
        <v>1.8.1.2.3.59</v>
      </c>
      <c r="B922" s="64">
        <v>1</v>
      </c>
      <c r="C922" s="64">
        <v>8</v>
      </c>
      <c r="D922" s="64">
        <v>1</v>
      </c>
      <c r="E922" s="64">
        <v>2</v>
      </c>
      <c r="F922" s="64">
        <v>3</v>
      </c>
      <c r="G922" s="64">
        <v>59</v>
      </c>
      <c r="H922" s="65"/>
      <c r="I922" s="65"/>
      <c r="J922" s="65"/>
      <c r="K922" s="67" t="s">
        <v>1017</v>
      </c>
      <c r="L922" s="64" t="s">
        <v>72</v>
      </c>
      <c r="M922" s="64" t="s">
        <v>73</v>
      </c>
      <c r="N922" s="64" t="s">
        <v>74</v>
      </c>
      <c r="O922" s="64" t="s">
        <v>75</v>
      </c>
      <c r="P922" s="69">
        <v>44228</v>
      </c>
      <c r="Q922" s="69">
        <v>44560</v>
      </c>
      <c r="R922" s="64">
        <v>1</v>
      </c>
      <c r="S922" s="65"/>
      <c r="T922" s="64"/>
      <c r="U922" s="75"/>
      <c r="V922" s="674">
        <v>0</v>
      </c>
      <c r="W922" s="75"/>
      <c r="X922" s="75"/>
      <c r="Y922" s="834">
        <f t="shared" si="191"/>
        <v>0</v>
      </c>
      <c r="Z922" s="75"/>
      <c r="AA922" s="75"/>
      <c r="AB922" s="75"/>
      <c r="AC922" s="75"/>
      <c r="AD922" s="75"/>
      <c r="AE922" s="592"/>
      <c r="AF922" s="259"/>
      <c r="AG922" s="510">
        <v>0</v>
      </c>
      <c r="AH922" s="370">
        <v>0</v>
      </c>
      <c r="AI922" s="154"/>
      <c r="AJ922" s="154"/>
      <c r="AK922" s="154"/>
      <c r="AL922" s="154"/>
      <c r="AM922" s="154"/>
      <c r="AN922" s="64" t="s">
        <v>39</v>
      </c>
      <c r="AO922" s="64"/>
      <c r="AP922" s="64"/>
      <c r="AQ922" s="189"/>
      <c r="AR922" s="64"/>
      <c r="AS922" s="476"/>
      <c r="AT922" s="64"/>
      <c r="AU922" s="646"/>
      <c r="AV922" s="335" t="s">
        <v>127</v>
      </c>
    </row>
    <row r="923" spans="1:48" ht="38.25" customHeight="1" outlineLevel="2" x14ac:dyDescent="0.25">
      <c r="A923" s="63" t="str">
        <f t="shared" si="181"/>
        <v>1.8.1.2.3.60</v>
      </c>
      <c r="B923" s="64">
        <v>1</v>
      </c>
      <c r="C923" s="64">
        <v>8</v>
      </c>
      <c r="D923" s="64">
        <v>1</v>
      </c>
      <c r="E923" s="64">
        <v>2</v>
      </c>
      <c r="F923" s="64">
        <v>3</v>
      </c>
      <c r="G923" s="64">
        <v>60</v>
      </c>
      <c r="H923" s="65"/>
      <c r="I923" s="65"/>
      <c r="J923" s="65"/>
      <c r="K923" s="67" t="s">
        <v>1018</v>
      </c>
      <c r="L923" s="64" t="s">
        <v>72</v>
      </c>
      <c r="M923" s="64" t="s">
        <v>73</v>
      </c>
      <c r="N923" s="64" t="s">
        <v>74</v>
      </c>
      <c r="O923" s="64" t="s">
        <v>75</v>
      </c>
      <c r="P923" s="69">
        <v>44228</v>
      </c>
      <c r="Q923" s="69">
        <v>44560</v>
      </c>
      <c r="R923" s="64">
        <v>1</v>
      </c>
      <c r="S923" s="65"/>
      <c r="T923" s="64"/>
      <c r="U923" s="75"/>
      <c r="V923" s="674">
        <v>0</v>
      </c>
      <c r="W923" s="75"/>
      <c r="X923" s="75"/>
      <c r="Y923" s="834">
        <f t="shared" si="191"/>
        <v>0</v>
      </c>
      <c r="Z923" s="75"/>
      <c r="AA923" s="75"/>
      <c r="AB923" s="75"/>
      <c r="AC923" s="75"/>
      <c r="AD923" s="75"/>
      <c r="AE923" s="592"/>
      <c r="AF923" s="259"/>
      <c r="AG923" s="510">
        <v>0</v>
      </c>
      <c r="AH923" s="370">
        <v>0</v>
      </c>
      <c r="AI923" s="154"/>
      <c r="AJ923" s="154"/>
      <c r="AK923" s="154"/>
      <c r="AL923" s="154"/>
      <c r="AM923" s="154"/>
      <c r="AN923" s="64" t="s">
        <v>39</v>
      </c>
      <c r="AO923" s="64"/>
      <c r="AP923" s="64"/>
      <c r="AQ923" s="189"/>
      <c r="AR923" s="64"/>
      <c r="AS923" s="476"/>
      <c r="AT923" s="64"/>
      <c r="AU923" s="646"/>
      <c r="AV923" s="335" t="s">
        <v>127</v>
      </c>
    </row>
    <row r="924" spans="1:48" ht="38.25" customHeight="1" outlineLevel="2" x14ac:dyDescent="0.25">
      <c r="A924" s="63" t="str">
        <f t="shared" si="181"/>
        <v>1.8.1.2.3.61</v>
      </c>
      <c r="B924" s="64">
        <v>1</v>
      </c>
      <c r="C924" s="64">
        <v>8</v>
      </c>
      <c r="D924" s="64">
        <v>1</v>
      </c>
      <c r="E924" s="64">
        <v>2</v>
      </c>
      <c r="F924" s="64">
        <v>3</v>
      </c>
      <c r="G924" s="64">
        <v>61</v>
      </c>
      <c r="H924" s="65"/>
      <c r="I924" s="65"/>
      <c r="J924" s="65"/>
      <c r="K924" s="67" t="s">
        <v>1019</v>
      </c>
      <c r="L924" s="64" t="s">
        <v>72</v>
      </c>
      <c r="M924" s="64" t="s">
        <v>73</v>
      </c>
      <c r="N924" s="64" t="s">
        <v>74</v>
      </c>
      <c r="O924" s="64" t="s">
        <v>75</v>
      </c>
      <c r="P924" s="69">
        <v>44228</v>
      </c>
      <c r="Q924" s="69">
        <v>44560</v>
      </c>
      <c r="R924" s="64">
        <v>1</v>
      </c>
      <c r="S924" s="65"/>
      <c r="T924" s="64"/>
      <c r="U924" s="75"/>
      <c r="V924" s="674">
        <v>0</v>
      </c>
      <c r="W924" s="75"/>
      <c r="X924" s="75"/>
      <c r="Y924" s="834">
        <f t="shared" si="191"/>
        <v>0</v>
      </c>
      <c r="Z924" s="75"/>
      <c r="AA924" s="75"/>
      <c r="AB924" s="75"/>
      <c r="AC924" s="75"/>
      <c r="AD924" s="75"/>
      <c r="AE924" s="592"/>
      <c r="AF924" s="259"/>
      <c r="AG924" s="510">
        <v>0</v>
      </c>
      <c r="AH924" s="370">
        <v>0</v>
      </c>
      <c r="AI924" s="154"/>
      <c r="AJ924" s="154"/>
      <c r="AK924" s="154"/>
      <c r="AL924" s="154"/>
      <c r="AM924" s="154"/>
      <c r="AN924" s="64" t="s">
        <v>39</v>
      </c>
      <c r="AO924" s="64"/>
      <c r="AP924" s="64"/>
      <c r="AQ924" s="189"/>
      <c r="AR924" s="64"/>
      <c r="AS924" s="476"/>
      <c r="AT924" s="64"/>
      <c r="AU924" s="646"/>
      <c r="AV924" s="335" t="s">
        <v>127</v>
      </c>
    </row>
    <row r="925" spans="1:48" ht="38.25" customHeight="1" outlineLevel="2" x14ac:dyDescent="0.25">
      <c r="A925" s="63" t="str">
        <f t="shared" si="181"/>
        <v>1.8.1.2.3.62</v>
      </c>
      <c r="B925" s="64">
        <v>1</v>
      </c>
      <c r="C925" s="64">
        <v>8</v>
      </c>
      <c r="D925" s="64">
        <v>1</v>
      </c>
      <c r="E925" s="64">
        <v>2</v>
      </c>
      <c r="F925" s="64">
        <v>3</v>
      </c>
      <c r="G925" s="64">
        <v>62</v>
      </c>
      <c r="H925" s="65"/>
      <c r="I925" s="65"/>
      <c r="J925" s="65"/>
      <c r="K925" s="67" t="s">
        <v>1020</v>
      </c>
      <c r="L925" s="64" t="s">
        <v>72</v>
      </c>
      <c r="M925" s="64" t="s">
        <v>73</v>
      </c>
      <c r="N925" s="64" t="s">
        <v>74</v>
      </c>
      <c r="O925" s="64" t="s">
        <v>75</v>
      </c>
      <c r="P925" s="69">
        <v>44228</v>
      </c>
      <c r="Q925" s="69">
        <v>44560</v>
      </c>
      <c r="R925" s="64">
        <v>1</v>
      </c>
      <c r="S925" s="65"/>
      <c r="T925" s="64"/>
      <c r="U925" s="75"/>
      <c r="V925" s="674">
        <v>0</v>
      </c>
      <c r="W925" s="75"/>
      <c r="X925" s="75"/>
      <c r="Y925" s="834">
        <f t="shared" si="191"/>
        <v>0</v>
      </c>
      <c r="Z925" s="75"/>
      <c r="AA925" s="75"/>
      <c r="AB925" s="75"/>
      <c r="AC925" s="75"/>
      <c r="AD925" s="75"/>
      <c r="AE925" s="592"/>
      <c r="AF925" s="259"/>
      <c r="AG925" s="510">
        <v>0</v>
      </c>
      <c r="AH925" s="370">
        <v>0</v>
      </c>
      <c r="AI925" s="154"/>
      <c r="AJ925" s="154"/>
      <c r="AK925" s="154"/>
      <c r="AL925" s="154"/>
      <c r="AM925" s="154"/>
      <c r="AN925" s="64" t="s">
        <v>39</v>
      </c>
      <c r="AO925" s="64"/>
      <c r="AP925" s="64"/>
      <c r="AQ925" s="189"/>
      <c r="AR925" s="64"/>
      <c r="AS925" s="476"/>
      <c r="AT925" s="64"/>
      <c r="AU925" s="646"/>
      <c r="AV925" s="335" t="s">
        <v>127</v>
      </c>
    </row>
    <row r="926" spans="1:48" ht="38.25" customHeight="1" outlineLevel="2" x14ac:dyDescent="0.25">
      <c r="A926" s="63" t="str">
        <f t="shared" si="181"/>
        <v>1.8.1.2.3.63</v>
      </c>
      <c r="B926" s="64">
        <v>1</v>
      </c>
      <c r="C926" s="64">
        <v>8</v>
      </c>
      <c r="D926" s="64">
        <v>1</v>
      </c>
      <c r="E926" s="64">
        <v>2</v>
      </c>
      <c r="F926" s="64">
        <v>3</v>
      </c>
      <c r="G926" s="64">
        <v>63</v>
      </c>
      <c r="H926" s="65"/>
      <c r="I926" s="65"/>
      <c r="J926" s="65"/>
      <c r="K926" s="67" t="s">
        <v>1769</v>
      </c>
      <c r="L926" s="64" t="s">
        <v>72</v>
      </c>
      <c r="M926" s="64" t="s">
        <v>73</v>
      </c>
      <c r="N926" s="64" t="s">
        <v>74</v>
      </c>
      <c r="O926" s="64" t="s">
        <v>75</v>
      </c>
      <c r="P926" s="69">
        <v>44228</v>
      </c>
      <c r="Q926" s="69">
        <v>44560</v>
      </c>
      <c r="R926" s="64">
        <v>1</v>
      </c>
      <c r="S926" s="65"/>
      <c r="T926" s="64"/>
      <c r="U926" s="75"/>
      <c r="V926" s="674">
        <v>0</v>
      </c>
      <c r="W926" s="75"/>
      <c r="X926" s="75"/>
      <c r="Y926" s="834">
        <f t="shared" si="191"/>
        <v>0</v>
      </c>
      <c r="Z926" s="75"/>
      <c r="AA926" s="75"/>
      <c r="AB926" s="75"/>
      <c r="AC926" s="75"/>
      <c r="AD926" s="75"/>
      <c r="AE926" s="592"/>
      <c r="AF926" s="259"/>
      <c r="AG926" s="510">
        <v>0</v>
      </c>
      <c r="AH926" s="370">
        <v>0</v>
      </c>
      <c r="AI926" s="154"/>
      <c r="AJ926" s="154"/>
      <c r="AK926" s="154"/>
      <c r="AL926" s="154"/>
      <c r="AM926" s="154"/>
      <c r="AN926" s="64" t="s">
        <v>39</v>
      </c>
      <c r="AO926" s="64"/>
      <c r="AP926" s="64"/>
      <c r="AQ926" s="189"/>
      <c r="AR926" s="64"/>
      <c r="AS926" s="476"/>
      <c r="AT926" s="64"/>
      <c r="AU926" s="646"/>
      <c r="AV926" s="335" t="s">
        <v>127</v>
      </c>
    </row>
    <row r="927" spans="1:48" ht="38.25" customHeight="1" outlineLevel="2" x14ac:dyDescent="0.25">
      <c r="A927" s="63" t="str">
        <f t="shared" si="181"/>
        <v>1.8.1.2.3.64</v>
      </c>
      <c r="B927" s="64">
        <v>1</v>
      </c>
      <c r="C927" s="64">
        <v>8</v>
      </c>
      <c r="D927" s="64">
        <v>1</v>
      </c>
      <c r="E927" s="64">
        <v>2</v>
      </c>
      <c r="F927" s="64">
        <v>3</v>
      </c>
      <c r="G927" s="64">
        <v>64</v>
      </c>
      <c r="H927" s="65"/>
      <c r="I927" s="65"/>
      <c r="J927" s="65"/>
      <c r="K927" s="67" t="s">
        <v>1021</v>
      </c>
      <c r="L927" s="64" t="s">
        <v>72</v>
      </c>
      <c r="M927" s="64" t="s">
        <v>73</v>
      </c>
      <c r="N927" s="64" t="s">
        <v>74</v>
      </c>
      <c r="O927" s="64" t="s">
        <v>75</v>
      </c>
      <c r="P927" s="69">
        <v>44228</v>
      </c>
      <c r="Q927" s="69">
        <v>44560</v>
      </c>
      <c r="R927" s="64">
        <v>1</v>
      </c>
      <c r="S927" s="65"/>
      <c r="T927" s="64"/>
      <c r="U927" s="75"/>
      <c r="V927" s="674">
        <v>0</v>
      </c>
      <c r="W927" s="75"/>
      <c r="X927" s="75"/>
      <c r="Y927" s="834">
        <f t="shared" si="191"/>
        <v>0</v>
      </c>
      <c r="Z927" s="75"/>
      <c r="AA927" s="75"/>
      <c r="AB927" s="75"/>
      <c r="AC927" s="75"/>
      <c r="AD927" s="75"/>
      <c r="AE927" s="592"/>
      <c r="AF927" s="259"/>
      <c r="AG927" s="510">
        <v>0</v>
      </c>
      <c r="AH927" s="370">
        <v>0</v>
      </c>
      <c r="AI927" s="154"/>
      <c r="AJ927" s="154"/>
      <c r="AK927" s="154"/>
      <c r="AL927" s="154"/>
      <c r="AM927" s="154"/>
      <c r="AN927" s="64" t="s">
        <v>39</v>
      </c>
      <c r="AO927" s="64"/>
      <c r="AP927" s="64"/>
      <c r="AQ927" s="189"/>
      <c r="AR927" s="64"/>
      <c r="AS927" s="476"/>
      <c r="AT927" s="64"/>
      <c r="AU927" s="646"/>
      <c r="AV927" s="335" t="s">
        <v>127</v>
      </c>
    </row>
    <row r="928" spans="1:48" ht="28.5" customHeight="1" outlineLevel="2" x14ac:dyDescent="0.25">
      <c r="A928" s="63" t="str">
        <f t="shared" si="181"/>
        <v>1.8.1.2.4.58-64</v>
      </c>
      <c r="B928" s="64">
        <v>1</v>
      </c>
      <c r="C928" s="64">
        <v>8</v>
      </c>
      <c r="D928" s="64">
        <v>1</v>
      </c>
      <c r="E928" s="64">
        <v>2</v>
      </c>
      <c r="F928" s="64">
        <v>4</v>
      </c>
      <c r="G928" s="64" t="s">
        <v>64</v>
      </c>
      <c r="H928" s="65"/>
      <c r="I928" s="65"/>
      <c r="J928" s="66"/>
      <c r="K928" s="67" t="s">
        <v>1022</v>
      </c>
      <c r="L928" s="64" t="s">
        <v>72</v>
      </c>
      <c r="M928" s="64" t="s">
        <v>73</v>
      </c>
      <c r="N928" s="64" t="s">
        <v>74</v>
      </c>
      <c r="O928" s="64" t="s">
        <v>75</v>
      </c>
      <c r="P928" s="69">
        <v>44228</v>
      </c>
      <c r="Q928" s="69">
        <v>44377</v>
      </c>
      <c r="R928" s="64">
        <v>1</v>
      </c>
      <c r="S928" s="65" t="s">
        <v>73</v>
      </c>
      <c r="T928" s="64">
        <v>1</v>
      </c>
      <c r="U928" s="75"/>
      <c r="V928" s="674">
        <v>0</v>
      </c>
      <c r="W928" s="75"/>
      <c r="X928" s="75"/>
      <c r="Y928" s="834">
        <f t="shared" si="191"/>
        <v>0</v>
      </c>
      <c r="Z928" s="75"/>
      <c r="AA928" s="75"/>
      <c r="AB928" s="75"/>
      <c r="AC928" s="75"/>
      <c r="AD928" s="75"/>
      <c r="AE928" s="592"/>
      <c r="AF928" s="259"/>
      <c r="AG928" s="510">
        <v>0</v>
      </c>
      <c r="AH928" s="370">
        <v>0</v>
      </c>
      <c r="AI928" s="154"/>
      <c r="AJ928" s="154"/>
      <c r="AK928" s="154"/>
      <c r="AL928" s="154"/>
      <c r="AM928" s="154"/>
      <c r="AN928" s="64" t="s">
        <v>39</v>
      </c>
      <c r="AO928" s="64"/>
      <c r="AP928" s="64"/>
      <c r="AQ928" s="189"/>
      <c r="AR928" s="64"/>
      <c r="AS928" s="476"/>
      <c r="AT928" s="64"/>
      <c r="AU928" s="646"/>
      <c r="AV928" s="185"/>
    </row>
    <row r="929" spans="1:48" s="153" customFormat="1" ht="24" customHeight="1" outlineLevel="1" x14ac:dyDescent="0.25">
      <c r="A929" s="148" t="str">
        <f t="shared" si="181"/>
        <v>1.8.1.3.0.0</v>
      </c>
      <c r="B929" s="82">
        <v>1</v>
      </c>
      <c r="C929" s="82">
        <v>8</v>
      </c>
      <c r="D929" s="82">
        <v>1</v>
      </c>
      <c r="E929" s="82">
        <v>3</v>
      </c>
      <c r="F929" s="82">
        <v>0</v>
      </c>
      <c r="G929" s="82">
        <v>0</v>
      </c>
      <c r="H929" s="149"/>
      <c r="I929" s="149"/>
      <c r="J929" s="1260" t="s">
        <v>1023</v>
      </c>
      <c r="K929" s="1259"/>
      <c r="L929" s="82" t="s">
        <v>359</v>
      </c>
      <c r="M929" s="82" t="s">
        <v>1024</v>
      </c>
      <c r="N929" s="82" t="s">
        <v>1025</v>
      </c>
      <c r="O929" s="82" t="s">
        <v>1026</v>
      </c>
      <c r="P929" s="82"/>
      <c r="Q929" s="82"/>
      <c r="R929" s="82"/>
      <c r="S929" s="149"/>
      <c r="T929" s="82"/>
      <c r="U929" s="379">
        <f t="shared" ref="U929:AG929" si="192">+SUM(U930:U934)</f>
        <v>0</v>
      </c>
      <c r="V929" s="682">
        <f t="shared" si="192"/>
        <v>0</v>
      </c>
      <c r="W929" s="379">
        <f t="shared" si="192"/>
        <v>0</v>
      </c>
      <c r="X929" s="379">
        <f t="shared" si="192"/>
        <v>0</v>
      </c>
      <c r="Y929" s="845">
        <f t="shared" si="192"/>
        <v>0</v>
      </c>
      <c r="Z929" s="379">
        <f t="shared" si="192"/>
        <v>0</v>
      </c>
      <c r="AA929" s="379">
        <f t="shared" si="192"/>
        <v>0</v>
      </c>
      <c r="AB929" s="379">
        <f t="shared" si="192"/>
        <v>0</v>
      </c>
      <c r="AC929" s="379">
        <f t="shared" si="192"/>
        <v>0</v>
      </c>
      <c r="AD929" s="379">
        <f t="shared" si="192"/>
        <v>0</v>
      </c>
      <c r="AE929" s="379">
        <f t="shared" si="192"/>
        <v>0</v>
      </c>
      <c r="AF929" s="379">
        <f t="shared" si="192"/>
        <v>0</v>
      </c>
      <c r="AG929" s="379">
        <f t="shared" si="192"/>
        <v>0</v>
      </c>
      <c r="AH929" s="379">
        <f>+SUM(AH930:AH934)</f>
        <v>0</v>
      </c>
      <c r="AI929" s="512">
        <f>+SUM(AI930:AI934)</f>
        <v>0</v>
      </c>
      <c r="AJ929" s="512">
        <f>+SUM(AJ930:AJ934)</f>
        <v>0</v>
      </c>
      <c r="AK929" s="152"/>
      <c r="AL929" s="152"/>
      <c r="AM929" s="152"/>
      <c r="AN929" s="82" t="s">
        <v>39</v>
      </c>
      <c r="AO929" s="82"/>
      <c r="AP929" s="82"/>
      <c r="AQ929" s="365"/>
      <c r="AR929" s="82"/>
      <c r="AS929" s="483"/>
      <c r="AT929" s="82"/>
      <c r="AU929" s="666"/>
      <c r="AV929" s="444"/>
    </row>
    <row r="930" spans="1:48" ht="24.75" customHeight="1" outlineLevel="3" x14ac:dyDescent="0.25">
      <c r="A930" s="63" t="str">
        <f t="shared" si="181"/>
        <v>1.8.1.3.1.0</v>
      </c>
      <c r="B930" s="64">
        <v>1</v>
      </c>
      <c r="C930" s="64">
        <v>8</v>
      </c>
      <c r="D930" s="64">
        <v>1</v>
      </c>
      <c r="E930" s="64">
        <v>3</v>
      </c>
      <c r="F930" s="64">
        <v>1</v>
      </c>
      <c r="G930" s="64">
        <v>0</v>
      </c>
      <c r="H930" s="65"/>
      <c r="I930" s="65"/>
      <c r="J930" s="65"/>
      <c r="K930" s="65" t="s">
        <v>1027</v>
      </c>
      <c r="L930" s="64" t="s">
        <v>359</v>
      </c>
      <c r="M930" s="64" t="s">
        <v>1028</v>
      </c>
      <c r="N930" s="64" t="s">
        <v>1025</v>
      </c>
      <c r="O930" s="64" t="s">
        <v>1026</v>
      </c>
      <c r="P930" s="64"/>
      <c r="Q930" s="64"/>
      <c r="R930" s="64"/>
      <c r="S930" s="65"/>
      <c r="T930" s="64"/>
      <c r="U930" s="75"/>
      <c r="V930" s="674">
        <v>0</v>
      </c>
      <c r="W930" s="75"/>
      <c r="X930" s="75"/>
      <c r="Y930" s="834">
        <f>+AJ930-V930</f>
        <v>0</v>
      </c>
      <c r="Z930" s="75"/>
      <c r="AA930" s="75"/>
      <c r="AB930" s="75"/>
      <c r="AC930" s="75"/>
      <c r="AD930" s="75"/>
      <c r="AE930" s="592"/>
      <c r="AF930" s="259"/>
      <c r="AG930" s="510">
        <v>0</v>
      </c>
      <c r="AH930" s="370">
        <v>0</v>
      </c>
      <c r="AI930" s="75"/>
      <c r="AJ930" s="75"/>
      <c r="AK930" s="75"/>
      <c r="AL930" s="75"/>
      <c r="AM930" s="75"/>
      <c r="AN930" s="64" t="s">
        <v>39</v>
      </c>
      <c r="AO930" s="64"/>
      <c r="AP930" s="64"/>
      <c r="AQ930" s="189"/>
      <c r="AR930" s="64"/>
      <c r="AS930" s="476"/>
      <c r="AT930" s="64"/>
      <c r="AU930" s="646"/>
      <c r="AV930" s="185" t="s">
        <v>1029</v>
      </c>
    </row>
    <row r="931" spans="1:48" ht="27" customHeight="1" outlineLevel="3" x14ac:dyDescent="0.25">
      <c r="A931" s="63" t="str">
        <f t="shared" si="181"/>
        <v>1.8.1.3.2.58-64</v>
      </c>
      <c r="B931" s="64">
        <v>1</v>
      </c>
      <c r="C931" s="64">
        <v>8</v>
      </c>
      <c r="D931" s="64">
        <v>1</v>
      </c>
      <c r="E931" s="64">
        <v>3</v>
      </c>
      <c r="F931" s="64">
        <v>2</v>
      </c>
      <c r="G931" s="64" t="s">
        <v>64</v>
      </c>
      <c r="H931" s="65"/>
      <c r="I931" s="65"/>
      <c r="J931" s="66"/>
      <c r="K931" s="65" t="s">
        <v>1030</v>
      </c>
      <c r="L931" s="64" t="s">
        <v>359</v>
      </c>
      <c r="M931" s="64" t="s">
        <v>1031</v>
      </c>
      <c r="N931" s="64" t="s">
        <v>1025</v>
      </c>
      <c r="O931" s="64" t="s">
        <v>1026</v>
      </c>
      <c r="P931" s="64"/>
      <c r="Q931" s="64"/>
      <c r="R931" s="64"/>
      <c r="S931" s="65"/>
      <c r="T931" s="64"/>
      <c r="U931" s="75"/>
      <c r="V931" s="674">
        <v>0</v>
      </c>
      <c r="W931" s="75"/>
      <c r="X931" s="75"/>
      <c r="Y931" s="834">
        <f>+AJ931-V931</f>
        <v>0</v>
      </c>
      <c r="Z931" s="75"/>
      <c r="AA931" s="75"/>
      <c r="AB931" s="75"/>
      <c r="AC931" s="75"/>
      <c r="AD931" s="75"/>
      <c r="AE931" s="592"/>
      <c r="AF931" s="259"/>
      <c r="AG931" s="510">
        <v>0</v>
      </c>
      <c r="AH931" s="370">
        <v>0</v>
      </c>
      <c r="AI931" s="75"/>
      <c r="AJ931" s="75"/>
      <c r="AK931" s="75"/>
      <c r="AL931" s="75"/>
      <c r="AM931" s="75"/>
      <c r="AN931" s="64" t="s">
        <v>39</v>
      </c>
      <c r="AO931" s="64"/>
      <c r="AP931" s="64"/>
      <c r="AQ931" s="189"/>
      <c r="AR931" s="64"/>
      <c r="AS931" s="476"/>
      <c r="AT931" s="64"/>
      <c r="AU931" s="646"/>
      <c r="AV931" s="185" t="s">
        <v>1029</v>
      </c>
    </row>
    <row r="932" spans="1:48" ht="27" customHeight="1" outlineLevel="3" x14ac:dyDescent="0.25">
      <c r="A932" s="63" t="str">
        <f t="shared" si="181"/>
        <v>1.8.1.3.3.58-64</v>
      </c>
      <c r="B932" s="64">
        <v>1</v>
      </c>
      <c r="C932" s="64">
        <v>8</v>
      </c>
      <c r="D932" s="64">
        <v>1</v>
      </c>
      <c r="E932" s="64">
        <v>3</v>
      </c>
      <c r="F932" s="64">
        <v>3</v>
      </c>
      <c r="G932" s="64" t="s">
        <v>64</v>
      </c>
      <c r="H932" s="65"/>
      <c r="I932" s="65"/>
      <c r="J932" s="66"/>
      <c r="K932" s="65" t="s">
        <v>1032</v>
      </c>
      <c r="L932" s="64" t="s">
        <v>359</v>
      </c>
      <c r="M932" s="64" t="s">
        <v>1033</v>
      </c>
      <c r="N932" s="64" t="s">
        <v>1025</v>
      </c>
      <c r="O932" s="64" t="s">
        <v>1026</v>
      </c>
      <c r="P932" s="64"/>
      <c r="Q932" s="64"/>
      <c r="R932" s="64"/>
      <c r="S932" s="65"/>
      <c r="T932" s="64"/>
      <c r="U932" s="75"/>
      <c r="V932" s="674">
        <v>0</v>
      </c>
      <c r="W932" s="75"/>
      <c r="X932" s="75"/>
      <c r="Y932" s="834">
        <f>+AJ932-V932</f>
        <v>0</v>
      </c>
      <c r="Z932" s="75"/>
      <c r="AA932" s="75"/>
      <c r="AB932" s="75"/>
      <c r="AC932" s="75"/>
      <c r="AD932" s="75"/>
      <c r="AE932" s="592"/>
      <c r="AF932" s="259"/>
      <c r="AG932" s="510">
        <v>0</v>
      </c>
      <c r="AH932" s="370">
        <v>0</v>
      </c>
      <c r="AI932" s="75"/>
      <c r="AJ932" s="75"/>
      <c r="AK932" s="75"/>
      <c r="AL932" s="75"/>
      <c r="AM932" s="75"/>
      <c r="AN932" s="64" t="s">
        <v>39</v>
      </c>
      <c r="AO932" s="64"/>
      <c r="AP932" s="64"/>
      <c r="AQ932" s="189"/>
      <c r="AR932" s="64"/>
      <c r="AS932" s="476"/>
      <c r="AT932" s="64"/>
      <c r="AU932" s="646"/>
      <c r="AV932" s="185" t="s">
        <v>1029</v>
      </c>
    </row>
    <row r="933" spans="1:48" ht="39" customHeight="1" outlineLevel="3" x14ac:dyDescent="0.25">
      <c r="A933" s="63" t="str">
        <f t="shared" ref="A933:A996" si="193">CONCATENATE(B933,".",C933,".",D933,".",E933,".",F933,".",G933)</f>
        <v>1.8.1.3.4.58-64</v>
      </c>
      <c r="B933" s="64">
        <v>1</v>
      </c>
      <c r="C933" s="64">
        <v>8</v>
      </c>
      <c r="D933" s="64">
        <v>1</v>
      </c>
      <c r="E933" s="64">
        <v>3</v>
      </c>
      <c r="F933" s="64">
        <v>4</v>
      </c>
      <c r="G933" s="64" t="s">
        <v>64</v>
      </c>
      <c r="H933" s="65"/>
      <c r="I933" s="65"/>
      <c r="J933" s="65"/>
      <c r="K933" s="67" t="s">
        <v>1034</v>
      </c>
      <c r="L933" s="64" t="s">
        <v>359</v>
      </c>
      <c r="M933" s="64" t="s">
        <v>930</v>
      </c>
      <c r="N933" s="64" t="s">
        <v>1025</v>
      </c>
      <c r="O933" s="64" t="s">
        <v>1026</v>
      </c>
      <c r="P933" s="64"/>
      <c r="Q933" s="64"/>
      <c r="R933" s="64"/>
      <c r="S933" s="65"/>
      <c r="T933" s="64"/>
      <c r="U933" s="75"/>
      <c r="V933" s="674">
        <v>0</v>
      </c>
      <c r="W933" s="75"/>
      <c r="X933" s="75"/>
      <c r="Y933" s="834">
        <f>+AJ933-V933</f>
        <v>0</v>
      </c>
      <c r="Z933" s="75"/>
      <c r="AA933" s="75"/>
      <c r="AB933" s="75"/>
      <c r="AC933" s="75"/>
      <c r="AD933" s="75"/>
      <c r="AE933" s="592"/>
      <c r="AF933" s="259"/>
      <c r="AG933" s="510">
        <v>0</v>
      </c>
      <c r="AH933" s="370">
        <v>0</v>
      </c>
      <c r="AI933" s="75"/>
      <c r="AJ933" s="75"/>
      <c r="AK933" s="75"/>
      <c r="AL933" s="75"/>
      <c r="AM933" s="75"/>
      <c r="AN933" s="64" t="s">
        <v>39</v>
      </c>
      <c r="AO933" s="64"/>
      <c r="AP933" s="64"/>
      <c r="AQ933" s="189"/>
      <c r="AR933" s="64"/>
      <c r="AS933" s="476"/>
      <c r="AT933" s="64"/>
      <c r="AU933" s="646"/>
      <c r="AV933" s="185" t="s">
        <v>1029</v>
      </c>
    </row>
    <row r="934" spans="1:48" ht="29.25" customHeight="1" outlineLevel="3" x14ac:dyDescent="0.25">
      <c r="A934" s="63" t="str">
        <f t="shared" si="193"/>
        <v>1.8.1.3.5.58-64</v>
      </c>
      <c r="B934" s="64">
        <v>1</v>
      </c>
      <c r="C934" s="64">
        <v>8</v>
      </c>
      <c r="D934" s="64">
        <v>1</v>
      </c>
      <c r="E934" s="64">
        <v>3</v>
      </c>
      <c r="F934" s="64">
        <v>5</v>
      </c>
      <c r="G934" s="64" t="s">
        <v>64</v>
      </c>
      <c r="H934" s="65"/>
      <c r="I934" s="65"/>
      <c r="J934" s="65"/>
      <c r="K934" s="65" t="s">
        <v>1035</v>
      </c>
      <c r="L934" s="64" t="s">
        <v>359</v>
      </c>
      <c r="M934" s="64" t="s">
        <v>1036</v>
      </c>
      <c r="N934" s="64" t="s">
        <v>1025</v>
      </c>
      <c r="O934" s="64" t="s">
        <v>1026</v>
      </c>
      <c r="P934" s="64"/>
      <c r="Q934" s="64"/>
      <c r="R934" s="64"/>
      <c r="S934" s="65"/>
      <c r="T934" s="64"/>
      <c r="U934" s="75"/>
      <c r="V934" s="674">
        <v>0</v>
      </c>
      <c r="W934" s="75"/>
      <c r="X934" s="75"/>
      <c r="Y934" s="834">
        <f>+AJ934-V934</f>
        <v>0</v>
      </c>
      <c r="Z934" s="75"/>
      <c r="AA934" s="75"/>
      <c r="AB934" s="75"/>
      <c r="AC934" s="75"/>
      <c r="AD934" s="75"/>
      <c r="AE934" s="592"/>
      <c r="AF934" s="259"/>
      <c r="AG934" s="510">
        <v>0</v>
      </c>
      <c r="AH934" s="370">
        <v>0</v>
      </c>
      <c r="AI934" s="75"/>
      <c r="AJ934" s="75"/>
      <c r="AK934" s="75"/>
      <c r="AL934" s="75"/>
      <c r="AM934" s="75"/>
      <c r="AN934" s="64" t="s">
        <v>39</v>
      </c>
      <c r="AO934" s="64"/>
      <c r="AP934" s="64"/>
      <c r="AQ934" s="189"/>
      <c r="AR934" s="64"/>
      <c r="AS934" s="476"/>
      <c r="AT934" s="64"/>
      <c r="AU934" s="646"/>
      <c r="AV934" s="185" t="s">
        <v>1029</v>
      </c>
    </row>
    <row r="935" spans="1:48" s="153" customFormat="1" ht="36" customHeight="1" outlineLevel="1" x14ac:dyDescent="0.25">
      <c r="A935" s="108" t="str">
        <f t="shared" si="193"/>
        <v>1.9.1.0.0.0</v>
      </c>
      <c r="B935" s="109">
        <v>1</v>
      </c>
      <c r="C935" s="109">
        <v>9</v>
      </c>
      <c r="D935" s="109">
        <v>1</v>
      </c>
      <c r="E935" s="109">
        <v>0</v>
      </c>
      <c r="F935" s="109">
        <v>0</v>
      </c>
      <c r="G935" s="109">
        <v>0</v>
      </c>
      <c r="H935" s="110"/>
      <c r="I935" s="1258" t="s">
        <v>1037</v>
      </c>
      <c r="J935" s="1259"/>
      <c r="K935" s="1259"/>
      <c r="L935" s="109" t="s">
        <v>359</v>
      </c>
      <c r="M935" s="113" t="s">
        <v>1038</v>
      </c>
      <c r="N935" s="109" t="s">
        <v>226</v>
      </c>
      <c r="O935" s="109" t="s">
        <v>1039</v>
      </c>
      <c r="P935" s="109"/>
      <c r="Q935" s="109"/>
      <c r="R935" s="109"/>
      <c r="S935" s="110"/>
      <c r="T935" s="109"/>
      <c r="U935" s="374">
        <f t="shared" ref="U935:AG935" si="194">+U936</f>
        <v>0</v>
      </c>
      <c r="V935" s="686">
        <f t="shared" si="194"/>
        <v>0</v>
      </c>
      <c r="W935" s="374">
        <f t="shared" si="194"/>
        <v>0</v>
      </c>
      <c r="X935" s="374">
        <f t="shared" si="194"/>
        <v>0</v>
      </c>
      <c r="Y935" s="837">
        <f t="shared" si="194"/>
        <v>0</v>
      </c>
      <c r="Z935" s="374">
        <f t="shared" si="194"/>
        <v>0</v>
      </c>
      <c r="AA935" s="374">
        <f t="shared" si="194"/>
        <v>0</v>
      </c>
      <c r="AB935" s="374">
        <f t="shared" si="194"/>
        <v>0</v>
      </c>
      <c r="AC935" s="374">
        <f t="shared" si="194"/>
        <v>0</v>
      </c>
      <c r="AD935" s="374">
        <f t="shared" si="194"/>
        <v>0</v>
      </c>
      <c r="AE935" s="374">
        <f t="shared" si="194"/>
        <v>0</v>
      </c>
      <c r="AF935" s="374">
        <f t="shared" si="194"/>
        <v>0</v>
      </c>
      <c r="AG935" s="374">
        <f t="shared" si="194"/>
        <v>0</v>
      </c>
      <c r="AH935" s="374">
        <f>+AH936</f>
        <v>0</v>
      </c>
      <c r="AI935" s="514">
        <f>+AI936</f>
        <v>0</v>
      </c>
      <c r="AJ935" s="514">
        <f>+AJ936</f>
        <v>0</v>
      </c>
      <c r="AK935" s="112"/>
      <c r="AL935" s="112"/>
      <c r="AM935" s="112"/>
      <c r="AN935" s="109" t="s">
        <v>39</v>
      </c>
      <c r="AO935" s="109"/>
      <c r="AP935" s="109"/>
      <c r="AQ935" s="411"/>
      <c r="AR935" s="109"/>
      <c r="AS935" s="473"/>
      <c r="AT935" s="109"/>
      <c r="AU935" s="659"/>
      <c r="AV935" s="445"/>
    </row>
    <row r="936" spans="1:48" s="153" customFormat="1" ht="31.5" customHeight="1" outlineLevel="1" x14ac:dyDescent="0.25">
      <c r="A936" s="148" t="str">
        <f t="shared" si="193"/>
        <v>1.9.1.1.0.0</v>
      </c>
      <c r="B936" s="82">
        <v>1</v>
      </c>
      <c r="C936" s="82">
        <v>9</v>
      </c>
      <c r="D936" s="82">
        <v>1</v>
      </c>
      <c r="E936" s="82">
        <v>1</v>
      </c>
      <c r="F936" s="82">
        <v>0</v>
      </c>
      <c r="G936" s="82">
        <v>0</v>
      </c>
      <c r="H936" s="149"/>
      <c r="I936" s="149"/>
      <c r="J936" s="1260" t="s">
        <v>1038</v>
      </c>
      <c r="K936" s="1259"/>
      <c r="L936" s="82">
        <v>0</v>
      </c>
      <c r="M936" s="83" t="s">
        <v>1038</v>
      </c>
      <c r="N936" s="82" t="s">
        <v>226</v>
      </c>
      <c r="O936" s="82" t="s">
        <v>1039</v>
      </c>
      <c r="P936" s="82"/>
      <c r="Q936" s="82"/>
      <c r="R936" s="82"/>
      <c r="S936" s="149"/>
      <c r="T936" s="82"/>
      <c r="U936" s="379">
        <f t="shared" ref="U936:AG936" si="195">SUM(U937:U938)</f>
        <v>0</v>
      </c>
      <c r="V936" s="682">
        <f t="shared" si="195"/>
        <v>0</v>
      </c>
      <c r="W936" s="379">
        <f t="shared" si="195"/>
        <v>0</v>
      </c>
      <c r="X936" s="379">
        <f t="shared" si="195"/>
        <v>0</v>
      </c>
      <c r="Y936" s="845">
        <f t="shared" si="195"/>
        <v>0</v>
      </c>
      <c r="Z936" s="379">
        <f t="shared" si="195"/>
        <v>0</v>
      </c>
      <c r="AA936" s="379">
        <f t="shared" si="195"/>
        <v>0</v>
      </c>
      <c r="AB936" s="379">
        <f t="shared" si="195"/>
        <v>0</v>
      </c>
      <c r="AC936" s="379">
        <f t="shared" si="195"/>
        <v>0</v>
      </c>
      <c r="AD936" s="379">
        <f t="shared" si="195"/>
        <v>0</v>
      </c>
      <c r="AE936" s="379">
        <f t="shared" si="195"/>
        <v>0</v>
      </c>
      <c r="AF936" s="379">
        <f t="shared" si="195"/>
        <v>0</v>
      </c>
      <c r="AG936" s="379">
        <f t="shared" si="195"/>
        <v>0</v>
      </c>
      <c r="AH936" s="379">
        <f t="shared" ref="AH936:AM936" si="196">SUM(AH937:AH938)</f>
        <v>0</v>
      </c>
      <c r="AI936" s="512">
        <f t="shared" si="196"/>
        <v>0</v>
      </c>
      <c r="AJ936" s="512">
        <f>SUM(AJ937:AJ938)</f>
        <v>0</v>
      </c>
      <c r="AK936" s="512">
        <f t="shared" si="196"/>
        <v>0</v>
      </c>
      <c r="AL936" s="512">
        <f t="shared" si="196"/>
        <v>0</v>
      </c>
      <c r="AM936" s="512">
        <f t="shared" si="196"/>
        <v>0</v>
      </c>
      <c r="AN936" s="82" t="s">
        <v>39</v>
      </c>
      <c r="AO936" s="82"/>
      <c r="AP936" s="82"/>
      <c r="AQ936" s="365"/>
      <c r="AR936" s="82"/>
      <c r="AS936" s="483"/>
      <c r="AT936" s="82"/>
      <c r="AU936" s="666"/>
      <c r="AV936" s="444"/>
    </row>
    <row r="937" spans="1:48" ht="30.75" customHeight="1" outlineLevel="2" x14ac:dyDescent="0.25">
      <c r="A937" s="63" t="str">
        <f t="shared" si="193"/>
        <v>1.9.1.1.1.58-64</v>
      </c>
      <c r="B937" s="64">
        <v>1</v>
      </c>
      <c r="C937" s="64">
        <v>9</v>
      </c>
      <c r="D937" s="64">
        <v>1</v>
      </c>
      <c r="E937" s="64">
        <v>1</v>
      </c>
      <c r="F937" s="64">
        <v>1</v>
      </c>
      <c r="G937" s="64" t="s">
        <v>64</v>
      </c>
      <c r="H937" s="65"/>
      <c r="I937" s="65"/>
      <c r="J937" s="66"/>
      <c r="K937" s="65" t="s">
        <v>1040</v>
      </c>
      <c r="L937" s="64" t="s">
        <v>910</v>
      </c>
      <c r="M937" s="68" t="s">
        <v>1038</v>
      </c>
      <c r="N937" s="64" t="s">
        <v>1041</v>
      </c>
      <c r="O937" s="64" t="s">
        <v>72</v>
      </c>
      <c r="P937" s="64"/>
      <c r="Q937" s="64"/>
      <c r="R937" s="64"/>
      <c r="S937" s="65"/>
      <c r="T937" s="64"/>
      <c r="U937" s="75">
        <v>0</v>
      </c>
      <c r="V937" s="674">
        <v>0</v>
      </c>
      <c r="W937" s="75"/>
      <c r="X937" s="75"/>
      <c r="Y937" s="834">
        <f>+AJ937-V937</f>
        <v>0</v>
      </c>
      <c r="Z937" s="75"/>
      <c r="AA937" s="75"/>
      <c r="AB937" s="75"/>
      <c r="AC937" s="75"/>
      <c r="AD937" s="75"/>
      <c r="AE937" s="592"/>
      <c r="AF937" s="259"/>
      <c r="AG937" s="510">
        <v>0</v>
      </c>
      <c r="AH937" s="370">
        <v>0</v>
      </c>
      <c r="AI937" s="75"/>
      <c r="AJ937" s="75"/>
      <c r="AK937" s="75"/>
      <c r="AL937" s="75"/>
      <c r="AM937" s="75"/>
      <c r="AN937" s="64" t="s">
        <v>39</v>
      </c>
      <c r="AO937" s="64"/>
      <c r="AP937" s="64"/>
      <c r="AQ937" s="189"/>
      <c r="AR937" s="64"/>
      <c r="AS937" s="476"/>
      <c r="AT937" s="64"/>
      <c r="AU937" s="646"/>
      <c r="AV937" s="185"/>
    </row>
    <row r="938" spans="1:48" ht="33" customHeight="1" outlineLevel="2" x14ac:dyDescent="0.25">
      <c r="A938" s="63" t="str">
        <f t="shared" si="193"/>
        <v>1.9.1.1.2.58-64</v>
      </c>
      <c r="B938" s="64">
        <v>1</v>
      </c>
      <c r="C938" s="64">
        <v>9</v>
      </c>
      <c r="D938" s="64">
        <v>1</v>
      </c>
      <c r="E938" s="64">
        <v>1</v>
      </c>
      <c r="F938" s="64">
        <v>2</v>
      </c>
      <c r="G938" s="64" t="s">
        <v>64</v>
      </c>
      <c r="H938" s="65"/>
      <c r="I938" s="65"/>
      <c r="J938" s="66"/>
      <c r="K938" s="65" t="s">
        <v>1042</v>
      </c>
      <c r="L938" s="68" t="s">
        <v>622</v>
      </c>
      <c r="M938" s="64" t="s">
        <v>359</v>
      </c>
      <c r="N938" s="64" t="s">
        <v>1043</v>
      </c>
      <c r="O938" s="64" t="s">
        <v>72</v>
      </c>
      <c r="P938" s="64"/>
      <c r="Q938" s="64"/>
      <c r="R938" s="64"/>
      <c r="S938" s="65"/>
      <c r="T938" s="64"/>
      <c r="U938" s="75">
        <v>0</v>
      </c>
      <c r="V938" s="674">
        <v>0</v>
      </c>
      <c r="W938" s="75"/>
      <c r="X938" s="75"/>
      <c r="Y938" s="834">
        <f>+AJ938-V938</f>
        <v>0</v>
      </c>
      <c r="Z938" s="75"/>
      <c r="AA938" s="75"/>
      <c r="AB938" s="75"/>
      <c r="AC938" s="75"/>
      <c r="AD938" s="75"/>
      <c r="AE938" s="592"/>
      <c r="AF938" s="259"/>
      <c r="AG938" s="510">
        <v>0</v>
      </c>
      <c r="AH938" s="370">
        <v>0</v>
      </c>
      <c r="AI938" s="75"/>
      <c r="AJ938" s="75"/>
      <c r="AK938" s="75"/>
      <c r="AL938" s="75"/>
      <c r="AM938" s="75"/>
      <c r="AN938" s="64" t="s">
        <v>39</v>
      </c>
      <c r="AO938" s="64"/>
      <c r="AP938" s="64"/>
      <c r="AQ938" s="189"/>
      <c r="AR938" s="64"/>
      <c r="AS938" s="476"/>
      <c r="AT938" s="64"/>
      <c r="AU938" s="646"/>
      <c r="AV938" s="185"/>
    </row>
    <row r="939" spans="1:48" s="153" customFormat="1" ht="69" customHeight="1" outlineLevel="1" x14ac:dyDescent="0.25">
      <c r="A939" s="108" t="str">
        <f t="shared" si="193"/>
        <v>1.10.2.0.0.0</v>
      </c>
      <c r="B939" s="109">
        <v>1</v>
      </c>
      <c r="C939" s="109">
        <v>10</v>
      </c>
      <c r="D939" s="109">
        <v>2</v>
      </c>
      <c r="E939" s="109">
        <v>0</v>
      </c>
      <c r="F939" s="109">
        <v>0</v>
      </c>
      <c r="G939" s="109">
        <v>0</v>
      </c>
      <c r="H939" s="110"/>
      <c r="I939" s="1258" t="s">
        <v>1044</v>
      </c>
      <c r="J939" s="1259"/>
      <c r="K939" s="1259"/>
      <c r="L939" s="699" t="s">
        <v>236</v>
      </c>
      <c r="M939" s="112" t="s">
        <v>1045</v>
      </c>
      <c r="N939" s="112" t="s">
        <v>1046</v>
      </c>
      <c r="O939" s="112" t="s">
        <v>1047</v>
      </c>
      <c r="P939" s="112"/>
      <c r="Q939" s="112"/>
      <c r="R939" s="112"/>
      <c r="S939" s="241"/>
      <c r="T939" s="109"/>
      <c r="U939" s="112">
        <f>+U940+U956+U967</f>
        <v>70999442.549999997</v>
      </c>
      <c r="V939" s="680">
        <f>+V940+V956+V967</f>
        <v>0</v>
      </c>
      <c r="W939" s="374">
        <f t="shared" ref="W939:AG939" si="197">+W940+W956+W967</f>
        <v>0</v>
      </c>
      <c r="X939" s="374">
        <f t="shared" si="197"/>
        <v>0</v>
      </c>
      <c r="Y939" s="837">
        <f t="shared" si="197"/>
        <v>59432110.439999998</v>
      </c>
      <c r="Z939" s="374">
        <f t="shared" si="197"/>
        <v>0</v>
      </c>
      <c r="AA939" s="374">
        <f t="shared" si="197"/>
        <v>0</v>
      </c>
      <c r="AB939" s="374">
        <f t="shared" si="197"/>
        <v>0</v>
      </c>
      <c r="AC939" s="374">
        <f t="shared" si="197"/>
        <v>0</v>
      </c>
      <c r="AD939" s="374">
        <f t="shared" si="197"/>
        <v>0</v>
      </c>
      <c r="AE939" s="374">
        <f t="shared" si="197"/>
        <v>0</v>
      </c>
      <c r="AF939" s="374">
        <f t="shared" si="197"/>
        <v>0</v>
      </c>
      <c r="AG939" s="374">
        <f t="shared" si="197"/>
        <v>81827665.019999996</v>
      </c>
      <c r="AH939" s="374">
        <f>+AH940+AH956+AH967</f>
        <v>70999442.549999997</v>
      </c>
      <c r="AI939" s="514">
        <f>+AI940+AI956+AI967</f>
        <v>0</v>
      </c>
      <c r="AJ939" s="514">
        <f>+AJ940+AJ956+AJ967</f>
        <v>59432110.439999998</v>
      </c>
      <c r="AK939" s="112"/>
      <c r="AL939" s="112"/>
      <c r="AM939" s="112"/>
      <c r="AN939" s="109" t="s">
        <v>39</v>
      </c>
      <c r="AO939" s="109"/>
      <c r="AP939" s="109"/>
      <c r="AQ939" s="411"/>
      <c r="AR939" s="109"/>
      <c r="AS939" s="473"/>
      <c r="AT939" s="109"/>
      <c r="AU939" s="659"/>
      <c r="AV939" s="429" t="s">
        <v>1048</v>
      </c>
    </row>
    <row r="940" spans="1:48" s="153" customFormat="1" ht="30" outlineLevel="1" x14ac:dyDescent="0.25">
      <c r="A940" s="148" t="str">
        <f t="shared" si="193"/>
        <v>1.10.2.1.0.0</v>
      </c>
      <c r="B940" s="82">
        <v>1</v>
      </c>
      <c r="C940" s="82">
        <v>10</v>
      </c>
      <c r="D940" s="82">
        <v>2</v>
      </c>
      <c r="E940" s="82">
        <v>1</v>
      </c>
      <c r="F940" s="82">
        <v>0</v>
      </c>
      <c r="G940" s="82">
        <v>0</v>
      </c>
      <c r="H940" s="149"/>
      <c r="I940" s="149"/>
      <c r="J940" s="1260" t="s">
        <v>1049</v>
      </c>
      <c r="K940" s="1259"/>
      <c r="L940" s="82" t="s">
        <v>1050</v>
      </c>
      <c r="M940" s="83" t="s">
        <v>1051</v>
      </c>
      <c r="N940" s="82" t="s">
        <v>1046</v>
      </c>
      <c r="O940" s="82" t="s">
        <v>1052</v>
      </c>
      <c r="P940" s="82"/>
      <c r="Q940" s="82"/>
      <c r="R940" s="82"/>
      <c r="S940" s="149"/>
      <c r="T940" s="82"/>
      <c r="U940" s="209">
        <f t="shared" ref="U940:V940" si="198">SUM(U941:U955)</f>
        <v>70999442.549999997</v>
      </c>
      <c r="V940" s="683">
        <f t="shared" si="198"/>
        <v>0</v>
      </c>
      <c r="W940" s="379">
        <f t="shared" ref="W940:AG940" si="199">+SUM(W941:W955)</f>
        <v>0</v>
      </c>
      <c r="X940" s="379">
        <f t="shared" si="199"/>
        <v>0</v>
      </c>
      <c r="Y940" s="845">
        <f t="shared" si="199"/>
        <v>59432110.439999998</v>
      </c>
      <c r="Z940" s="379">
        <f t="shared" si="199"/>
        <v>0</v>
      </c>
      <c r="AA940" s="379">
        <f t="shared" si="199"/>
        <v>0</v>
      </c>
      <c r="AB940" s="379">
        <f t="shared" si="199"/>
        <v>0</v>
      </c>
      <c r="AC940" s="379">
        <f t="shared" si="199"/>
        <v>0</v>
      </c>
      <c r="AD940" s="379">
        <f t="shared" si="199"/>
        <v>0</v>
      </c>
      <c r="AE940" s="379">
        <f t="shared" si="199"/>
        <v>0</v>
      </c>
      <c r="AF940" s="379">
        <f t="shared" si="199"/>
        <v>0</v>
      </c>
      <c r="AG940" s="379">
        <f t="shared" si="199"/>
        <v>81827665.019999996</v>
      </c>
      <c r="AH940" s="379">
        <f>+SUM(AH941:AH955)</f>
        <v>70999442.549999997</v>
      </c>
      <c r="AI940" s="512">
        <f>+SUM(AI941:AI955)</f>
        <v>0</v>
      </c>
      <c r="AJ940" s="512">
        <f>+SUM(AJ941:AJ955)</f>
        <v>59432110.439999998</v>
      </c>
      <c r="AK940" s="152"/>
      <c r="AL940" s="152"/>
      <c r="AM940" s="152"/>
      <c r="AN940" s="82" t="s">
        <v>39</v>
      </c>
      <c r="AO940" s="82"/>
      <c r="AP940" s="82"/>
      <c r="AQ940" s="365"/>
      <c r="AR940" s="82"/>
      <c r="AS940" s="483"/>
      <c r="AT940" s="82"/>
      <c r="AU940" s="666"/>
      <c r="AV940" s="449" t="s">
        <v>1053</v>
      </c>
    </row>
    <row r="941" spans="1:48" ht="48" customHeight="1" outlineLevel="2" x14ac:dyDescent="0.25">
      <c r="A941" s="63" t="str">
        <f t="shared" si="193"/>
        <v>1.10.2.1.1.58</v>
      </c>
      <c r="B941" s="64">
        <v>1</v>
      </c>
      <c r="C941" s="64">
        <v>10</v>
      </c>
      <c r="D941" s="64">
        <v>2</v>
      </c>
      <c r="E941" s="64">
        <v>1</v>
      </c>
      <c r="F941" s="64">
        <v>1</v>
      </c>
      <c r="G941" s="64">
        <v>58</v>
      </c>
      <c r="H941" s="65"/>
      <c r="I941" s="65"/>
      <c r="J941" s="65"/>
      <c r="K941" s="67" t="s">
        <v>1054</v>
      </c>
      <c r="L941" s="64" t="s">
        <v>1050</v>
      </c>
      <c r="M941" s="64" t="s">
        <v>1051</v>
      </c>
      <c r="N941" s="64" t="s">
        <v>1046</v>
      </c>
      <c r="O941" s="64" t="s">
        <v>1047</v>
      </c>
      <c r="P941" s="170" t="s">
        <v>1055</v>
      </c>
      <c r="Q941" s="170"/>
      <c r="R941" s="170"/>
      <c r="S941" s="170"/>
      <c r="T941" s="170"/>
      <c r="U941" s="97">
        <v>0</v>
      </c>
      <c r="V941" s="684">
        <v>0</v>
      </c>
      <c r="W941" s="97"/>
      <c r="X941" s="97"/>
      <c r="Y941" s="834">
        <f t="shared" ref="Y941:Y988" si="200">+AJ941-V941</f>
        <v>0</v>
      </c>
      <c r="Z941" s="97"/>
      <c r="AA941" s="97"/>
      <c r="AB941" s="97"/>
      <c r="AC941" s="75"/>
      <c r="AD941" s="75"/>
      <c r="AE941" s="592"/>
      <c r="AF941" s="353"/>
      <c r="AG941" s="510">
        <v>0</v>
      </c>
      <c r="AH941" s="370">
        <v>0</v>
      </c>
      <c r="AI941" s="75"/>
      <c r="AJ941" s="75"/>
      <c r="AK941" s="75"/>
      <c r="AL941" s="75"/>
      <c r="AM941" s="75"/>
      <c r="AN941" s="171" t="s">
        <v>39</v>
      </c>
      <c r="AO941" s="171"/>
      <c r="AP941" s="171"/>
      <c r="AQ941" s="418"/>
      <c r="AS941" s="484"/>
      <c r="AV941" s="185"/>
    </row>
    <row r="942" spans="1:48" ht="48" customHeight="1" outlineLevel="2" x14ac:dyDescent="0.25">
      <c r="A942" s="63" t="str">
        <f t="shared" si="193"/>
        <v>1.10.2.1.1.62</v>
      </c>
      <c r="B942" s="64">
        <v>1</v>
      </c>
      <c r="C942" s="64">
        <v>10</v>
      </c>
      <c r="D942" s="64">
        <v>2</v>
      </c>
      <c r="E942" s="64">
        <v>1</v>
      </c>
      <c r="F942" s="64">
        <v>1</v>
      </c>
      <c r="G942" s="64">
        <v>62</v>
      </c>
      <c r="H942" s="65"/>
      <c r="I942" s="65"/>
      <c r="J942" s="65"/>
      <c r="K942" s="67" t="s">
        <v>1056</v>
      </c>
      <c r="L942" s="64" t="s">
        <v>1050</v>
      </c>
      <c r="M942" s="64" t="s">
        <v>1051</v>
      </c>
      <c r="N942" s="64" t="s">
        <v>1046</v>
      </c>
      <c r="O942" s="64" t="s">
        <v>1047</v>
      </c>
      <c r="P942" s="170"/>
      <c r="Q942" s="170"/>
      <c r="R942" s="170"/>
      <c r="S942" s="170"/>
      <c r="T942" s="170"/>
      <c r="U942" s="97">
        <v>0</v>
      </c>
      <c r="V942" s="684">
        <v>0</v>
      </c>
      <c r="W942" s="97"/>
      <c r="X942" s="97"/>
      <c r="Y942" s="834">
        <f t="shared" si="200"/>
        <v>0</v>
      </c>
      <c r="Z942" s="97"/>
      <c r="AA942" s="97"/>
      <c r="AB942" s="97"/>
      <c r="AC942" s="75"/>
      <c r="AD942" s="75"/>
      <c r="AE942" s="592"/>
      <c r="AF942" s="353"/>
      <c r="AG942" s="510">
        <v>0</v>
      </c>
      <c r="AH942" s="370">
        <v>0</v>
      </c>
      <c r="AI942" s="75"/>
      <c r="AJ942" s="75"/>
      <c r="AK942" s="75"/>
      <c r="AL942" s="75"/>
      <c r="AM942" s="75"/>
      <c r="AN942" s="171" t="s">
        <v>39</v>
      </c>
      <c r="AO942" s="171"/>
      <c r="AP942" s="171"/>
      <c r="AQ942" s="418"/>
      <c r="AS942" s="484"/>
      <c r="AV942" s="185"/>
    </row>
    <row r="943" spans="1:48" ht="48" customHeight="1" outlineLevel="2" x14ac:dyDescent="0.25">
      <c r="A943" s="63" t="str">
        <f t="shared" si="193"/>
        <v>1.10.2.1.1.63</v>
      </c>
      <c r="B943" s="64">
        <v>1</v>
      </c>
      <c r="C943" s="64">
        <v>10</v>
      </c>
      <c r="D943" s="64">
        <v>2</v>
      </c>
      <c r="E943" s="64">
        <v>1</v>
      </c>
      <c r="F943" s="64">
        <v>1</v>
      </c>
      <c r="G943" s="64">
        <v>63</v>
      </c>
      <c r="H943" s="65"/>
      <c r="I943" s="65"/>
      <c r="J943" s="65"/>
      <c r="K943" s="67" t="s">
        <v>1770</v>
      </c>
      <c r="L943" s="64" t="s">
        <v>1050</v>
      </c>
      <c r="M943" s="64" t="s">
        <v>1051</v>
      </c>
      <c r="N943" s="64" t="s">
        <v>1046</v>
      </c>
      <c r="O943" s="64" t="s">
        <v>1047</v>
      </c>
      <c r="P943" s="170"/>
      <c r="Q943" s="170"/>
      <c r="R943" s="170"/>
      <c r="S943" s="170"/>
      <c r="T943" s="170"/>
      <c r="U943" s="97">
        <v>0</v>
      </c>
      <c r="V943" s="684">
        <v>0</v>
      </c>
      <c r="W943" s="97"/>
      <c r="X943" s="97"/>
      <c r="Y943" s="834">
        <f t="shared" si="200"/>
        <v>0</v>
      </c>
      <c r="Z943" s="97"/>
      <c r="AA943" s="97"/>
      <c r="AB943" s="97"/>
      <c r="AC943" s="75"/>
      <c r="AD943" s="75"/>
      <c r="AE943" s="592"/>
      <c r="AF943" s="353"/>
      <c r="AG943" s="510">
        <v>0</v>
      </c>
      <c r="AH943" s="370">
        <v>0</v>
      </c>
      <c r="AI943" s="75"/>
      <c r="AJ943" s="75"/>
      <c r="AK943" s="75"/>
      <c r="AL943" s="75"/>
      <c r="AM943" s="75"/>
      <c r="AN943" s="171" t="s">
        <v>39</v>
      </c>
      <c r="AO943" s="171"/>
      <c r="AP943" s="171"/>
      <c r="AQ943" s="418"/>
      <c r="AS943" s="484"/>
      <c r="AV943" s="185"/>
    </row>
    <row r="944" spans="1:48" ht="48" customHeight="1" outlineLevel="2" x14ac:dyDescent="0.25">
      <c r="A944" s="63" t="str">
        <f t="shared" si="193"/>
        <v>1.10.2.1.1.64</v>
      </c>
      <c r="B944" s="64">
        <v>1</v>
      </c>
      <c r="C944" s="64">
        <v>10</v>
      </c>
      <c r="D944" s="64">
        <v>2</v>
      </c>
      <c r="E944" s="64">
        <v>1</v>
      </c>
      <c r="F944" s="64">
        <v>1</v>
      </c>
      <c r="G944" s="100">
        <v>64</v>
      </c>
      <c r="H944" s="65"/>
      <c r="I944" s="65"/>
      <c r="J944" s="65"/>
      <c r="K944" s="67" t="s">
        <v>1057</v>
      </c>
      <c r="L944" s="64" t="s">
        <v>1050</v>
      </c>
      <c r="M944" s="64" t="s">
        <v>1051</v>
      </c>
      <c r="N944" s="64" t="s">
        <v>1046</v>
      </c>
      <c r="O944" s="64" t="s">
        <v>1047</v>
      </c>
      <c r="P944" s="170"/>
      <c r="Q944" s="197">
        <v>44630</v>
      </c>
      <c r="R944" s="170"/>
      <c r="S944" s="170"/>
      <c r="T944" s="170"/>
      <c r="U944" s="97">
        <v>0</v>
      </c>
      <c r="V944" s="684">
        <v>0</v>
      </c>
      <c r="W944" s="97"/>
      <c r="X944" s="97"/>
      <c r="Y944" s="834">
        <f t="shared" si="200"/>
        <v>0</v>
      </c>
      <c r="Z944" s="97"/>
      <c r="AA944" s="97"/>
      <c r="AB944" s="97"/>
      <c r="AC944" s="75"/>
      <c r="AD944" s="75"/>
      <c r="AE944" s="592"/>
      <c r="AF944" s="353"/>
      <c r="AG944" s="510">
        <v>3940410.1</v>
      </c>
      <c r="AH944" s="370">
        <v>0</v>
      </c>
      <c r="AI944" s="75"/>
      <c r="AJ944" s="75"/>
      <c r="AK944" s="75"/>
      <c r="AL944" s="75"/>
      <c r="AM944" s="75"/>
      <c r="AN944" s="171" t="s">
        <v>39</v>
      </c>
      <c r="AO944" s="171"/>
      <c r="AP944" s="171"/>
      <c r="AQ944" s="418"/>
      <c r="AS944" s="484"/>
      <c r="AV944" s="335" t="s">
        <v>1058</v>
      </c>
    </row>
    <row r="945" spans="1:48" ht="48" customHeight="1" outlineLevel="2" x14ac:dyDescent="0.25">
      <c r="A945" s="63" t="str">
        <f t="shared" si="193"/>
        <v>1.10.2.1.2.58</v>
      </c>
      <c r="B945" s="64">
        <v>1</v>
      </c>
      <c r="C945" s="64">
        <v>10</v>
      </c>
      <c r="D945" s="64">
        <v>2</v>
      </c>
      <c r="E945" s="64">
        <v>1</v>
      </c>
      <c r="F945" s="64">
        <v>2</v>
      </c>
      <c r="G945" s="64">
        <v>58</v>
      </c>
      <c r="H945" s="65"/>
      <c r="I945" s="65"/>
      <c r="J945" s="66"/>
      <c r="K945" s="67" t="s">
        <v>1059</v>
      </c>
      <c r="L945" s="64" t="s">
        <v>1050</v>
      </c>
      <c r="M945" s="64" t="s">
        <v>758</v>
      </c>
      <c r="N945" s="64" t="s">
        <v>1046</v>
      </c>
      <c r="O945" s="64" t="s">
        <v>1047</v>
      </c>
      <c r="P945" s="170" t="s">
        <v>1055</v>
      </c>
      <c r="Q945" s="170"/>
      <c r="R945" s="170"/>
      <c r="S945" s="170"/>
      <c r="T945" s="170"/>
      <c r="U945" s="97">
        <v>0</v>
      </c>
      <c r="V945" s="684">
        <v>0</v>
      </c>
      <c r="W945" s="97"/>
      <c r="X945" s="97"/>
      <c r="Y945" s="834">
        <f t="shared" si="200"/>
        <v>0</v>
      </c>
      <c r="Z945" s="97"/>
      <c r="AA945" s="97"/>
      <c r="AB945" s="97"/>
      <c r="AC945" s="75"/>
      <c r="AD945" s="75"/>
      <c r="AE945" s="592"/>
      <c r="AF945" s="353"/>
      <c r="AG945" s="510">
        <v>0</v>
      </c>
      <c r="AH945" s="370">
        <v>0</v>
      </c>
      <c r="AI945" s="75"/>
      <c r="AJ945" s="75"/>
      <c r="AK945" s="75"/>
      <c r="AL945" s="75"/>
      <c r="AM945" s="75"/>
      <c r="AN945" s="171" t="s">
        <v>39</v>
      </c>
      <c r="AO945" s="171"/>
      <c r="AP945" s="171"/>
      <c r="AQ945" s="418"/>
      <c r="AS945" s="484"/>
      <c r="AV945" s="185"/>
    </row>
    <row r="946" spans="1:48" ht="48" customHeight="1" outlineLevel="2" x14ac:dyDescent="0.25">
      <c r="A946" s="63" t="str">
        <f t="shared" si="193"/>
        <v>1.10.2.1.2.62</v>
      </c>
      <c r="B946" s="64">
        <v>1</v>
      </c>
      <c r="C946" s="64">
        <v>10</v>
      </c>
      <c r="D946" s="64">
        <v>2</v>
      </c>
      <c r="E946" s="64">
        <v>1</v>
      </c>
      <c r="F946" s="64">
        <v>2</v>
      </c>
      <c r="G946" s="64">
        <v>62</v>
      </c>
      <c r="H946" s="65"/>
      <c r="I946" s="65"/>
      <c r="J946" s="66"/>
      <c r="K946" s="67" t="s">
        <v>1060</v>
      </c>
      <c r="L946" s="64" t="s">
        <v>1050</v>
      </c>
      <c r="M946" s="64" t="s">
        <v>758</v>
      </c>
      <c r="N946" s="64" t="s">
        <v>1046</v>
      </c>
      <c r="O946" s="64" t="s">
        <v>1047</v>
      </c>
      <c r="P946" s="170"/>
      <c r="Q946" s="170"/>
      <c r="R946" s="170"/>
      <c r="S946" s="170"/>
      <c r="T946" s="170"/>
      <c r="U946" s="97">
        <v>0</v>
      </c>
      <c r="V946" s="684">
        <v>0</v>
      </c>
      <c r="W946" s="97"/>
      <c r="X946" s="97"/>
      <c r="Y946" s="834">
        <f t="shared" si="200"/>
        <v>0</v>
      </c>
      <c r="Z946" s="97"/>
      <c r="AA946" s="97"/>
      <c r="AB946" s="97"/>
      <c r="AC946" s="75"/>
      <c r="AD946" s="75"/>
      <c r="AE946" s="592"/>
      <c r="AF946" s="353"/>
      <c r="AG946" s="510">
        <v>0</v>
      </c>
      <c r="AH946" s="370">
        <v>0</v>
      </c>
      <c r="AI946" s="75"/>
      <c r="AJ946" s="75"/>
      <c r="AK946" s="75"/>
      <c r="AL946" s="75"/>
      <c r="AM946" s="75"/>
      <c r="AN946" s="171" t="s">
        <v>39</v>
      </c>
      <c r="AO946" s="171"/>
      <c r="AP946" s="171"/>
      <c r="AQ946" s="418"/>
      <c r="AS946" s="484"/>
      <c r="AV946" s="185"/>
    </row>
    <row r="947" spans="1:48" ht="48" customHeight="1" outlineLevel="2" x14ac:dyDescent="0.25">
      <c r="A947" s="63" t="str">
        <f t="shared" si="193"/>
        <v>1.10.2.1.2.63</v>
      </c>
      <c r="B947" s="64">
        <v>1</v>
      </c>
      <c r="C947" s="64">
        <v>10</v>
      </c>
      <c r="D947" s="64">
        <v>2</v>
      </c>
      <c r="E947" s="64">
        <v>1</v>
      </c>
      <c r="F947" s="64">
        <v>2</v>
      </c>
      <c r="G947" s="64">
        <v>63</v>
      </c>
      <c r="H947" s="65"/>
      <c r="I947" s="65"/>
      <c r="J947" s="66"/>
      <c r="K947" s="67" t="s">
        <v>1771</v>
      </c>
      <c r="L947" s="64" t="s">
        <v>1050</v>
      </c>
      <c r="M947" s="64" t="s">
        <v>758</v>
      </c>
      <c r="N947" s="64" t="s">
        <v>1046</v>
      </c>
      <c r="O947" s="64" t="s">
        <v>1047</v>
      </c>
      <c r="P947" s="170"/>
      <c r="Q947" s="170"/>
      <c r="R947" s="170"/>
      <c r="S947" s="170"/>
      <c r="T947" s="170"/>
      <c r="U947" s="97">
        <v>0</v>
      </c>
      <c r="V947" s="684">
        <v>0</v>
      </c>
      <c r="W947" s="97"/>
      <c r="X947" s="97"/>
      <c r="Y947" s="834">
        <f t="shared" si="200"/>
        <v>0</v>
      </c>
      <c r="Z947" s="97"/>
      <c r="AA947" s="97"/>
      <c r="AB947" s="97"/>
      <c r="AC947" s="75"/>
      <c r="AD947" s="75"/>
      <c r="AE947" s="592"/>
      <c r="AF947" s="353"/>
      <c r="AG947" s="510">
        <v>0</v>
      </c>
      <c r="AH947" s="370">
        <v>0</v>
      </c>
      <c r="AI947" s="75"/>
      <c r="AJ947" s="75"/>
      <c r="AK947" s="75"/>
      <c r="AL947" s="75"/>
      <c r="AM947" s="75"/>
      <c r="AN947" s="171" t="s">
        <v>39</v>
      </c>
      <c r="AO947" s="171"/>
      <c r="AP947" s="171"/>
      <c r="AQ947" s="418"/>
      <c r="AS947" s="484"/>
      <c r="AV947" s="185"/>
    </row>
    <row r="948" spans="1:48" ht="48" customHeight="1" outlineLevel="2" x14ac:dyDescent="0.25">
      <c r="A948" s="63" t="str">
        <f t="shared" si="193"/>
        <v>1.10.2.1.2.64</v>
      </c>
      <c r="B948" s="64">
        <v>1</v>
      </c>
      <c r="C948" s="64">
        <v>10</v>
      </c>
      <c r="D948" s="64">
        <v>2</v>
      </c>
      <c r="E948" s="64">
        <v>1</v>
      </c>
      <c r="F948" s="64">
        <v>2</v>
      </c>
      <c r="G948" s="64">
        <v>64</v>
      </c>
      <c r="H948" s="65"/>
      <c r="I948" s="65"/>
      <c r="J948" s="66"/>
      <c r="K948" s="67" t="s">
        <v>1061</v>
      </c>
      <c r="L948" s="64" t="s">
        <v>1050</v>
      </c>
      <c r="M948" s="64" t="s">
        <v>758</v>
      </c>
      <c r="N948" s="64" t="s">
        <v>1046</v>
      </c>
      <c r="O948" s="64" t="s">
        <v>1047</v>
      </c>
      <c r="P948" s="170"/>
      <c r="Q948" s="170"/>
      <c r="R948" s="170"/>
      <c r="S948" s="170"/>
      <c r="T948" s="170"/>
      <c r="U948" s="97">
        <v>0</v>
      </c>
      <c r="V948" s="684">
        <v>0</v>
      </c>
      <c r="W948" s="97"/>
      <c r="X948" s="97"/>
      <c r="Y948" s="834">
        <f t="shared" si="200"/>
        <v>0</v>
      </c>
      <c r="Z948" s="97"/>
      <c r="AA948" s="97"/>
      <c r="AB948" s="97"/>
      <c r="AC948" s="75"/>
      <c r="AD948" s="75"/>
      <c r="AE948" s="592"/>
      <c r="AF948" s="353"/>
      <c r="AG948" s="510">
        <v>0</v>
      </c>
      <c r="AH948" s="370">
        <v>0</v>
      </c>
      <c r="AI948" s="75"/>
      <c r="AJ948" s="75"/>
      <c r="AK948" s="75"/>
      <c r="AL948" s="75"/>
      <c r="AM948" s="75"/>
      <c r="AN948" s="171" t="s">
        <v>39</v>
      </c>
      <c r="AO948" s="171"/>
      <c r="AP948" s="171"/>
      <c r="AQ948" s="418"/>
      <c r="AS948" s="484"/>
      <c r="AV948" s="185"/>
    </row>
    <row r="949" spans="1:48" ht="48" customHeight="1" outlineLevel="2" x14ac:dyDescent="0.25">
      <c r="A949" s="63" t="str">
        <f>CONCATENATE(B949,".",C949,".",D949,".",E949,".",F949,".",G949)</f>
        <v>1.10.2.1.3.60-61-64</v>
      </c>
      <c r="B949" s="64">
        <v>1</v>
      </c>
      <c r="C949" s="64">
        <v>10</v>
      </c>
      <c r="D949" s="64">
        <v>2</v>
      </c>
      <c r="E949" s="64">
        <v>1</v>
      </c>
      <c r="F949" s="64">
        <v>3</v>
      </c>
      <c r="G949" s="64" t="s">
        <v>1062</v>
      </c>
      <c r="H949" s="65"/>
      <c r="I949" s="65"/>
      <c r="J949" s="66"/>
      <c r="K949" s="67" t="s">
        <v>1063</v>
      </c>
      <c r="L949" s="64" t="s">
        <v>1050</v>
      </c>
      <c r="M949" s="68" t="s">
        <v>1064</v>
      </c>
      <c r="N949" s="68" t="s">
        <v>1065</v>
      </c>
      <c r="O949" s="64" t="s">
        <v>1066</v>
      </c>
      <c r="P949" s="63" t="s">
        <v>1067</v>
      </c>
      <c r="Q949" s="170"/>
      <c r="R949" s="170"/>
      <c r="S949" s="170"/>
      <c r="T949" s="170"/>
      <c r="U949" s="97">
        <v>0</v>
      </c>
      <c r="V949" s="684">
        <v>0</v>
      </c>
      <c r="W949" s="97"/>
      <c r="X949" s="97"/>
      <c r="Y949" s="834">
        <f t="shared" si="200"/>
        <v>0</v>
      </c>
      <c r="Z949" s="97"/>
      <c r="AA949" s="97"/>
      <c r="AB949" s="97"/>
      <c r="AC949" s="75"/>
      <c r="AD949" s="75"/>
      <c r="AE949" s="592"/>
      <c r="AF949" s="353"/>
      <c r="AG949" s="510">
        <v>0</v>
      </c>
      <c r="AH949" s="370">
        <v>0</v>
      </c>
      <c r="AI949" s="75"/>
      <c r="AJ949" s="75"/>
      <c r="AK949" s="75"/>
      <c r="AL949" s="75"/>
      <c r="AM949" s="75"/>
      <c r="AN949" s="171" t="s">
        <v>39</v>
      </c>
      <c r="AO949" s="171"/>
      <c r="AP949" s="171"/>
      <c r="AQ949" s="418"/>
      <c r="AS949" s="484"/>
      <c r="AV949" s="185"/>
    </row>
    <row r="950" spans="1:48" ht="101.25" customHeight="1" outlineLevel="2" x14ac:dyDescent="0.25">
      <c r="A950" s="63" t="str">
        <f>CONCATENATE(B950,".",C950,".",D950,".",E950,".",F950,".",G950)</f>
        <v>1.10.2.1.4.60</v>
      </c>
      <c r="B950" s="64">
        <v>1</v>
      </c>
      <c r="C950" s="64">
        <v>10</v>
      </c>
      <c r="D950" s="64">
        <v>2</v>
      </c>
      <c r="E950" s="64">
        <v>1</v>
      </c>
      <c r="F950" s="64">
        <v>4</v>
      </c>
      <c r="G950" s="100">
        <v>60</v>
      </c>
      <c r="H950" s="65"/>
      <c r="I950" s="65"/>
      <c r="J950" s="65"/>
      <c r="K950" s="65" t="s">
        <v>1068</v>
      </c>
      <c r="L950" s="64" t="s">
        <v>1050</v>
      </c>
      <c r="M950" s="64" t="s">
        <v>330</v>
      </c>
      <c r="N950" s="64" t="s">
        <v>1046</v>
      </c>
      <c r="O950" s="64" t="s">
        <v>1047</v>
      </c>
      <c r="P950" s="69">
        <v>44201</v>
      </c>
      <c r="Q950" s="69">
        <v>44560</v>
      </c>
      <c r="R950" s="64">
        <v>48</v>
      </c>
      <c r="S950" s="65" t="s">
        <v>1069</v>
      </c>
      <c r="T950" s="64"/>
      <c r="U950" s="75">
        <f>+AH950</f>
        <v>56848319.810000002</v>
      </c>
      <c r="V950" s="684">
        <v>0</v>
      </c>
      <c r="W950" s="75"/>
      <c r="X950" s="75"/>
      <c r="Y950" s="834">
        <f t="shared" si="200"/>
        <v>36982744.519999996</v>
      </c>
      <c r="Z950" s="75"/>
      <c r="AA950" s="75"/>
      <c r="AB950" s="75"/>
      <c r="AC950" s="75"/>
      <c r="AD950" s="75"/>
      <c r="AE950" s="592"/>
      <c r="AF950" s="343" t="s">
        <v>1070</v>
      </c>
      <c r="AG950" s="510">
        <v>56848319.810000002</v>
      </c>
      <c r="AH950" s="370">
        <v>56848319.810000002</v>
      </c>
      <c r="AI950" s="75"/>
      <c r="AJ950" s="75">
        <f>7349500.26+27276243.32+2357000.94</f>
        <v>36982744.519999996</v>
      </c>
      <c r="AK950" s="75"/>
      <c r="AL950" s="75"/>
      <c r="AM950" s="75"/>
      <c r="AN950" s="171" t="s">
        <v>39</v>
      </c>
      <c r="AO950" s="171" t="s">
        <v>1819</v>
      </c>
      <c r="AP950" s="171" t="s">
        <v>2204</v>
      </c>
      <c r="AQ950" s="418"/>
      <c r="AS950" s="484"/>
      <c r="AT950" s="886" t="s">
        <v>2242</v>
      </c>
      <c r="AU950" s="879" t="s">
        <v>2243</v>
      </c>
      <c r="AV950" s="335" t="s">
        <v>2205</v>
      </c>
    </row>
    <row r="951" spans="1:48" ht="45" customHeight="1" outlineLevel="2" x14ac:dyDescent="0.25">
      <c r="A951" s="63" t="str">
        <f>CONCATENATE(B951,".",C951,".",D951,".",E951,".",F951,".",G951)</f>
        <v>1.10.2.1.4.61</v>
      </c>
      <c r="B951" s="64">
        <v>1</v>
      </c>
      <c r="C951" s="64">
        <v>10</v>
      </c>
      <c r="D951" s="64">
        <v>2</v>
      </c>
      <c r="E951" s="64">
        <v>1</v>
      </c>
      <c r="F951" s="64">
        <v>4</v>
      </c>
      <c r="G951" s="100">
        <v>61</v>
      </c>
      <c r="H951" s="65"/>
      <c r="I951" s="65"/>
      <c r="J951" s="65"/>
      <c r="K951" s="65" t="s">
        <v>1072</v>
      </c>
      <c r="L951" s="64" t="s">
        <v>1050</v>
      </c>
      <c r="M951" s="64" t="s">
        <v>1051</v>
      </c>
      <c r="N951" s="64" t="s">
        <v>1046</v>
      </c>
      <c r="O951" s="64" t="s">
        <v>1047</v>
      </c>
      <c r="P951" s="69">
        <v>44201</v>
      </c>
      <c r="Q951" s="69">
        <v>44560</v>
      </c>
      <c r="R951" s="64">
        <v>39.4</v>
      </c>
      <c r="S951" s="65" t="s">
        <v>1069</v>
      </c>
      <c r="T951" s="64"/>
      <c r="U951" s="75">
        <f>+AH951</f>
        <v>10210712.640000001</v>
      </c>
      <c r="V951" s="684">
        <v>0</v>
      </c>
      <c r="W951" s="75"/>
      <c r="X951" s="75"/>
      <c r="Y951" s="834">
        <f t="shared" si="200"/>
        <v>3875967.58</v>
      </c>
      <c r="Z951" s="75"/>
      <c r="AA951" s="75"/>
      <c r="AB951" s="75"/>
      <c r="AC951" s="75"/>
      <c r="AD951" s="75"/>
      <c r="AE951" s="592"/>
      <c r="AF951" s="259"/>
      <c r="AG951" s="510">
        <v>10004699.66</v>
      </c>
      <c r="AH951" s="370">
        <v>10210712.640000001</v>
      </c>
      <c r="AI951" s="75"/>
      <c r="AJ951" s="75">
        <v>3875967.58</v>
      </c>
      <c r="AK951" s="75"/>
      <c r="AL951" s="75"/>
      <c r="AM951" s="75"/>
      <c r="AN951" s="171" t="s">
        <v>39</v>
      </c>
      <c r="AO951" s="171" t="s">
        <v>1819</v>
      </c>
      <c r="AP951" s="171" t="s">
        <v>2204</v>
      </c>
      <c r="AQ951" s="418"/>
      <c r="AS951" s="484"/>
      <c r="AU951" s="889">
        <v>1362</v>
      </c>
      <c r="AV951" s="335" t="s">
        <v>1073</v>
      </c>
    </row>
    <row r="952" spans="1:48" ht="36" customHeight="1" outlineLevel="2" x14ac:dyDescent="0.25">
      <c r="A952" s="63" t="str">
        <f t="shared" si="193"/>
        <v>1.10.2.1.4.64</v>
      </c>
      <c r="B952" s="64">
        <v>1</v>
      </c>
      <c r="C952" s="64">
        <v>10</v>
      </c>
      <c r="D952" s="64">
        <v>2</v>
      </c>
      <c r="E952" s="64">
        <v>1</v>
      </c>
      <c r="F952" s="64">
        <v>4</v>
      </c>
      <c r="G952" s="64">
        <v>64</v>
      </c>
      <c r="H952" s="65"/>
      <c r="I952" s="65"/>
      <c r="J952" s="65"/>
      <c r="K952" s="67" t="s">
        <v>1074</v>
      </c>
      <c r="L952" s="64" t="s">
        <v>1050</v>
      </c>
      <c r="M952" s="64" t="s">
        <v>1051</v>
      </c>
      <c r="N952" s="64" t="s">
        <v>1046</v>
      </c>
      <c r="O952" s="64" t="s">
        <v>1047</v>
      </c>
      <c r="P952" s="171">
        <v>44201</v>
      </c>
      <c r="Q952" s="171">
        <v>44560</v>
      </c>
      <c r="R952" s="171">
        <v>36.6</v>
      </c>
      <c r="S952" s="65" t="s">
        <v>1069</v>
      </c>
      <c r="T952" s="64"/>
      <c r="U952" s="75">
        <f t="shared" ref="U952" si="201">+AH952</f>
        <v>3940410.1</v>
      </c>
      <c r="V952" s="684">
        <v>0</v>
      </c>
      <c r="W952" s="75"/>
      <c r="X952" s="75"/>
      <c r="Y952" s="834">
        <f t="shared" si="200"/>
        <v>14974300.5</v>
      </c>
      <c r="Z952" s="75"/>
      <c r="AA952" s="75"/>
      <c r="AB952" s="75"/>
      <c r="AC952" s="75"/>
      <c r="AD952" s="75"/>
      <c r="AE952" s="592"/>
      <c r="AF952" s="259"/>
      <c r="AG952" s="510">
        <v>3940410.1</v>
      </c>
      <c r="AH952" s="370">
        <v>3940410.1</v>
      </c>
      <c r="AI952" s="75"/>
      <c r="AJ952" s="75">
        <v>14974300.5</v>
      </c>
      <c r="AK952" s="75"/>
      <c r="AL952" s="75"/>
      <c r="AM952" s="75"/>
      <c r="AN952" s="171" t="s">
        <v>39</v>
      </c>
      <c r="AO952" s="171" t="s">
        <v>1819</v>
      </c>
      <c r="AP952" s="171" t="s">
        <v>2204</v>
      </c>
      <c r="AQ952" s="418" t="s">
        <v>2216</v>
      </c>
      <c r="AR952" s="190">
        <v>44682</v>
      </c>
      <c r="AS952" s="871">
        <v>45047</v>
      </c>
      <c r="AT952" s="190">
        <v>37422</v>
      </c>
      <c r="AU952" s="889">
        <v>1315</v>
      </c>
      <c r="AV952" s="185" t="s">
        <v>2217</v>
      </c>
    </row>
    <row r="953" spans="1:48" ht="92.25" customHeight="1" outlineLevel="2" x14ac:dyDescent="0.25">
      <c r="A953" s="63" t="str">
        <f>CONCATENATE(B953,".",C953,".",D953,".",E953,".",F953,".",G953)</f>
        <v>1.10.2.1.5.60</v>
      </c>
      <c r="B953" s="64">
        <v>1</v>
      </c>
      <c r="C953" s="64">
        <v>10</v>
      </c>
      <c r="D953" s="64">
        <v>2</v>
      </c>
      <c r="E953" s="64">
        <v>1</v>
      </c>
      <c r="F953" s="64">
        <v>5</v>
      </c>
      <c r="G953" s="100">
        <v>60</v>
      </c>
      <c r="H953" s="65"/>
      <c r="I953" s="65"/>
      <c r="J953" s="66"/>
      <c r="K953" s="67" t="s">
        <v>1075</v>
      </c>
      <c r="L953" s="64" t="s">
        <v>1050</v>
      </c>
      <c r="M953" s="64" t="s">
        <v>758</v>
      </c>
      <c r="N953" s="64" t="s">
        <v>1046</v>
      </c>
      <c r="O953" s="64" t="s">
        <v>1047</v>
      </c>
      <c r="P953" s="69">
        <v>44201</v>
      </c>
      <c r="Q953" s="69">
        <v>44560</v>
      </c>
      <c r="R953" s="64">
        <v>1</v>
      </c>
      <c r="S953" s="65" t="s">
        <v>767</v>
      </c>
      <c r="T953" s="64"/>
      <c r="U953" s="75">
        <v>0</v>
      </c>
      <c r="V953" s="684">
        <v>0</v>
      </c>
      <c r="W953" s="75"/>
      <c r="X953" s="75"/>
      <c r="Y953" s="834">
        <f t="shared" si="200"/>
        <v>1199699.28</v>
      </c>
      <c r="Z953" s="75"/>
      <c r="AA953" s="75"/>
      <c r="AB953" s="75"/>
      <c r="AC953" s="75"/>
      <c r="AD953" s="75"/>
      <c r="AE953" s="592"/>
      <c r="AF953" s="259" t="s">
        <v>1076</v>
      </c>
      <c r="AG953" s="510">
        <v>3020613.81</v>
      </c>
      <c r="AH953" s="370">
        <v>0</v>
      </c>
      <c r="AI953" s="75"/>
      <c r="AJ953" s="75">
        <v>1199699.28</v>
      </c>
      <c r="AK953" s="75"/>
      <c r="AL953" s="75"/>
      <c r="AM953" s="75"/>
      <c r="AN953" s="171" t="s">
        <v>39</v>
      </c>
      <c r="AO953" s="171" t="s">
        <v>1819</v>
      </c>
      <c r="AP953" s="171" t="s">
        <v>2201</v>
      </c>
      <c r="AQ953" s="418" t="s">
        <v>2202</v>
      </c>
      <c r="AR953" s="171">
        <v>2020</v>
      </c>
      <c r="AS953" s="484">
        <v>2023</v>
      </c>
      <c r="AT953" s="190">
        <v>44588</v>
      </c>
      <c r="AU953" s="889">
        <v>1240</v>
      </c>
      <c r="AV953" s="335" t="s">
        <v>1077</v>
      </c>
    </row>
    <row r="954" spans="1:48" ht="40.5" customHeight="1" outlineLevel="2" x14ac:dyDescent="0.25">
      <c r="A954" s="63" t="str">
        <f t="shared" si="193"/>
        <v>1.10.2.1.5.61</v>
      </c>
      <c r="B954" s="64">
        <v>1</v>
      </c>
      <c r="C954" s="64">
        <v>10</v>
      </c>
      <c r="D954" s="64">
        <v>2</v>
      </c>
      <c r="E954" s="64">
        <v>1</v>
      </c>
      <c r="F954" s="64">
        <v>5</v>
      </c>
      <c r="G954" s="100">
        <v>61</v>
      </c>
      <c r="H954" s="65"/>
      <c r="I954" s="65"/>
      <c r="J954" s="66"/>
      <c r="K954" s="67" t="s">
        <v>1078</v>
      </c>
      <c r="L954" s="64" t="s">
        <v>1050</v>
      </c>
      <c r="M954" s="64" t="s">
        <v>758</v>
      </c>
      <c r="N954" s="64" t="s">
        <v>1046</v>
      </c>
      <c r="O954" s="64" t="s">
        <v>1047</v>
      </c>
      <c r="P954" s="69">
        <v>44201</v>
      </c>
      <c r="Q954" s="69">
        <v>44560</v>
      </c>
      <c r="R954" s="64">
        <v>1</v>
      </c>
      <c r="S954" s="65" t="s">
        <v>767</v>
      </c>
      <c r="T954" s="64"/>
      <c r="U954" s="75">
        <v>0</v>
      </c>
      <c r="V954" s="684">
        <v>0</v>
      </c>
      <c r="W954" s="75"/>
      <c r="X954" s="75"/>
      <c r="Y954" s="834">
        <f t="shared" si="200"/>
        <v>1199699.28</v>
      </c>
      <c r="Z954" s="75"/>
      <c r="AA954" s="75"/>
      <c r="AB954" s="75"/>
      <c r="AC954" s="75"/>
      <c r="AD954" s="75"/>
      <c r="AE954" s="592"/>
      <c r="AF954" s="259" t="s">
        <v>1076</v>
      </c>
      <c r="AG954" s="510">
        <v>2103006.4900000002</v>
      </c>
      <c r="AH954" s="370">
        <v>0</v>
      </c>
      <c r="AI954" s="75"/>
      <c r="AJ954" s="75">
        <v>1199699.28</v>
      </c>
      <c r="AK954" s="75"/>
      <c r="AL954" s="75"/>
      <c r="AM954" s="75"/>
      <c r="AN954" s="171" t="s">
        <v>39</v>
      </c>
      <c r="AO954" s="171" t="s">
        <v>1819</v>
      </c>
      <c r="AP954" s="171" t="s">
        <v>2201</v>
      </c>
      <c r="AQ954" s="418" t="s">
        <v>2202</v>
      </c>
      <c r="AR954" s="171">
        <v>2020</v>
      </c>
      <c r="AS954" s="484">
        <v>2023</v>
      </c>
      <c r="AT954" s="190">
        <v>44588</v>
      </c>
      <c r="AU954" s="889">
        <v>1240</v>
      </c>
      <c r="AV954" s="335" t="s">
        <v>1079</v>
      </c>
    </row>
    <row r="955" spans="1:48" ht="30" customHeight="1" outlineLevel="2" x14ac:dyDescent="0.25">
      <c r="A955" s="63" t="str">
        <f t="shared" si="193"/>
        <v>1.10.2.1.5.64</v>
      </c>
      <c r="B955" s="64">
        <v>1</v>
      </c>
      <c r="C955" s="64">
        <v>10</v>
      </c>
      <c r="D955" s="64">
        <v>2</v>
      </c>
      <c r="E955" s="64">
        <v>1</v>
      </c>
      <c r="F955" s="64">
        <v>5</v>
      </c>
      <c r="G955" s="100">
        <v>64</v>
      </c>
      <c r="H955" s="65"/>
      <c r="I955" s="65"/>
      <c r="J955" s="66"/>
      <c r="K955" s="137" t="s">
        <v>1080</v>
      </c>
      <c r="L955" s="64" t="s">
        <v>1050</v>
      </c>
      <c r="M955" s="64" t="s">
        <v>758</v>
      </c>
      <c r="N955" s="64" t="s">
        <v>1046</v>
      </c>
      <c r="O955" s="64" t="s">
        <v>1047</v>
      </c>
      <c r="P955" s="69">
        <v>44201</v>
      </c>
      <c r="Q955" s="69">
        <v>44560</v>
      </c>
      <c r="R955" s="64">
        <v>1</v>
      </c>
      <c r="S955" s="65" t="s">
        <v>767</v>
      </c>
      <c r="T955" s="64"/>
      <c r="U955" s="75">
        <v>0</v>
      </c>
      <c r="V955" s="684">
        <v>0</v>
      </c>
      <c r="W955" s="75"/>
      <c r="X955" s="75"/>
      <c r="Y955" s="834">
        <f t="shared" si="200"/>
        <v>1199699.28</v>
      </c>
      <c r="Z955" s="75"/>
      <c r="AA955" s="75"/>
      <c r="AB955" s="75"/>
      <c r="AC955" s="75"/>
      <c r="AD955" s="75"/>
      <c r="AE955" s="592"/>
      <c r="AF955" s="259" t="s">
        <v>1076</v>
      </c>
      <c r="AG955" s="510">
        <v>1970205.05</v>
      </c>
      <c r="AH955" s="370">
        <v>0</v>
      </c>
      <c r="AI955" s="75"/>
      <c r="AJ955" s="75">
        <v>1199699.28</v>
      </c>
      <c r="AK955" s="75"/>
      <c r="AL955" s="75"/>
      <c r="AM955" s="75"/>
      <c r="AN955" s="171" t="s">
        <v>39</v>
      </c>
      <c r="AO955" s="171" t="s">
        <v>1819</v>
      </c>
      <c r="AP955" s="171" t="s">
        <v>2201</v>
      </c>
      <c r="AQ955" s="418" t="s">
        <v>2202</v>
      </c>
      <c r="AR955" s="171">
        <v>2020</v>
      </c>
      <c r="AS955" s="484">
        <v>2023</v>
      </c>
      <c r="AT955" s="190">
        <v>44588</v>
      </c>
      <c r="AU955" s="889">
        <v>1240</v>
      </c>
      <c r="AV955" s="335" t="s">
        <v>1079</v>
      </c>
    </row>
    <row r="956" spans="1:48" s="153" customFormat="1" ht="30.75" customHeight="1" outlineLevel="1" x14ac:dyDescent="0.25">
      <c r="A956" s="148" t="str">
        <f t="shared" si="193"/>
        <v>1.10.2.2.0.0</v>
      </c>
      <c r="B956" s="82">
        <v>1</v>
      </c>
      <c r="C956" s="82">
        <v>10</v>
      </c>
      <c r="D956" s="82">
        <v>2</v>
      </c>
      <c r="E956" s="82">
        <v>2</v>
      </c>
      <c r="F956" s="82">
        <v>0</v>
      </c>
      <c r="G956" s="82">
        <v>0</v>
      </c>
      <c r="H956" s="149"/>
      <c r="I956" s="242"/>
      <c r="J956" s="242" t="s">
        <v>1081</v>
      </c>
      <c r="K956" s="242"/>
      <c r="L956" s="82" t="s">
        <v>1082</v>
      </c>
      <c r="M956" s="83" t="s">
        <v>1083</v>
      </c>
      <c r="N956" s="83" t="s">
        <v>1084</v>
      </c>
      <c r="O956" s="82" t="s">
        <v>1085</v>
      </c>
      <c r="P956" s="149"/>
      <c r="Q956" s="149"/>
      <c r="R956" s="82"/>
      <c r="S956" s="149"/>
      <c r="T956" s="82"/>
      <c r="U956" s="384">
        <f>SUM(U957:U966)</f>
        <v>0</v>
      </c>
      <c r="V956" s="682">
        <f>SUM(V957:V966)</f>
        <v>0</v>
      </c>
      <c r="W956" s="152"/>
      <c r="X956" s="152"/>
      <c r="Y956" s="834">
        <f t="shared" si="200"/>
        <v>0</v>
      </c>
      <c r="Z956" s="152"/>
      <c r="AA956" s="152"/>
      <c r="AB956" s="152"/>
      <c r="AC956" s="152"/>
      <c r="AD956" s="152"/>
      <c r="AE956" s="597"/>
      <c r="AF956" s="358"/>
      <c r="AG956" s="149"/>
      <c r="AH956" s="384">
        <f>SUM(AH957:AH966)</f>
        <v>0</v>
      </c>
      <c r="AI956" s="384">
        <f t="shared" ref="AI956:AJ956" si="202">SUM(AI957:AI966)</f>
        <v>0</v>
      </c>
      <c r="AJ956" s="384">
        <f t="shared" si="202"/>
        <v>0</v>
      </c>
      <c r="AK956" s="216"/>
      <c r="AL956" s="216"/>
      <c r="AM956" s="216"/>
      <c r="AN956" s="82" t="s">
        <v>39</v>
      </c>
      <c r="AO956" s="82"/>
      <c r="AP956" s="82"/>
      <c r="AQ956" s="365"/>
      <c r="AR956" s="82"/>
      <c r="AS956" s="483"/>
      <c r="AT956" s="82"/>
      <c r="AU956" s="666"/>
      <c r="AV956" s="449" t="s">
        <v>1086</v>
      </c>
    </row>
    <row r="957" spans="1:48" ht="45" customHeight="1" outlineLevel="2" x14ac:dyDescent="0.25">
      <c r="A957" s="63" t="str">
        <f t="shared" si="193"/>
        <v>1.10.2.2.1.58</v>
      </c>
      <c r="B957" s="64">
        <v>1</v>
      </c>
      <c r="C957" s="64">
        <v>10</v>
      </c>
      <c r="D957" s="64">
        <v>2</v>
      </c>
      <c r="E957" s="64">
        <v>2</v>
      </c>
      <c r="F957" s="64">
        <v>1</v>
      </c>
      <c r="G957" s="64">
        <v>58</v>
      </c>
      <c r="H957" s="65"/>
      <c r="I957" s="65"/>
      <c r="J957" s="65"/>
      <c r="K957" s="67" t="s">
        <v>1087</v>
      </c>
      <c r="L957" s="64" t="s">
        <v>1082</v>
      </c>
      <c r="M957" s="68" t="s">
        <v>1088</v>
      </c>
      <c r="N957" s="68" t="s">
        <v>1089</v>
      </c>
      <c r="O957" s="64" t="s">
        <v>1090</v>
      </c>
      <c r="P957" s="65"/>
      <c r="Q957" s="65"/>
      <c r="R957" s="64"/>
      <c r="S957" s="65"/>
      <c r="T957" s="64"/>
      <c r="U957" s="370">
        <v>0</v>
      </c>
      <c r="V957" s="687">
        <v>0</v>
      </c>
      <c r="W957" s="75"/>
      <c r="X957" s="75"/>
      <c r="Y957" s="834">
        <f t="shared" si="200"/>
        <v>0</v>
      </c>
      <c r="Z957" s="75"/>
      <c r="AA957" s="75"/>
      <c r="AB957" s="75"/>
      <c r="AC957" s="75"/>
      <c r="AD957" s="75"/>
      <c r="AE957" s="592"/>
      <c r="AF957" s="259"/>
      <c r="AG957" s="510">
        <v>0</v>
      </c>
      <c r="AH957" s="370">
        <v>0</v>
      </c>
      <c r="AI957" s="75"/>
      <c r="AJ957" s="75"/>
      <c r="AK957" s="75"/>
      <c r="AL957" s="75"/>
      <c r="AM957" s="75"/>
      <c r="AN957" s="64" t="s">
        <v>39</v>
      </c>
      <c r="AO957" s="64"/>
      <c r="AP957" s="64"/>
      <c r="AQ957" s="189"/>
      <c r="AR957" s="64"/>
      <c r="AS957" s="476"/>
      <c r="AT957" s="64"/>
      <c r="AU957" s="646"/>
      <c r="AV957" s="185"/>
    </row>
    <row r="958" spans="1:48" ht="45" customHeight="1" outlineLevel="2" x14ac:dyDescent="0.25">
      <c r="A958" s="63" t="str">
        <f t="shared" si="193"/>
        <v>1.10.2.2.1.59</v>
      </c>
      <c r="B958" s="64">
        <v>1</v>
      </c>
      <c r="C958" s="64">
        <v>10</v>
      </c>
      <c r="D958" s="64">
        <v>2</v>
      </c>
      <c r="E958" s="64">
        <v>2</v>
      </c>
      <c r="F958" s="64">
        <v>1</v>
      </c>
      <c r="G958" s="64">
        <v>59</v>
      </c>
      <c r="H958" s="65"/>
      <c r="I958" s="65"/>
      <c r="J958" s="65"/>
      <c r="K958" s="67" t="s">
        <v>1091</v>
      </c>
      <c r="L958" s="64" t="s">
        <v>1082</v>
      </c>
      <c r="M958" s="68" t="s">
        <v>1088</v>
      </c>
      <c r="N958" s="68" t="s">
        <v>1089</v>
      </c>
      <c r="O958" s="64" t="s">
        <v>1090</v>
      </c>
      <c r="P958" s="243">
        <v>44562</v>
      </c>
      <c r="Q958" s="243">
        <v>44925</v>
      </c>
      <c r="R958" s="64">
        <v>20</v>
      </c>
      <c r="S958" s="65" t="s">
        <v>1092</v>
      </c>
      <c r="T958" s="64">
        <v>5</v>
      </c>
      <c r="U958" s="370">
        <v>0</v>
      </c>
      <c r="V958" s="687">
        <v>0</v>
      </c>
      <c r="W958" s="75">
        <v>5</v>
      </c>
      <c r="X958" s="75"/>
      <c r="Y958" s="834">
        <f t="shared" si="200"/>
        <v>0</v>
      </c>
      <c r="Z958" s="75">
        <v>5</v>
      </c>
      <c r="AA958" s="75"/>
      <c r="AB958" s="75"/>
      <c r="AC958" s="75">
        <v>5</v>
      </c>
      <c r="AD958" s="75"/>
      <c r="AE958" s="592"/>
      <c r="AF958" s="343" t="s">
        <v>1093</v>
      </c>
      <c r="AG958" s="510">
        <v>0</v>
      </c>
      <c r="AH958" s="370">
        <v>0</v>
      </c>
      <c r="AI958" s="75"/>
      <c r="AJ958" s="75"/>
      <c r="AK958" s="75"/>
      <c r="AL958" s="75"/>
      <c r="AM958" s="75"/>
      <c r="AN958" s="64" t="s">
        <v>39</v>
      </c>
      <c r="AO958" s="64"/>
      <c r="AP958" s="64"/>
      <c r="AQ958" s="189"/>
      <c r="AR958" s="64"/>
      <c r="AS958" s="476"/>
      <c r="AT958" s="64"/>
      <c r="AU958" s="646"/>
      <c r="AV958" s="335" t="s">
        <v>1094</v>
      </c>
    </row>
    <row r="959" spans="1:48" ht="45" customHeight="1" outlineLevel="2" x14ac:dyDescent="0.25">
      <c r="A959" s="63" t="str">
        <f t="shared" si="193"/>
        <v>1.10.2.2.1.60</v>
      </c>
      <c r="B959" s="64">
        <v>1</v>
      </c>
      <c r="C959" s="64">
        <v>10</v>
      </c>
      <c r="D959" s="64">
        <v>2</v>
      </c>
      <c r="E959" s="64">
        <v>2</v>
      </c>
      <c r="F959" s="64">
        <v>1</v>
      </c>
      <c r="G959" s="64">
        <v>60</v>
      </c>
      <c r="H959" s="65"/>
      <c r="I959" s="65"/>
      <c r="J959" s="65"/>
      <c r="K959" s="67" t="s">
        <v>1095</v>
      </c>
      <c r="L959" s="64" t="s">
        <v>1082</v>
      </c>
      <c r="M959" s="68" t="s">
        <v>1088</v>
      </c>
      <c r="N959" s="68" t="s">
        <v>1089</v>
      </c>
      <c r="O959" s="64" t="s">
        <v>1096</v>
      </c>
      <c r="P959" s="170">
        <v>43983</v>
      </c>
      <c r="Q959" s="170">
        <v>43983</v>
      </c>
      <c r="R959" s="64">
        <v>1</v>
      </c>
      <c r="S959" s="65" t="s">
        <v>1097</v>
      </c>
      <c r="T959" s="64"/>
      <c r="U959" s="370">
        <v>0</v>
      </c>
      <c r="V959" s="687">
        <v>0</v>
      </c>
      <c r="W959" s="75"/>
      <c r="X959" s="75"/>
      <c r="Y959" s="834">
        <f t="shared" si="200"/>
        <v>0</v>
      </c>
      <c r="Z959" s="75"/>
      <c r="AA959" s="75"/>
      <c r="AB959" s="75"/>
      <c r="AC959" s="75"/>
      <c r="AD959" s="75"/>
      <c r="AE959" s="592"/>
      <c r="AF959" s="259"/>
      <c r="AG959" s="510">
        <v>0</v>
      </c>
      <c r="AH959" s="370">
        <v>0</v>
      </c>
      <c r="AI959" s="75"/>
      <c r="AJ959" s="75"/>
      <c r="AK959" s="75"/>
      <c r="AL959" s="75"/>
      <c r="AM959" s="75"/>
      <c r="AN959" s="64" t="s">
        <v>39</v>
      </c>
      <c r="AO959" s="64"/>
      <c r="AP959" s="64"/>
      <c r="AQ959" s="189"/>
      <c r="AR959" s="64"/>
      <c r="AS959" s="476"/>
      <c r="AT959" s="64"/>
      <c r="AU959" s="646"/>
      <c r="AV959" s="185"/>
    </row>
    <row r="960" spans="1:48" ht="45" customHeight="1" outlineLevel="2" x14ac:dyDescent="0.25">
      <c r="A960" s="63" t="str">
        <f t="shared" si="193"/>
        <v>1.10.2.2.1.61</v>
      </c>
      <c r="B960" s="64">
        <v>1</v>
      </c>
      <c r="C960" s="64">
        <v>10</v>
      </c>
      <c r="D960" s="64">
        <v>2</v>
      </c>
      <c r="E960" s="64">
        <v>2</v>
      </c>
      <c r="F960" s="64">
        <v>1</v>
      </c>
      <c r="G960" s="64">
        <v>61</v>
      </c>
      <c r="H960" s="65"/>
      <c r="I960" s="65"/>
      <c r="J960" s="65"/>
      <c r="K960" s="67" t="s">
        <v>1098</v>
      </c>
      <c r="L960" s="64" t="s">
        <v>1082</v>
      </c>
      <c r="M960" s="68" t="s">
        <v>1088</v>
      </c>
      <c r="N960" s="68" t="s">
        <v>1089</v>
      </c>
      <c r="O960" s="64" t="s">
        <v>1096</v>
      </c>
      <c r="P960" s="170">
        <v>43983</v>
      </c>
      <c r="Q960" s="170">
        <v>43983</v>
      </c>
      <c r="R960" s="64">
        <v>1</v>
      </c>
      <c r="S960" s="65" t="s">
        <v>1097</v>
      </c>
      <c r="T960" s="64"/>
      <c r="U960" s="370">
        <v>0</v>
      </c>
      <c r="V960" s="687">
        <v>0</v>
      </c>
      <c r="W960" s="75"/>
      <c r="X960" s="75"/>
      <c r="Y960" s="834">
        <f t="shared" si="200"/>
        <v>0</v>
      </c>
      <c r="Z960" s="75"/>
      <c r="AA960" s="75"/>
      <c r="AB960" s="75"/>
      <c r="AC960" s="75"/>
      <c r="AD960" s="75"/>
      <c r="AE960" s="592"/>
      <c r="AF960" s="259"/>
      <c r="AG960" s="510">
        <v>0</v>
      </c>
      <c r="AH960" s="370">
        <v>0</v>
      </c>
      <c r="AI960" s="75"/>
      <c r="AJ960" s="75"/>
      <c r="AK960" s="75"/>
      <c r="AL960" s="75"/>
      <c r="AM960" s="75"/>
      <c r="AN960" s="64" t="s">
        <v>39</v>
      </c>
      <c r="AO960" s="64"/>
      <c r="AP960" s="64"/>
      <c r="AQ960" s="189"/>
      <c r="AR960" s="64"/>
      <c r="AS960" s="476"/>
      <c r="AT960" s="64"/>
      <c r="AU960" s="646"/>
      <c r="AV960" s="185"/>
    </row>
    <row r="961" spans="1:48" ht="45" customHeight="1" outlineLevel="2" x14ac:dyDescent="0.25">
      <c r="A961" s="63" t="str">
        <f t="shared" si="193"/>
        <v>1.10.2.2.1.62</v>
      </c>
      <c r="B961" s="64">
        <v>1</v>
      </c>
      <c r="C961" s="64">
        <v>10</v>
      </c>
      <c r="D961" s="64">
        <v>2</v>
      </c>
      <c r="E961" s="64">
        <v>2</v>
      </c>
      <c r="F961" s="64">
        <v>1</v>
      </c>
      <c r="G961" s="64">
        <v>62</v>
      </c>
      <c r="H961" s="65"/>
      <c r="I961" s="65"/>
      <c r="J961" s="65"/>
      <c r="K961" s="67" t="s">
        <v>1099</v>
      </c>
      <c r="L961" s="64"/>
      <c r="M961" s="68"/>
      <c r="N961" s="68"/>
      <c r="O961" s="64"/>
      <c r="P961" s="65"/>
      <c r="Q961" s="65"/>
      <c r="R961" s="64"/>
      <c r="S961" s="65"/>
      <c r="T961" s="64"/>
      <c r="U961" s="370">
        <v>0</v>
      </c>
      <c r="V961" s="687">
        <v>0</v>
      </c>
      <c r="W961" s="75"/>
      <c r="X961" s="75"/>
      <c r="Y961" s="834">
        <f t="shared" si="200"/>
        <v>0</v>
      </c>
      <c r="Z961" s="75"/>
      <c r="AA961" s="75"/>
      <c r="AB961" s="75"/>
      <c r="AC961" s="75"/>
      <c r="AD961" s="75"/>
      <c r="AE961" s="592"/>
      <c r="AF961" s="259"/>
      <c r="AG961" s="510">
        <v>0</v>
      </c>
      <c r="AH961" s="370">
        <v>0</v>
      </c>
      <c r="AI961" s="75"/>
      <c r="AJ961" s="75"/>
      <c r="AK961" s="75"/>
      <c r="AL961" s="75"/>
      <c r="AM961" s="75"/>
      <c r="AN961" s="64" t="s">
        <v>39</v>
      </c>
      <c r="AO961" s="64"/>
      <c r="AP961" s="64"/>
      <c r="AQ961" s="189"/>
      <c r="AR961" s="64"/>
      <c r="AS961" s="476"/>
      <c r="AT961" s="64"/>
      <c r="AU961" s="646"/>
      <c r="AV961" s="185"/>
    </row>
    <row r="962" spans="1:48" ht="45" customHeight="1" outlineLevel="2" x14ac:dyDescent="0.25">
      <c r="A962" s="63" t="str">
        <f t="shared" si="193"/>
        <v>1.10.2.2.1.63</v>
      </c>
      <c r="B962" s="64">
        <v>1</v>
      </c>
      <c r="C962" s="64">
        <v>10</v>
      </c>
      <c r="D962" s="64">
        <v>2</v>
      </c>
      <c r="E962" s="64">
        <v>2</v>
      </c>
      <c r="F962" s="64">
        <v>1</v>
      </c>
      <c r="G962" s="64">
        <v>63</v>
      </c>
      <c r="H962" s="65"/>
      <c r="I962" s="65"/>
      <c r="J962" s="65"/>
      <c r="K962" s="67" t="s">
        <v>1100</v>
      </c>
      <c r="L962" s="64"/>
      <c r="M962" s="68"/>
      <c r="N962" s="68"/>
      <c r="O962" s="64"/>
      <c r="P962" s="65"/>
      <c r="Q962" s="65"/>
      <c r="R962" s="64"/>
      <c r="S962" s="65"/>
      <c r="T962" s="64"/>
      <c r="U962" s="370">
        <v>0</v>
      </c>
      <c r="V962" s="687">
        <v>0</v>
      </c>
      <c r="W962" s="75"/>
      <c r="X962" s="75"/>
      <c r="Y962" s="834">
        <f t="shared" si="200"/>
        <v>0</v>
      </c>
      <c r="Z962" s="75"/>
      <c r="AA962" s="75"/>
      <c r="AB962" s="75"/>
      <c r="AC962" s="75"/>
      <c r="AD962" s="75"/>
      <c r="AE962" s="592"/>
      <c r="AF962" s="259"/>
      <c r="AG962" s="510">
        <v>0</v>
      </c>
      <c r="AH962" s="370">
        <v>0</v>
      </c>
      <c r="AI962" s="75"/>
      <c r="AJ962" s="75"/>
      <c r="AK962" s="75"/>
      <c r="AL962" s="75"/>
      <c r="AM962" s="75"/>
      <c r="AN962" s="64" t="s">
        <v>39</v>
      </c>
      <c r="AO962" s="64"/>
      <c r="AP962" s="64"/>
      <c r="AQ962" s="189"/>
      <c r="AR962" s="64"/>
      <c r="AS962" s="476"/>
      <c r="AT962" s="64"/>
      <c r="AU962" s="646"/>
      <c r="AV962" s="185"/>
    </row>
    <row r="963" spans="1:48" ht="45" customHeight="1" outlineLevel="2" x14ac:dyDescent="0.25">
      <c r="A963" s="63" t="str">
        <f t="shared" si="193"/>
        <v>1.10.2.2.1.64</v>
      </c>
      <c r="B963" s="64">
        <v>1</v>
      </c>
      <c r="C963" s="64">
        <v>10</v>
      </c>
      <c r="D963" s="64">
        <v>2</v>
      </c>
      <c r="E963" s="64">
        <v>2</v>
      </c>
      <c r="F963" s="64">
        <v>1</v>
      </c>
      <c r="G963" s="64">
        <v>64</v>
      </c>
      <c r="H963" s="65"/>
      <c r="I963" s="65"/>
      <c r="J963" s="65"/>
      <c r="K963" s="67" t="s">
        <v>1101</v>
      </c>
      <c r="L963" s="64" t="s">
        <v>1082</v>
      </c>
      <c r="M963" s="68" t="s">
        <v>1088</v>
      </c>
      <c r="N963" s="68" t="s">
        <v>1089</v>
      </c>
      <c r="O963" s="64" t="s">
        <v>1096</v>
      </c>
      <c r="P963" s="170">
        <v>43983</v>
      </c>
      <c r="Q963" s="170">
        <v>43983</v>
      </c>
      <c r="R963" s="64">
        <v>1</v>
      </c>
      <c r="S963" s="65" t="s">
        <v>1097</v>
      </c>
      <c r="T963" s="64"/>
      <c r="U963" s="370">
        <v>0</v>
      </c>
      <c r="V963" s="687">
        <v>0</v>
      </c>
      <c r="W963" s="75"/>
      <c r="X963" s="75"/>
      <c r="Y963" s="834">
        <f t="shared" si="200"/>
        <v>0</v>
      </c>
      <c r="Z963" s="75"/>
      <c r="AA963" s="75"/>
      <c r="AB963" s="75"/>
      <c r="AC963" s="75"/>
      <c r="AD963" s="75"/>
      <c r="AE963" s="592"/>
      <c r="AF963" s="259"/>
      <c r="AG963" s="510">
        <v>0</v>
      </c>
      <c r="AH963" s="370">
        <v>0</v>
      </c>
      <c r="AI963" s="75"/>
      <c r="AJ963" s="75"/>
      <c r="AK963" s="75"/>
      <c r="AL963" s="75"/>
      <c r="AM963" s="75"/>
      <c r="AN963" s="64" t="s">
        <v>39</v>
      </c>
      <c r="AO963" s="64"/>
      <c r="AP963" s="64"/>
      <c r="AQ963" s="189"/>
      <c r="AR963" s="64"/>
      <c r="AS963" s="476"/>
      <c r="AT963" s="64"/>
      <c r="AU963" s="646"/>
      <c r="AV963" s="185"/>
    </row>
    <row r="964" spans="1:48" ht="30" customHeight="1" outlineLevel="2" x14ac:dyDescent="0.25">
      <c r="A964" s="63" t="str">
        <f t="shared" si="193"/>
        <v>1.10.2.2.3.60</v>
      </c>
      <c r="B964" s="64">
        <v>1</v>
      </c>
      <c r="C964" s="64">
        <v>10</v>
      </c>
      <c r="D964" s="64">
        <v>2</v>
      </c>
      <c r="E964" s="64">
        <v>2</v>
      </c>
      <c r="F964" s="64">
        <v>3</v>
      </c>
      <c r="G964" s="64">
        <v>60</v>
      </c>
      <c r="H964" s="65"/>
      <c r="I964" s="65"/>
      <c r="J964" s="65"/>
      <c r="K964" s="67" t="s">
        <v>1868</v>
      </c>
      <c r="L964" s="165" t="s">
        <v>1082</v>
      </c>
      <c r="M964" s="146" t="s">
        <v>42</v>
      </c>
      <c r="N964" s="146" t="s">
        <v>1089</v>
      </c>
      <c r="O964" s="165" t="s">
        <v>1096</v>
      </c>
      <c r="P964" s="170">
        <v>44197</v>
      </c>
      <c r="Q964" s="170">
        <v>44531</v>
      </c>
      <c r="R964" s="64">
        <v>22</v>
      </c>
      <c r="S964" s="170" t="s">
        <v>46</v>
      </c>
      <c r="T964" s="170">
        <v>22</v>
      </c>
      <c r="U964" s="370">
        <v>0</v>
      </c>
      <c r="V964" s="687">
        <v>0</v>
      </c>
      <c r="W964" s="97"/>
      <c r="X964" s="97"/>
      <c r="Y964" s="834">
        <f t="shared" si="200"/>
        <v>0</v>
      </c>
      <c r="Z964" s="97"/>
      <c r="AA964" s="97"/>
      <c r="AB964" s="97"/>
      <c r="AC964" s="75"/>
      <c r="AD964" s="75"/>
      <c r="AE964" s="592"/>
      <c r="AF964" s="343" t="s">
        <v>1102</v>
      </c>
      <c r="AG964" s="510">
        <v>0</v>
      </c>
      <c r="AH964" s="370">
        <v>0</v>
      </c>
      <c r="AI964" s="75"/>
      <c r="AJ964" s="75"/>
      <c r="AK964" s="75"/>
      <c r="AL964" s="75"/>
      <c r="AM964" s="75"/>
      <c r="AN964" s="64" t="s">
        <v>39</v>
      </c>
      <c r="AO964" s="64"/>
      <c r="AP964" s="64"/>
      <c r="AQ964" s="189"/>
      <c r="AR964" s="64"/>
      <c r="AS964" s="476"/>
      <c r="AT964" s="64"/>
      <c r="AU964" s="646"/>
      <c r="AV964" s="335"/>
    </row>
    <row r="965" spans="1:48" ht="30" customHeight="1" outlineLevel="2" x14ac:dyDescent="0.25">
      <c r="A965" s="63" t="str">
        <f t="shared" si="193"/>
        <v>1.10.2.2.3.61</v>
      </c>
      <c r="B965" s="64">
        <v>1</v>
      </c>
      <c r="C965" s="64">
        <v>10</v>
      </c>
      <c r="D965" s="64">
        <v>2</v>
      </c>
      <c r="E965" s="64">
        <v>2</v>
      </c>
      <c r="F965" s="64">
        <v>3</v>
      </c>
      <c r="G965" s="64">
        <v>61</v>
      </c>
      <c r="H965" s="65"/>
      <c r="I965" s="65"/>
      <c r="J965" s="65"/>
      <c r="K965" s="244" t="s">
        <v>1103</v>
      </c>
      <c r="L965" s="245" t="s">
        <v>1082</v>
      </c>
      <c r="M965" s="145" t="s">
        <v>42</v>
      </c>
      <c r="N965" s="145" t="s">
        <v>1089</v>
      </c>
      <c r="O965" s="245" t="s">
        <v>1096</v>
      </c>
      <c r="P965" s="170"/>
      <c r="Q965" s="170"/>
      <c r="R965" s="170"/>
      <c r="S965" s="170"/>
      <c r="T965" s="170"/>
      <c r="U965" s="370">
        <v>0</v>
      </c>
      <c r="V965" s="687">
        <v>0</v>
      </c>
      <c r="W965" s="97"/>
      <c r="X965" s="97"/>
      <c r="Y965" s="834">
        <f t="shared" si="200"/>
        <v>0</v>
      </c>
      <c r="Z965" s="97"/>
      <c r="AA965" s="97"/>
      <c r="AB965" s="97"/>
      <c r="AC965" s="75"/>
      <c r="AD965" s="75"/>
      <c r="AE965" s="592"/>
      <c r="AF965" s="343"/>
      <c r="AG965" s="510">
        <v>0</v>
      </c>
      <c r="AH965" s="370">
        <v>0</v>
      </c>
      <c r="AI965" s="75"/>
      <c r="AJ965" s="75"/>
      <c r="AK965" s="75"/>
      <c r="AL965" s="75"/>
      <c r="AM965" s="75"/>
      <c r="AN965" s="64" t="s">
        <v>39</v>
      </c>
      <c r="AO965" s="64"/>
      <c r="AP965" s="64"/>
      <c r="AQ965" s="189"/>
      <c r="AR965" s="64"/>
      <c r="AS965" s="476"/>
      <c r="AT965" s="64"/>
      <c r="AU965" s="646"/>
      <c r="AV965" s="185"/>
    </row>
    <row r="966" spans="1:48" ht="30" customHeight="1" outlineLevel="2" x14ac:dyDescent="0.25">
      <c r="A966" s="63" t="str">
        <f t="shared" si="193"/>
        <v>1.10.2.2.3.64</v>
      </c>
      <c r="B966" s="64">
        <v>1</v>
      </c>
      <c r="C966" s="64">
        <v>10</v>
      </c>
      <c r="D966" s="64">
        <v>2</v>
      </c>
      <c r="E966" s="64">
        <v>2</v>
      </c>
      <c r="F966" s="64">
        <v>3</v>
      </c>
      <c r="G966" s="64">
        <v>64</v>
      </c>
      <c r="H966" s="65"/>
      <c r="I966" s="65"/>
      <c r="J966" s="65"/>
      <c r="K966" s="244" t="s">
        <v>1869</v>
      </c>
      <c r="L966" s="245" t="s">
        <v>1082</v>
      </c>
      <c r="M966" s="145" t="s">
        <v>42</v>
      </c>
      <c r="N966" s="145" t="s">
        <v>1089</v>
      </c>
      <c r="O966" s="245" t="s">
        <v>1096</v>
      </c>
      <c r="P966" s="170"/>
      <c r="Q966" s="170"/>
      <c r="R966" s="170"/>
      <c r="S966" s="170"/>
      <c r="T966" s="170"/>
      <c r="U966" s="370">
        <v>0</v>
      </c>
      <c r="V966" s="687">
        <v>0</v>
      </c>
      <c r="W966" s="97"/>
      <c r="X966" s="97"/>
      <c r="Y966" s="834">
        <f t="shared" si="200"/>
        <v>0</v>
      </c>
      <c r="Z966" s="97"/>
      <c r="AA966" s="97"/>
      <c r="AB966" s="97"/>
      <c r="AC966" s="75"/>
      <c r="AD966" s="75"/>
      <c r="AE966" s="592"/>
      <c r="AF966" s="343"/>
      <c r="AG966" s="510">
        <v>0</v>
      </c>
      <c r="AH966" s="370">
        <v>0</v>
      </c>
      <c r="AI966" s="75"/>
      <c r="AJ966" s="75"/>
      <c r="AK966" s="75"/>
      <c r="AL966" s="75"/>
      <c r="AM966" s="75"/>
      <c r="AN966" s="64" t="s">
        <v>39</v>
      </c>
      <c r="AO966" s="64"/>
      <c r="AP966" s="64"/>
      <c r="AQ966" s="189"/>
      <c r="AR966" s="64"/>
      <c r="AS966" s="476"/>
      <c r="AT966" s="64"/>
      <c r="AU966" s="646"/>
      <c r="AV966" s="185"/>
    </row>
    <row r="967" spans="1:48" s="153" customFormat="1" ht="15" customHeight="1" outlineLevel="1" x14ac:dyDescent="0.25">
      <c r="A967" s="148" t="str">
        <f t="shared" si="193"/>
        <v>1.10.2.3.0.0</v>
      </c>
      <c r="B967" s="82">
        <v>1</v>
      </c>
      <c r="C967" s="82">
        <v>10</v>
      </c>
      <c r="D967" s="82">
        <v>2</v>
      </c>
      <c r="E967" s="82">
        <v>3</v>
      </c>
      <c r="F967" s="82">
        <v>0</v>
      </c>
      <c r="G967" s="82">
        <v>0</v>
      </c>
      <c r="H967" s="149"/>
      <c r="I967" s="149"/>
      <c r="J967" s="1260" t="s">
        <v>1104</v>
      </c>
      <c r="K967" s="1259"/>
      <c r="L967" s="82">
        <v>0</v>
      </c>
      <c r="M967" s="82">
        <v>0</v>
      </c>
      <c r="N967" s="82">
        <v>0</v>
      </c>
      <c r="O967" s="82">
        <v>0</v>
      </c>
      <c r="P967" s="82"/>
      <c r="Q967" s="82"/>
      <c r="R967" s="82"/>
      <c r="S967" s="149"/>
      <c r="T967" s="82"/>
      <c r="U967" s="384">
        <f>+SUM(U968:U988)</f>
        <v>0</v>
      </c>
      <c r="V967" s="682">
        <f>+SUM(V968:V988)</f>
        <v>0</v>
      </c>
      <c r="W967" s="152"/>
      <c r="X967" s="152"/>
      <c r="Y967" s="834">
        <f t="shared" si="200"/>
        <v>0</v>
      </c>
      <c r="Z967" s="152"/>
      <c r="AA967" s="152"/>
      <c r="AB967" s="152"/>
      <c r="AC967" s="152"/>
      <c r="AD967" s="152"/>
      <c r="AE967" s="597"/>
      <c r="AF967" s="358"/>
      <c r="AG967" s="520">
        <f>+SUM(AG968:AG988)</f>
        <v>0</v>
      </c>
      <c r="AH967" s="384">
        <f>+SUM(AH968:AH988)</f>
        <v>0</v>
      </c>
      <c r="AI967" s="384">
        <f t="shared" ref="AI967" si="203">+SUM(AI968:AI988)</f>
        <v>0</v>
      </c>
      <c r="AJ967" s="384">
        <f>+SUM(AJ968:AJ988)</f>
        <v>0</v>
      </c>
      <c r="AK967" s="216"/>
      <c r="AL967" s="216"/>
      <c r="AM967" s="216"/>
      <c r="AN967" s="82" t="s">
        <v>39</v>
      </c>
      <c r="AO967" s="82"/>
      <c r="AP967" s="82"/>
      <c r="AQ967" s="365"/>
      <c r="AR967" s="82"/>
      <c r="AS967" s="483"/>
      <c r="AT967" s="82"/>
      <c r="AU967" s="666"/>
      <c r="AV967" s="444"/>
    </row>
    <row r="968" spans="1:48" s="212" customFormat="1" ht="15" customHeight="1" outlineLevel="4" x14ac:dyDescent="0.25">
      <c r="A968" s="210" t="str">
        <f t="shared" si="193"/>
        <v>1.10.2.3.1.58</v>
      </c>
      <c r="B968" s="136">
        <v>1</v>
      </c>
      <c r="C968" s="136">
        <v>10</v>
      </c>
      <c r="D968" s="136">
        <v>2</v>
      </c>
      <c r="E968" s="136">
        <v>3</v>
      </c>
      <c r="F968" s="136">
        <v>1</v>
      </c>
      <c r="G968" s="136">
        <v>58</v>
      </c>
      <c r="H968" s="125"/>
      <c r="I968" s="125"/>
      <c r="J968" s="213"/>
      <c r="K968" s="125" t="s">
        <v>1105</v>
      </c>
      <c r="L968" s="136">
        <v>0</v>
      </c>
      <c r="M968" s="136">
        <v>0</v>
      </c>
      <c r="N968" s="136">
        <v>0</v>
      </c>
      <c r="O968" s="136">
        <v>0</v>
      </c>
      <c r="P968" s="136"/>
      <c r="Q968" s="136"/>
      <c r="R968" s="136"/>
      <c r="S968" s="125"/>
      <c r="T968" s="136"/>
      <c r="U968" s="370">
        <v>0</v>
      </c>
      <c r="V968" s="687">
        <v>0</v>
      </c>
      <c r="W968" s="132"/>
      <c r="X968" s="132"/>
      <c r="Y968" s="834">
        <f t="shared" si="200"/>
        <v>0</v>
      </c>
      <c r="Z968" s="132"/>
      <c r="AA968" s="132"/>
      <c r="AB968" s="132"/>
      <c r="AC968" s="132"/>
      <c r="AD968" s="132"/>
      <c r="AE968" s="598"/>
      <c r="AF968" s="349"/>
      <c r="AG968" s="510">
        <v>0</v>
      </c>
      <c r="AH968" s="370">
        <v>0</v>
      </c>
      <c r="AI968" s="75"/>
      <c r="AJ968" s="75"/>
      <c r="AK968" s="75"/>
      <c r="AL968" s="75"/>
      <c r="AM968" s="75"/>
      <c r="AN968" s="136" t="s">
        <v>39</v>
      </c>
      <c r="AO968" s="136"/>
      <c r="AP968" s="136"/>
      <c r="AQ968" s="414"/>
      <c r="AR968" s="136"/>
      <c r="AS968" s="477"/>
      <c r="AT968" s="136"/>
      <c r="AU968" s="646"/>
      <c r="AV968" s="453"/>
    </row>
    <row r="969" spans="1:48" s="212" customFormat="1" ht="15" customHeight="1" outlineLevel="4" x14ac:dyDescent="0.25">
      <c r="A969" s="210" t="str">
        <f t="shared" si="193"/>
        <v>1.10.2.3.1.59</v>
      </c>
      <c r="B969" s="136">
        <v>1</v>
      </c>
      <c r="C969" s="136">
        <v>10</v>
      </c>
      <c r="D969" s="136">
        <v>2</v>
      </c>
      <c r="E969" s="136">
        <v>3</v>
      </c>
      <c r="F969" s="136">
        <v>1</v>
      </c>
      <c r="G969" s="136">
        <v>59</v>
      </c>
      <c r="H969" s="125"/>
      <c r="I969" s="125"/>
      <c r="J969" s="213"/>
      <c r="K969" s="125" t="s">
        <v>1106</v>
      </c>
      <c r="L969" s="136">
        <v>0</v>
      </c>
      <c r="M969" s="136">
        <v>0</v>
      </c>
      <c r="N969" s="136">
        <v>0</v>
      </c>
      <c r="O969" s="136">
        <v>0</v>
      </c>
      <c r="P969" s="136"/>
      <c r="Q969" s="136"/>
      <c r="R969" s="136"/>
      <c r="S969" s="125"/>
      <c r="T969" s="136"/>
      <c r="U969" s="370">
        <v>0</v>
      </c>
      <c r="V969" s="687">
        <v>0</v>
      </c>
      <c r="W969" s="132"/>
      <c r="X969" s="132"/>
      <c r="Y969" s="834">
        <f t="shared" si="200"/>
        <v>0</v>
      </c>
      <c r="Z969" s="132"/>
      <c r="AA969" s="132"/>
      <c r="AB969" s="132"/>
      <c r="AC969" s="132"/>
      <c r="AD969" s="132"/>
      <c r="AE969" s="598"/>
      <c r="AF969" s="349"/>
      <c r="AG969" s="510">
        <v>0</v>
      </c>
      <c r="AH969" s="370">
        <v>0</v>
      </c>
      <c r="AI969" s="75"/>
      <c r="AJ969" s="75"/>
      <c r="AK969" s="75"/>
      <c r="AL969" s="75"/>
      <c r="AM969" s="75"/>
      <c r="AN969" s="136" t="s">
        <v>39</v>
      </c>
      <c r="AO969" s="136"/>
      <c r="AP969" s="136"/>
      <c r="AQ969" s="414"/>
      <c r="AR969" s="136"/>
      <c r="AS969" s="477"/>
      <c r="AT969" s="136"/>
      <c r="AU969" s="646"/>
      <c r="AV969" s="453"/>
    </row>
    <row r="970" spans="1:48" s="212" customFormat="1" ht="15" customHeight="1" outlineLevel="4" x14ac:dyDescent="0.25">
      <c r="A970" s="210" t="str">
        <f t="shared" si="193"/>
        <v>1.10.2.3.1.60</v>
      </c>
      <c r="B970" s="136">
        <v>1</v>
      </c>
      <c r="C970" s="136">
        <v>10</v>
      </c>
      <c r="D970" s="136">
        <v>2</v>
      </c>
      <c r="E970" s="136">
        <v>3</v>
      </c>
      <c r="F970" s="136">
        <v>1</v>
      </c>
      <c r="G970" s="136">
        <v>60</v>
      </c>
      <c r="H970" s="125"/>
      <c r="I970" s="125"/>
      <c r="J970" s="213"/>
      <c r="K970" s="125" t="s">
        <v>1107</v>
      </c>
      <c r="L970" s="136">
        <v>0</v>
      </c>
      <c r="M970" s="136">
        <v>0</v>
      </c>
      <c r="N970" s="136">
        <v>0</v>
      </c>
      <c r="O970" s="136">
        <v>0</v>
      </c>
      <c r="P970" s="136"/>
      <c r="Q970" s="136"/>
      <c r="R970" s="136"/>
      <c r="S970" s="125"/>
      <c r="T970" s="136"/>
      <c r="U970" s="370">
        <v>0</v>
      </c>
      <c r="V970" s="687">
        <v>0</v>
      </c>
      <c r="W970" s="132"/>
      <c r="X970" s="132"/>
      <c r="Y970" s="834">
        <f t="shared" si="200"/>
        <v>0</v>
      </c>
      <c r="Z970" s="132"/>
      <c r="AA970" s="132"/>
      <c r="AB970" s="132"/>
      <c r="AC970" s="132"/>
      <c r="AD970" s="132"/>
      <c r="AE970" s="598"/>
      <c r="AF970" s="349"/>
      <c r="AG970" s="510">
        <v>0</v>
      </c>
      <c r="AH970" s="370">
        <v>0</v>
      </c>
      <c r="AI970" s="75"/>
      <c r="AJ970" s="75"/>
      <c r="AK970" s="75"/>
      <c r="AL970" s="75"/>
      <c r="AM970" s="75"/>
      <c r="AN970" s="136" t="s">
        <v>39</v>
      </c>
      <c r="AO970" s="136"/>
      <c r="AP970" s="136"/>
      <c r="AQ970" s="414"/>
      <c r="AR970" s="136"/>
      <c r="AS970" s="477"/>
      <c r="AT970" s="136"/>
      <c r="AU970" s="646"/>
      <c r="AV970" s="453"/>
    </row>
    <row r="971" spans="1:48" s="212" customFormat="1" ht="15" customHeight="1" outlineLevel="4" x14ac:dyDescent="0.25">
      <c r="A971" s="210" t="str">
        <f t="shared" si="193"/>
        <v>1.10.2.3.1.61</v>
      </c>
      <c r="B971" s="136">
        <v>1</v>
      </c>
      <c r="C971" s="136">
        <v>10</v>
      </c>
      <c r="D971" s="136">
        <v>2</v>
      </c>
      <c r="E971" s="136">
        <v>3</v>
      </c>
      <c r="F971" s="136">
        <v>1</v>
      </c>
      <c r="G971" s="136">
        <v>61</v>
      </c>
      <c r="H971" s="125"/>
      <c r="I971" s="125"/>
      <c r="J971" s="213"/>
      <c r="K971" s="125" t="s">
        <v>1108</v>
      </c>
      <c r="L971" s="136">
        <v>0</v>
      </c>
      <c r="M971" s="136">
        <v>0</v>
      </c>
      <c r="N971" s="136">
        <v>0</v>
      </c>
      <c r="O971" s="136">
        <v>0</v>
      </c>
      <c r="P971" s="136"/>
      <c r="Q971" s="136"/>
      <c r="R971" s="136"/>
      <c r="S971" s="125"/>
      <c r="T971" s="136"/>
      <c r="U971" s="370">
        <v>0</v>
      </c>
      <c r="V971" s="687">
        <v>0</v>
      </c>
      <c r="W971" s="132"/>
      <c r="X971" s="132"/>
      <c r="Y971" s="834">
        <f t="shared" si="200"/>
        <v>0</v>
      </c>
      <c r="Z971" s="132"/>
      <c r="AA971" s="132"/>
      <c r="AB971" s="132"/>
      <c r="AC971" s="132"/>
      <c r="AD971" s="132"/>
      <c r="AE971" s="598"/>
      <c r="AF971" s="349"/>
      <c r="AG971" s="510">
        <v>0</v>
      </c>
      <c r="AH971" s="370">
        <v>0</v>
      </c>
      <c r="AI971" s="75"/>
      <c r="AJ971" s="75"/>
      <c r="AK971" s="75"/>
      <c r="AL971" s="75"/>
      <c r="AM971" s="75"/>
      <c r="AN971" s="136" t="s">
        <v>39</v>
      </c>
      <c r="AO971" s="136"/>
      <c r="AP971" s="136"/>
      <c r="AQ971" s="414"/>
      <c r="AR971" s="136"/>
      <c r="AS971" s="477"/>
      <c r="AT971" s="136"/>
      <c r="AU971" s="646"/>
      <c r="AV971" s="453"/>
    </row>
    <row r="972" spans="1:48" s="212" customFormat="1" ht="15" customHeight="1" outlineLevel="4" x14ac:dyDescent="0.25">
      <c r="A972" s="210" t="str">
        <f t="shared" si="193"/>
        <v>1.10.2.3.1.62</v>
      </c>
      <c r="B972" s="136">
        <v>1</v>
      </c>
      <c r="C972" s="136">
        <v>10</v>
      </c>
      <c r="D972" s="136">
        <v>2</v>
      </c>
      <c r="E972" s="136">
        <v>3</v>
      </c>
      <c r="F972" s="136">
        <v>1</v>
      </c>
      <c r="G972" s="136">
        <v>62</v>
      </c>
      <c r="H972" s="125"/>
      <c r="I972" s="125"/>
      <c r="J972" s="213"/>
      <c r="K972" s="125" t="s">
        <v>1109</v>
      </c>
      <c r="L972" s="136">
        <v>0</v>
      </c>
      <c r="M972" s="136">
        <v>0</v>
      </c>
      <c r="N972" s="136">
        <v>0</v>
      </c>
      <c r="O972" s="136">
        <v>0</v>
      </c>
      <c r="P972" s="136"/>
      <c r="Q972" s="136"/>
      <c r="R972" s="136"/>
      <c r="S972" s="125"/>
      <c r="T972" s="136"/>
      <c r="U972" s="370">
        <v>0</v>
      </c>
      <c r="V972" s="687">
        <v>0</v>
      </c>
      <c r="W972" s="132"/>
      <c r="X972" s="132"/>
      <c r="Y972" s="834">
        <f t="shared" si="200"/>
        <v>0</v>
      </c>
      <c r="Z972" s="132"/>
      <c r="AA972" s="132"/>
      <c r="AB972" s="132"/>
      <c r="AC972" s="132"/>
      <c r="AD972" s="132"/>
      <c r="AE972" s="598"/>
      <c r="AF972" s="349"/>
      <c r="AG972" s="510">
        <v>0</v>
      </c>
      <c r="AH972" s="370">
        <v>0</v>
      </c>
      <c r="AI972" s="75"/>
      <c r="AJ972" s="75"/>
      <c r="AK972" s="75"/>
      <c r="AL972" s="75"/>
      <c r="AM972" s="75"/>
      <c r="AN972" s="136" t="s">
        <v>39</v>
      </c>
      <c r="AO972" s="136"/>
      <c r="AP972" s="136"/>
      <c r="AQ972" s="414"/>
      <c r="AR972" s="136"/>
      <c r="AS972" s="477"/>
      <c r="AT972" s="136"/>
      <c r="AU972" s="646"/>
      <c r="AV972" s="453"/>
    </row>
    <row r="973" spans="1:48" s="212" customFormat="1" ht="15" customHeight="1" outlineLevel="4" x14ac:dyDescent="0.25">
      <c r="A973" s="210" t="str">
        <f t="shared" si="193"/>
        <v>1.10.2.3.1.63</v>
      </c>
      <c r="B973" s="136">
        <v>1</v>
      </c>
      <c r="C973" s="136">
        <v>10</v>
      </c>
      <c r="D973" s="136">
        <v>2</v>
      </c>
      <c r="E973" s="136">
        <v>3</v>
      </c>
      <c r="F973" s="136">
        <v>1</v>
      </c>
      <c r="G973" s="136">
        <v>63</v>
      </c>
      <c r="H973" s="125"/>
      <c r="I973" s="125"/>
      <c r="J973" s="213"/>
      <c r="K973" s="125" t="s">
        <v>1772</v>
      </c>
      <c r="L973" s="136">
        <v>0</v>
      </c>
      <c r="M973" s="136">
        <v>0</v>
      </c>
      <c r="N973" s="136">
        <v>0</v>
      </c>
      <c r="O973" s="136">
        <v>0</v>
      </c>
      <c r="P973" s="136"/>
      <c r="Q973" s="136"/>
      <c r="R973" s="136"/>
      <c r="S973" s="125"/>
      <c r="T973" s="136"/>
      <c r="U973" s="370">
        <v>0</v>
      </c>
      <c r="V973" s="687">
        <v>0</v>
      </c>
      <c r="W973" s="132"/>
      <c r="X973" s="132"/>
      <c r="Y973" s="834">
        <f t="shared" si="200"/>
        <v>0</v>
      </c>
      <c r="Z973" s="132"/>
      <c r="AA973" s="132"/>
      <c r="AB973" s="132"/>
      <c r="AC973" s="132"/>
      <c r="AD973" s="132"/>
      <c r="AE973" s="598"/>
      <c r="AF973" s="349"/>
      <c r="AG973" s="510">
        <v>0</v>
      </c>
      <c r="AH973" s="370">
        <v>0</v>
      </c>
      <c r="AI973" s="75"/>
      <c r="AJ973" s="75"/>
      <c r="AK973" s="75"/>
      <c r="AL973" s="75"/>
      <c r="AM973" s="75"/>
      <c r="AN973" s="136" t="s">
        <v>39</v>
      </c>
      <c r="AO973" s="136"/>
      <c r="AP973" s="136"/>
      <c r="AQ973" s="414"/>
      <c r="AR973" s="136"/>
      <c r="AS973" s="477"/>
      <c r="AT973" s="136"/>
      <c r="AU973" s="646"/>
      <c r="AV973" s="453"/>
    </row>
    <row r="974" spans="1:48" s="212" customFormat="1" ht="15" customHeight="1" outlineLevel="4" x14ac:dyDescent="0.25">
      <c r="A974" s="210" t="str">
        <f t="shared" si="193"/>
        <v>1.10.2.3.1.64</v>
      </c>
      <c r="B974" s="136">
        <v>1</v>
      </c>
      <c r="C974" s="136">
        <v>10</v>
      </c>
      <c r="D974" s="136">
        <v>2</v>
      </c>
      <c r="E974" s="136">
        <v>3</v>
      </c>
      <c r="F974" s="136">
        <v>1</v>
      </c>
      <c r="G974" s="136">
        <v>64</v>
      </c>
      <c r="H974" s="125"/>
      <c r="I974" s="125"/>
      <c r="J974" s="213"/>
      <c r="K974" s="125" t="s">
        <v>1110</v>
      </c>
      <c r="L974" s="136">
        <v>0</v>
      </c>
      <c r="M974" s="136">
        <v>0</v>
      </c>
      <c r="N974" s="136">
        <v>0</v>
      </c>
      <c r="O974" s="136">
        <v>0</v>
      </c>
      <c r="P974" s="136"/>
      <c r="Q974" s="136"/>
      <c r="R974" s="136"/>
      <c r="S974" s="125"/>
      <c r="T974" s="136"/>
      <c r="U974" s="370">
        <v>0</v>
      </c>
      <c r="V974" s="687">
        <v>0</v>
      </c>
      <c r="W974" s="132"/>
      <c r="X974" s="132"/>
      <c r="Y974" s="834">
        <f t="shared" si="200"/>
        <v>0</v>
      </c>
      <c r="Z974" s="132"/>
      <c r="AA974" s="132"/>
      <c r="AB974" s="132"/>
      <c r="AC974" s="132"/>
      <c r="AD974" s="132"/>
      <c r="AE974" s="598"/>
      <c r="AF974" s="349"/>
      <c r="AG974" s="510">
        <v>0</v>
      </c>
      <c r="AH974" s="370">
        <v>0</v>
      </c>
      <c r="AI974" s="75"/>
      <c r="AJ974" s="75"/>
      <c r="AK974" s="75"/>
      <c r="AL974" s="75"/>
      <c r="AM974" s="75"/>
      <c r="AN974" s="136" t="s">
        <v>39</v>
      </c>
      <c r="AO974" s="136"/>
      <c r="AP974" s="136"/>
      <c r="AQ974" s="414"/>
      <c r="AR974" s="136"/>
      <c r="AS974" s="477"/>
      <c r="AT974" s="136"/>
      <c r="AU974" s="646"/>
      <c r="AV974" s="453"/>
    </row>
    <row r="975" spans="1:48" s="212" customFormat="1" ht="15" customHeight="1" outlineLevel="4" x14ac:dyDescent="0.25">
      <c r="A975" s="210" t="str">
        <f t="shared" si="193"/>
        <v>1.10.2.3.2.58</v>
      </c>
      <c r="B975" s="136">
        <v>1</v>
      </c>
      <c r="C975" s="136">
        <v>10</v>
      </c>
      <c r="D975" s="136">
        <v>2</v>
      </c>
      <c r="E975" s="136">
        <v>3</v>
      </c>
      <c r="F975" s="136">
        <v>2</v>
      </c>
      <c r="G975" s="136">
        <v>58</v>
      </c>
      <c r="H975" s="125"/>
      <c r="I975" s="125"/>
      <c r="J975" s="213"/>
      <c r="K975" s="125" t="s">
        <v>1111</v>
      </c>
      <c r="L975" s="136">
        <v>0</v>
      </c>
      <c r="M975" s="136">
        <v>0</v>
      </c>
      <c r="N975" s="136">
        <v>0</v>
      </c>
      <c r="O975" s="136">
        <v>0</v>
      </c>
      <c r="P975" s="136"/>
      <c r="Q975" s="136"/>
      <c r="R975" s="136"/>
      <c r="S975" s="125"/>
      <c r="T975" s="136"/>
      <c r="U975" s="370">
        <v>0</v>
      </c>
      <c r="V975" s="687">
        <v>0</v>
      </c>
      <c r="W975" s="132"/>
      <c r="X975" s="132"/>
      <c r="Y975" s="834">
        <f t="shared" si="200"/>
        <v>0</v>
      </c>
      <c r="Z975" s="132"/>
      <c r="AA975" s="132"/>
      <c r="AB975" s="132"/>
      <c r="AC975" s="132"/>
      <c r="AD975" s="132"/>
      <c r="AE975" s="598"/>
      <c r="AF975" s="349"/>
      <c r="AG975" s="510">
        <v>0</v>
      </c>
      <c r="AH975" s="370">
        <v>0</v>
      </c>
      <c r="AI975" s="75"/>
      <c r="AJ975" s="75"/>
      <c r="AK975" s="75"/>
      <c r="AL975" s="75"/>
      <c r="AM975" s="75"/>
      <c r="AN975" s="136" t="s">
        <v>39</v>
      </c>
      <c r="AO975" s="136"/>
      <c r="AP975" s="136"/>
      <c r="AQ975" s="414"/>
      <c r="AR975" s="136"/>
      <c r="AS975" s="477"/>
      <c r="AT975" s="136"/>
      <c r="AU975" s="646"/>
      <c r="AV975" s="448"/>
    </row>
    <row r="976" spans="1:48" s="212" customFormat="1" ht="15" customHeight="1" outlineLevel="4" x14ac:dyDescent="0.25">
      <c r="A976" s="210" t="str">
        <f t="shared" si="193"/>
        <v>1.10.2.3.2.59</v>
      </c>
      <c r="B976" s="136">
        <v>1</v>
      </c>
      <c r="C976" s="136">
        <v>10</v>
      </c>
      <c r="D976" s="136">
        <v>2</v>
      </c>
      <c r="E976" s="136">
        <v>3</v>
      </c>
      <c r="F976" s="136">
        <v>2</v>
      </c>
      <c r="G976" s="136">
        <v>59</v>
      </c>
      <c r="H976" s="125"/>
      <c r="I976" s="125"/>
      <c r="J976" s="213"/>
      <c r="K976" s="125" t="s">
        <v>1112</v>
      </c>
      <c r="L976" s="136">
        <v>0</v>
      </c>
      <c r="M976" s="136">
        <v>0</v>
      </c>
      <c r="N976" s="136">
        <v>0</v>
      </c>
      <c r="O976" s="136">
        <v>0</v>
      </c>
      <c r="P976" s="136"/>
      <c r="Q976" s="136"/>
      <c r="R976" s="136"/>
      <c r="S976" s="125"/>
      <c r="T976" s="136"/>
      <c r="U976" s="370">
        <v>0</v>
      </c>
      <c r="V976" s="687">
        <v>0</v>
      </c>
      <c r="W976" s="132"/>
      <c r="X976" s="132"/>
      <c r="Y976" s="834">
        <f t="shared" si="200"/>
        <v>0</v>
      </c>
      <c r="Z976" s="132"/>
      <c r="AA976" s="132"/>
      <c r="AB976" s="132"/>
      <c r="AC976" s="132"/>
      <c r="AD976" s="132"/>
      <c r="AE976" s="598"/>
      <c r="AF976" s="349"/>
      <c r="AG976" s="510">
        <v>0</v>
      </c>
      <c r="AH976" s="370">
        <v>0</v>
      </c>
      <c r="AI976" s="75"/>
      <c r="AJ976" s="75"/>
      <c r="AK976" s="75"/>
      <c r="AL976" s="75"/>
      <c r="AM976" s="75"/>
      <c r="AN976" s="136" t="s">
        <v>39</v>
      </c>
      <c r="AO976" s="136"/>
      <c r="AP976" s="136"/>
      <c r="AQ976" s="414"/>
      <c r="AR976" s="136"/>
      <c r="AS976" s="477"/>
      <c r="AT976" s="136"/>
      <c r="AU976" s="646"/>
      <c r="AV976" s="448"/>
    </row>
    <row r="977" spans="1:48" s="212" customFormat="1" ht="15" customHeight="1" outlineLevel="4" x14ac:dyDescent="0.25">
      <c r="A977" s="210" t="str">
        <f t="shared" si="193"/>
        <v>1.10.2.3.2.60</v>
      </c>
      <c r="B977" s="136">
        <v>1</v>
      </c>
      <c r="C977" s="136">
        <v>10</v>
      </c>
      <c r="D977" s="136">
        <v>2</v>
      </c>
      <c r="E977" s="136">
        <v>3</v>
      </c>
      <c r="F977" s="136">
        <v>2</v>
      </c>
      <c r="G977" s="136">
        <v>60</v>
      </c>
      <c r="H977" s="125"/>
      <c r="I977" s="125"/>
      <c r="J977" s="213"/>
      <c r="K977" s="125" t="s">
        <v>1113</v>
      </c>
      <c r="L977" s="136">
        <v>0</v>
      </c>
      <c r="M977" s="136">
        <v>0</v>
      </c>
      <c r="N977" s="136">
        <v>0</v>
      </c>
      <c r="O977" s="136">
        <v>0</v>
      </c>
      <c r="P977" s="136"/>
      <c r="Q977" s="136"/>
      <c r="R977" s="136"/>
      <c r="S977" s="125"/>
      <c r="T977" s="136"/>
      <c r="U977" s="370">
        <v>0</v>
      </c>
      <c r="V977" s="687">
        <v>0</v>
      </c>
      <c r="W977" s="132"/>
      <c r="X977" s="132"/>
      <c r="Y977" s="834">
        <f t="shared" si="200"/>
        <v>0</v>
      </c>
      <c r="Z977" s="132"/>
      <c r="AA977" s="132"/>
      <c r="AB977" s="132"/>
      <c r="AC977" s="132"/>
      <c r="AD977" s="132"/>
      <c r="AE977" s="598"/>
      <c r="AF977" s="349"/>
      <c r="AG977" s="510">
        <v>0</v>
      </c>
      <c r="AH977" s="370">
        <v>0</v>
      </c>
      <c r="AI977" s="75"/>
      <c r="AJ977" s="75"/>
      <c r="AK977" s="75"/>
      <c r="AL977" s="75"/>
      <c r="AM977" s="75"/>
      <c r="AN977" s="136" t="s">
        <v>39</v>
      </c>
      <c r="AO977" s="136"/>
      <c r="AP977" s="136"/>
      <c r="AQ977" s="414"/>
      <c r="AR977" s="136"/>
      <c r="AS977" s="477"/>
      <c r="AT977" s="136"/>
      <c r="AU977" s="646"/>
      <c r="AV977" s="448"/>
    </row>
    <row r="978" spans="1:48" s="212" customFormat="1" ht="15" customHeight="1" outlineLevel="4" x14ac:dyDescent="0.25">
      <c r="A978" s="210" t="str">
        <f t="shared" si="193"/>
        <v>1.10.2.3.2.61</v>
      </c>
      <c r="B978" s="136">
        <v>1</v>
      </c>
      <c r="C978" s="136">
        <v>10</v>
      </c>
      <c r="D978" s="136">
        <v>2</v>
      </c>
      <c r="E978" s="136">
        <v>3</v>
      </c>
      <c r="F978" s="136">
        <v>2</v>
      </c>
      <c r="G978" s="136">
        <v>61</v>
      </c>
      <c r="H978" s="125"/>
      <c r="I978" s="125"/>
      <c r="J978" s="213"/>
      <c r="K978" s="125" t="s">
        <v>1114</v>
      </c>
      <c r="L978" s="136">
        <v>0</v>
      </c>
      <c r="M978" s="136">
        <v>0</v>
      </c>
      <c r="N978" s="136">
        <v>0</v>
      </c>
      <c r="O978" s="136">
        <v>0</v>
      </c>
      <c r="P978" s="136"/>
      <c r="Q978" s="136"/>
      <c r="R978" s="136"/>
      <c r="S978" s="125"/>
      <c r="T978" s="136"/>
      <c r="U978" s="370">
        <v>0</v>
      </c>
      <c r="V978" s="687">
        <v>0</v>
      </c>
      <c r="W978" s="132"/>
      <c r="X978" s="132"/>
      <c r="Y978" s="834">
        <f t="shared" si="200"/>
        <v>0</v>
      </c>
      <c r="Z978" s="132"/>
      <c r="AA978" s="132"/>
      <c r="AB978" s="132"/>
      <c r="AC978" s="132"/>
      <c r="AD978" s="132"/>
      <c r="AE978" s="598"/>
      <c r="AF978" s="349"/>
      <c r="AG978" s="510">
        <v>0</v>
      </c>
      <c r="AH978" s="370">
        <v>0</v>
      </c>
      <c r="AI978" s="75"/>
      <c r="AJ978" s="75"/>
      <c r="AK978" s="75"/>
      <c r="AL978" s="75"/>
      <c r="AM978" s="75"/>
      <c r="AN978" s="136" t="s">
        <v>39</v>
      </c>
      <c r="AO978" s="136"/>
      <c r="AP978" s="136"/>
      <c r="AQ978" s="414"/>
      <c r="AR978" s="136"/>
      <c r="AS978" s="477"/>
      <c r="AT978" s="136"/>
      <c r="AU978" s="646"/>
      <c r="AV978" s="448"/>
    </row>
    <row r="979" spans="1:48" s="212" customFormat="1" ht="15" customHeight="1" outlineLevel="4" x14ac:dyDescent="0.25">
      <c r="A979" s="210" t="str">
        <f t="shared" si="193"/>
        <v>1.10.2.3.2.62</v>
      </c>
      <c r="B979" s="136">
        <v>1</v>
      </c>
      <c r="C979" s="136">
        <v>10</v>
      </c>
      <c r="D979" s="136">
        <v>2</v>
      </c>
      <c r="E979" s="136">
        <v>3</v>
      </c>
      <c r="F979" s="136">
        <v>2</v>
      </c>
      <c r="G979" s="136">
        <v>62</v>
      </c>
      <c r="H979" s="125"/>
      <c r="I979" s="125"/>
      <c r="J979" s="213"/>
      <c r="K979" s="125" t="s">
        <v>1115</v>
      </c>
      <c r="L979" s="136">
        <v>0</v>
      </c>
      <c r="M979" s="136">
        <v>0</v>
      </c>
      <c r="N979" s="136">
        <v>0</v>
      </c>
      <c r="O979" s="136">
        <v>0</v>
      </c>
      <c r="P979" s="136"/>
      <c r="Q979" s="136"/>
      <c r="R979" s="136"/>
      <c r="S979" s="125"/>
      <c r="T979" s="136"/>
      <c r="U979" s="370">
        <v>0</v>
      </c>
      <c r="V979" s="687">
        <v>0</v>
      </c>
      <c r="W979" s="132"/>
      <c r="X979" s="132"/>
      <c r="Y979" s="834">
        <f t="shared" si="200"/>
        <v>0</v>
      </c>
      <c r="Z979" s="132"/>
      <c r="AA979" s="132"/>
      <c r="AB979" s="132"/>
      <c r="AC979" s="132"/>
      <c r="AD979" s="132"/>
      <c r="AE979" s="598"/>
      <c r="AF979" s="349"/>
      <c r="AG979" s="510">
        <v>0</v>
      </c>
      <c r="AH979" s="370">
        <v>0</v>
      </c>
      <c r="AI979" s="75"/>
      <c r="AJ979" s="75"/>
      <c r="AK979" s="75"/>
      <c r="AL979" s="75"/>
      <c r="AM979" s="75"/>
      <c r="AN979" s="136" t="s">
        <v>39</v>
      </c>
      <c r="AO979" s="136"/>
      <c r="AP979" s="136"/>
      <c r="AQ979" s="414"/>
      <c r="AR979" s="136"/>
      <c r="AS979" s="477"/>
      <c r="AT979" s="136"/>
      <c r="AU979" s="646"/>
      <c r="AV979" s="448"/>
    </row>
    <row r="980" spans="1:48" s="212" customFormat="1" ht="15" customHeight="1" outlineLevel="4" x14ac:dyDescent="0.25">
      <c r="A980" s="210" t="str">
        <f t="shared" si="193"/>
        <v>1.10.2.3.2.63</v>
      </c>
      <c r="B980" s="136">
        <v>1</v>
      </c>
      <c r="C980" s="136">
        <v>10</v>
      </c>
      <c r="D980" s="136">
        <v>2</v>
      </c>
      <c r="E980" s="136">
        <v>3</v>
      </c>
      <c r="F980" s="136">
        <v>2</v>
      </c>
      <c r="G980" s="136">
        <v>63</v>
      </c>
      <c r="H980" s="125"/>
      <c r="I980" s="125"/>
      <c r="J980" s="213"/>
      <c r="K980" s="125" t="s">
        <v>1773</v>
      </c>
      <c r="L980" s="136">
        <v>0</v>
      </c>
      <c r="M980" s="136">
        <v>0</v>
      </c>
      <c r="N980" s="136">
        <v>0</v>
      </c>
      <c r="O980" s="136">
        <v>0</v>
      </c>
      <c r="P980" s="136"/>
      <c r="Q980" s="136"/>
      <c r="R980" s="136"/>
      <c r="S980" s="125"/>
      <c r="T980" s="136"/>
      <c r="U980" s="370">
        <v>0</v>
      </c>
      <c r="V980" s="687">
        <v>0</v>
      </c>
      <c r="W980" s="132"/>
      <c r="X980" s="132"/>
      <c r="Y980" s="834">
        <f t="shared" si="200"/>
        <v>0</v>
      </c>
      <c r="Z980" s="132"/>
      <c r="AA980" s="132"/>
      <c r="AB980" s="132"/>
      <c r="AC980" s="132"/>
      <c r="AD980" s="132"/>
      <c r="AE980" s="598"/>
      <c r="AF980" s="349"/>
      <c r="AG980" s="510">
        <v>0</v>
      </c>
      <c r="AH980" s="370">
        <v>0</v>
      </c>
      <c r="AI980" s="75"/>
      <c r="AJ980" s="75"/>
      <c r="AK980" s="75"/>
      <c r="AL980" s="75"/>
      <c r="AM980" s="75"/>
      <c r="AN980" s="136" t="s">
        <v>39</v>
      </c>
      <c r="AO980" s="136"/>
      <c r="AP980" s="136"/>
      <c r="AQ980" s="414"/>
      <c r="AR980" s="136"/>
      <c r="AS980" s="477"/>
      <c r="AT980" s="136"/>
      <c r="AU980" s="646"/>
      <c r="AV980" s="448"/>
    </row>
    <row r="981" spans="1:48" s="212" customFormat="1" ht="15" customHeight="1" outlineLevel="4" x14ac:dyDescent="0.25">
      <c r="A981" s="210" t="str">
        <f t="shared" si="193"/>
        <v>1.10.2.3.2.64</v>
      </c>
      <c r="B981" s="136">
        <v>1</v>
      </c>
      <c r="C981" s="136">
        <v>10</v>
      </c>
      <c r="D981" s="136">
        <v>2</v>
      </c>
      <c r="E981" s="136">
        <v>3</v>
      </c>
      <c r="F981" s="136">
        <v>2</v>
      </c>
      <c r="G981" s="136">
        <v>64</v>
      </c>
      <c r="H981" s="125"/>
      <c r="I981" s="125"/>
      <c r="J981" s="213"/>
      <c r="K981" s="125" t="s">
        <v>1116</v>
      </c>
      <c r="L981" s="136">
        <v>0</v>
      </c>
      <c r="M981" s="136">
        <v>0</v>
      </c>
      <c r="N981" s="136">
        <v>0</v>
      </c>
      <c r="O981" s="136">
        <v>0</v>
      </c>
      <c r="P981" s="136"/>
      <c r="Q981" s="136"/>
      <c r="R981" s="136"/>
      <c r="S981" s="125"/>
      <c r="T981" s="136"/>
      <c r="U981" s="370">
        <v>0</v>
      </c>
      <c r="V981" s="687">
        <v>0</v>
      </c>
      <c r="W981" s="132"/>
      <c r="X981" s="132"/>
      <c r="Y981" s="834">
        <f t="shared" si="200"/>
        <v>0</v>
      </c>
      <c r="Z981" s="132"/>
      <c r="AA981" s="132"/>
      <c r="AB981" s="132"/>
      <c r="AC981" s="132"/>
      <c r="AD981" s="132"/>
      <c r="AE981" s="598"/>
      <c r="AF981" s="349"/>
      <c r="AG981" s="510">
        <v>0</v>
      </c>
      <c r="AH981" s="370">
        <v>0</v>
      </c>
      <c r="AI981" s="75"/>
      <c r="AJ981" s="75"/>
      <c r="AK981" s="75"/>
      <c r="AL981" s="75"/>
      <c r="AM981" s="75"/>
      <c r="AN981" s="136" t="s">
        <v>39</v>
      </c>
      <c r="AO981" s="136"/>
      <c r="AP981" s="136"/>
      <c r="AQ981" s="414"/>
      <c r="AR981" s="136"/>
      <c r="AS981" s="477"/>
      <c r="AT981" s="136"/>
      <c r="AU981" s="646"/>
      <c r="AV981" s="448"/>
    </row>
    <row r="982" spans="1:48" s="212" customFormat="1" ht="30" customHeight="1" outlineLevel="4" x14ac:dyDescent="0.25">
      <c r="A982" s="210" t="str">
        <f t="shared" si="193"/>
        <v>1.10.2.3.3.58</v>
      </c>
      <c r="B982" s="136">
        <v>1</v>
      </c>
      <c r="C982" s="136">
        <v>10</v>
      </c>
      <c r="D982" s="136">
        <v>2</v>
      </c>
      <c r="E982" s="136">
        <v>3</v>
      </c>
      <c r="F982" s="136">
        <v>3</v>
      </c>
      <c r="G982" s="136">
        <v>58</v>
      </c>
      <c r="H982" s="125"/>
      <c r="I982" s="125"/>
      <c r="J982" s="213"/>
      <c r="K982" s="86" t="s">
        <v>1117</v>
      </c>
      <c r="L982" s="136">
        <v>0</v>
      </c>
      <c r="M982" s="136">
        <v>0</v>
      </c>
      <c r="N982" s="136">
        <v>0</v>
      </c>
      <c r="O982" s="136">
        <v>0</v>
      </c>
      <c r="P982" s="136"/>
      <c r="Q982" s="136"/>
      <c r="R982" s="136"/>
      <c r="S982" s="125"/>
      <c r="T982" s="136"/>
      <c r="U982" s="370">
        <v>0</v>
      </c>
      <c r="V982" s="687">
        <v>0</v>
      </c>
      <c r="W982" s="132"/>
      <c r="X982" s="132"/>
      <c r="Y982" s="834">
        <f t="shared" si="200"/>
        <v>0</v>
      </c>
      <c r="Z982" s="132"/>
      <c r="AA982" s="132"/>
      <c r="AB982" s="132"/>
      <c r="AC982" s="132"/>
      <c r="AD982" s="132"/>
      <c r="AE982" s="598"/>
      <c r="AF982" s="349"/>
      <c r="AG982" s="510">
        <v>0</v>
      </c>
      <c r="AH982" s="370">
        <v>0</v>
      </c>
      <c r="AI982" s="75"/>
      <c r="AJ982" s="75"/>
      <c r="AK982" s="75"/>
      <c r="AL982" s="75"/>
      <c r="AM982" s="75"/>
      <c r="AN982" s="136" t="s">
        <v>39</v>
      </c>
      <c r="AO982" s="136"/>
      <c r="AP982" s="136"/>
      <c r="AQ982" s="414"/>
      <c r="AR982" s="136"/>
      <c r="AS982" s="477"/>
      <c r="AT982" s="136"/>
      <c r="AU982" s="646"/>
      <c r="AV982" s="448"/>
    </row>
    <row r="983" spans="1:48" s="212" customFormat="1" ht="30" customHeight="1" outlineLevel="4" x14ac:dyDescent="0.25">
      <c r="A983" s="210" t="str">
        <f t="shared" si="193"/>
        <v>1.10.2.3.3.59</v>
      </c>
      <c r="B983" s="136">
        <v>1</v>
      </c>
      <c r="C983" s="136">
        <v>10</v>
      </c>
      <c r="D983" s="136">
        <v>2</v>
      </c>
      <c r="E983" s="136">
        <v>3</v>
      </c>
      <c r="F983" s="136">
        <v>3</v>
      </c>
      <c r="G983" s="136">
        <v>59</v>
      </c>
      <c r="H983" s="125"/>
      <c r="I983" s="125"/>
      <c r="J983" s="213"/>
      <c r="K983" s="86" t="s">
        <v>1118</v>
      </c>
      <c r="L983" s="136">
        <v>0</v>
      </c>
      <c r="M983" s="136">
        <v>0</v>
      </c>
      <c r="N983" s="136">
        <v>0</v>
      </c>
      <c r="O983" s="136">
        <v>0</v>
      </c>
      <c r="P983" s="136"/>
      <c r="Q983" s="136"/>
      <c r="R983" s="136"/>
      <c r="S983" s="125"/>
      <c r="T983" s="136"/>
      <c r="U983" s="370">
        <v>0</v>
      </c>
      <c r="V983" s="687">
        <v>0</v>
      </c>
      <c r="W983" s="132"/>
      <c r="X983" s="132"/>
      <c r="Y983" s="834">
        <f t="shared" si="200"/>
        <v>0</v>
      </c>
      <c r="Z983" s="132"/>
      <c r="AA983" s="132"/>
      <c r="AB983" s="132"/>
      <c r="AC983" s="132"/>
      <c r="AD983" s="132"/>
      <c r="AE983" s="598"/>
      <c r="AF983" s="349"/>
      <c r="AG983" s="510">
        <v>0</v>
      </c>
      <c r="AH983" s="370">
        <v>0</v>
      </c>
      <c r="AI983" s="75"/>
      <c r="AJ983" s="75"/>
      <c r="AK983" s="75"/>
      <c r="AL983" s="75"/>
      <c r="AM983" s="75"/>
      <c r="AN983" s="136" t="s">
        <v>39</v>
      </c>
      <c r="AO983" s="136"/>
      <c r="AP983" s="136"/>
      <c r="AQ983" s="414"/>
      <c r="AR983" s="136"/>
      <c r="AS983" s="477"/>
      <c r="AT983" s="136"/>
      <c r="AU983" s="646"/>
      <c r="AV983" s="448"/>
    </row>
    <row r="984" spans="1:48" s="212" customFormat="1" ht="30" customHeight="1" outlineLevel="4" x14ac:dyDescent="0.25">
      <c r="A984" s="210" t="str">
        <f t="shared" si="193"/>
        <v>1.10.2.3.3.60</v>
      </c>
      <c r="B984" s="136">
        <v>1</v>
      </c>
      <c r="C984" s="136">
        <v>10</v>
      </c>
      <c r="D984" s="136">
        <v>2</v>
      </c>
      <c r="E984" s="136">
        <v>3</v>
      </c>
      <c r="F984" s="136">
        <v>3</v>
      </c>
      <c r="G984" s="136">
        <v>60</v>
      </c>
      <c r="H984" s="125"/>
      <c r="I984" s="125"/>
      <c r="J984" s="213"/>
      <c r="K984" s="86" t="s">
        <v>1119</v>
      </c>
      <c r="L984" s="136">
        <v>0</v>
      </c>
      <c r="M984" s="136">
        <v>0</v>
      </c>
      <c r="N984" s="136">
        <v>0</v>
      </c>
      <c r="O984" s="136">
        <v>0</v>
      </c>
      <c r="P984" s="136"/>
      <c r="Q984" s="136"/>
      <c r="R984" s="136"/>
      <c r="S984" s="125"/>
      <c r="T984" s="136"/>
      <c r="U984" s="370">
        <v>0</v>
      </c>
      <c r="V984" s="687">
        <v>0</v>
      </c>
      <c r="W984" s="132"/>
      <c r="X984" s="132">
        <v>214194191.16</v>
      </c>
      <c r="Y984" s="834">
        <f t="shared" si="200"/>
        <v>0</v>
      </c>
      <c r="Z984" s="132"/>
      <c r="AA984" s="132"/>
      <c r="AB984" s="132"/>
      <c r="AC984" s="132"/>
      <c r="AD984" s="132"/>
      <c r="AE984" s="598"/>
      <c r="AF984" s="349"/>
      <c r="AG984" s="510">
        <v>0</v>
      </c>
      <c r="AH984" s="370">
        <v>0</v>
      </c>
      <c r="AI984" s="75"/>
      <c r="AJ984" s="75"/>
      <c r="AK984" s="75"/>
      <c r="AL984" s="75"/>
      <c r="AM984" s="75"/>
      <c r="AN984" s="136" t="s">
        <v>39</v>
      </c>
      <c r="AO984" s="136"/>
      <c r="AP984" s="136"/>
      <c r="AQ984" s="414"/>
      <c r="AR984" s="136"/>
      <c r="AS984" s="477"/>
      <c r="AT984" s="136"/>
      <c r="AU984" s="646"/>
      <c r="AV984" s="448"/>
    </row>
    <row r="985" spans="1:48" s="212" customFormat="1" ht="30" customHeight="1" outlineLevel="4" x14ac:dyDescent="0.25">
      <c r="A985" s="210" t="str">
        <f t="shared" si="193"/>
        <v>1.10.2.3.3.61</v>
      </c>
      <c r="B985" s="136">
        <v>1</v>
      </c>
      <c r="C985" s="136">
        <v>10</v>
      </c>
      <c r="D985" s="136">
        <v>2</v>
      </c>
      <c r="E985" s="136">
        <v>3</v>
      </c>
      <c r="F985" s="136">
        <v>3</v>
      </c>
      <c r="G985" s="136">
        <v>61</v>
      </c>
      <c r="H985" s="125"/>
      <c r="I985" s="125"/>
      <c r="J985" s="213"/>
      <c r="K985" s="86" t="s">
        <v>1120</v>
      </c>
      <c r="L985" s="136">
        <v>0</v>
      </c>
      <c r="M985" s="136">
        <v>0</v>
      </c>
      <c r="N985" s="136">
        <v>0</v>
      </c>
      <c r="O985" s="136">
        <v>0</v>
      </c>
      <c r="P985" s="136"/>
      <c r="Q985" s="136"/>
      <c r="R985" s="136"/>
      <c r="S985" s="125"/>
      <c r="T985" s="136"/>
      <c r="U985" s="370">
        <v>0</v>
      </c>
      <c r="V985" s="687">
        <v>0</v>
      </c>
      <c r="W985" s="132"/>
      <c r="X985" s="132">
        <v>50875348.299999997</v>
      </c>
      <c r="Y985" s="834">
        <f t="shared" si="200"/>
        <v>0</v>
      </c>
      <c r="Z985" s="132"/>
      <c r="AA985" s="132"/>
      <c r="AB985" s="132"/>
      <c r="AC985" s="132"/>
      <c r="AD985" s="132"/>
      <c r="AE985" s="598"/>
      <c r="AF985" s="349"/>
      <c r="AG985" s="510">
        <v>0</v>
      </c>
      <c r="AH985" s="370">
        <v>0</v>
      </c>
      <c r="AI985" s="75"/>
      <c r="AJ985" s="75"/>
      <c r="AK985" s="75"/>
      <c r="AL985" s="75"/>
      <c r="AM985" s="75"/>
      <c r="AN985" s="136" t="s">
        <v>39</v>
      </c>
      <c r="AO985" s="136"/>
      <c r="AP985" s="136"/>
      <c r="AQ985" s="414"/>
      <c r="AR985" s="136"/>
      <c r="AS985" s="477"/>
      <c r="AT985" s="136"/>
      <c r="AU985" s="646"/>
      <c r="AV985" s="448"/>
    </row>
    <row r="986" spans="1:48" s="212" customFormat="1" ht="30" customHeight="1" outlineLevel="4" x14ac:dyDescent="0.25">
      <c r="A986" s="210" t="str">
        <f t="shared" si="193"/>
        <v>1.10.2.3.3.62</v>
      </c>
      <c r="B986" s="136">
        <v>1</v>
      </c>
      <c r="C986" s="136">
        <v>10</v>
      </c>
      <c r="D986" s="136">
        <v>2</v>
      </c>
      <c r="E986" s="136">
        <v>3</v>
      </c>
      <c r="F986" s="136">
        <v>3</v>
      </c>
      <c r="G986" s="136">
        <v>62</v>
      </c>
      <c r="H986" s="125"/>
      <c r="I986" s="125"/>
      <c r="J986" s="213"/>
      <c r="K986" s="86" t="s">
        <v>1121</v>
      </c>
      <c r="L986" s="136">
        <v>0</v>
      </c>
      <c r="M986" s="136">
        <v>0</v>
      </c>
      <c r="N986" s="136">
        <v>0</v>
      </c>
      <c r="O986" s="136">
        <v>0</v>
      </c>
      <c r="P986" s="136"/>
      <c r="Q986" s="136"/>
      <c r="R986" s="136"/>
      <c r="S986" s="125"/>
      <c r="T986" s="136"/>
      <c r="U986" s="370">
        <v>0</v>
      </c>
      <c r="V986" s="687">
        <v>0</v>
      </c>
      <c r="W986" s="132"/>
      <c r="X986" s="132"/>
      <c r="Y986" s="834">
        <f t="shared" si="200"/>
        <v>0</v>
      </c>
      <c r="Z986" s="132"/>
      <c r="AA986" s="132"/>
      <c r="AB986" s="132"/>
      <c r="AC986" s="132"/>
      <c r="AD986" s="132"/>
      <c r="AE986" s="598"/>
      <c r="AF986" s="349"/>
      <c r="AG986" s="510">
        <v>0</v>
      </c>
      <c r="AH986" s="370">
        <v>0</v>
      </c>
      <c r="AI986" s="75"/>
      <c r="AJ986" s="75"/>
      <c r="AK986" s="75"/>
      <c r="AL986" s="75"/>
      <c r="AM986" s="75"/>
      <c r="AN986" s="136" t="s">
        <v>39</v>
      </c>
      <c r="AO986" s="136"/>
      <c r="AP986" s="136"/>
      <c r="AQ986" s="414"/>
      <c r="AR986" s="136"/>
      <c r="AS986" s="477"/>
      <c r="AT986" s="136"/>
      <c r="AU986" s="646"/>
      <c r="AV986" s="448"/>
    </row>
    <row r="987" spans="1:48" s="212" customFormat="1" ht="30" customHeight="1" outlineLevel="4" x14ac:dyDescent="0.25">
      <c r="A987" s="210" t="str">
        <f t="shared" si="193"/>
        <v>1.10.2.3.3.63</v>
      </c>
      <c r="B987" s="136">
        <v>1</v>
      </c>
      <c r="C987" s="136">
        <v>10</v>
      </c>
      <c r="D987" s="136">
        <v>2</v>
      </c>
      <c r="E987" s="136">
        <v>3</v>
      </c>
      <c r="F987" s="136">
        <v>3</v>
      </c>
      <c r="G987" s="136">
        <v>63</v>
      </c>
      <c r="H987" s="125"/>
      <c r="I987" s="125"/>
      <c r="J987" s="213"/>
      <c r="K987" s="86" t="s">
        <v>1774</v>
      </c>
      <c r="L987" s="136">
        <v>0</v>
      </c>
      <c r="M987" s="136">
        <v>0</v>
      </c>
      <c r="N987" s="136">
        <v>0</v>
      </c>
      <c r="O987" s="136">
        <v>0</v>
      </c>
      <c r="P987" s="136"/>
      <c r="Q987" s="136"/>
      <c r="R987" s="136"/>
      <c r="S987" s="125"/>
      <c r="T987" s="136"/>
      <c r="U987" s="370">
        <v>0</v>
      </c>
      <c r="V987" s="687">
        <v>0</v>
      </c>
      <c r="W987" s="132"/>
      <c r="X987" s="132">
        <f>+(U1017+X1017)/57</f>
        <v>796868.62192982459</v>
      </c>
      <c r="Y987" s="834">
        <f t="shared" si="200"/>
        <v>0</v>
      </c>
      <c r="Z987" s="132"/>
      <c r="AA987" s="132"/>
      <c r="AB987" s="132"/>
      <c r="AC987" s="132"/>
      <c r="AD987" s="132"/>
      <c r="AE987" s="598"/>
      <c r="AF987" s="349"/>
      <c r="AG987" s="510">
        <v>0</v>
      </c>
      <c r="AH987" s="370">
        <v>0</v>
      </c>
      <c r="AI987" s="75"/>
      <c r="AJ987" s="75"/>
      <c r="AK987" s="75"/>
      <c r="AL987" s="75"/>
      <c r="AM987" s="75"/>
      <c r="AN987" s="136" t="s">
        <v>39</v>
      </c>
      <c r="AO987" s="136"/>
      <c r="AP987" s="136"/>
      <c r="AQ987" s="414"/>
      <c r="AR987" s="136"/>
      <c r="AS987" s="477"/>
      <c r="AT987" s="136"/>
      <c r="AU987" s="646"/>
      <c r="AV987" s="448"/>
    </row>
    <row r="988" spans="1:48" s="212" customFormat="1" ht="30" customHeight="1" outlineLevel="4" x14ac:dyDescent="0.25">
      <c r="A988" s="210" t="str">
        <f t="shared" si="193"/>
        <v>1.10.2.3.3.64</v>
      </c>
      <c r="B988" s="136">
        <v>1</v>
      </c>
      <c r="C988" s="136">
        <v>10</v>
      </c>
      <c r="D988" s="136">
        <v>2</v>
      </c>
      <c r="E988" s="136">
        <v>3</v>
      </c>
      <c r="F988" s="136">
        <v>3</v>
      </c>
      <c r="G988" s="136">
        <v>64</v>
      </c>
      <c r="H988" s="125"/>
      <c r="I988" s="125"/>
      <c r="J988" s="213"/>
      <c r="K988" s="86" t="s">
        <v>1122</v>
      </c>
      <c r="L988" s="136">
        <v>0</v>
      </c>
      <c r="M988" s="136">
        <v>0</v>
      </c>
      <c r="N988" s="136">
        <v>0</v>
      </c>
      <c r="O988" s="136">
        <v>0</v>
      </c>
      <c r="P988" s="136"/>
      <c r="Q988" s="136"/>
      <c r="R988" s="136"/>
      <c r="S988" s="125"/>
      <c r="T988" s="136"/>
      <c r="U988" s="370">
        <v>0</v>
      </c>
      <c r="V988" s="687">
        <v>0</v>
      </c>
      <c r="W988" s="132"/>
      <c r="X988" s="132">
        <f>+(V1017+Y1017)/57</f>
        <v>848693.93649122794</v>
      </c>
      <c r="Y988" s="834">
        <f t="shared" si="200"/>
        <v>0</v>
      </c>
      <c r="Z988" s="132"/>
      <c r="AA988" s="132"/>
      <c r="AB988" s="132"/>
      <c r="AC988" s="132"/>
      <c r="AD988" s="132"/>
      <c r="AE988" s="598"/>
      <c r="AF988" s="349"/>
      <c r="AG988" s="510">
        <v>0</v>
      </c>
      <c r="AH988" s="370">
        <v>0</v>
      </c>
      <c r="AI988" s="75"/>
      <c r="AJ988" s="75">
        <v>0</v>
      </c>
      <c r="AK988" s="75"/>
      <c r="AL988" s="75"/>
      <c r="AM988" s="75"/>
      <c r="AN988" s="136" t="s">
        <v>39</v>
      </c>
      <c r="AO988" s="136"/>
      <c r="AP988" s="136"/>
      <c r="AQ988" s="414"/>
      <c r="AR988" s="136"/>
      <c r="AS988" s="477"/>
      <c r="AT988" s="136"/>
      <c r="AU988" s="646"/>
      <c r="AV988" s="448"/>
    </row>
    <row r="989" spans="1:48" s="153" customFormat="1" ht="15" customHeight="1" x14ac:dyDescent="0.25">
      <c r="A989" s="246" t="str">
        <f t="shared" si="193"/>
        <v>2.0.0.0.0.0</v>
      </c>
      <c r="B989" s="44">
        <v>2</v>
      </c>
      <c r="C989" s="44">
        <v>0</v>
      </c>
      <c r="D989" s="44">
        <v>0</v>
      </c>
      <c r="E989" s="44">
        <v>0</v>
      </c>
      <c r="F989" s="44">
        <v>0</v>
      </c>
      <c r="G989" s="44">
        <v>0</v>
      </c>
      <c r="H989" s="1269" t="s">
        <v>1123</v>
      </c>
      <c r="I989" s="1270"/>
      <c r="J989" s="1270"/>
      <c r="K989" s="1271"/>
      <c r="L989" s="44" t="s">
        <v>1124</v>
      </c>
      <c r="M989" s="44">
        <v>0</v>
      </c>
      <c r="N989" s="44">
        <v>0</v>
      </c>
      <c r="O989" s="44">
        <v>0</v>
      </c>
      <c r="P989" s="44"/>
      <c r="Q989" s="44"/>
      <c r="R989" s="44"/>
      <c r="S989" s="247"/>
      <c r="T989" s="44"/>
      <c r="U989" s="387">
        <f t="shared" ref="U989:AG989" si="204">+U990</f>
        <v>0</v>
      </c>
      <c r="V989" s="387">
        <f t="shared" si="204"/>
        <v>0</v>
      </c>
      <c r="W989" s="387">
        <f t="shared" si="204"/>
        <v>0</v>
      </c>
      <c r="X989" s="387">
        <f t="shared" si="204"/>
        <v>0</v>
      </c>
      <c r="Y989" s="387">
        <f t="shared" si="204"/>
        <v>0</v>
      </c>
      <c r="Z989" s="387">
        <f t="shared" si="204"/>
        <v>0</v>
      </c>
      <c r="AA989" s="387">
        <f t="shared" si="204"/>
        <v>0</v>
      </c>
      <c r="AB989" s="387">
        <f t="shared" si="204"/>
        <v>0</v>
      </c>
      <c r="AC989" s="387">
        <f t="shared" si="204"/>
        <v>0</v>
      </c>
      <c r="AD989" s="387">
        <f t="shared" si="204"/>
        <v>0</v>
      </c>
      <c r="AE989" s="387">
        <f t="shared" si="204"/>
        <v>0</v>
      </c>
      <c r="AF989" s="387">
        <f t="shared" si="204"/>
        <v>0</v>
      </c>
      <c r="AG989" s="387">
        <f t="shared" si="204"/>
        <v>0</v>
      </c>
      <c r="AH989" s="387">
        <f>+AH990</f>
        <v>0</v>
      </c>
      <c r="AI989" s="523">
        <f>+AI990</f>
        <v>0</v>
      </c>
      <c r="AJ989" s="523">
        <f>+AJ990</f>
        <v>0</v>
      </c>
      <c r="AK989" s="249"/>
      <c r="AL989" s="249"/>
      <c r="AM989" s="249"/>
      <c r="AN989" s="44" t="s">
        <v>39</v>
      </c>
      <c r="AO989" s="44"/>
      <c r="AP989" s="44"/>
      <c r="AQ989" s="420"/>
      <c r="AR989" s="44"/>
      <c r="AS989" s="486"/>
      <c r="AT989" s="44"/>
      <c r="AU989" s="658"/>
      <c r="AV989" s="426"/>
    </row>
    <row r="990" spans="1:48" s="153" customFormat="1" ht="15" customHeight="1" outlineLevel="1" x14ac:dyDescent="0.25">
      <c r="A990" s="108" t="str">
        <f t="shared" si="193"/>
        <v>2.11.0.0.0.0</v>
      </c>
      <c r="B990" s="109">
        <v>2</v>
      </c>
      <c r="C990" s="109">
        <v>11</v>
      </c>
      <c r="D990" s="109">
        <v>0</v>
      </c>
      <c r="E990" s="109">
        <v>0</v>
      </c>
      <c r="F990" s="109">
        <v>0</v>
      </c>
      <c r="G990" s="109">
        <v>0</v>
      </c>
      <c r="H990" s="110"/>
      <c r="I990" s="1265" t="s">
        <v>1125</v>
      </c>
      <c r="J990" s="1266"/>
      <c r="K990" s="1267"/>
      <c r="L990" s="109" t="s">
        <v>1126</v>
      </c>
      <c r="M990" s="109">
        <v>0</v>
      </c>
      <c r="N990" s="109">
        <v>0</v>
      </c>
      <c r="O990" s="109">
        <v>0</v>
      </c>
      <c r="P990" s="109"/>
      <c r="Q990" s="109"/>
      <c r="R990" s="109"/>
      <c r="S990" s="110"/>
      <c r="T990" s="109"/>
      <c r="U990" s="112"/>
      <c r="V990" s="680"/>
      <c r="W990" s="112"/>
      <c r="X990" s="112"/>
      <c r="Y990" s="834">
        <f t="shared" ref="Y990:Y1016" si="205">+AJ990-V990</f>
        <v>0</v>
      </c>
      <c r="Z990" s="112"/>
      <c r="AA990" s="112"/>
      <c r="AB990" s="112"/>
      <c r="AC990" s="112"/>
      <c r="AD990" s="112"/>
      <c r="AE990" s="574"/>
      <c r="AF990" s="333"/>
      <c r="AG990" s="514">
        <f>+AG1010</f>
        <v>0</v>
      </c>
      <c r="AH990" s="374">
        <f>+AH1010</f>
        <v>0</v>
      </c>
      <c r="AI990" s="514">
        <f>+AI1010</f>
        <v>0</v>
      </c>
      <c r="AJ990" s="514">
        <f>+AJ991+AJ998+AJ1006+AJ1010</f>
        <v>0</v>
      </c>
      <c r="AK990" s="112"/>
      <c r="AL990" s="112"/>
      <c r="AM990" s="112"/>
      <c r="AN990" s="109" t="s">
        <v>39</v>
      </c>
      <c r="AO990" s="109"/>
      <c r="AP990" s="109"/>
      <c r="AQ990" s="411"/>
      <c r="AR990" s="109"/>
      <c r="AS990" s="473"/>
      <c r="AT990" s="109"/>
      <c r="AU990" s="659"/>
      <c r="AV990" s="445"/>
    </row>
    <row r="991" spans="1:48" s="153" customFormat="1" ht="15" customHeight="1" outlineLevel="1" x14ac:dyDescent="0.25">
      <c r="A991" s="148" t="str">
        <f t="shared" si="193"/>
        <v>2.11.0.1.0.0</v>
      </c>
      <c r="B991" s="82">
        <v>2</v>
      </c>
      <c r="C991" s="82">
        <v>11</v>
      </c>
      <c r="D991" s="82">
        <v>0</v>
      </c>
      <c r="E991" s="82">
        <v>1</v>
      </c>
      <c r="F991" s="82">
        <v>0</v>
      </c>
      <c r="G991" s="82">
        <v>0</v>
      </c>
      <c r="H991" s="149"/>
      <c r="I991" s="149"/>
      <c r="J991" s="1289" t="s">
        <v>1127</v>
      </c>
      <c r="K991" s="1290"/>
      <c r="L991" s="82">
        <v>0</v>
      </c>
      <c r="M991" s="82">
        <v>0</v>
      </c>
      <c r="N991" s="82">
        <v>0</v>
      </c>
      <c r="O991" s="82">
        <v>0</v>
      </c>
      <c r="P991" s="82"/>
      <c r="Q991" s="82"/>
      <c r="R991" s="82"/>
      <c r="S991" s="149"/>
      <c r="T991" s="82"/>
      <c r="U991" s="152"/>
      <c r="V991" s="681"/>
      <c r="W991" s="152"/>
      <c r="X991" s="152"/>
      <c r="Y991" s="834">
        <f t="shared" si="205"/>
        <v>0</v>
      </c>
      <c r="Z991" s="152"/>
      <c r="AA991" s="152"/>
      <c r="AB991" s="152"/>
      <c r="AC991" s="152"/>
      <c r="AD991" s="152"/>
      <c r="AE991" s="597"/>
      <c r="AF991" s="358"/>
      <c r="AG991" s="512">
        <f>SUM(AG992:AG997)</f>
        <v>0</v>
      </c>
      <c r="AH991" s="379">
        <f>SUM(AH992:AH997)</f>
        <v>0</v>
      </c>
      <c r="AI991" s="379">
        <f t="shared" ref="AI991" si="206">SUM(AI992:AI997)</f>
        <v>0</v>
      </c>
      <c r="AJ991" s="379">
        <f>SUM(AJ992:AJ997)</f>
        <v>0</v>
      </c>
      <c r="AK991" s="152"/>
      <c r="AL991" s="152"/>
      <c r="AM991" s="152"/>
      <c r="AN991" s="82"/>
      <c r="AO991" s="82"/>
      <c r="AP991" s="82"/>
      <c r="AQ991" s="365"/>
      <c r="AR991" s="82"/>
      <c r="AS991" s="483"/>
      <c r="AT991" s="82"/>
      <c r="AU991" s="666"/>
      <c r="AV991" s="444"/>
    </row>
    <row r="992" spans="1:48" ht="15" customHeight="1" outlineLevel="4" x14ac:dyDescent="0.25">
      <c r="A992" s="99" t="str">
        <f t="shared" si="193"/>
        <v>2.11.0.1.1.0</v>
      </c>
      <c r="B992" s="100">
        <v>2</v>
      </c>
      <c r="C992" s="100">
        <v>11</v>
      </c>
      <c r="D992" s="100">
        <v>0</v>
      </c>
      <c r="E992" s="100">
        <v>1</v>
      </c>
      <c r="F992" s="100">
        <v>1</v>
      </c>
      <c r="G992" s="100">
        <v>0</v>
      </c>
      <c r="H992" s="101"/>
      <c r="I992" s="101"/>
      <c r="J992" s="101"/>
      <c r="K992" s="101" t="s">
        <v>1128</v>
      </c>
      <c r="L992" s="64">
        <v>0</v>
      </c>
      <c r="M992" s="64">
        <v>0</v>
      </c>
      <c r="N992" s="64">
        <v>0</v>
      </c>
      <c r="O992" s="64">
        <v>0</v>
      </c>
      <c r="P992" s="64"/>
      <c r="Q992" s="64"/>
      <c r="R992" s="64"/>
      <c r="S992" s="65"/>
      <c r="T992" s="64"/>
      <c r="U992" s="75"/>
      <c r="V992" s="674"/>
      <c r="W992" s="75"/>
      <c r="X992" s="75"/>
      <c r="Y992" s="834">
        <f t="shared" si="205"/>
        <v>0</v>
      </c>
      <c r="Z992" s="75"/>
      <c r="AA992" s="75"/>
      <c r="AB992" s="75"/>
      <c r="AC992" s="75"/>
      <c r="AD992" s="75"/>
      <c r="AE992" s="592"/>
      <c r="AF992" s="259"/>
      <c r="AG992" s="510">
        <v>0</v>
      </c>
      <c r="AH992" s="370">
        <v>0</v>
      </c>
      <c r="AI992" s="154"/>
      <c r="AJ992" s="154"/>
      <c r="AK992" s="154"/>
      <c r="AL992" s="154"/>
      <c r="AM992" s="154"/>
      <c r="AN992" s="64"/>
      <c r="AO992" s="64"/>
      <c r="AP992" s="64"/>
      <c r="AQ992" s="189"/>
      <c r="AR992" s="64"/>
      <c r="AS992" s="476"/>
      <c r="AT992" s="64"/>
      <c r="AU992" s="646"/>
      <c r="AV992" s="455"/>
    </row>
    <row r="993" spans="1:48" ht="15" customHeight="1" outlineLevel="4" x14ac:dyDescent="0.25">
      <c r="A993" s="99" t="str">
        <f t="shared" si="193"/>
        <v>2.11.0.1.2.0</v>
      </c>
      <c r="B993" s="100">
        <v>2</v>
      </c>
      <c r="C993" s="100">
        <v>11</v>
      </c>
      <c r="D993" s="100">
        <v>0</v>
      </c>
      <c r="E993" s="100">
        <v>1</v>
      </c>
      <c r="F993" s="100">
        <v>2</v>
      </c>
      <c r="G993" s="100">
        <v>0</v>
      </c>
      <c r="H993" s="101"/>
      <c r="I993" s="101"/>
      <c r="J993" s="102"/>
      <c r="K993" s="101" t="s">
        <v>327</v>
      </c>
      <c r="L993" s="64">
        <v>0</v>
      </c>
      <c r="M993" s="64">
        <v>0</v>
      </c>
      <c r="N993" s="64">
        <v>0</v>
      </c>
      <c r="O993" s="64">
        <v>0</v>
      </c>
      <c r="P993" s="64"/>
      <c r="Q993" s="64"/>
      <c r="R993" s="64"/>
      <c r="S993" s="65"/>
      <c r="T993" s="64"/>
      <c r="U993" s="75"/>
      <c r="V993" s="674"/>
      <c r="W993" s="75"/>
      <c r="X993" s="75"/>
      <c r="Y993" s="834">
        <f t="shared" si="205"/>
        <v>0</v>
      </c>
      <c r="Z993" s="75"/>
      <c r="AA993" s="75"/>
      <c r="AB993" s="75"/>
      <c r="AC993" s="75"/>
      <c r="AD993" s="75"/>
      <c r="AE993" s="592"/>
      <c r="AF993" s="259"/>
      <c r="AG993" s="510">
        <v>0</v>
      </c>
      <c r="AH993" s="370">
        <v>0</v>
      </c>
      <c r="AI993" s="154"/>
      <c r="AJ993" s="154"/>
      <c r="AK993" s="154"/>
      <c r="AL993" s="154"/>
      <c r="AM993" s="154"/>
      <c r="AN993" s="64"/>
      <c r="AO993" s="64"/>
      <c r="AP993" s="64"/>
      <c r="AQ993" s="189"/>
      <c r="AR993" s="64"/>
      <c r="AS993" s="476"/>
      <c r="AT993" s="64"/>
      <c r="AU993" s="646"/>
      <c r="AV993" s="455"/>
    </row>
    <row r="994" spans="1:48" ht="15" customHeight="1" outlineLevel="4" x14ac:dyDescent="0.25">
      <c r="A994" s="99" t="str">
        <f t="shared" si="193"/>
        <v>2.11.0.1.3.0</v>
      </c>
      <c r="B994" s="100">
        <v>2</v>
      </c>
      <c r="C994" s="100">
        <v>11</v>
      </c>
      <c r="D994" s="100">
        <v>0</v>
      </c>
      <c r="E994" s="100">
        <v>1</v>
      </c>
      <c r="F994" s="100">
        <v>3</v>
      </c>
      <c r="G994" s="100">
        <v>0</v>
      </c>
      <c r="H994" s="101"/>
      <c r="I994" s="101"/>
      <c r="J994" s="102"/>
      <c r="K994" s="101" t="s">
        <v>353</v>
      </c>
      <c r="L994" s="64">
        <v>0</v>
      </c>
      <c r="M994" s="64">
        <v>0</v>
      </c>
      <c r="N994" s="64">
        <v>0</v>
      </c>
      <c r="O994" s="64">
        <v>0</v>
      </c>
      <c r="P994" s="64"/>
      <c r="Q994" s="64"/>
      <c r="R994" s="64"/>
      <c r="S994" s="65"/>
      <c r="T994" s="64"/>
      <c r="U994" s="75"/>
      <c r="V994" s="674"/>
      <c r="W994" s="75"/>
      <c r="X994" s="75"/>
      <c r="Y994" s="834">
        <f t="shared" si="205"/>
        <v>0</v>
      </c>
      <c r="Z994" s="75"/>
      <c r="AA994" s="75"/>
      <c r="AB994" s="75"/>
      <c r="AC994" s="75"/>
      <c r="AD994" s="75"/>
      <c r="AE994" s="592"/>
      <c r="AF994" s="259"/>
      <c r="AG994" s="510">
        <v>0</v>
      </c>
      <c r="AH994" s="370">
        <v>0</v>
      </c>
      <c r="AI994" s="154"/>
      <c r="AJ994" s="154"/>
      <c r="AK994" s="154"/>
      <c r="AL994" s="154"/>
      <c r="AM994" s="154"/>
      <c r="AN994" s="64"/>
      <c r="AO994" s="64"/>
      <c r="AP994" s="64"/>
      <c r="AQ994" s="189"/>
      <c r="AR994" s="64"/>
      <c r="AS994" s="476"/>
      <c r="AT994" s="64"/>
      <c r="AU994" s="646"/>
      <c r="AV994" s="455"/>
    </row>
    <row r="995" spans="1:48" ht="15" customHeight="1" outlineLevel="4" x14ac:dyDescent="0.25">
      <c r="A995" s="99" t="str">
        <f t="shared" si="193"/>
        <v>2.11.0.1.4.0</v>
      </c>
      <c r="B995" s="100">
        <v>2</v>
      </c>
      <c r="C995" s="100">
        <v>11</v>
      </c>
      <c r="D995" s="100">
        <v>0</v>
      </c>
      <c r="E995" s="100">
        <v>1</v>
      </c>
      <c r="F995" s="100">
        <v>4</v>
      </c>
      <c r="G995" s="100">
        <v>0</v>
      </c>
      <c r="H995" s="101"/>
      <c r="I995" s="101"/>
      <c r="J995" s="102"/>
      <c r="K995" s="101" t="s">
        <v>1129</v>
      </c>
      <c r="L995" s="64">
        <v>0</v>
      </c>
      <c r="M995" s="64">
        <v>0</v>
      </c>
      <c r="N995" s="64">
        <v>0</v>
      </c>
      <c r="O995" s="64">
        <v>0</v>
      </c>
      <c r="P995" s="64"/>
      <c r="Q995" s="64"/>
      <c r="R995" s="64"/>
      <c r="S995" s="65"/>
      <c r="T995" s="64"/>
      <c r="U995" s="75"/>
      <c r="V995" s="674"/>
      <c r="W995" s="75"/>
      <c r="X995" s="75"/>
      <c r="Y995" s="834">
        <f t="shared" si="205"/>
        <v>0</v>
      </c>
      <c r="Z995" s="75"/>
      <c r="AA995" s="75"/>
      <c r="AB995" s="75"/>
      <c r="AC995" s="75"/>
      <c r="AD995" s="75"/>
      <c r="AE995" s="592"/>
      <c r="AF995" s="259"/>
      <c r="AG995" s="510">
        <v>0</v>
      </c>
      <c r="AH995" s="370">
        <v>0</v>
      </c>
      <c r="AI995" s="154"/>
      <c r="AJ995" s="154"/>
      <c r="AK995" s="154"/>
      <c r="AL995" s="154"/>
      <c r="AM995" s="154"/>
      <c r="AN995" s="64"/>
      <c r="AO995" s="64"/>
      <c r="AP995" s="64"/>
      <c r="AQ995" s="189"/>
      <c r="AR995" s="64"/>
      <c r="AS995" s="476"/>
      <c r="AT995" s="64"/>
      <c r="AU995" s="646"/>
      <c r="AV995" s="455"/>
    </row>
    <row r="996" spans="1:48" ht="15" customHeight="1" outlineLevel="4" x14ac:dyDescent="0.25">
      <c r="A996" s="99" t="str">
        <f t="shared" si="193"/>
        <v>2.11.0.1.5.0</v>
      </c>
      <c r="B996" s="100">
        <v>2</v>
      </c>
      <c r="C996" s="100">
        <v>11</v>
      </c>
      <c r="D996" s="100">
        <v>0</v>
      </c>
      <c r="E996" s="100">
        <v>1</v>
      </c>
      <c r="F996" s="100">
        <v>5</v>
      </c>
      <c r="G996" s="100">
        <v>0</v>
      </c>
      <c r="H996" s="101"/>
      <c r="I996" s="101"/>
      <c r="J996" s="102"/>
      <c r="K996" s="101" t="s">
        <v>316</v>
      </c>
      <c r="L996" s="64">
        <v>0</v>
      </c>
      <c r="M996" s="64">
        <v>0</v>
      </c>
      <c r="N996" s="64">
        <v>0</v>
      </c>
      <c r="O996" s="64">
        <v>0</v>
      </c>
      <c r="P996" s="64"/>
      <c r="Q996" s="64"/>
      <c r="R996" s="64"/>
      <c r="S996" s="65"/>
      <c r="T996" s="64"/>
      <c r="U996" s="75"/>
      <c r="V996" s="674"/>
      <c r="W996" s="75"/>
      <c r="X996" s="75"/>
      <c r="Y996" s="834">
        <f t="shared" si="205"/>
        <v>0</v>
      </c>
      <c r="Z996" s="75"/>
      <c r="AA996" s="75"/>
      <c r="AB996" s="75"/>
      <c r="AC996" s="75"/>
      <c r="AD996" s="75"/>
      <c r="AE996" s="592"/>
      <c r="AF996" s="259"/>
      <c r="AG996" s="510">
        <v>0</v>
      </c>
      <c r="AH996" s="370">
        <v>0</v>
      </c>
      <c r="AI996" s="154"/>
      <c r="AJ996" s="154"/>
      <c r="AK996" s="154"/>
      <c r="AL996" s="154"/>
      <c r="AM996" s="154"/>
      <c r="AN996" s="64"/>
      <c r="AO996" s="64"/>
      <c r="AP996" s="64"/>
      <c r="AQ996" s="189"/>
      <c r="AR996" s="64"/>
      <c r="AS996" s="476"/>
      <c r="AT996" s="64"/>
      <c r="AU996" s="646"/>
      <c r="AV996" s="455"/>
    </row>
    <row r="997" spans="1:48" ht="15" customHeight="1" outlineLevel="4" x14ac:dyDescent="0.25">
      <c r="A997" s="99" t="str">
        <f t="shared" ref="A997:A1060" si="207">CONCATENATE(B997,".",C997,".",D997,".",E997,".",F997,".",G997)</f>
        <v>2.11.0.1.6.0</v>
      </c>
      <c r="B997" s="100">
        <v>2</v>
      </c>
      <c r="C997" s="100">
        <v>11</v>
      </c>
      <c r="D997" s="100">
        <v>0</v>
      </c>
      <c r="E997" s="100">
        <v>1</v>
      </c>
      <c r="F997" s="100">
        <v>6</v>
      </c>
      <c r="G997" s="100">
        <v>0</v>
      </c>
      <c r="H997" s="101"/>
      <c r="I997" s="101"/>
      <c r="J997" s="102"/>
      <c r="K997" s="101" t="s">
        <v>1130</v>
      </c>
      <c r="L997" s="64">
        <v>0</v>
      </c>
      <c r="M997" s="64">
        <v>0</v>
      </c>
      <c r="N997" s="64">
        <v>0</v>
      </c>
      <c r="O997" s="64">
        <v>0</v>
      </c>
      <c r="P997" s="64"/>
      <c r="Q997" s="64"/>
      <c r="R997" s="64"/>
      <c r="S997" s="65"/>
      <c r="T997" s="64"/>
      <c r="U997" s="75"/>
      <c r="V997" s="674"/>
      <c r="W997" s="75"/>
      <c r="X997" s="75"/>
      <c r="Y997" s="834">
        <f t="shared" si="205"/>
        <v>0</v>
      </c>
      <c r="Z997" s="75"/>
      <c r="AA997" s="75"/>
      <c r="AB997" s="75"/>
      <c r="AC997" s="75"/>
      <c r="AD997" s="75"/>
      <c r="AE997" s="592"/>
      <c r="AF997" s="259"/>
      <c r="AG997" s="510">
        <v>0</v>
      </c>
      <c r="AH997" s="370">
        <v>0</v>
      </c>
      <c r="AI997" s="154"/>
      <c r="AJ997" s="154"/>
      <c r="AK997" s="154"/>
      <c r="AL997" s="154"/>
      <c r="AM997" s="154"/>
      <c r="AN997" s="64"/>
      <c r="AO997" s="64"/>
      <c r="AP997" s="64"/>
      <c r="AQ997" s="189"/>
      <c r="AR997" s="64"/>
      <c r="AS997" s="476"/>
      <c r="AT997" s="64"/>
      <c r="AU997" s="646"/>
      <c r="AV997" s="455"/>
    </row>
    <row r="998" spans="1:48" s="153" customFormat="1" ht="34.5" customHeight="1" outlineLevel="1" x14ac:dyDescent="0.25">
      <c r="A998" s="148" t="str">
        <f t="shared" si="207"/>
        <v>2.11.0.2.0.0</v>
      </c>
      <c r="B998" s="82">
        <v>2</v>
      </c>
      <c r="C998" s="82">
        <v>11</v>
      </c>
      <c r="D998" s="82">
        <v>0</v>
      </c>
      <c r="E998" s="82">
        <v>2</v>
      </c>
      <c r="F998" s="82">
        <v>0</v>
      </c>
      <c r="G998" s="82">
        <v>0</v>
      </c>
      <c r="H998" s="149"/>
      <c r="I998" s="149"/>
      <c r="J998" s="1263" t="s">
        <v>1131</v>
      </c>
      <c r="K998" s="1264"/>
      <c r="L998" s="82">
        <v>0</v>
      </c>
      <c r="M998" s="82">
        <v>0</v>
      </c>
      <c r="N998" s="82">
        <v>0</v>
      </c>
      <c r="O998" s="82">
        <v>0</v>
      </c>
      <c r="P998" s="82"/>
      <c r="Q998" s="82"/>
      <c r="R998" s="82"/>
      <c r="S998" s="149"/>
      <c r="T998" s="82"/>
      <c r="U998" s="152"/>
      <c r="V998" s="681"/>
      <c r="W998" s="152"/>
      <c r="X998" s="152"/>
      <c r="Y998" s="834">
        <f t="shared" si="205"/>
        <v>0</v>
      </c>
      <c r="Z998" s="152"/>
      <c r="AA998" s="152"/>
      <c r="AB998" s="152"/>
      <c r="AC998" s="152"/>
      <c r="AD998" s="152"/>
      <c r="AE998" s="597"/>
      <c r="AF998" s="358"/>
      <c r="AG998" s="512">
        <f>SUM(AG999:AG1005)</f>
        <v>0</v>
      </c>
      <c r="AH998" s="379">
        <f>SUM(AH999:AH1005)</f>
        <v>0</v>
      </c>
      <c r="AI998" s="379">
        <f t="shared" ref="AI998:AJ998" si="208">SUM(AI999:AI1005)</f>
        <v>0</v>
      </c>
      <c r="AJ998" s="379">
        <f t="shared" si="208"/>
        <v>0</v>
      </c>
      <c r="AK998" s="152"/>
      <c r="AL998" s="152"/>
      <c r="AM998" s="152"/>
      <c r="AN998" s="82"/>
      <c r="AO998" s="82"/>
      <c r="AP998" s="82"/>
      <c r="AQ998" s="365"/>
      <c r="AR998" s="82"/>
      <c r="AS998" s="483"/>
      <c r="AT998" s="82"/>
      <c r="AU998" s="666"/>
      <c r="AV998" s="444"/>
    </row>
    <row r="999" spans="1:48" ht="36" customHeight="1" outlineLevel="3" x14ac:dyDescent="0.25">
      <c r="A999" s="99" t="str">
        <f t="shared" si="207"/>
        <v>2.11.0.2.1.0</v>
      </c>
      <c r="B999" s="100">
        <v>2</v>
      </c>
      <c r="C999" s="100">
        <v>11</v>
      </c>
      <c r="D999" s="100">
        <v>0</v>
      </c>
      <c r="E999" s="100">
        <v>2</v>
      </c>
      <c r="F999" s="100">
        <v>1</v>
      </c>
      <c r="G999" s="100">
        <v>0</v>
      </c>
      <c r="H999" s="101"/>
      <c r="I999" s="101"/>
      <c r="J999" s="102"/>
      <c r="K999" s="103" t="s">
        <v>1132</v>
      </c>
      <c r="L999" s="64">
        <v>0</v>
      </c>
      <c r="M999" s="64">
        <v>0</v>
      </c>
      <c r="N999" s="64">
        <v>0</v>
      </c>
      <c r="O999" s="64">
        <v>0</v>
      </c>
      <c r="P999" s="64"/>
      <c r="Q999" s="64"/>
      <c r="R999" s="64"/>
      <c r="S999" s="64"/>
      <c r="T999" s="64"/>
      <c r="U999" s="75"/>
      <c r="V999" s="674"/>
      <c r="W999" s="75"/>
      <c r="X999" s="75"/>
      <c r="Y999" s="834">
        <f t="shared" si="205"/>
        <v>0</v>
      </c>
      <c r="Z999" s="75"/>
      <c r="AA999" s="75"/>
      <c r="AB999" s="75"/>
      <c r="AC999" s="75"/>
      <c r="AD999" s="75"/>
      <c r="AE999" s="592"/>
      <c r="AF999" s="259"/>
      <c r="AG999" s="510">
        <v>0</v>
      </c>
      <c r="AH999" s="370">
        <v>0</v>
      </c>
      <c r="AI999" s="154"/>
      <c r="AJ999" s="154"/>
      <c r="AK999" s="154"/>
      <c r="AL999" s="154"/>
      <c r="AM999" s="154"/>
      <c r="AN999" s="64"/>
      <c r="AO999" s="64"/>
      <c r="AP999" s="64"/>
      <c r="AQ999" s="189"/>
      <c r="AR999" s="64"/>
      <c r="AS999" s="476"/>
      <c r="AT999" s="64"/>
      <c r="AU999" s="646"/>
      <c r="AV999" s="455"/>
    </row>
    <row r="1000" spans="1:48" ht="15" customHeight="1" outlineLevel="3" x14ac:dyDescent="0.25">
      <c r="A1000" s="99" t="str">
        <f t="shared" si="207"/>
        <v>2.11.0.2.2.0</v>
      </c>
      <c r="B1000" s="100">
        <v>2</v>
      </c>
      <c r="C1000" s="100">
        <v>11</v>
      </c>
      <c r="D1000" s="100">
        <v>0</v>
      </c>
      <c r="E1000" s="100">
        <v>2</v>
      </c>
      <c r="F1000" s="100">
        <v>2</v>
      </c>
      <c r="G1000" s="100">
        <v>0</v>
      </c>
      <c r="H1000" s="101"/>
      <c r="I1000" s="101"/>
      <c r="J1000" s="101"/>
      <c r="K1000" s="101" t="s">
        <v>1128</v>
      </c>
      <c r="L1000" s="64">
        <v>0</v>
      </c>
      <c r="M1000" s="64">
        <v>0</v>
      </c>
      <c r="N1000" s="64">
        <v>0</v>
      </c>
      <c r="O1000" s="64">
        <v>0</v>
      </c>
      <c r="P1000" s="64"/>
      <c r="Q1000" s="64"/>
      <c r="R1000" s="64"/>
      <c r="S1000" s="65"/>
      <c r="T1000" s="64"/>
      <c r="U1000" s="75"/>
      <c r="V1000" s="674"/>
      <c r="W1000" s="75"/>
      <c r="X1000" s="75"/>
      <c r="Y1000" s="834">
        <f t="shared" si="205"/>
        <v>0</v>
      </c>
      <c r="Z1000" s="75"/>
      <c r="AA1000" s="75"/>
      <c r="AB1000" s="75"/>
      <c r="AC1000" s="75"/>
      <c r="AD1000" s="75"/>
      <c r="AE1000" s="592"/>
      <c r="AF1000" s="259"/>
      <c r="AG1000" s="510">
        <v>0</v>
      </c>
      <c r="AH1000" s="370">
        <v>0</v>
      </c>
      <c r="AI1000" s="154"/>
      <c r="AJ1000" s="154"/>
      <c r="AK1000" s="154"/>
      <c r="AL1000" s="154"/>
      <c r="AM1000" s="154"/>
      <c r="AN1000" s="64"/>
      <c r="AO1000" s="64"/>
      <c r="AP1000" s="64"/>
      <c r="AQ1000" s="189"/>
      <c r="AR1000" s="64"/>
      <c r="AS1000" s="476"/>
      <c r="AT1000" s="64"/>
      <c r="AU1000" s="646"/>
      <c r="AV1000" s="455"/>
    </row>
    <row r="1001" spans="1:48" ht="15" customHeight="1" outlineLevel="3" x14ac:dyDescent="0.25">
      <c r="A1001" s="99" t="str">
        <f t="shared" si="207"/>
        <v>2.11.0.2.3.0</v>
      </c>
      <c r="B1001" s="100">
        <v>2</v>
      </c>
      <c r="C1001" s="100">
        <v>11</v>
      </c>
      <c r="D1001" s="100">
        <v>0</v>
      </c>
      <c r="E1001" s="100">
        <v>2</v>
      </c>
      <c r="F1001" s="100">
        <v>3</v>
      </c>
      <c r="G1001" s="100">
        <v>0</v>
      </c>
      <c r="H1001" s="101"/>
      <c r="I1001" s="101"/>
      <c r="J1001" s="102"/>
      <c r="K1001" s="101" t="s">
        <v>327</v>
      </c>
      <c r="L1001" s="64">
        <v>0</v>
      </c>
      <c r="M1001" s="64">
        <v>0</v>
      </c>
      <c r="N1001" s="64">
        <v>0</v>
      </c>
      <c r="O1001" s="64">
        <v>0</v>
      </c>
      <c r="P1001" s="64"/>
      <c r="Q1001" s="64"/>
      <c r="R1001" s="64"/>
      <c r="S1001" s="65"/>
      <c r="T1001" s="64"/>
      <c r="U1001" s="75"/>
      <c r="V1001" s="674"/>
      <c r="W1001" s="75"/>
      <c r="X1001" s="75"/>
      <c r="Y1001" s="834">
        <f t="shared" si="205"/>
        <v>0</v>
      </c>
      <c r="Z1001" s="75"/>
      <c r="AA1001" s="75"/>
      <c r="AB1001" s="75"/>
      <c r="AC1001" s="75"/>
      <c r="AD1001" s="75"/>
      <c r="AE1001" s="592"/>
      <c r="AF1001" s="259"/>
      <c r="AG1001" s="510">
        <v>0</v>
      </c>
      <c r="AH1001" s="370">
        <v>0</v>
      </c>
      <c r="AI1001" s="154"/>
      <c r="AJ1001" s="154"/>
      <c r="AK1001" s="154"/>
      <c r="AL1001" s="154"/>
      <c r="AM1001" s="154"/>
      <c r="AN1001" s="64"/>
      <c r="AO1001" s="64"/>
      <c r="AP1001" s="64"/>
      <c r="AQ1001" s="189"/>
      <c r="AR1001" s="64"/>
      <c r="AS1001" s="476"/>
      <c r="AT1001" s="64"/>
      <c r="AU1001" s="646"/>
      <c r="AV1001" s="455"/>
    </row>
    <row r="1002" spans="1:48" ht="15" customHeight="1" outlineLevel="3" x14ac:dyDescent="0.25">
      <c r="A1002" s="99" t="str">
        <f t="shared" si="207"/>
        <v>2.11.0.2.4.0</v>
      </c>
      <c r="B1002" s="100">
        <v>2</v>
      </c>
      <c r="C1002" s="100">
        <v>11</v>
      </c>
      <c r="D1002" s="100">
        <v>0</v>
      </c>
      <c r="E1002" s="100">
        <v>2</v>
      </c>
      <c r="F1002" s="100">
        <v>4</v>
      </c>
      <c r="G1002" s="100">
        <v>0</v>
      </c>
      <c r="H1002" s="101"/>
      <c r="I1002" s="101"/>
      <c r="J1002" s="102"/>
      <c r="K1002" s="101" t="s">
        <v>353</v>
      </c>
      <c r="L1002" s="64">
        <v>0</v>
      </c>
      <c r="M1002" s="64">
        <v>0</v>
      </c>
      <c r="N1002" s="64">
        <v>0</v>
      </c>
      <c r="O1002" s="64">
        <v>0</v>
      </c>
      <c r="P1002" s="64"/>
      <c r="Q1002" s="64"/>
      <c r="R1002" s="64"/>
      <c r="S1002" s="65"/>
      <c r="T1002" s="64"/>
      <c r="U1002" s="75"/>
      <c r="V1002" s="674"/>
      <c r="W1002" s="75"/>
      <c r="X1002" s="75"/>
      <c r="Y1002" s="834">
        <f t="shared" si="205"/>
        <v>0</v>
      </c>
      <c r="Z1002" s="75"/>
      <c r="AA1002" s="75"/>
      <c r="AB1002" s="75"/>
      <c r="AC1002" s="75"/>
      <c r="AD1002" s="75"/>
      <c r="AE1002" s="592"/>
      <c r="AF1002" s="259"/>
      <c r="AG1002" s="510">
        <v>0</v>
      </c>
      <c r="AH1002" s="370">
        <v>0</v>
      </c>
      <c r="AI1002" s="154"/>
      <c r="AJ1002" s="154"/>
      <c r="AK1002" s="154"/>
      <c r="AL1002" s="154"/>
      <c r="AM1002" s="154"/>
      <c r="AN1002" s="64"/>
      <c r="AO1002" s="64"/>
      <c r="AP1002" s="64"/>
      <c r="AQ1002" s="189"/>
      <c r="AR1002" s="64"/>
      <c r="AS1002" s="476"/>
      <c r="AT1002" s="64"/>
      <c r="AU1002" s="646"/>
      <c r="AV1002" s="455"/>
    </row>
    <row r="1003" spans="1:48" ht="15" customHeight="1" outlineLevel="3" x14ac:dyDescent="0.25">
      <c r="A1003" s="99" t="str">
        <f t="shared" si="207"/>
        <v>2.11.0.2.5.0</v>
      </c>
      <c r="B1003" s="100">
        <v>2</v>
      </c>
      <c r="C1003" s="100">
        <v>11</v>
      </c>
      <c r="D1003" s="100">
        <v>0</v>
      </c>
      <c r="E1003" s="100">
        <v>2</v>
      </c>
      <c r="F1003" s="100">
        <v>5</v>
      </c>
      <c r="G1003" s="100">
        <v>0</v>
      </c>
      <c r="H1003" s="101"/>
      <c r="I1003" s="101"/>
      <c r="J1003" s="102"/>
      <c r="K1003" s="101" t="s">
        <v>1129</v>
      </c>
      <c r="L1003" s="64">
        <v>0</v>
      </c>
      <c r="M1003" s="64">
        <v>0</v>
      </c>
      <c r="N1003" s="64">
        <v>0</v>
      </c>
      <c r="O1003" s="64">
        <v>0</v>
      </c>
      <c r="P1003" s="64"/>
      <c r="Q1003" s="64"/>
      <c r="R1003" s="64"/>
      <c r="S1003" s="65"/>
      <c r="T1003" s="64"/>
      <c r="U1003" s="75"/>
      <c r="V1003" s="674"/>
      <c r="W1003" s="75"/>
      <c r="X1003" s="75"/>
      <c r="Y1003" s="834">
        <f t="shared" si="205"/>
        <v>0</v>
      </c>
      <c r="Z1003" s="75"/>
      <c r="AA1003" s="75"/>
      <c r="AB1003" s="75"/>
      <c r="AC1003" s="75"/>
      <c r="AD1003" s="75"/>
      <c r="AE1003" s="592"/>
      <c r="AF1003" s="259"/>
      <c r="AG1003" s="510">
        <v>0</v>
      </c>
      <c r="AH1003" s="370">
        <v>0</v>
      </c>
      <c r="AI1003" s="154"/>
      <c r="AJ1003" s="154"/>
      <c r="AK1003" s="154"/>
      <c r="AL1003" s="154"/>
      <c r="AM1003" s="154"/>
      <c r="AN1003" s="64"/>
      <c r="AO1003" s="64"/>
      <c r="AP1003" s="64"/>
      <c r="AQ1003" s="189"/>
      <c r="AR1003" s="64"/>
      <c r="AS1003" s="476"/>
      <c r="AT1003" s="64"/>
      <c r="AU1003" s="646"/>
      <c r="AV1003" s="455"/>
    </row>
    <row r="1004" spans="1:48" ht="15" customHeight="1" outlineLevel="3" x14ac:dyDescent="0.25">
      <c r="A1004" s="99" t="str">
        <f t="shared" si="207"/>
        <v>2.11.0.2.6.0</v>
      </c>
      <c r="B1004" s="100">
        <v>2</v>
      </c>
      <c r="C1004" s="100">
        <v>11</v>
      </c>
      <c r="D1004" s="100">
        <v>0</v>
      </c>
      <c r="E1004" s="100">
        <v>2</v>
      </c>
      <c r="F1004" s="100">
        <v>6</v>
      </c>
      <c r="G1004" s="100">
        <v>0</v>
      </c>
      <c r="H1004" s="101"/>
      <c r="I1004" s="101"/>
      <c r="J1004" s="101"/>
      <c r="K1004" s="101" t="s">
        <v>316</v>
      </c>
      <c r="L1004" s="64">
        <v>0</v>
      </c>
      <c r="M1004" s="64">
        <v>0</v>
      </c>
      <c r="N1004" s="64">
        <v>0</v>
      </c>
      <c r="O1004" s="64">
        <v>0</v>
      </c>
      <c r="P1004" s="64"/>
      <c r="Q1004" s="64"/>
      <c r="R1004" s="64"/>
      <c r="S1004" s="65"/>
      <c r="T1004" s="64"/>
      <c r="U1004" s="75"/>
      <c r="V1004" s="674"/>
      <c r="W1004" s="75"/>
      <c r="X1004" s="75"/>
      <c r="Y1004" s="834">
        <f t="shared" si="205"/>
        <v>0</v>
      </c>
      <c r="Z1004" s="75"/>
      <c r="AA1004" s="75"/>
      <c r="AB1004" s="75"/>
      <c r="AC1004" s="75"/>
      <c r="AD1004" s="75"/>
      <c r="AE1004" s="592"/>
      <c r="AF1004" s="259"/>
      <c r="AG1004" s="510">
        <v>0</v>
      </c>
      <c r="AH1004" s="370">
        <v>0</v>
      </c>
      <c r="AI1004" s="154"/>
      <c r="AJ1004" s="154"/>
      <c r="AK1004" s="154"/>
      <c r="AL1004" s="154"/>
      <c r="AM1004" s="154"/>
      <c r="AN1004" s="64"/>
      <c r="AO1004" s="64"/>
      <c r="AP1004" s="64"/>
      <c r="AQ1004" s="189"/>
      <c r="AR1004" s="64"/>
      <c r="AS1004" s="476"/>
      <c r="AT1004" s="64"/>
      <c r="AU1004" s="646"/>
      <c r="AV1004" s="455"/>
    </row>
    <row r="1005" spans="1:48" ht="15" customHeight="1" outlineLevel="3" x14ac:dyDescent="0.25">
      <c r="A1005" s="99" t="str">
        <f t="shared" si="207"/>
        <v>2.11.0.2.7.0</v>
      </c>
      <c r="B1005" s="100">
        <v>2</v>
      </c>
      <c r="C1005" s="100">
        <v>11</v>
      </c>
      <c r="D1005" s="100">
        <v>0</v>
      </c>
      <c r="E1005" s="100">
        <v>2</v>
      </c>
      <c r="F1005" s="100">
        <v>7</v>
      </c>
      <c r="G1005" s="100">
        <v>0</v>
      </c>
      <c r="H1005" s="101"/>
      <c r="I1005" s="101"/>
      <c r="J1005" s="102"/>
      <c r="K1005" s="101" t="s">
        <v>1130</v>
      </c>
      <c r="L1005" s="64">
        <v>0</v>
      </c>
      <c r="M1005" s="64">
        <v>0</v>
      </c>
      <c r="N1005" s="64">
        <v>0</v>
      </c>
      <c r="O1005" s="64">
        <v>0</v>
      </c>
      <c r="P1005" s="64"/>
      <c r="Q1005" s="64"/>
      <c r="R1005" s="64"/>
      <c r="S1005" s="65"/>
      <c r="T1005" s="64"/>
      <c r="U1005" s="75"/>
      <c r="V1005" s="674"/>
      <c r="W1005" s="75"/>
      <c r="X1005" s="75"/>
      <c r="Y1005" s="834">
        <f t="shared" si="205"/>
        <v>0</v>
      </c>
      <c r="Z1005" s="75"/>
      <c r="AA1005" s="75"/>
      <c r="AB1005" s="75"/>
      <c r="AC1005" s="75"/>
      <c r="AD1005" s="75"/>
      <c r="AE1005" s="592"/>
      <c r="AF1005" s="259"/>
      <c r="AG1005" s="510">
        <v>0</v>
      </c>
      <c r="AH1005" s="370">
        <v>0</v>
      </c>
      <c r="AI1005" s="154"/>
      <c r="AJ1005" s="154"/>
      <c r="AK1005" s="154"/>
      <c r="AL1005" s="154"/>
      <c r="AM1005" s="154"/>
      <c r="AN1005" s="64"/>
      <c r="AO1005" s="64"/>
      <c r="AP1005" s="64"/>
      <c r="AQ1005" s="189"/>
      <c r="AR1005" s="64"/>
      <c r="AS1005" s="476"/>
      <c r="AT1005" s="64"/>
      <c r="AU1005" s="646"/>
      <c r="AV1005" s="455"/>
    </row>
    <row r="1006" spans="1:48" s="153" customFormat="1" ht="15" customHeight="1" outlineLevel="1" x14ac:dyDescent="0.25">
      <c r="A1006" s="148" t="str">
        <f t="shared" si="207"/>
        <v>2.11.0.3.0.0</v>
      </c>
      <c r="B1006" s="82">
        <v>2</v>
      </c>
      <c r="C1006" s="82">
        <v>11</v>
      </c>
      <c r="D1006" s="82">
        <v>0</v>
      </c>
      <c r="E1006" s="82">
        <v>3</v>
      </c>
      <c r="F1006" s="82">
        <v>0</v>
      </c>
      <c r="G1006" s="82">
        <v>0</v>
      </c>
      <c r="H1006" s="149"/>
      <c r="I1006" s="149"/>
      <c r="J1006" s="1260" t="s">
        <v>1133</v>
      </c>
      <c r="K1006" s="1259"/>
      <c r="L1006" s="82">
        <v>0</v>
      </c>
      <c r="M1006" s="82">
        <v>0</v>
      </c>
      <c r="N1006" s="82">
        <v>0</v>
      </c>
      <c r="O1006" s="82">
        <v>0</v>
      </c>
      <c r="P1006" s="82"/>
      <c r="Q1006" s="82"/>
      <c r="R1006" s="82"/>
      <c r="S1006" s="149"/>
      <c r="T1006" s="82"/>
      <c r="U1006" s="152"/>
      <c r="V1006" s="681"/>
      <c r="W1006" s="152"/>
      <c r="X1006" s="152"/>
      <c r="Y1006" s="834">
        <f t="shared" si="205"/>
        <v>0</v>
      </c>
      <c r="Z1006" s="152"/>
      <c r="AA1006" s="152"/>
      <c r="AB1006" s="152"/>
      <c r="AC1006" s="152"/>
      <c r="AD1006" s="152"/>
      <c r="AE1006" s="597"/>
      <c r="AF1006" s="358"/>
      <c r="AG1006" s="512">
        <f>SUM(AG1007:AG1009)</f>
        <v>0</v>
      </c>
      <c r="AH1006" s="379">
        <f>SUM(AH1007:AH1009)</f>
        <v>0</v>
      </c>
      <c r="AI1006" s="379">
        <f t="shared" ref="AI1006:AJ1006" si="209">SUM(AI1007:AI1009)</f>
        <v>0</v>
      </c>
      <c r="AJ1006" s="379">
        <f t="shared" si="209"/>
        <v>0</v>
      </c>
      <c r="AK1006" s="152"/>
      <c r="AL1006" s="152"/>
      <c r="AM1006" s="152"/>
      <c r="AN1006" s="82"/>
      <c r="AO1006" s="82"/>
      <c r="AP1006" s="82"/>
      <c r="AQ1006" s="365"/>
      <c r="AR1006" s="82"/>
      <c r="AS1006" s="483"/>
      <c r="AT1006" s="82"/>
      <c r="AU1006" s="666"/>
      <c r="AV1006" s="444"/>
    </row>
    <row r="1007" spans="1:48" ht="15" customHeight="1" outlineLevel="4" x14ac:dyDescent="0.25">
      <c r="A1007" s="99" t="str">
        <f t="shared" si="207"/>
        <v>2.11.0.3.1.0</v>
      </c>
      <c r="B1007" s="100">
        <v>2</v>
      </c>
      <c r="C1007" s="100">
        <v>11</v>
      </c>
      <c r="D1007" s="100">
        <v>0</v>
      </c>
      <c r="E1007" s="100">
        <v>3</v>
      </c>
      <c r="F1007" s="100">
        <v>1</v>
      </c>
      <c r="G1007" s="100">
        <v>0</v>
      </c>
      <c r="H1007" s="101"/>
      <c r="I1007" s="101"/>
      <c r="J1007" s="102"/>
      <c r="K1007" s="101" t="s">
        <v>1134</v>
      </c>
      <c r="L1007" s="64">
        <v>0</v>
      </c>
      <c r="M1007" s="64">
        <v>0</v>
      </c>
      <c r="N1007" s="64">
        <v>0</v>
      </c>
      <c r="O1007" s="64">
        <v>0</v>
      </c>
      <c r="P1007" s="64"/>
      <c r="Q1007" s="64"/>
      <c r="R1007" s="64"/>
      <c r="S1007" s="65"/>
      <c r="T1007" s="64"/>
      <c r="U1007" s="75"/>
      <c r="V1007" s="674"/>
      <c r="W1007" s="75"/>
      <c r="X1007" s="75"/>
      <c r="Y1007" s="834">
        <f t="shared" si="205"/>
        <v>0</v>
      </c>
      <c r="Z1007" s="75"/>
      <c r="AA1007" s="75"/>
      <c r="AB1007" s="75"/>
      <c r="AC1007" s="75"/>
      <c r="AD1007" s="75"/>
      <c r="AE1007" s="592"/>
      <c r="AF1007" s="259"/>
      <c r="AG1007" s="510">
        <v>0</v>
      </c>
      <c r="AH1007" s="370">
        <v>0</v>
      </c>
      <c r="AI1007" s="154"/>
      <c r="AJ1007" s="154"/>
      <c r="AK1007" s="154"/>
      <c r="AL1007" s="154"/>
      <c r="AM1007" s="154"/>
      <c r="AN1007" s="64"/>
      <c r="AO1007" s="64"/>
      <c r="AP1007" s="64"/>
      <c r="AQ1007" s="189"/>
      <c r="AR1007" s="64"/>
      <c r="AS1007" s="476"/>
      <c r="AT1007" s="64"/>
      <c r="AU1007" s="646"/>
      <c r="AV1007" s="455"/>
    </row>
    <row r="1008" spans="1:48" ht="15" customHeight="1" outlineLevel="4" x14ac:dyDescent="0.25">
      <c r="A1008" s="99" t="str">
        <f t="shared" si="207"/>
        <v>2.11.0.3.2.0</v>
      </c>
      <c r="B1008" s="100">
        <v>2</v>
      </c>
      <c r="C1008" s="100">
        <v>11</v>
      </c>
      <c r="D1008" s="100">
        <v>0</v>
      </c>
      <c r="E1008" s="100">
        <v>3</v>
      </c>
      <c r="F1008" s="100">
        <v>2</v>
      </c>
      <c r="G1008" s="100">
        <v>0</v>
      </c>
      <c r="H1008" s="101"/>
      <c r="I1008" s="101"/>
      <c r="J1008" s="102"/>
      <c r="K1008" s="101" t="s">
        <v>1135</v>
      </c>
      <c r="L1008" s="64">
        <v>0</v>
      </c>
      <c r="M1008" s="64">
        <v>0</v>
      </c>
      <c r="N1008" s="64">
        <v>0</v>
      </c>
      <c r="O1008" s="64">
        <v>0</v>
      </c>
      <c r="P1008" s="64"/>
      <c r="Q1008" s="64"/>
      <c r="R1008" s="64"/>
      <c r="S1008" s="65"/>
      <c r="T1008" s="64"/>
      <c r="U1008" s="75"/>
      <c r="V1008" s="674"/>
      <c r="W1008" s="75"/>
      <c r="X1008" s="75"/>
      <c r="Y1008" s="834">
        <f t="shared" si="205"/>
        <v>0</v>
      </c>
      <c r="Z1008" s="75"/>
      <c r="AA1008" s="75"/>
      <c r="AB1008" s="75"/>
      <c r="AC1008" s="75"/>
      <c r="AD1008" s="75"/>
      <c r="AE1008" s="592"/>
      <c r="AF1008" s="259"/>
      <c r="AG1008" s="510">
        <v>0</v>
      </c>
      <c r="AH1008" s="370">
        <v>0</v>
      </c>
      <c r="AI1008" s="154"/>
      <c r="AJ1008" s="154"/>
      <c r="AK1008" s="154"/>
      <c r="AL1008" s="154"/>
      <c r="AM1008" s="154"/>
      <c r="AN1008" s="64"/>
      <c r="AO1008" s="64"/>
      <c r="AP1008" s="64"/>
      <c r="AQ1008" s="189"/>
      <c r="AR1008" s="64"/>
      <c r="AS1008" s="476"/>
      <c r="AT1008" s="64"/>
      <c r="AU1008" s="646"/>
      <c r="AV1008" s="455"/>
    </row>
    <row r="1009" spans="1:48" s="212" customFormat="1" ht="33.75" customHeight="1" outlineLevel="4" x14ac:dyDescent="0.25">
      <c r="A1009" s="630" t="str">
        <f t="shared" si="207"/>
        <v>2.11.0.3.3.0</v>
      </c>
      <c r="B1009" s="631">
        <v>2</v>
      </c>
      <c r="C1009" s="631">
        <v>11</v>
      </c>
      <c r="D1009" s="631">
        <v>0</v>
      </c>
      <c r="E1009" s="631">
        <v>3</v>
      </c>
      <c r="F1009" s="631">
        <v>3</v>
      </c>
      <c r="G1009" s="631">
        <v>0</v>
      </c>
      <c r="H1009" s="632"/>
      <c r="I1009" s="632"/>
      <c r="J1009" s="633"/>
      <c r="K1009" s="634" t="s">
        <v>1136</v>
      </c>
      <c r="L1009" s="136">
        <v>0</v>
      </c>
      <c r="M1009" s="64">
        <v>0</v>
      </c>
      <c r="N1009" s="64">
        <v>0</v>
      </c>
      <c r="O1009" s="64">
        <v>0</v>
      </c>
      <c r="P1009" s="64"/>
      <c r="Q1009" s="64"/>
      <c r="R1009" s="136"/>
      <c r="S1009" s="65"/>
      <c r="T1009" s="64"/>
      <c r="U1009" s="132"/>
      <c r="V1009" s="674"/>
      <c r="W1009" s="75"/>
      <c r="X1009" s="132"/>
      <c r="Y1009" s="834">
        <f t="shared" si="205"/>
        <v>0</v>
      </c>
      <c r="Z1009" s="75"/>
      <c r="AA1009" s="132"/>
      <c r="AB1009" s="75"/>
      <c r="AC1009" s="75"/>
      <c r="AD1009" s="132"/>
      <c r="AE1009" s="592"/>
      <c r="AF1009" s="259"/>
      <c r="AG1009" s="510">
        <v>0</v>
      </c>
      <c r="AH1009" s="377">
        <v>0</v>
      </c>
      <c r="AI1009" s="132"/>
      <c r="AJ1009" s="132"/>
      <c r="AK1009" s="132"/>
      <c r="AL1009" s="132"/>
      <c r="AM1009" s="132"/>
      <c r="AN1009" s="136"/>
      <c r="AO1009" s="136"/>
      <c r="AP1009" s="136"/>
      <c r="AQ1009" s="136"/>
      <c r="AR1009" s="136"/>
      <c r="AS1009" s="136"/>
      <c r="AT1009" s="136"/>
      <c r="AU1009" s="646"/>
      <c r="AV1009" s="635"/>
    </row>
    <row r="1010" spans="1:48" ht="53.25" customHeight="1" outlineLevel="1" x14ac:dyDescent="0.25">
      <c r="A1010" s="148" t="str">
        <f t="shared" si="207"/>
        <v>2.11.0.4.0.0</v>
      </c>
      <c r="B1010" s="82">
        <v>2</v>
      </c>
      <c r="C1010" s="82">
        <v>11</v>
      </c>
      <c r="D1010" s="82">
        <v>0</v>
      </c>
      <c r="E1010" s="82">
        <v>4</v>
      </c>
      <c r="F1010" s="82">
        <v>0</v>
      </c>
      <c r="G1010" s="82">
        <v>0</v>
      </c>
      <c r="H1010" s="250"/>
      <c r="I1010" s="250"/>
      <c r="J1010" s="1260" t="s">
        <v>1137</v>
      </c>
      <c r="K1010" s="1259"/>
      <c r="L1010" s="622" t="s">
        <v>1138</v>
      </c>
      <c r="M1010" s="152" t="s">
        <v>1139</v>
      </c>
      <c r="N1010" s="152" t="s">
        <v>1084</v>
      </c>
      <c r="O1010" s="152">
        <v>0</v>
      </c>
      <c r="P1010" s="152"/>
      <c r="Q1010" s="152"/>
      <c r="R1010" s="152"/>
      <c r="S1010" s="170"/>
      <c r="T1010" s="82"/>
      <c r="U1010" s="152"/>
      <c r="V1010" s="681"/>
      <c r="W1010" s="152"/>
      <c r="X1010" s="152"/>
      <c r="Y1010" s="834">
        <f t="shared" si="205"/>
        <v>0</v>
      </c>
      <c r="Z1010" s="152"/>
      <c r="AA1010" s="152"/>
      <c r="AB1010" s="152"/>
      <c r="AC1010" s="152"/>
      <c r="AD1010" s="152"/>
      <c r="AE1010" s="597"/>
      <c r="AF1010" s="353"/>
      <c r="AG1010" s="512">
        <f>SUM(AG1011:AG1016)</f>
        <v>0</v>
      </c>
      <c r="AH1010" s="379">
        <f>SUM(AH1011:AH1016)</f>
        <v>0</v>
      </c>
      <c r="AI1010" s="379">
        <f t="shared" ref="AI1010:AM1010" si="210">SUM(AI1011:AI1016)</f>
        <v>0</v>
      </c>
      <c r="AJ1010" s="379">
        <f t="shared" si="210"/>
        <v>0</v>
      </c>
      <c r="AK1010" s="379">
        <f t="shared" si="210"/>
        <v>0</v>
      </c>
      <c r="AL1010" s="379">
        <f t="shared" si="210"/>
        <v>0</v>
      </c>
      <c r="AM1010" s="379">
        <f t="shared" si="210"/>
        <v>0</v>
      </c>
      <c r="AN1010" s="83"/>
      <c r="AO1010" s="83"/>
      <c r="AP1010" s="83"/>
      <c r="AQ1010" s="421"/>
      <c r="AR1010" s="83"/>
      <c r="AS1010" s="487"/>
      <c r="AT1010" s="83"/>
      <c r="AU1010" s="667"/>
      <c r="AV1010" s="449"/>
    </row>
    <row r="1011" spans="1:48" ht="30" outlineLevel="2" x14ac:dyDescent="0.25">
      <c r="A1011" s="63" t="str">
        <f t="shared" si="207"/>
        <v>2.11.0.4.1.0</v>
      </c>
      <c r="B1011" s="64">
        <v>2</v>
      </c>
      <c r="C1011" s="64">
        <v>11</v>
      </c>
      <c r="D1011" s="64">
        <v>0</v>
      </c>
      <c r="E1011" s="64">
        <v>4</v>
      </c>
      <c r="F1011" s="64">
        <v>1</v>
      </c>
      <c r="G1011" s="64">
        <v>0</v>
      </c>
      <c r="H1011" s="65"/>
      <c r="I1011" s="65"/>
      <c r="J1011" s="65"/>
      <c r="K1011" s="103" t="s">
        <v>1140</v>
      </c>
      <c r="L1011" s="64">
        <v>0</v>
      </c>
      <c r="M1011" s="64">
        <v>0</v>
      </c>
      <c r="N1011" s="64">
        <v>0</v>
      </c>
      <c r="O1011" s="64">
        <v>0</v>
      </c>
      <c r="P1011" s="170">
        <v>43405</v>
      </c>
      <c r="Q1011" s="65" t="s">
        <v>635</v>
      </c>
      <c r="R1011" s="64">
        <v>1</v>
      </c>
      <c r="S1011" s="65" t="s">
        <v>1141</v>
      </c>
      <c r="T1011" s="64"/>
      <c r="U1011" s="75"/>
      <c r="V1011" s="674"/>
      <c r="W1011" s="75"/>
      <c r="X1011" s="75"/>
      <c r="Y1011" s="834">
        <f t="shared" si="205"/>
        <v>0</v>
      </c>
      <c r="Z1011" s="75"/>
      <c r="AA1011" s="75"/>
      <c r="AB1011" s="75"/>
      <c r="AC1011" s="75"/>
      <c r="AD1011" s="75"/>
      <c r="AE1011" s="592"/>
      <c r="AF1011" s="259"/>
      <c r="AG1011" s="510">
        <v>0</v>
      </c>
      <c r="AH1011" s="370">
        <v>0</v>
      </c>
      <c r="AI1011" s="75"/>
      <c r="AJ1011" s="75"/>
      <c r="AK1011" s="75"/>
      <c r="AL1011" s="75"/>
      <c r="AM1011" s="75"/>
      <c r="AN1011" s="64"/>
      <c r="AO1011" s="64"/>
      <c r="AP1011" s="64"/>
      <c r="AQ1011" s="189"/>
      <c r="AR1011" s="64"/>
      <c r="AS1011" s="476"/>
      <c r="AT1011" s="64"/>
      <c r="AU1011" s="646"/>
      <c r="AV1011" s="185"/>
    </row>
    <row r="1012" spans="1:48" ht="30" outlineLevel="2" x14ac:dyDescent="0.25">
      <c r="A1012" s="63" t="str">
        <f t="shared" si="207"/>
        <v>2.11.0.4.2.0</v>
      </c>
      <c r="B1012" s="64">
        <v>2</v>
      </c>
      <c r="C1012" s="64">
        <v>11</v>
      </c>
      <c r="D1012" s="64">
        <v>0</v>
      </c>
      <c r="E1012" s="64">
        <v>4</v>
      </c>
      <c r="F1012" s="64">
        <v>2</v>
      </c>
      <c r="G1012" s="64">
        <v>0</v>
      </c>
      <c r="H1012" s="65"/>
      <c r="I1012" s="65"/>
      <c r="J1012" s="65"/>
      <c r="K1012" s="103" t="s">
        <v>1142</v>
      </c>
      <c r="L1012" s="64">
        <v>0</v>
      </c>
      <c r="M1012" s="64">
        <v>0</v>
      </c>
      <c r="N1012" s="64">
        <v>0</v>
      </c>
      <c r="O1012" s="64">
        <v>0</v>
      </c>
      <c r="P1012" s="170">
        <v>43374</v>
      </c>
      <c r="Q1012" s="65" t="s">
        <v>635</v>
      </c>
      <c r="R1012" s="64">
        <v>1</v>
      </c>
      <c r="S1012" s="65" t="s">
        <v>1141</v>
      </c>
      <c r="T1012" s="64"/>
      <c r="U1012" s="75"/>
      <c r="V1012" s="674"/>
      <c r="W1012" s="75"/>
      <c r="X1012" s="75"/>
      <c r="Y1012" s="834">
        <f t="shared" si="205"/>
        <v>0</v>
      </c>
      <c r="Z1012" s="75"/>
      <c r="AA1012" s="75"/>
      <c r="AB1012" s="75"/>
      <c r="AC1012" s="75"/>
      <c r="AD1012" s="75"/>
      <c r="AE1012" s="592"/>
      <c r="AF1012" s="259"/>
      <c r="AG1012" s="510">
        <v>0</v>
      </c>
      <c r="AH1012" s="370">
        <v>0</v>
      </c>
      <c r="AI1012" s="75"/>
      <c r="AJ1012" s="75"/>
      <c r="AK1012" s="75"/>
      <c r="AL1012" s="75"/>
      <c r="AM1012" s="75"/>
      <c r="AN1012" s="64"/>
      <c r="AO1012" s="64"/>
      <c r="AP1012" s="64"/>
      <c r="AQ1012" s="189"/>
      <c r="AR1012" s="64"/>
      <c r="AS1012" s="476"/>
      <c r="AT1012" s="64"/>
      <c r="AU1012" s="646"/>
      <c r="AV1012" s="185"/>
    </row>
    <row r="1013" spans="1:48" outlineLevel="2" x14ac:dyDescent="0.25">
      <c r="A1013" s="63" t="str">
        <f t="shared" si="207"/>
        <v>2.11.0.4.3.58-64</v>
      </c>
      <c r="B1013" s="64">
        <v>2</v>
      </c>
      <c r="C1013" s="64">
        <v>11</v>
      </c>
      <c r="D1013" s="64">
        <v>0</v>
      </c>
      <c r="E1013" s="64">
        <v>4</v>
      </c>
      <c r="F1013" s="64">
        <v>3</v>
      </c>
      <c r="G1013" s="64" t="s">
        <v>64</v>
      </c>
      <c r="H1013" s="65"/>
      <c r="I1013" s="65"/>
      <c r="J1013" s="65"/>
      <c r="K1013" s="65" t="s">
        <v>1143</v>
      </c>
      <c r="L1013" s="64" t="s">
        <v>1138</v>
      </c>
      <c r="M1013" s="68" t="s">
        <v>1144</v>
      </c>
      <c r="N1013" s="64" t="s">
        <v>900</v>
      </c>
      <c r="O1013" s="68" t="s">
        <v>1145</v>
      </c>
      <c r="P1013" s="63">
        <v>44317</v>
      </c>
      <c r="Q1013" s="63">
        <v>44561</v>
      </c>
      <c r="R1013" s="64">
        <v>14</v>
      </c>
      <c r="S1013" s="67" t="s">
        <v>1092</v>
      </c>
      <c r="T1013" s="64">
        <v>7</v>
      </c>
      <c r="U1013" s="75"/>
      <c r="V1013" s="674"/>
      <c r="W1013" s="75"/>
      <c r="X1013" s="75"/>
      <c r="Y1013" s="834">
        <f t="shared" si="205"/>
        <v>0</v>
      </c>
      <c r="Z1013" s="75">
        <v>7</v>
      </c>
      <c r="AA1013" s="75"/>
      <c r="AB1013" s="75"/>
      <c r="AC1013" s="75"/>
      <c r="AD1013" s="75"/>
      <c r="AE1013" s="592"/>
      <c r="AF1013" s="259" t="s">
        <v>1146</v>
      </c>
      <c r="AG1013" s="510">
        <v>0</v>
      </c>
      <c r="AH1013" s="370">
        <v>0</v>
      </c>
      <c r="AI1013" s="75"/>
      <c r="AJ1013" s="75"/>
      <c r="AK1013" s="75"/>
      <c r="AL1013" s="75"/>
      <c r="AM1013" s="75"/>
      <c r="AN1013" s="64"/>
      <c r="AO1013" s="64"/>
      <c r="AP1013" s="64"/>
      <c r="AQ1013" s="189"/>
      <c r="AR1013" s="64"/>
      <c r="AS1013" s="476"/>
      <c r="AT1013" s="64"/>
      <c r="AU1013" s="646"/>
      <c r="AV1013" s="185" t="s">
        <v>127</v>
      </c>
    </row>
    <row r="1014" spans="1:48" outlineLevel="2" x14ac:dyDescent="0.25">
      <c r="A1014" s="63" t="str">
        <f t="shared" si="207"/>
        <v>2.11.0.4.5.58-64</v>
      </c>
      <c r="B1014" s="64">
        <v>2</v>
      </c>
      <c r="C1014" s="64">
        <v>11</v>
      </c>
      <c r="D1014" s="64">
        <v>0</v>
      </c>
      <c r="E1014" s="64">
        <v>4</v>
      </c>
      <c r="F1014" s="64">
        <v>5</v>
      </c>
      <c r="G1014" s="64" t="s">
        <v>64</v>
      </c>
      <c r="H1014" s="65"/>
      <c r="I1014" s="65"/>
      <c r="J1014" s="65"/>
      <c r="K1014" s="101" t="s">
        <v>1147</v>
      </c>
      <c r="L1014" s="64">
        <v>0</v>
      </c>
      <c r="M1014" s="64"/>
      <c r="N1014" s="64">
        <v>0</v>
      </c>
      <c r="O1014" s="64">
        <v>0</v>
      </c>
      <c r="P1014" s="65"/>
      <c r="Q1014" s="65"/>
      <c r="R1014" s="64"/>
      <c r="S1014" s="65"/>
      <c r="T1014" s="64"/>
      <c r="U1014" s="75"/>
      <c r="V1014" s="674"/>
      <c r="W1014" s="75"/>
      <c r="X1014" s="75"/>
      <c r="Y1014" s="834">
        <f t="shared" si="205"/>
        <v>0</v>
      </c>
      <c r="Z1014" s="75"/>
      <c r="AA1014" s="75"/>
      <c r="AB1014" s="75"/>
      <c r="AC1014" s="75"/>
      <c r="AD1014" s="75"/>
      <c r="AE1014" s="592"/>
      <c r="AF1014" s="259"/>
      <c r="AG1014" s="510">
        <v>0</v>
      </c>
      <c r="AH1014" s="370">
        <v>0</v>
      </c>
      <c r="AI1014" s="75"/>
      <c r="AJ1014" s="75"/>
      <c r="AK1014" s="75"/>
      <c r="AL1014" s="75"/>
      <c r="AM1014" s="75"/>
      <c r="AN1014" s="64"/>
      <c r="AO1014" s="64"/>
      <c r="AP1014" s="64"/>
      <c r="AQ1014" s="189"/>
      <c r="AR1014" s="64"/>
      <c r="AS1014" s="476"/>
      <c r="AT1014" s="64"/>
      <c r="AU1014" s="646"/>
      <c r="AV1014" s="185"/>
    </row>
    <row r="1015" spans="1:48" ht="30" outlineLevel="2" x14ac:dyDescent="0.25">
      <c r="A1015" s="63" t="str">
        <f t="shared" si="207"/>
        <v>2.11.0.4.7.58-64</v>
      </c>
      <c r="B1015" s="64">
        <v>2</v>
      </c>
      <c r="C1015" s="64">
        <v>11</v>
      </c>
      <c r="D1015" s="64">
        <v>0</v>
      </c>
      <c r="E1015" s="64">
        <v>4</v>
      </c>
      <c r="F1015" s="64">
        <v>7</v>
      </c>
      <c r="G1015" s="64" t="s">
        <v>64</v>
      </c>
      <c r="H1015" s="65"/>
      <c r="I1015" s="65"/>
      <c r="J1015" s="65"/>
      <c r="K1015" s="67" t="s">
        <v>1148</v>
      </c>
      <c r="L1015" s="64" t="s">
        <v>1138</v>
      </c>
      <c r="M1015" s="68" t="s">
        <v>1149</v>
      </c>
      <c r="N1015" s="68" t="s">
        <v>1089</v>
      </c>
      <c r="O1015" s="64" t="s">
        <v>1150</v>
      </c>
      <c r="P1015" s="68">
        <v>43983</v>
      </c>
      <c r="Q1015" s="67" t="s">
        <v>1151</v>
      </c>
      <c r="R1015" s="68" t="s">
        <v>1152</v>
      </c>
      <c r="S1015" s="67" t="s">
        <v>1149</v>
      </c>
      <c r="T1015" s="64"/>
      <c r="U1015" s="75"/>
      <c r="V1015" s="674"/>
      <c r="W1015" s="75"/>
      <c r="X1015" s="75"/>
      <c r="Y1015" s="834">
        <f t="shared" si="205"/>
        <v>0</v>
      </c>
      <c r="Z1015" s="75"/>
      <c r="AA1015" s="75"/>
      <c r="AB1015" s="75"/>
      <c r="AC1015" s="75"/>
      <c r="AD1015" s="75"/>
      <c r="AE1015" s="592"/>
      <c r="AF1015" s="259"/>
      <c r="AG1015" s="563">
        <v>0</v>
      </c>
      <c r="AH1015" s="97">
        <v>0</v>
      </c>
      <c r="AI1015" s="97"/>
      <c r="AJ1015" s="97"/>
      <c r="AK1015" s="252"/>
      <c r="AL1015" s="252"/>
      <c r="AM1015" s="252"/>
      <c r="AN1015" s="64"/>
      <c r="AO1015" s="64"/>
      <c r="AP1015" s="64"/>
      <c r="AQ1015" s="189"/>
      <c r="AR1015" s="64"/>
      <c r="AS1015" s="476"/>
      <c r="AT1015" s="64"/>
      <c r="AU1015" s="646"/>
      <c r="AV1015" s="185"/>
    </row>
    <row r="1016" spans="1:48" ht="30" outlineLevel="2" x14ac:dyDescent="0.25">
      <c r="A1016" s="63" t="str">
        <f t="shared" si="207"/>
        <v>2.11.0.4.8.58-64</v>
      </c>
      <c r="B1016" s="64">
        <v>2</v>
      </c>
      <c r="C1016" s="64">
        <v>11</v>
      </c>
      <c r="D1016" s="64">
        <v>0</v>
      </c>
      <c r="E1016" s="64">
        <v>4</v>
      </c>
      <c r="F1016" s="64">
        <v>8</v>
      </c>
      <c r="G1016" s="64" t="s">
        <v>64</v>
      </c>
      <c r="H1016" s="65"/>
      <c r="I1016" s="65"/>
      <c r="J1016" s="66"/>
      <c r="K1016" s="67" t="s">
        <v>1153</v>
      </c>
      <c r="L1016" s="64" t="s">
        <v>1154</v>
      </c>
      <c r="M1016" s="64" t="s">
        <v>1155</v>
      </c>
      <c r="N1016" s="64"/>
      <c r="O1016" s="64"/>
      <c r="P1016" s="64"/>
      <c r="Q1016" s="64"/>
      <c r="R1016" s="64"/>
      <c r="S1016" s="65"/>
      <c r="T1016" s="64"/>
      <c r="U1016" s="75"/>
      <c r="V1016" s="674"/>
      <c r="W1016" s="75"/>
      <c r="X1016" s="75"/>
      <c r="Y1016" s="834">
        <f t="shared" si="205"/>
        <v>0</v>
      </c>
      <c r="Z1016" s="75"/>
      <c r="AA1016" s="75"/>
      <c r="AB1016" s="75"/>
      <c r="AC1016" s="75"/>
      <c r="AD1016" s="75"/>
      <c r="AE1016" s="592"/>
      <c r="AF1016" s="259"/>
      <c r="AG1016" s="510">
        <v>0</v>
      </c>
      <c r="AH1016" s="370">
        <v>0</v>
      </c>
      <c r="AI1016" s="75"/>
      <c r="AJ1016" s="75"/>
      <c r="AK1016" s="75"/>
      <c r="AL1016" s="75"/>
      <c r="AM1016" s="75"/>
      <c r="AN1016" s="64"/>
      <c r="AO1016" s="64"/>
      <c r="AP1016" s="64"/>
      <c r="AQ1016" s="189"/>
      <c r="AR1016" s="64"/>
      <c r="AS1016" s="476"/>
      <c r="AT1016" s="64"/>
      <c r="AU1016" s="646"/>
      <c r="AV1016" s="185"/>
    </row>
    <row r="1017" spans="1:48" s="153" customFormat="1" ht="15" customHeight="1" x14ac:dyDescent="0.25">
      <c r="A1017" s="246" t="str">
        <f t="shared" si="207"/>
        <v>3.0.0.0.0.0</v>
      </c>
      <c r="B1017" s="44">
        <v>3</v>
      </c>
      <c r="C1017" s="44">
        <v>0</v>
      </c>
      <c r="D1017" s="44">
        <v>0</v>
      </c>
      <c r="E1017" s="44">
        <v>0</v>
      </c>
      <c r="F1017" s="44">
        <v>0</v>
      </c>
      <c r="G1017" s="44">
        <v>0</v>
      </c>
      <c r="H1017" s="1269" t="s">
        <v>1156</v>
      </c>
      <c r="I1017" s="1270"/>
      <c r="J1017" s="1270"/>
      <c r="K1017" s="1271"/>
      <c r="L1017" s="44" t="s">
        <v>630</v>
      </c>
      <c r="M1017" s="44">
        <v>0</v>
      </c>
      <c r="N1017" s="44">
        <v>0</v>
      </c>
      <c r="O1017" s="44">
        <v>0</v>
      </c>
      <c r="P1017" s="44"/>
      <c r="Q1017" s="44"/>
      <c r="R1017" s="44"/>
      <c r="S1017" s="247"/>
      <c r="T1017" s="44"/>
      <c r="U1017" s="248">
        <f t="shared" ref="U1017:AI1017" si="211">+U1018+U1100+U1161</f>
        <v>16865461.545000002</v>
      </c>
      <c r="V1017" s="248">
        <f t="shared" si="211"/>
        <v>22319298.389999997</v>
      </c>
      <c r="W1017" s="387">
        <f t="shared" si="211"/>
        <v>241</v>
      </c>
      <c r="X1017" s="387">
        <f t="shared" si="211"/>
        <v>28556049.904999997</v>
      </c>
      <c r="Y1017" s="387">
        <f t="shared" si="211"/>
        <v>26056255.989999998</v>
      </c>
      <c r="Z1017" s="387">
        <f t="shared" si="211"/>
        <v>169</v>
      </c>
      <c r="AA1017" s="387">
        <f t="shared" si="211"/>
        <v>9938458.6349999998</v>
      </c>
      <c r="AB1017" s="387">
        <f t="shared" si="211"/>
        <v>0</v>
      </c>
      <c r="AC1017" s="387">
        <f t="shared" si="211"/>
        <v>68</v>
      </c>
      <c r="AD1017" s="387">
        <f t="shared" si="211"/>
        <v>15989961.715</v>
      </c>
      <c r="AE1017" s="387">
        <f t="shared" si="211"/>
        <v>0</v>
      </c>
      <c r="AF1017" s="387">
        <f t="shared" si="211"/>
        <v>0</v>
      </c>
      <c r="AG1017" s="387">
        <f t="shared" si="211"/>
        <v>90932526.435000002</v>
      </c>
      <c r="AH1017" s="387">
        <f t="shared" si="211"/>
        <v>70695983.649999991</v>
      </c>
      <c r="AI1017" s="523">
        <f t="shared" si="211"/>
        <v>0</v>
      </c>
      <c r="AJ1017" s="523">
        <f>+AJ1018+AJ1100+AJ1161</f>
        <v>50063048.609999999</v>
      </c>
      <c r="AK1017" s="249"/>
      <c r="AL1017" s="249"/>
      <c r="AM1017" s="249"/>
      <c r="AN1017" s="44" t="s">
        <v>1157</v>
      </c>
      <c r="AO1017" s="44"/>
      <c r="AP1017" s="44"/>
      <c r="AQ1017" s="420"/>
      <c r="AR1017" s="44"/>
      <c r="AS1017" s="486"/>
      <c r="AT1017" s="44"/>
      <c r="AU1017" s="658"/>
      <c r="AV1017" s="426"/>
    </row>
    <row r="1018" spans="1:48" s="153" customFormat="1" ht="15" customHeight="1" outlineLevel="1" x14ac:dyDescent="0.25">
      <c r="A1018" s="108" t="str">
        <f t="shared" si="207"/>
        <v>3.12.1.0.0.0</v>
      </c>
      <c r="B1018" s="109">
        <v>3</v>
      </c>
      <c r="C1018" s="109">
        <v>12</v>
      </c>
      <c r="D1018" s="109">
        <v>1</v>
      </c>
      <c r="E1018" s="109">
        <v>0</v>
      </c>
      <c r="F1018" s="109">
        <v>0</v>
      </c>
      <c r="G1018" s="109">
        <v>0</v>
      </c>
      <c r="H1018" s="110"/>
      <c r="I1018" s="1258" t="s">
        <v>1158</v>
      </c>
      <c r="J1018" s="1259"/>
      <c r="K1018" s="1259"/>
      <c r="L1018" s="109" t="s">
        <v>668</v>
      </c>
      <c r="M1018" s="109">
        <v>0</v>
      </c>
      <c r="N1018" s="109">
        <v>0</v>
      </c>
      <c r="O1018" s="109">
        <v>0</v>
      </c>
      <c r="P1018" s="109"/>
      <c r="Q1018" s="109"/>
      <c r="R1018" s="109"/>
      <c r="S1018" s="110"/>
      <c r="T1018" s="109"/>
      <c r="U1018" s="112">
        <f t="shared" ref="U1018:AI1018" si="212">+U1019+U1036+U1048+U1051+U1053+U1055</f>
        <v>12035462.324999999</v>
      </c>
      <c r="V1018" s="680">
        <f t="shared" si="212"/>
        <v>22319298.389999997</v>
      </c>
      <c r="W1018" s="385">
        <f t="shared" si="212"/>
        <v>40</v>
      </c>
      <c r="X1018" s="385">
        <f t="shared" si="212"/>
        <v>27976049.904999997</v>
      </c>
      <c r="Y1018" s="854">
        <f t="shared" si="212"/>
        <v>25926125.789999999</v>
      </c>
      <c r="Z1018" s="385">
        <f t="shared" si="212"/>
        <v>34</v>
      </c>
      <c r="AA1018" s="385">
        <f t="shared" si="212"/>
        <v>9408458.6349999998</v>
      </c>
      <c r="AB1018" s="385">
        <f t="shared" si="212"/>
        <v>0</v>
      </c>
      <c r="AC1018" s="385">
        <f t="shared" si="212"/>
        <v>42</v>
      </c>
      <c r="AD1018" s="385">
        <f t="shared" si="212"/>
        <v>15469961.715</v>
      </c>
      <c r="AE1018" s="385">
        <f t="shared" si="212"/>
        <v>0</v>
      </c>
      <c r="AF1018" s="385">
        <f t="shared" si="212"/>
        <v>0</v>
      </c>
      <c r="AG1018" s="385">
        <f t="shared" si="212"/>
        <v>80447526.435000002</v>
      </c>
      <c r="AH1018" s="385">
        <f t="shared" si="212"/>
        <v>64445984.429999992</v>
      </c>
      <c r="AI1018" s="521">
        <f t="shared" si="212"/>
        <v>0</v>
      </c>
      <c r="AJ1018" s="521">
        <f>+AJ1019+AJ1036+AJ1048+AJ1051+AJ1053+AJ1055</f>
        <v>48245424.18</v>
      </c>
      <c r="AK1018" s="217"/>
      <c r="AL1018" s="217"/>
      <c r="AM1018" s="217"/>
      <c r="AN1018" s="109" t="s">
        <v>1157</v>
      </c>
      <c r="AO1018" s="109"/>
      <c r="AP1018" s="109"/>
      <c r="AQ1018" s="411"/>
      <c r="AR1018" s="109"/>
      <c r="AS1018" s="473"/>
      <c r="AT1018" s="109"/>
      <c r="AU1018" s="659"/>
      <c r="AV1018" s="445"/>
    </row>
    <row r="1019" spans="1:48" s="153" customFormat="1" ht="15" customHeight="1" outlineLevel="1" x14ac:dyDescent="0.25">
      <c r="A1019" s="148" t="str">
        <f t="shared" si="207"/>
        <v>3.12.1.1.0.0</v>
      </c>
      <c r="B1019" s="82">
        <v>3</v>
      </c>
      <c r="C1019" s="82">
        <v>12</v>
      </c>
      <c r="D1019" s="82">
        <v>1</v>
      </c>
      <c r="E1019" s="82">
        <v>1</v>
      </c>
      <c r="F1019" s="82">
        <v>0</v>
      </c>
      <c r="G1019" s="82">
        <v>0</v>
      </c>
      <c r="H1019" s="149"/>
      <c r="I1019" s="149"/>
      <c r="J1019" s="1260" t="s">
        <v>1159</v>
      </c>
      <c r="K1019" s="1259"/>
      <c r="L1019" s="82" t="s">
        <v>72</v>
      </c>
      <c r="M1019" s="82" t="s">
        <v>267</v>
      </c>
      <c r="N1019" s="82" t="s">
        <v>265</v>
      </c>
      <c r="O1019" s="82" t="s">
        <v>1160</v>
      </c>
      <c r="P1019" s="82"/>
      <c r="Q1019" s="82"/>
      <c r="R1019" s="82"/>
      <c r="S1019" s="149"/>
      <c r="T1019" s="82"/>
      <c r="U1019" s="209">
        <f>SUM(U1020:U1035)</f>
        <v>6121533.6399999997</v>
      </c>
      <c r="V1019" s="683">
        <f>SUM(V1020:V1035)</f>
        <v>17596025.719999999</v>
      </c>
      <c r="W1019" s="386">
        <f t="shared" ref="W1019:AG1019" si="213">+SUM(W1020:W1035)</f>
        <v>15</v>
      </c>
      <c r="X1019" s="386">
        <f t="shared" si="213"/>
        <v>5083533.6399999997</v>
      </c>
      <c r="Y1019" s="847">
        <f t="shared" si="213"/>
        <v>13879143.440000001</v>
      </c>
      <c r="Z1019" s="386">
        <f t="shared" si="213"/>
        <v>18</v>
      </c>
      <c r="AA1019" s="386">
        <f t="shared" si="213"/>
        <v>5560529.9499999993</v>
      </c>
      <c r="AB1019" s="386">
        <f t="shared" si="213"/>
        <v>0</v>
      </c>
      <c r="AC1019" s="386">
        <f t="shared" si="213"/>
        <v>22</v>
      </c>
      <c r="AD1019" s="386">
        <f t="shared" si="213"/>
        <v>5560529.9299999997</v>
      </c>
      <c r="AE1019" s="386">
        <f t="shared" si="213"/>
        <v>0</v>
      </c>
      <c r="AF1019" s="386">
        <f t="shared" si="213"/>
        <v>0</v>
      </c>
      <c r="AG1019" s="386">
        <f t="shared" si="213"/>
        <v>36821179.185000002</v>
      </c>
      <c r="AH1019" s="386">
        <f>+SUM(AH1020:AH1035)</f>
        <v>22062179.009999998</v>
      </c>
      <c r="AI1019" s="522">
        <f>+SUM(AI1020:AI1035)</f>
        <v>0</v>
      </c>
      <c r="AJ1019" s="522">
        <f>+SUM(AJ1020:AJ1035)</f>
        <v>31475169.16</v>
      </c>
      <c r="AK1019" s="218"/>
      <c r="AL1019" s="218"/>
      <c r="AM1019" s="218"/>
      <c r="AN1019" s="82" t="s">
        <v>1157</v>
      </c>
      <c r="AO1019" s="82"/>
      <c r="AP1019" s="82"/>
      <c r="AQ1019" s="365"/>
      <c r="AR1019" s="82"/>
      <c r="AS1019" s="483"/>
      <c r="AT1019" s="82"/>
      <c r="AU1019" s="666"/>
      <c r="AV1019" s="444"/>
    </row>
    <row r="1020" spans="1:48" ht="15" customHeight="1" outlineLevel="3" x14ac:dyDescent="0.25">
      <c r="A1020" s="63" t="str">
        <f t="shared" si="207"/>
        <v>3.12.1.1.1.0</v>
      </c>
      <c r="B1020" s="64">
        <v>3</v>
      </c>
      <c r="C1020" s="64">
        <v>12</v>
      </c>
      <c r="D1020" s="64">
        <v>1</v>
      </c>
      <c r="E1020" s="64">
        <v>1</v>
      </c>
      <c r="F1020" s="64">
        <v>1</v>
      </c>
      <c r="G1020" s="64">
        <v>0</v>
      </c>
      <c r="H1020" s="65"/>
      <c r="I1020" s="65"/>
      <c r="J1020" s="66"/>
      <c r="K1020" s="65" t="s">
        <v>1161</v>
      </c>
      <c r="L1020" s="64" t="s">
        <v>72</v>
      </c>
      <c r="M1020" s="64" t="s">
        <v>267</v>
      </c>
      <c r="N1020" s="64" t="s">
        <v>265</v>
      </c>
      <c r="O1020" s="64" t="s">
        <v>1160</v>
      </c>
      <c r="P1020" s="170"/>
      <c r="Q1020" s="170"/>
      <c r="R1020" s="64">
        <v>12</v>
      </c>
      <c r="S1020" s="170" t="s">
        <v>267</v>
      </c>
      <c r="T1020" s="170">
        <v>3</v>
      </c>
      <c r="U1020" s="97"/>
      <c r="V1020" s="684">
        <v>0</v>
      </c>
      <c r="W1020" s="97">
        <v>3</v>
      </c>
      <c r="X1020" s="97"/>
      <c r="Y1020" s="834">
        <f t="shared" ref="Y1020:Y1035" si="214">+AJ1020-V1020</f>
        <v>0</v>
      </c>
      <c r="Z1020" s="97">
        <v>3</v>
      </c>
      <c r="AA1020" s="97"/>
      <c r="AB1020" s="97"/>
      <c r="AC1020" s="75">
        <v>3</v>
      </c>
      <c r="AD1020" s="75"/>
      <c r="AE1020" s="592"/>
      <c r="AF1020" s="259"/>
      <c r="AG1020" s="75">
        <v>0</v>
      </c>
      <c r="AH1020" s="370">
        <v>0</v>
      </c>
      <c r="AI1020" s="75"/>
      <c r="AJ1020" s="75"/>
      <c r="AK1020" s="75"/>
      <c r="AL1020" s="75"/>
      <c r="AM1020" s="75"/>
      <c r="AN1020" s="64" t="s">
        <v>39</v>
      </c>
      <c r="AO1020" s="64"/>
      <c r="AP1020" s="64"/>
      <c r="AQ1020" s="189"/>
      <c r="AR1020" s="64"/>
      <c r="AS1020" s="476"/>
      <c r="AT1020" s="64"/>
      <c r="AU1020" s="646"/>
      <c r="AV1020" s="185"/>
    </row>
    <row r="1021" spans="1:48" ht="15" customHeight="1" outlineLevel="3" x14ac:dyDescent="0.25">
      <c r="A1021" s="63" t="str">
        <f t="shared" si="207"/>
        <v>3.12.1.1.2.0</v>
      </c>
      <c r="B1021" s="64">
        <v>3</v>
      </c>
      <c r="C1021" s="64">
        <v>12</v>
      </c>
      <c r="D1021" s="64">
        <v>1</v>
      </c>
      <c r="E1021" s="64">
        <v>1</v>
      </c>
      <c r="F1021" s="64">
        <v>2</v>
      </c>
      <c r="G1021" s="64">
        <v>0</v>
      </c>
      <c r="H1021" s="65"/>
      <c r="I1021" s="65"/>
      <c r="J1021" s="66"/>
      <c r="K1021" s="65" t="s">
        <v>1162</v>
      </c>
      <c r="L1021" s="64" t="s">
        <v>72</v>
      </c>
      <c r="M1021" s="64" t="s">
        <v>267</v>
      </c>
      <c r="N1021" s="64" t="s">
        <v>265</v>
      </c>
      <c r="O1021" s="64" t="s">
        <v>1160</v>
      </c>
      <c r="P1021" s="69">
        <v>44221</v>
      </c>
      <c r="Q1021" s="69">
        <v>44555</v>
      </c>
      <c r="R1021" s="64">
        <v>12</v>
      </c>
      <c r="S1021" s="65" t="s">
        <v>267</v>
      </c>
      <c r="T1021" s="63">
        <v>3</v>
      </c>
      <c r="U1021" s="155"/>
      <c r="V1021" s="704">
        <v>5597548.0499999998</v>
      </c>
      <c r="W1021" s="75">
        <v>3</v>
      </c>
      <c r="X1021" s="155"/>
      <c r="Y1021" s="834">
        <f t="shared" si="214"/>
        <v>5396943.4400000004</v>
      </c>
      <c r="Z1021" s="75">
        <f>+W1021</f>
        <v>3</v>
      </c>
      <c r="AA1021" s="155"/>
      <c r="AB1021" s="155"/>
      <c r="AC1021" s="75">
        <f>+Z1021</f>
        <v>3</v>
      </c>
      <c r="AD1021" s="623"/>
      <c r="AE1021" s="950"/>
      <c r="AF1021" s="259"/>
      <c r="AG1021" s="75">
        <v>20065566.664999999</v>
      </c>
      <c r="AH1021" s="370">
        <v>0</v>
      </c>
      <c r="AI1021" s="75"/>
      <c r="AJ1021" s="75">
        <f>1878211+1848619.9+1870717.15+1818836.65+1768205.12+1809901.67</f>
        <v>10994491.49</v>
      </c>
      <c r="AK1021" s="75"/>
      <c r="AL1021" s="75"/>
      <c r="AM1021" s="75"/>
      <c r="AN1021" s="64" t="s">
        <v>39</v>
      </c>
      <c r="AO1021" s="165" t="s">
        <v>144</v>
      </c>
      <c r="AP1021" s="245" t="s">
        <v>649</v>
      </c>
      <c r="AQ1021" s="543" t="s">
        <v>649</v>
      </c>
      <c r="AR1021" s="861">
        <v>44562</v>
      </c>
      <c r="AS1021" s="861">
        <v>44926</v>
      </c>
      <c r="AT1021" s="64" t="s">
        <v>1814</v>
      </c>
      <c r="AU1021" s="877" t="s">
        <v>2074</v>
      </c>
      <c r="AV1021" s="492" t="s">
        <v>2075</v>
      </c>
    </row>
    <row r="1022" spans="1:48" ht="15" customHeight="1" outlineLevel="3" x14ac:dyDescent="0.25">
      <c r="A1022" s="63" t="str">
        <f t="shared" si="207"/>
        <v>3.12.1.1.3.0</v>
      </c>
      <c r="B1022" s="64">
        <v>3</v>
      </c>
      <c r="C1022" s="64">
        <v>12</v>
      </c>
      <c r="D1022" s="64">
        <v>1</v>
      </c>
      <c r="E1022" s="64">
        <v>1</v>
      </c>
      <c r="F1022" s="64">
        <v>3</v>
      </c>
      <c r="G1022" s="64">
        <v>0</v>
      </c>
      <c r="H1022" s="65"/>
      <c r="I1022" s="65"/>
      <c r="J1022" s="66"/>
      <c r="K1022" s="65" t="s">
        <v>1163</v>
      </c>
      <c r="L1022" s="64" t="s">
        <v>72</v>
      </c>
      <c r="M1022" s="64" t="s">
        <v>267</v>
      </c>
      <c r="N1022" s="64" t="s">
        <v>265</v>
      </c>
      <c r="O1022" s="64" t="s">
        <v>1160</v>
      </c>
      <c r="P1022" s="64" t="s">
        <v>1164</v>
      </c>
      <c r="Q1022" s="69">
        <v>44555</v>
      </c>
      <c r="R1022" s="64">
        <v>12</v>
      </c>
      <c r="S1022" s="65" t="s">
        <v>267</v>
      </c>
      <c r="T1022" s="170">
        <v>3</v>
      </c>
      <c r="U1022" s="97">
        <f>+(610000+60500)*3</f>
        <v>2011500</v>
      </c>
      <c r="V1022" s="704">
        <v>1830000</v>
      </c>
      <c r="W1022" s="97">
        <f>+T1022</f>
        <v>3</v>
      </c>
      <c r="X1022" s="97">
        <f>+AH1022-U1022</f>
        <v>973500</v>
      </c>
      <c r="Y1022" s="834">
        <f t="shared" si="214"/>
        <v>1830000</v>
      </c>
      <c r="Z1022" s="97">
        <f>+T1022</f>
        <v>3</v>
      </c>
      <c r="AA1022" s="97"/>
      <c r="AB1022" s="97"/>
      <c r="AC1022" s="75">
        <f>+Z1022</f>
        <v>3</v>
      </c>
      <c r="AD1022" s="75"/>
      <c r="AE1022" s="592"/>
      <c r="AF1022" s="259"/>
      <c r="AG1022" s="75">
        <v>2985000</v>
      </c>
      <c r="AH1022" s="370">
        <v>2985000</v>
      </c>
      <c r="AI1022" s="75"/>
      <c r="AJ1022" s="75">
        <f>610000+610000+610000+610000+610000+610000</f>
        <v>3660000</v>
      </c>
      <c r="AK1022" s="75"/>
      <c r="AL1022" s="75"/>
      <c r="AM1022" s="75"/>
      <c r="AN1022" s="64" t="s">
        <v>181</v>
      </c>
      <c r="AO1022" s="165" t="s">
        <v>144</v>
      </c>
      <c r="AP1022" s="64" t="s">
        <v>649</v>
      </c>
      <c r="AQ1022" s="533" t="s">
        <v>649</v>
      </c>
      <c r="AR1022" s="69">
        <v>44562</v>
      </c>
      <c r="AS1022" s="554">
        <v>44926</v>
      </c>
      <c r="AT1022" s="64" t="s">
        <v>1814</v>
      </c>
      <c r="AU1022" s="877" t="s">
        <v>2071</v>
      </c>
      <c r="AV1022" s="185" t="s">
        <v>2072</v>
      </c>
    </row>
    <row r="1023" spans="1:48" ht="15" customHeight="1" outlineLevel="3" x14ac:dyDescent="0.25">
      <c r="A1023" s="63" t="str">
        <f t="shared" si="207"/>
        <v>3.12.1.1.4.0</v>
      </c>
      <c r="B1023" s="64">
        <v>3</v>
      </c>
      <c r="C1023" s="64">
        <v>12</v>
      </c>
      <c r="D1023" s="64">
        <v>1</v>
      </c>
      <c r="E1023" s="64">
        <v>1</v>
      </c>
      <c r="F1023" s="64">
        <v>4</v>
      </c>
      <c r="G1023" s="64">
        <v>0</v>
      </c>
      <c r="H1023" s="65"/>
      <c r="I1023" s="65"/>
      <c r="J1023" s="66"/>
      <c r="K1023" s="65" t="s">
        <v>1165</v>
      </c>
      <c r="L1023" s="64" t="s">
        <v>72</v>
      </c>
      <c r="M1023" s="64" t="s">
        <v>267</v>
      </c>
      <c r="N1023" s="64" t="s">
        <v>265</v>
      </c>
      <c r="O1023" s="64" t="s">
        <v>1160</v>
      </c>
      <c r="P1023" s="69">
        <v>44531</v>
      </c>
      <c r="Q1023" s="69">
        <v>44542</v>
      </c>
      <c r="R1023" s="64">
        <v>1</v>
      </c>
      <c r="S1023" s="65" t="s">
        <v>267</v>
      </c>
      <c r="T1023" s="64">
        <v>0</v>
      </c>
      <c r="U1023" s="75"/>
      <c r="V1023" s="684">
        <v>0</v>
      </c>
      <c r="W1023" s="97">
        <v>0</v>
      </c>
      <c r="X1023" s="97"/>
      <c r="Y1023" s="834">
        <f t="shared" si="214"/>
        <v>0</v>
      </c>
      <c r="Z1023" s="97">
        <v>0</v>
      </c>
      <c r="AA1023" s="97"/>
      <c r="AB1023" s="97"/>
      <c r="AC1023" s="75">
        <v>1</v>
      </c>
      <c r="AD1023" s="75"/>
      <c r="AE1023" s="592"/>
      <c r="AF1023" s="259"/>
      <c r="AG1023" s="75">
        <v>0</v>
      </c>
      <c r="AH1023" s="370">
        <v>0</v>
      </c>
      <c r="AI1023" s="75"/>
      <c r="AJ1023" s="75"/>
      <c r="AK1023" s="75"/>
      <c r="AL1023" s="75"/>
      <c r="AM1023" s="75"/>
      <c r="AN1023" s="64" t="s">
        <v>181</v>
      </c>
      <c r="AO1023" s="64"/>
      <c r="AP1023" s="64"/>
      <c r="AQ1023" s="189"/>
      <c r="AR1023" s="64"/>
      <c r="AS1023" s="476"/>
      <c r="AT1023" s="64"/>
      <c r="AU1023" s="646"/>
      <c r="AV1023" s="185"/>
    </row>
    <row r="1024" spans="1:48" ht="15" customHeight="1" outlineLevel="3" x14ac:dyDescent="0.25">
      <c r="A1024" s="63" t="str">
        <f t="shared" si="207"/>
        <v>3.12.1.1.5.0</v>
      </c>
      <c r="B1024" s="64">
        <v>3</v>
      </c>
      <c r="C1024" s="64">
        <v>12</v>
      </c>
      <c r="D1024" s="64">
        <v>1</v>
      </c>
      <c r="E1024" s="64">
        <v>1</v>
      </c>
      <c r="F1024" s="64">
        <v>5</v>
      </c>
      <c r="G1024" s="64">
        <v>0</v>
      </c>
      <c r="H1024" s="65"/>
      <c r="I1024" s="65"/>
      <c r="J1024" s="66"/>
      <c r="K1024" s="65" t="s">
        <v>1166</v>
      </c>
      <c r="L1024" s="64" t="s">
        <v>72</v>
      </c>
      <c r="M1024" s="64" t="s">
        <v>267</v>
      </c>
      <c r="N1024" s="64" t="s">
        <v>265</v>
      </c>
      <c r="O1024" s="64" t="s">
        <v>1160</v>
      </c>
      <c r="P1024" s="69">
        <v>44531</v>
      </c>
      <c r="Q1024" s="69">
        <v>44542</v>
      </c>
      <c r="R1024" s="64">
        <v>1</v>
      </c>
      <c r="S1024" s="65" t="s">
        <v>267</v>
      </c>
      <c r="T1024" s="64">
        <v>0</v>
      </c>
      <c r="U1024" s="75"/>
      <c r="V1024" s="684">
        <v>0</v>
      </c>
      <c r="W1024" s="97">
        <v>0</v>
      </c>
      <c r="X1024" s="97"/>
      <c r="Y1024" s="834">
        <f t="shared" si="214"/>
        <v>0</v>
      </c>
      <c r="Z1024" s="97">
        <v>0</v>
      </c>
      <c r="AA1024" s="97"/>
      <c r="AB1024" s="97"/>
      <c r="AC1024" s="75">
        <v>1</v>
      </c>
      <c r="AD1024" s="75">
        <f>+AH1024</f>
        <v>0</v>
      </c>
      <c r="AE1024" s="592"/>
      <c r="AF1024" s="259"/>
      <c r="AG1024" s="75">
        <v>958200</v>
      </c>
      <c r="AH1024" s="370">
        <v>0</v>
      </c>
      <c r="AI1024" s="75"/>
      <c r="AJ1024" s="75"/>
      <c r="AK1024" s="75"/>
      <c r="AL1024" s="75"/>
      <c r="AM1024" s="75"/>
      <c r="AN1024" s="64" t="s">
        <v>181</v>
      </c>
      <c r="AO1024" s="64"/>
      <c r="AP1024" s="64"/>
      <c r="AQ1024" s="189"/>
      <c r="AR1024" s="64"/>
      <c r="AS1024" s="476"/>
      <c r="AT1024" s="64"/>
      <c r="AU1024" s="646"/>
      <c r="AV1024" s="185" t="s">
        <v>1167</v>
      </c>
    </row>
    <row r="1025" spans="1:48" ht="15" customHeight="1" outlineLevel="3" x14ac:dyDescent="0.25">
      <c r="A1025" s="63" t="str">
        <f t="shared" si="207"/>
        <v>3.12.1.1.6.0</v>
      </c>
      <c r="B1025" s="64">
        <v>3</v>
      </c>
      <c r="C1025" s="64">
        <v>12</v>
      </c>
      <c r="D1025" s="64">
        <v>1</v>
      </c>
      <c r="E1025" s="64">
        <v>1</v>
      </c>
      <c r="F1025" s="64">
        <v>6</v>
      </c>
      <c r="G1025" s="64">
        <v>0</v>
      </c>
      <c r="H1025" s="65"/>
      <c r="I1025" s="65"/>
      <c r="J1025" s="66"/>
      <c r="K1025" s="65" t="s">
        <v>1168</v>
      </c>
      <c r="L1025" s="64" t="s">
        <v>72</v>
      </c>
      <c r="M1025" s="64" t="s">
        <v>267</v>
      </c>
      <c r="N1025" s="64" t="s">
        <v>265</v>
      </c>
      <c r="O1025" s="64" t="s">
        <v>1160</v>
      </c>
      <c r="P1025" s="64"/>
      <c r="Q1025" s="64"/>
      <c r="R1025" s="64"/>
      <c r="S1025" s="65"/>
      <c r="T1025" s="64"/>
      <c r="U1025" s="75"/>
      <c r="V1025" s="684">
        <v>0</v>
      </c>
      <c r="W1025" s="97"/>
      <c r="X1025" s="97"/>
      <c r="Y1025" s="834">
        <f t="shared" si="214"/>
        <v>0</v>
      </c>
      <c r="Z1025" s="97"/>
      <c r="AA1025" s="97"/>
      <c r="AB1025" s="97"/>
      <c r="AC1025" s="75"/>
      <c r="AD1025" s="75">
        <f t="shared" ref="AD1025:AD1026" si="215">+AH1025</f>
        <v>0</v>
      </c>
      <c r="AE1025" s="592"/>
      <c r="AF1025" s="259"/>
      <c r="AG1025" s="75">
        <v>285000</v>
      </c>
      <c r="AH1025" s="370">
        <v>0</v>
      </c>
      <c r="AI1025" s="75"/>
      <c r="AJ1025" s="75"/>
      <c r="AK1025" s="75"/>
      <c r="AL1025" s="75"/>
      <c r="AM1025" s="75"/>
      <c r="AN1025" s="64" t="s">
        <v>181</v>
      </c>
      <c r="AO1025" s="64"/>
      <c r="AP1025" s="64"/>
      <c r="AQ1025" s="189"/>
      <c r="AR1025" s="64"/>
      <c r="AS1025" s="476"/>
      <c r="AT1025" s="64"/>
      <c r="AU1025" s="646"/>
      <c r="AV1025" s="185" t="s">
        <v>780</v>
      </c>
    </row>
    <row r="1026" spans="1:48" ht="15" customHeight="1" outlineLevel="3" x14ac:dyDescent="0.25">
      <c r="A1026" s="63" t="str">
        <f t="shared" si="207"/>
        <v>3.12.1.1.7.0</v>
      </c>
      <c r="B1026" s="64">
        <v>3</v>
      </c>
      <c r="C1026" s="64">
        <v>12</v>
      </c>
      <c r="D1026" s="64">
        <v>1</v>
      </c>
      <c r="E1026" s="64">
        <v>1</v>
      </c>
      <c r="F1026" s="64">
        <v>7</v>
      </c>
      <c r="G1026" s="64">
        <v>0</v>
      </c>
      <c r="H1026" s="65"/>
      <c r="I1026" s="65"/>
      <c r="J1026" s="66"/>
      <c r="K1026" s="65" t="s">
        <v>1169</v>
      </c>
      <c r="L1026" s="64" t="s">
        <v>72</v>
      </c>
      <c r="M1026" s="64" t="s">
        <v>267</v>
      </c>
      <c r="N1026" s="64" t="s">
        <v>265</v>
      </c>
      <c r="O1026" s="64" t="s">
        <v>1160</v>
      </c>
      <c r="P1026" s="64"/>
      <c r="Q1026" s="64"/>
      <c r="R1026" s="64"/>
      <c r="S1026" s="65"/>
      <c r="T1026" s="64"/>
      <c r="U1026" s="75"/>
      <c r="V1026" s="684">
        <v>0</v>
      </c>
      <c r="W1026" s="97"/>
      <c r="X1026" s="97"/>
      <c r="Y1026" s="859">
        <f t="shared" si="214"/>
        <v>0</v>
      </c>
      <c r="Z1026" s="97"/>
      <c r="AA1026" s="97"/>
      <c r="AB1026" s="97"/>
      <c r="AC1026" s="75"/>
      <c r="AD1026" s="75">
        <f t="shared" si="215"/>
        <v>0</v>
      </c>
      <c r="AE1026" s="592"/>
      <c r="AF1026" s="259"/>
      <c r="AG1026" s="75">
        <v>0</v>
      </c>
      <c r="AH1026" s="370">
        <v>0</v>
      </c>
      <c r="AI1026" s="75"/>
      <c r="AJ1026" s="75"/>
      <c r="AK1026" s="75"/>
      <c r="AL1026" s="75"/>
      <c r="AM1026" s="75"/>
      <c r="AN1026" s="64" t="s">
        <v>181</v>
      </c>
      <c r="AO1026" s="64"/>
      <c r="AP1026" s="64"/>
      <c r="AQ1026" s="189"/>
      <c r="AR1026" s="64"/>
      <c r="AS1026" s="476"/>
      <c r="AT1026" s="64"/>
      <c r="AU1026" s="646"/>
      <c r="AV1026" s="185"/>
    </row>
    <row r="1027" spans="1:48" ht="15" customHeight="1" outlineLevel="3" x14ac:dyDescent="0.25">
      <c r="A1027" s="63" t="str">
        <f t="shared" si="207"/>
        <v>3.12.1.1.8.0</v>
      </c>
      <c r="B1027" s="64">
        <v>3</v>
      </c>
      <c r="C1027" s="64">
        <v>12</v>
      </c>
      <c r="D1027" s="64">
        <v>1</v>
      </c>
      <c r="E1027" s="64">
        <v>1</v>
      </c>
      <c r="F1027" s="64">
        <v>8</v>
      </c>
      <c r="G1027" s="64">
        <v>0</v>
      </c>
      <c r="H1027" s="65"/>
      <c r="I1027" s="65"/>
      <c r="J1027" s="65"/>
      <c r="K1027" s="65" t="s">
        <v>1170</v>
      </c>
      <c r="L1027" s="64" t="s">
        <v>72</v>
      </c>
      <c r="M1027" s="64" t="s">
        <v>267</v>
      </c>
      <c r="N1027" s="64" t="s">
        <v>265</v>
      </c>
      <c r="O1027" s="64" t="s">
        <v>1160</v>
      </c>
      <c r="P1027" s="64" t="s">
        <v>370</v>
      </c>
      <c r="Q1027" s="64"/>
      <c r="R1027" s="64"/>
      <c r="S1027" s="65"/>
      <c r="T1027" s="64"/>
      <c r="U1027" s="75"/>
      <c r="V1027" s="684">
        <v>0</v>
      </c>
      <c r="W1027" s="97"/>
      <c r="X1027" s="97"/>
      <c r="Y1027" s="859">
        <f t="shared" si="214"/>
        <v>0</v>
      </c>
      <c r="Z1027" s="97"/>
      <c r="AA1027" s="97"/>
      <c r="AB1027" s="97"/>
      <c r="AC1027" s="75"/>
      <c r="AD1027" s="75"/>
      <c r="AE1027" s="592"/>
      <c r="AF1027" s="259"/>
      <c r="AG1027" s="75">
        <v>0</v>
      </c>
      <c r="AH1027" s="370">
        <v>0</v>
      </c>
      <c r="AI1027" s="75"/>
      <c r="AJ1027" s="75"/>
      <c r="AK1027" s="75"/>
      <c r="AL1027" s="75"/>
      <c r="AM1027" s="75"/>
      <c r="AN1027" s="64" t="s">
        <v>181</v>
      </c>
      <c r="AO1027" s="64"/>
      <c r="AP1027" s="64"/>
      <c r="AQ1027" s="189"/>
      <c r="AR1027" s="64"/>
      <c r="AS1027" s="476"/>
      <c r="AT1027" s="64"/>
      <c r="AU1027" s="646"/>
      <c r="AV1027" s="185"/>
    </row>
    <row r="1028" spans="1:48" ht="15" customHeight="1" outlineLevel="3" x14ac:dyDescent="0.25">
      <c r="A1028" s="63" t="str">
        <f t="shared" si="207"/>
        <v>3.12.1.1.9.0</v>
      </c>
      <c r="B1028" s="64">
        <v>3</v>
      </c>
      <c r="C1028" s="64">
        <v>12</v>
      </c>
      <c r="D1028" s="64">
        <v>1</v>
      </c>
      <c r="E1028" s="64">
        <v>1</v>
      </c>
      <c r="F1028" s="64">
        <v>9</v>
      </c>
      <c r="G1028" s="64">
        <v>0</v>
      </c>
      <c r="H1028" s="65"/>
      <c r="I1028" s="65"/>
      <c r="J1028" s="66"/>
      <c r="K1028" s="65" t="s">
        <v>1171</v>
      </c>
      <c r="L1028" s="64" t="s">
        <v>72</v>
      </c>
      <c r="M1028" s="64" t="s">
        <v>267</v>
      </c>
      <c r="N1028" s="64" t="s">
        <v>265</v>
      </c>
      <c r="O1028" s="64" t="s">
        <v>1160</v>
      </c>
      <c r="P1028" s="64"/>
      <c r="Q1028" s="64"/>
      <c r="R1028" s="64"/>
      <c r="S1028" s="65"/>
      <c r="T1028" s="64"/>
      <c r="U1028" s="75"/>
      <c r="V1028" s="684">
        <v>0</v>
      </c>
      <c r="W1028" s="97"/>
      <c r="X1028" s="97"/>
      <c r="Y1028" s="859">
        <f t="shared" si="214"/>
        <v>0</v>
      </c>
      <c r="Z1028" s="97"/>
      <c r="AA1028" s="97"/>
      <c r="AB1028" s="97"/>
      <c r="AC1028" s="75"/>
      <c r="AD1028" s="75"/>
      <c r="AE1028" s="592"/>
      <c r="AF1028" s="259"/>
      <c r="AG1028" s="75">
        <v>0</v>
      </c>
      <c r="AH1028" s="370">
        <v>0</v>
      </c>
      <c r="AI1028" s="75"/>
      <c r="AJ1028" s="75"/>
      <c r="AK1028" s="75"/>
      <c r="AL1028" s="75"/>
      <c r="AM1028" s="75"/>
      <c r="AN1028" s="64" t="s">
        <v>181</v>
      </c>
      <c r="AO1028" s="64"/>
      <c r="AP1028" s="64"/>
      <c r="AQ1028" s="189"/>
      <c r="AR1028" s="64"/>
      <c r="AS1028" s="476"/>
      <c r="AT1028" s="64"/>
      <c r="AU1028" s="646"/>
      <c r="AV1028" s="185"/>
    </row>
    <row r="1029" spans="1:48" ht="15" customHeight="1" outlineLevel="3" x14ac:dyDescent="0.25">
      <c r="A1029" s="63" t="str">
        <f t="shared" si="207"/>
        <v>3.12.1.1.10.0</v>
      </c>
      <c r="B1029" s="64">
        <v>3</v>
      </c>
      <c r="C1029" s="64">
        <v>12</v>
      </c>
      <c r="D1029" s="64">
        <v>1</v>
      </c>
      <c r="E1029" s="64">
        <v>1</v>
      </c>
      <c r="F1029" s="64">
        <v>10</v>
      </c>
      <c r="G1029" s="64">
        <v>0</v>
      </c>
      <c r="H1029" s="65"/>
      <c r="I1029" s="65"/>
      <c r="J1029" s="66"/>
      <c r="K1029" s="65" t="s">
        <v>1172</v>
      </c>
      <c r="L1029" s="64" t="s">
        <v>72</v>
      </c>
      <c r="M1029" s="64" t="s">
        <v>267</v>
      </c>
      <c r="N1029" s="64" t="s">
        <v>265</v>
      </c>
      <c r="O1029" s="64" t="s">
        <v>1160</v>
      </c>
      <c r="P1029" s="64"/>
      <c r="Q1029" s="64"/>
      <c r="R1029" s="64"/>
      <c r="S1029" s="65"/>
      <c r="T1029" s="64"/>
      <c r="U1029" s="75"/>
      <c r="V1029" s="684">
        <v>0</v>
      </c>
      <c r="W1029" s="97"/>
      <c r="X1029" s="97"/>
      <c r="Y1029" s="859">
        <f t="shared" si="214"/>
        <v>0</v>
      </c>
      <c r="Z1029" s="97"/>
      <c r="AA1029" s="97"/>
      <c r="AB1029" s="97"/>
      <c r="AC1029" s="75"/>
      <c r="AD1029" s="75"/>
      <c r="AE1029" s="592"/>
      <c r="AF1029" s="259"/>
      <c r="AG1029" s="75">
        <v>0</v>
      </c>
      <c r="AH1029" s="370">
        <v>0</v>
      </c>
      <c r="AI1029" s="75"/>
      <c r="AJ1029" s="75"/>
      <c r="AK1029" s="75"/>
      <c r="AL1029" s="75"/>
      <c r="AM1029" s="75"/>
      <c r="AN1029" s="64" t="s">
        <v>181</v>
      </c>
      <c r="AO1029" s="64"/>
      <c r="AP1029" s="64"/>
      <c r="AQ1029" s="189"/>
      <c r="AR1029" s="64"/>
      <c r="AS1029" s="476"/>
      <c r="AT1029" s="64"/>
      <c r="AU1029" s="646"/>
      <c r="AV1029" s="185"/>
    </row>
    <row r="1030" spans="1:48" ht="15" customHeight="1" outlineLevel="3" x14ac:dyDescent="0.25">
      <c r="A1030" s="63" t="str">
        <f t="shared" si="207"/>
        <v>3.12.1.1.11.0</v>
      </c>
      <c r="B1030" s="64">
        <v>3</v>
      </c>
      <c r="C1030" s="64">
        <v>12</v>
      </c>
      <c r="D1030" s="64">
        <v>1</v>
      </c>
      <c r="E1030" s="64">
        <v>1</v>
      </c>
      <c r="F1030" s="64">
        <v>11</v>
      </c>
      <c r="G1030" s="64">
        <v>0</v>
      </c>
      <c r="H1030" s="65"/>
      <c r="I1030" s="65"/>
      <c r="J1030" s="66"/>
      <c r="K1030" s="65" t="s">
        <v>1173</v>
      </c>
      <c r="L1030" s="64" t="s">
        <v>72</v>
      </c>
      <c r="M1030" s="64" t="s">
        <v>267</v>
      </c>
      <c r="N1030" s="64" t="s">
        <v>265</v>
      </c>
      <c r="O1030" s="64" t="s">
        <v>1160</v>
      </c>
      <c r="P1030" s="69">
        <v>44531</v>
      </c>
      <c r="Q1030" s="69">
        <v>44561</v>
      </c>
      <c r="R1030" s="64">
        <v>1</v>
      </c>
      <c r="S1030" s="65" t="s">
        <v>267</v>
      </c>
      <c r="T1030" s="64"/>
      <c r="U1030" s="75"/>
      <c r="V1030" s="704">
        <v>3853777.67</v>
      </c>
      <c r="W1030" s="97"/>
      <c r="X1030" s="97"/>
      <c r="Y1030" s="858">
        <f t="shared" si="214"/>
        <v>0</v>
      </c>
      <c r="Z1030" s="97"/>
      <c r="AA1030" s="97"/>
      <c r="AB1030" s="97"/>
      <c r="AC1030" s="75">
        <v>1</v>
      </c>
      <c r="AD1030" s="75"/>
      <c r="AE1030" s="592"/>
      <c r="AF1030" s="259"/>
      <c r="AG1030" s="75">
        <v>0</v>
      </c>
      <c r="AH1030" s="370">
        <v>0</v>
      </c>
      <c r="AI1030" s="75"/>
      <c r="AJ1030" s="75">
        <v>3853777.67</v>
      </c>
      <c r="AK1030" s="75"/>
      <c r="AL1030" s="75"/>
      <c r="AM1030" s="75"/>
      <c r="AN1030" s="64" t="s">
        <v>181</v>
      </c>
      <c r="AO1030" s="64"/>
      <c r="AP1030" s="64"/>
      <c r="AQ1030" s="189"/>
      <c r="AR1030" s="64"/>
      <c r="AS1030" s="476"/>
      <c r="AT1030" s="64"/>
      <c r="AU1030" s="877">
        <v>201</v>
      </c>
      <c r="AV1030" s="185" t="s">
        <v>1854</v>
      </c>
    </row>
    <row r="1031" spans="1:48" ht="15" customHeight="1" outlineLevel="3" x14ac:dyDescent="0.25">
      <c r="A1031" s="63" t="str">
        <f t="shared" si="207"/>
        <v>3.12.1.1.12.0</v>
      </c>
      <c r="B1031" s="64">
        <v>3</v>
      </c>
      <c r="C1031" s="64">
        <v>12</v>
      </c>
      <c r="D1031" s="64">
        <v>1</v>
      </c>
      <c r="E1031" s="64">
        <v>1</v>
      </c>
      <c r="F1031" s="64">
        <v>12</v>
      </c>
      <c r="G1031" s="64">
        <v>0</v>
      </c>
      <c r="H1031" s="65"/>
      <c r="I1031" s="65"/>
      <c r="J1031" s="66"/>
      <c r="K1031" s="65" t="s">
        <v>1174</v>
      </c>
      <c r="L1031" s="64" t="s">
        <v>72</v>
      </c>
      <c r="M1031" s="64" t="s">
        <v>267</v>
      </c>
      <c r="N1031" s="64" t="s">
        <v>265</v>
      </c>
      <c r="O1031" s="64" t="s">
        <v>1160</v>
      </c>
      <c r="P1031" s="69">
        <v>44221</v>
      </c>
      <c r="Q1031" s="69">
        <v>44555</v>
      </c>
      <c r="R1031" s="64">
        <v>12</v>
      </c>
      <c r="S1031" s="65" t="s">
        <v>267</v>
      </c>
      <c r="T1031" s="64"/>
      <c r="U1031" s="75"/>
      <c r="V1031" s="684">
        <v>0</v>
      </c>
      <c r="W1031" s="97"/>
      <c r="X1031" s="97"/>
      <c r="Y1031" s="834">
        <f t="shared" si="214"/>
        <v>0</v>
      </c>
      <c r="Z1031" s="97"/>
      <c r="AA1031" s="97"/>
      <c r="AB1031" s="97"/>
      <c r="AC1031" s="75"/>
      <c r="AD1031" s="75"/>
      <c r="AE1031" s="592"/>
      <c r="AF1031" s="259"/>
      <c r="AG1031" s="75">
        <v>0</v>
      </c>
      <c r="AH1031" s="370">
        <v>0</v>
      </c>
      <c r="AI1031" s="75"/>
      <c r="AJ1031" s="75"/>
      <c r="AK1031" s="75"/>
      <c r="AL1031" s="75"/>
      <c r="AM1031" s="75"/>
      <c r="AN1031" s="64" t="s">
        <v>39</v>
      </c>
      <c r="AO1031" s="165"/>
      <c r="AP1031" s="165"/>
      <c r="AQ1031" s="413"/>
      <c r="AR1031" s="165"/>
      <c r="AS1031" s="475"/>
      <c r="AT1031" s="165"/>
      <c r="AU1031" s="668"/>
      <c r="AV1031" s="639"/>
    </row>
    <row r="1032" spans="1:48" ht="40.35" customHeight="1" outlineLevel="3" x14ac:dyDescent="0.25">
      <c r="A1032" s="63" t="str">
        <f t="shared" si="207"/>
        <v>3.12.1.1.13.0</v>
      </c>
      <c r="B1032" s="64">
        <v>3</v>
      </c>
      <c r="C1032" s="64">
        <v>12</v>
      </c>
      <c r="D1032" s="64">
        <v>1</v>
      </c>
      <c r="E1032" s="64">
        <v>1</v>
      </c>
      <c r="F1032" s="64">
        <v>13</v>
      </c>
      <c r="G1032" s="64">
        <v>0</v>
      </c>
      <c r="H1032" s="65"/>
      <c r="I1032" s="65"/>
      <c r="J1032" s="66"/>
      <c r="K1032" s="65" t="s">
        <v>1175</v>
      </c>
      <c r="L1032" s="64" t="s">
        <v>72</v>
      </c>
      <c r="M1032" s="64" t="s">
        <v>267</v>
      </c>
      <c r="N1032" s="64" t="s">
        <v>265</v>
      </c>
      <c r="O1032" s="64" t="s">
        <v>1160</v>
      </c>
      <c r="P1032" s="69">
        <v>44221</v>
      </c>
      <c r="Q1032" s="69">
        <v>44555</v>
      </c>
      <c r="R1032" s="64">
        <v>12</v>
      </c>
      <c r="S1032" s="65" t="s">
        <v>267</v>
      </c>
      <c r="T1032" s="64">
        <v>3</v>
      </c>
      <c r="U1032" s="155">
        <v>2014743.01</v>
      </c>
      <c r="V1032" s="704">
        <v>5832200</v>
      </c>
      <c r="W1032" s="97">
        <v>3</v>
      </c>
      <c r="X1032" s="155">
        <v>2014743.01</v>
      </c>
      <c r="Y1032" s="834">
        <f t="shared" si="214"/>
        <v>6161700</v>
      </c>
      <c r="Z1032" s="97">
        <v>3</v>
      </c>
      <c r="AA1032" s="75">
        <v>3646739.32</v>
      </c>
      <c r="AB1032" s="75"/>
      <c r="AC1032" s="75">
        <v>3</v>
      </c>
      <c r="AD1032" s="155">
        <v>3646739.3</v>
      </c>
      <c r="AE1032" s="599"/>
      <c r="AF1032" s="259"/>
      <c r="AG1032" s="75">
        <v>4500000</v>
      </c>
      <c r="AH1032" s="370">
        <v>11059016.49</v>
      </c>
      <c r="AI1032" s="75"/>
      <c r="AJ1032" s="75">
        <f>1707200+1928200+115300+1875100+206500+1875100+248700+1875100+140200+1875100+147400</f>
        <v>11993900</v>
      </c>
      <c r="AK1032" s="75"/>
      <c r="AL1032" s="75"/>
      <c r="AM1032" s="75"/>
      <c r="AN1032" s="189" t="s">
        <v>39</v>
      </c>
      <c r="AO1032" s="644" t="s">
        <v>649</v>
      </c>
      <c r="AP1032" s="644" t="s">
        <v>649</v>
      </c>
      <c r="AQ1032" s="644" t="s">
        <v>649</v>
      </c>
      <c r="AR1032" s="645">
        <v>44562</v>
      </c>
      <c r="AS1032" s="645">
        <v>44926</v>
      </c>
      <c r="AT1032" s="644" t="s">
        <v>1814</v>
      </c>
      <c r="AU1032" s="875" t="s">
        <v>2159</v>
      </c>
      <c r="AV1032" s="643" t="s">
        <v>2056</v>
      </c>
    </row>
    <row r="1033" spans="1:48" ht="30.75" customHeight="1" outlineLevel="3" x14ac:dyDescent="0.25">
      <c r="A1033" s="63" t="str">
        <f t="shared" si="207"/>
        <v>3.12.1.1.14.0</v>
      </c>
      <c r="B1033" s="64">
        <v>3</v>
      </c>
      <c r="C1033" s="64">
        <v>12</v>
      </c>
      <c r="D1033" s="64">
        <v>1</v>
      </c>
      <c r="E1033" s="64">
        <v>1</v>
      </c>
      <c r="F1033" s="64">
        <v>14</v>
      </c>
      <c r="G1033" s="64">
        <v>0</v>
      </c>
      <c r="H1033" s="65"/>
      <c r="I1033" s="65"/>
      <c r="J1033" s="66"/>
      <c r="K1033" s="65" t="s">
        <v>1176</v>
      </c>
      <c r="L1033" s="64" t="s">
        <v>72</v>
      </c>
      <c r="M1033" s="64" t="s">
        <v>267</v>
      </c>
      <c r="N1033" s="64" t="s">
        <v>265</v>
      </c>
      <c r="O1033" s="64" t="s">
        <v>1160</v>
      </c>
      <c r="P1033" s="69">
        <v>44221</v>
      </c>
      <c r="Q1033" s="69">
        <v>44555</v>
      </c>
      <c r="R1033" s="64">
        <v>12</v>
      </c>
      <c r="S1033" s="65" t="s">
        <v>267</v>
      </c>
      <c r="T1033" s="64">
        <v>3</v>
      </c>
      <c r="U1033" s="75">
        <v>181500</v>
      </c>
      <c r="V1033" s="704">
        <v>482500</v>
      </c>
      <c r="W1033" s="97"/>
      <c r="X1033" s="97">
        <v>181500</v>
      </c>
      <c r="Y1033" s="834">
        <f t="shared" si="214"/>
        <v>490500</v>
      </c>
      <c r="Z1033" s="97">
        <v>3</v>
      </c>
      <c r="AA1033" s="97"/>
      <c r="AB1033" s="97"/>
      <c r="AC1033" s="75">
        <v>3</v>
      </c>
      <c r="AD1033" s="75"/>
      <c r="AE1033" s="592"/>
      <c r="AF1033" s="259"/>
      <c r="AG1033" s="75">
        <v>342000</v>
      </c>
      <c r="AH1033" s="370">
        <v>363000</v>
      </c>
      <c r="AI1033" s="75"/>
      <c r="AJ1033" s="75">
        <f>60500+103000+60500+103000+60500+95000+60500+103000+60500+103000+103000+60500</f>
        <v>973000</v>
      </c>
      <c r="AK1033" s="75"/>
      <c r="AL1033" s="75"/>
      <c r="AM1033" s="75"/>
      <c r="AN1033" s="189" t="s">
        <v>181</v>
      </c>
      <c r="AO1033" s="644" t="s">
        <v>649</v>
      </c>
      <c r="AP1033" s="644" t="s">
        <v>649</v>
      </c>
      <c r="AQ1033" s="644" t="s">
        <v>649</v>
      </c>
      <c r="AR1033" s="642">
        <v>44562</v>
      </c>
      <c r="AS1033" s="642">
        <v>44926</v>
      </c>
      <c r="AT1033" s="641" t="s">
        <v>1814</v>
      </c>
      <c r="AU1033" s="878" t="s">
        <v>2144</v>
      </c>
      <c r="AV1033" s="643" t="s">
        <v>2073</v>
      </c>
    </row>
    <row r="1034" spans="1:48" ht="15" customHeight="1" outlineLevel="3" x14ac:dyDescent="0.25">
      <c r="A1034" s="63" t="str">
        <f t="shared" si="207"/>
        <v>3.12.1.1.15.0</v>
      </c>
      <c r="B1034" s="64">
        <v>3</v>
      </c>
      <c r="C1034" s="64">
        <v>12</v>
      </c>
      <c r="D1034" s="64">
        <v>1</v>
      </c>
      <c r="E1034" s="64">
        <v>1</v>
      </c>
      <c r="F1034" s="64">
        <v>15</v>
      </c>
      <c r="G1034" s="64">
        <v>0</v>
      </c>
      <c r="H1034" s="65"/>
      <c r="I1034" s="65"/>
      <c r="J1034" s="66"/>
      <c r="K1034" s="65" t="s">
        <v>1177</v>
      </c>
      <c r="L1034" s="64" t="s">
        <v>72</v>
      </c>
      <c r="M1034" s="64" t="s">
        <v>267</v>
      </c>
      <c r="N1034" s="64" t="s">
        <v>265</v>
      </c>
      <c r="O1034" s="64" t="s">
        <v>1160</v>
      </c>
      <c r="P1034" s="69">
        <v>44531</v>
      </c>
      <c r="Q1034" s="69">
        <v>44542</v>
      </c>
      <c r="R1034" s="64">
        <v>1</v>
      </c>
      <c r="S1034" s="65" t="s">
        <v>267</v>
      </c>
      <c r="T1034" s="64"/>
      <c r="U1034" s="75"/>
      <c r="V1034" s="684">
        <v>0</v>
      </c>
      <c r="W1034" s="97"/>
      <c r="X1034" s="97"/>
      <c r="Y1034" s="834">
        <f t="shared" si="214"/>
        <v>0</v>
      </c>
      <c r="Z1034" s="97"/>
      <c r="AA1034" s="97"/>
      <c r="AB1034" s="97"/>
      <c r="AC1034" s="75">
        <v>1</v>
      </c>
      <c r="AD1034" s="75">
        <f>+AH1034</f>
        <v>0</v>
      </c>
      <c r="AE1034" s="592"/>
      <c r="AF1034" s="259"/>
      <c r="AG1034" s="75">
        <v>30250</v>
      </c>
      <c r="AH1034" s="370">
        <v>0</v>
      </c>
      <c r="AI1034" s="75"/>
      <c r="AJ1034" s="75"/>
      <c r="AK1034" s="75"/>
      <c r="AL1034" s="75"/>
      <c r="AM1034" s="75"/>
      <c r="AN1034" s="64" t="s">
        <v>181</v>
      </c>
      <c r="AO1034" s="637"/>
      <c r="AP1034" s="637"/>
      <c r="AQ1034" s="637"/>
      <c r="AR1034" s="637"/>
      <c r="AS1034" s="637"/>
      <c r="AT1034" s="637"/>
      <c r="AU1034" s="652"/>
      <c r="AV1034" s="640" t="s">
        <v>780</v>
      </c>
    </row>
    <row r="1035" spans="1:48" ht="15" customHeight="1" outlineLevel="3" x14ac:dyDescent="0.25">
      <c r="A1035" s="63" t="str">
        <f t="shared" si="207"/>
        <v>3.12.1.1.16.0</v>
      </c>
      <c r="B1035" s="64">
        <v>3</v>
      </c>
      <c r="C1035" s="64">
        <v>12</v>
      </c>
      <c r="D1035" s="64">
        <v>1</v>
      </c>
      <c r="E1035" s="64">
        <v>1</v>
      </c>
      <c r="F1035" s="64">
        <v>16</v>
      </c>
      <c r="G1035" s="64">
        <v>0</v>
      </c>
      <c r="H1035" s="65"/>
      <c r="I1035" s="65"/>
      <c r="J1035" s="66"/>
      <c r="K1035" s="65" t="s">
        <v>1870</v>
      </c>
      <c r="L1035" s="64" t="s">
        <v>72</v>
      </c>
      <c r="M1035" s="64" t="s">
        <v>267</v>
      </c>
      <c r="N1035" s="64" t="s">
        <v>265</v>
      </c>
      <c r="O1035" s="64" t="s">
        <v>1160</v>
      </c>
      <c r="P1035" s="69">
        <v>44221</v>
      </c>
      <c r="Q1035" s="69">
        <v>44542</v>
      </c>
      <c r="R1035" s="64">
        <v>12</v>
      </c>
      <c r="S1035" s="65" t="s">
        <v>267</v>
      </c>
      <c r="T1035" s="64">
        <v>3</v>
      </c>
      <c r="U1035" s="75">
        <f>$AH$1035/4</f>
        <v>1913790.63</v>
      </c>
      <c r="V1035" s="684">
        <v>0</v>
      </c>
      <c r="W1035" s="97">
        <v>3</v>
      </c>
      <c r="X1035" s="75">
        <f>$AH$1035/4</f>
        <v>1913790.63</v>
      </c>
      <c r="Y1035" s="834">
        <f t="shared" si="214"/>
        <v>0</v>
      </c>
      <c r="Z1035" s="97">
        <v>3</v>
      </c>
      <c r="AA1035" s="75">
        <f>$AH$1035/4</f>
        <v>1913790.63</v>
      </c>
      <c r="AB1035" s="75"/>
      <c r="AC1035" s="75">
        <v>3</v>
      </c>
      <c r="AD1035" s="75">
        <f>$AH$1035/4</f>
        <v>1913790.63</v>
      </c>
      <c r="AE1035" s="592"/>
      <c r="AF1035" s="259"/>
      <c r="AG1035" s="75">
        <v>7655162.5199999996</v>
      </c>
      <c r="AH1035" s="370">
        <v>7655162.5199999996</v>
      </c>
      <c r="AI1035" s="75"/>
      <c r="AJ1035" s="75"/>
      <c r="AK1035" s="75"/>
      <c r="AL1035" s="75"/>
      <c r="AM1035" s="75"/>
      <c r="AN1035" s="64" t="s">
        <v>181</v>
      </c>
      <c r="AO1035" s="637"/>
      <c r="AP1035" s="637"/>
      <c r="AQ1035" s="637"/>
      <c r="AR1035" s="637"/>
      <c r="AS1035" s="637"/>
      <c r="AT1035" s="637"/>
      <c r="AU1035" s="652"/>
      <c r="AV1035" s="185" t="s">
        <v>780</v>
      </c>
    </row>
    <row r="1036" spans="1:48" s="153" customFormat="1" ht="48" customHeight="1" outlineLevel="1" x14ac:dyDescent="0.25">
      <c r="A1036" s="148" t="str">
        <f t="shared" si="207"/>
        <v>3.12.1.2.0.0</v>
      </c>
      <c r="B1036" s="82">
        <v>3</v>
      </c>
      <c r="C1036" s="82">
        <v>12</v>
      </c>
      <c r="D1036" s="82">
        <v>1</v>
      </c>
      <c r="E1036" s="82">
        <v>2</v>
      </c>
      <c r="F1036" s="82">
        <v>0</v>
      </c>
      <c r="G1036" s="82">
        <v>0</v>
      </c>
      <c r="H1036" s="149"/>
      <c r="I1036" s="149"/>
      <c r="J1036" s="1260" t="s">
        <v>1178</v>
      </c>
      <c r="K1036" s="1259"/>
      <c r="L1036" s="82" t="s">
        <v>1179</v>
      </c>
      <c r="M1036" s="82" t="s">
        <v>1180</v>
      </c>
      <c r="N1036" s="83" t="s">
        <v>1181</v>
      </c>
      <c r="O1036" s="83" t="s">
        <v>1182</v>
      </c>
      <c r="P1036" s="82"/>
      <c r="Q1036" s="82"/>
      <c r="R1036" s="82"/>
      <c r="S1036" s="149"/>
      <c r="T1036" s="82"/>
      <c r="U1036" s="386">
        <f>+SUM(U1037:U1047)</f>
        <v>0</v>
      </c>
      <c r="V1036" s="685">
        <f>+SUM(V1037:V1047)</f>
        <v>0</v>
      </c>
      <c r="W1036" s="386">
        <f t="shared" ref="W1036:AG1036" si="216">+SUM(W1037:W1047)</f>
        <v>8</v>
      </c>
      <c r="X1036" s="386">
        <f t="shared" si="216"/>
        <v>0</v>
      </c>
      <c r="Y1036" s="847">
        <f t="shared" si="216"/>
        <v>0</v>
      </c>
      <c r="Z1036" s="386">
        <f t="shared" si="216"/>
        <v>0</v>
      </c>
      <c r="AA1036" s="386">
        <f t="shared" si="216"/>
        <v>0</v>
      </c>
      <c r="AB1036" s="386">
        <f t="shared" si="216"/>
        <v>0</v>
      </c>
      <c r="AC1036" s="386">
        <f t="shared" si="216"/>
        <v>11</v>
      </c>
      <c r="AD1036" s="386">
        <f t="shared" si="216"/>
        <v>0</v>
      </c>
      <c r="AE1036" s="386">
        <f t="shared" si="216"/>
        <v>0</v>
      </c>
      <c r="AF1036" s="386">
        <f t="shared" si="216"/>
        <v>0</v>
      </c>
      <c r="AG1036" s="386">
        <f t="shared" si="216"/>
        <v>0</v>
      </c>
      <c r="AH1036" s="386">
        <f>+SUM(AH1037:AH1047)</f>
        <v>0</v>
      </c>
      <c r="AI1036" s="218">
        <v>0</v>
      </c>
      <c r="AJ1036" s="218">
        <v>0</v>
      </c>
      <c r="AK1036" s="218"/>
      <c r="AL1036" s="218"/>
      <c r="AM1036" s="218"/>
      <c r="AN1036" s="82" t="s">
        <v>39</v>
      </c>
      <c r="AO1036" s="637"/>
      <c r="AP1036" s="637"/>
      <c r="AQ1036" s="637"/>
      <c r="AR1036" s="637"/>
      <c r="AS1036" s="637"/>
      <c r="AT1036" s="637"/>
      <c r="AU1036" s="652"/>
      <c r="AV1036" s="444"/>
    </row>
    <row r="1037" spans="1:48" ht="45" customHeight="1" outlineLevel="3" x14ac:dyDescent="0.25">
      <c r="A1037" s="63" t="str">
        <f t="shared" si="207"/>
        <v>3.12.1.2.1.0</v>
      </c>
      <c r="B1037" s="64">
        <v>3</v>
      </c>
      <c r="C1037" s="64">
        <v>12</v>
      </c>
      <c r="D1037" s="64">
        <v>1</v>
      </c>
      <c r="E1037" s="64">
        <v>2</v>
      </c>
      <c r="F1037" s="64">
        <v>1</v>
      </c>
      <c r="G1037" s="64">
        <v>0</v>
      </c>
      <c r="H1037" s="65"/>
      <c r="I1037" s="65"/>
      <c r="J1037" s="65"/>
      <c r="K1037" s="67" t="s">
        <v>1183</v>
      </c>
      <c r="L1037" s="64" t="s">
        <v>1082</v>
      </c>
      <c r="M1037" s="64" t="s">
        <v>299</v>
      </c>
      <c r="N1037" s="68" t="s">
        <v>1184</v>
      </c>
      <c r="O1037" s="64" t="s">
        <v>1185</v>
      </c>
      <c r="P1037" s="69">
        <v>44348</v>
      </c>
      <c r="Q1037" s="67" t="s">
        <v>1186</v>
      </c>
      <c r="R1037" s="67" t="s">
        <v>1187</v>
      </c>
      <c r="S1037" s="67" t="s">
        <v>1188</v>
      </c>
      <c r="T1037" s="64"/>
      <c r="U1037" s="75"/>
      <c r="V1037" s="684">
        <v>0</v>
      </c>
      <c r="W1037" s="75"/>
      <c r="X1037" s="75"/>
      <c r="Y1037" s="834">
        <f t="shared" ref="Y1037:Y1047" si="217">+AJ1037-V1037</f>
        <v>0</v>
      </c>
      <c r="Z1037" s="75"/>
      <c r="AA1037" s="75"/>
      <c r="AB1037" s="75"/>
      <c r="AC1037" s="75"/>
      <c r="AD1037" s="75"/>
      <c r="AE1037" s="592"/>
      <c r="AF1037" s="259"/>
      <c r="AG1037" s="510">
        <v>0</v>
      </c>
      <c r="AH1037" s="370">
        <v>0</v>
      </c>
      <c r="AI1037" s="75"/>
      <c r="AJ1037" s="75"/>
      <c r="AK1037" s="75"/>
      <c r="AL1037" s="75"/>
      <c r="AM1037" s="75"/>
      <c r="AN1037" s="64" t="s">
        <v>39</v>
      </c>
      <c r="AO1037" s="637"/>
      <c r="AP1037" s="637"/>
      <c r="AQ1037" s="637"/>
      <c r="AR1037" s="637"/>
      <c r="AS1037" s="637"/>
      <c r="AT1037" s="637"/>
      <c r="AU1037" s="652"/>
      <c r="AV1037" s="185"/>
    </row>
    <row r="1038" spans="1:48" ht="30" customHeight="1" outlineLevel="3" x14ac:dyDescent="0.25">
      <c r="A1038" s="63" t="str">
        <f t="shared" si="207"/>
        <v>3.12.1.2.2.0</v>
      </c>
      <c r="B1038" s="64">
        <v>3</v>
      </c>
      <c r="C1038" s="64">
        <v>12</v>
      </c>
      <c r="D1038" s="64">
        <v>1</v>
      </c>
      <c r="E1038" s="64">
        <v>2</v>
      </c>
      <c r="F1038" s="64">
        <v>2</v>
      </c>
      <c r="G1038" s="64">
        <v>0</v>
      </c>
      <c r="H1038" s="65"/>
      <c r="I1038" s="65"/>
      <c r="J1038" s="65"/>
      <c r="K1038" s="67" t="s">
        <v>1871</v>
      </c>
      <c r="L1038" s="64" t="s">
        <v>1082</v>
      </c>
      <c r="M1038" s="64" t="s">
        <v>299</v>
      </c>
      <c r="N1038" s="64" t="s">
        <v>910</v>
      </c>
      <c r="O1038" s="64" t="s">
        <v>1082</v>
      </c>
      <c r="P1038" s="171"/>
      <c r="Q1038" s="170"/>
      <c r="R1038" s="170"/>
      <c r="S1038" s="170"/>
      <c r="T1038" s="170"/>
      <c r="U1038" s="97"/>
      <c r="V1038" s="684">
        <v>0</v>
      </c>
      <c r="W1038" s="97"/>
      <c r="X1038" s="97"/>
      <c r="Y1038" s="834">
        <f t="shared" si="217"/>
        <v>0</v>
      </c>
      <c r="Z1038" s="97"/>
      <c r="AA1038" s="97"/>
      <c r="AB1038" s="97"/>
      <c r="AC1038" s="75"/>
      <c r="AD1038" s="75"/>
      <c r="AE1038" s="592"/>
      <c r="AF1038" s="353"/>
      <c r="AG1038" s="510">
        <v>0</v>
      </c>
      <c r="AH1038" s="370">
        <v>0</v>
      </c>
      <c r="AI1038" s="75"/>
      <c r="AJ1038" s="75"/>
      <c r="AK1038" s="75"/>
      <c r="AL1038" s="75"/>
      <c r="AM1038" s="75"/>
      <c r="AN1038" s="64" t="s">
        <v>39</v>
      </c>
      <c r="AO1038" s="543"/>
      <c r="AP1038" s="543"/>
      <c r="AQ1038" s="543"/>
      <c r="AR1038" s="543"/>
      <c r="AS1038" s="543"/>
      <c r="AT1038" s="543"/>
      <c r="AU1038" s="653"/>
      <c r="AV1038" s="185"/>
    </row>
    <row r="1039" spans="1:48" ht="33" customHeight="1" outlineLevel="3" x14ac:dyDescent="0.25">
      <c r="A1039" s="63" t="str">
        <f t="shared" si="207"/>
        <v>3.12.1.2.3.0</v>
      </c>
      <c r="B1039" s="64">
        <v>3</v>
      </c>
      <c r="C1039" s="64">
        <v>12</v>
      </c>
      <c r="D1039" s="64">
        <v>1</v>
      </c>
      <c r="E1039" s="64">
        <v>2</v>
      </c>
      <c r="F1039" s="64">
        <v>3</v>
      </c>
      <c r="G1039" s="64">
        <v>0</v>
      </c>
      <c r="H1039" s="65"/>
      <c r="I1039" s="65"/>
      <c r="J1039" s="66"/>
      <c r="K1039" s="67" t="s">
        <v>1189</v>
      </c>
      <c r="L1039" s="64" t="s">
        <v>208</v>
      </c>
      <c r="M1039" s="64" t="s">
        <v>767</v>
      </c>
      <c r="N1039" s="64" t="s">
        <v>198</v>
      </c>
      <c r="O1039" s="64" t="s">
        <v>241</v>
      </c>
      <c r="P1039" s="69">
        <v>44197</v>
      </c>
      <c r="Q1039" s="69">
        <v>44561</v>
      </c>
      <c r="R1039" s="64"/>
      <c r="S1039" s="65"/>
      <c r="T1039" s="64"/>
      <c r="U1039" s="75"/>
      <c r="V1039" s="684">
        <v>0</v>
      </c>
      <c r="W1039" s="75"/>
      <c r="X1039" s="75"/>
      <c r="Y1039" s="834">
        <f t="shared" si="217"/>
        <v>0</v>
      </c>
      <c r="Z1039" s="75"/>
      <c r="AA1039" s="75"/>
      <c r="AB1039" s="75"/>
      <c r="AC1039" s="75"/>
      <c r="AD1039" s="75"/>
      <c r="AE1039" s="592"/>
      <c r="AF1039" s="259"/>
      <c r="AG1039" s="510">
        <v>0</v>
      </c>
      <c r="AH1039" s="370">
        <v>0</v>
      </c>
      <c r="AI1039" s="75"/>
      <c r="AJ1039" s="75"/>
      <c r="AK1039" s="75"/>
      <c r="AL1039" s="75"/>
      <c r="AM1039" s="75"/>
      <c r="AN1039" s="64" t="s">
        <v>39</v>
      </c>
      <c r="AO1039" s="64"/>
      <c r="AP1039" s="64"/>
      <c r="AQ1039" s="189"/>
      <c r="AR1039" s="64"/>
      <c r="AS1039" s="476"/>
      <c r="AT1039" s="64"/>
      <c r="AU1039" s="646"/>
      <c r="AV1039" s="185"/>
    </row>
    <row r="1040" spans="1:48" ht="15" customHeight="1" outlineLevel="3" x14ac:dyDescent="0.25">
      <c r="A1040" s="63" t="str">
        <f t="shared" si="207"/>
        <v>3.12.1.2.4.0</v>
      </c>
      <c r="B1040" s="64">
        <v>3</v>
      </c>
      <c r="C1040" s="64">
        <v>12</v>
      </c>
      <c r="D1040" s="64">
        <v>1</v>
      </c>
      <c r="E1040" s="64">
        <v>2</v>
      </c>
      <c r="F1040" s="64">
        <v>4</v>
      </c>
      <c r="G1040" s="64">
        <v>0</v>
      </c>
      <c r="H1040" s="65"/>
      <c r="I1040" s="65"/>
      <c r="J1040" s="65"/>
      <c r="K1040" s="65" t="s">
        <v>1190</v>
      </c>
      <c r="L1040" s="64" t="s">
        <v>208</v>
      </c>
      <c r="M1040" s="64" t="s">
        <v>767</v>
      </c>
      <c r="N1040" s="64" t="s">
        <v>198</v>
      </c>
      <c r="O1040" s="64" t="s">
        <v>1191</v>
      </c>
      <c r="P1040" s="69">
        <v>44197</v>
      </c>
      <c r="Q1040" s="69">
        <v>44561</v>
      </c>
      <c r="R1040" s="64"/>
      <c r="S1040" s="65"/>
      <c r="T1040" s="64"/>
      <c r="U1040" s="75"/>
      <c r="V1040" s="684">
        <v>0</v>
      </c>
      <c r="W1040" s="75"/>
      <c r="X1040" s="75"/>
      <c r="Y1040" s="834">
        <f t="shared" si="217"/>
        <v>0</v>
      </c>
      <c r="Z1040" s="75"/>
      <c r="AA1040" s="75"/>
      <c r="AB1040" s="75"/>
      <c r="AC1040" s="75"/>
      <c r="AD1040" s="75"/>
      <c r="AE1040" s="592"/>
      <c r="AF1040" s="259"/>
      <c r="AG1040" s="510">
        <v>0</v>
      </c>
      <c r="AH1040" s="370">
        <v>0</v>
      </c>
      <c r="AI1040" s="75"/>
      <c r="AJ1040" s="75"/>
      <c r="AK1040" s="75"/>
      <c r="AL1040" s="75"/>
      <c r="AM1040" s="75"/>
      <c r="AN1040" s="64" t="s">
        <v>39</v>
      </c>
      <c r="AO1040" s="64"/>
      <c r="AP1040" s="64"/>
      <c r="AQ1040" s="189"/>
      <c r="AR1040" s="64"/>
      <c r="AS1040" s="476"/>
      <c r="AT1040" s="64"/>
      <c r="AU1040" s="646"/>
      <c r="AV1040" s="185"/>
    </row>
    <row r="1041" spans="1:48" ht="15" customHeight="1" outlineLevel="3" x14ac:dyDescent="0.25">
      <c r="A1041" s="63" t="str">
        <f t="shared" si="207"/>
        <v>3.12.1.2.5.0</v>
      </c>
      <c r="B1041" s="64">
        <v>3</v>
      </c>
      <c r="C1041" s="64">
        <v>12</v>
      </c>
      <c r="D1041" s="64">
        <v>1</v>
      </c>
      <c r="E1041" s="64">
        <v>2</v>
      </c>
      <c r="F1041" s="64">
        <v>5</v>
      </c>
      <c r="G1041" s="64">
        <v>0</v>
      </c>
      <c r="H1041" s="65"/>
      <c r="I1041" s="65"/>
      <c r="J1041" s="66"/>
      <c r="K1041" s="67" t="s">
        <v>1192</v>
      </c>
      <c r="L1041" s="64" t="s">
        <v>208</v>
      </c>
      <c r="M1041" s="64" t="s">
        <v>767</v>
      </c>
      <c r="N1041" s="64" t="s">
        <v>198</v>
      </c>
      <c r="O1041" s="64" t="s">
        <v>192</v>
      </c>
      <c r="P1041" s="69">
        <v>44197</v>
      </c>
      <c r="Q1041" s="69">
        <v>44561</v>
      </c>
      <c r="R1041" s="64"/>
      <c r="S1041" s="65"/>
      <c r="T1041" s="64"/>
      <c r="U1041" s="75"/>
      <c r="V1041" s="684">
        <v>0</v>
      </c>
      <c r="W1041" s="75"/>
      <c r="X1041" s="75"/>
      <c r="Y1041" s="834">
        <f t="shared" si="217"/>
        <v>0</v>
      </c>
      <c r="Z1041" s="75"/>
      <c r="AA1041" s="75"/>
      <c r="AB1041" s="75"/>
      <c r="AC1041" s="75"/>
      <c r="AD1041" s="75"/>
      <c r="AE1041" s="592"/>
      <c r="AF1041" s="259"/>
      <c r="AG1041" s="510">
        <v>0</v>
      </c>
      <c r="AH1041" s="370">
        <v>0</v>
      </c>
      <c r="AI1041" s="75"/>
      <c r="AJ1041" s="75"/>
      <c r="AK1041" s="75"/>
      <c r="AL1041" s="75"/>
      <c r="AM1041" s="75"/>
      <c r="AN1041" s="64" t="s">
        <v>39</v>
      </c>
      <c r="AO1041" s="64"/>
      <c r="AP1041" s="64"/>
      <c r="AQ1041" s="189"/>
      <c r="AR1041" s="64"/>
      <c r="AS1041" s="476"/>
      <c r="AT1041" s="64"/>
      <c r="AU1041" s="646"/>
      <c r="AV1041" s="185"/>
    </row>
    <row r="1042" spans="1:48" ht="15" customHeight="1" outlineLevel="3" x14ac:dyDescent="0.25">
      <c r="A1042" s="63" t="str">
        <f t="shared" si="207"/>
        <v>3.12.1.2.6.0</v>
      </c>
      <c r="B1042" s="64">
        <v>3</v>
      </c>
      <c r="C1042" s="64">
        <v>12</v>
      </c>
      <c r="D1042" s="64">
        <v>1</v>
      </c>
      <c r="E1042" s="64">
        <v>2</v>
      </c>
      <c r="F1042" s="64">
        <v>6</v>
      </c>
      <c r="G1042" s="64">
        <v>0</v>
      </c>
      <c r="H1042" s="65"/>
      <c r="I1042" s="65"/>
      <c r="J1042" s="65"/>
      <c r="K1042" s="65" t="s">
        <v>1193</v>
      </c>
      <c r="L1042" s="64" t="s">
        <v>208</v>
      </c>
      <c r="M1042" s="64" t="s">
        <v>767</v>
      </c>
      <c r="N1042" s="64" t="s">
        <v>198</v>
      </c>
      <c r="O1042" s="64" t="s">
        <v>192</v>
      </c>
      <c r="P1042" s="69">
        <v>44197</v>
      </c>
      <c r="Q1042" s="69">
        <v>44561</v>
      </c>
      <c r="R1042" s="64"/>
      <c r="S1042" s="65"/>
      <c r="T1042" s="64"/>
      <c r="U1042" s="75"/>
      <c r="V1042" s="684">
        <v>0</v>
      </c>
      <c r="W1042" s="75"/>
      <c r="X1042" s="75"/>
      <c r="Y1042" s="834">
        <f t="shared" si="217"/>
        <v>0</v>
      </c>
      <c r="Z1042" s="75"/>
      <c r="AA1042" s="75"/>
      <c r="AB1042" s="75"/>
      <c r="AC1042" s="75"/>
      <c r="AD1042" s="75"/>
      <c r="AE1042" s="592"/>
      <c r="AF1042" s="259"/>
      <c r="AG1042" s="510">
        <v>0</v>
      </c>
      <c r="AH1042" s="370">
        <v>0</v>
      </c>
      <c r="AI1042" s="75"/>
      <c r="AJ1042" s="75"/>
      <c r="AK1042" s="75"/>
      <c r="AL1042" s="75"/>
      <c r="AM1042" s="75"/>
      <c r="AN1042" s="64" t="s">
        <v>39</v>
      </c>
      <c r="AO1042" s="64"/>
      <c r="AP1042" s="64"/>
      <c r="AQ1042" s="189"/>
      <c r="AR1042" s="64"/>
      <c r="AS1042" s="476"/>
      <c r="AT1042" s="64"/>
      <c r="AU1042" s="646"/>
      <c r="AV1042" s="185"/>
    </row>
    <row r="1043" spans="1:48" ht="15" customHeight="1" outlineLevel="3" x14ac:dyDescent="0.25">
      <c r="A1043" s="63" t="str">
        <f t="shared" si="207"/>
        <v>3.12.1.2.7.0</v>
      </c>
      <c r="B1043" s="64">
        <v>3</v>
      </c>
      <c r="C1043" s="64">
        <v>12</v>
      </c>
      <c r="D1043" s="64">
        <v>1</v>
      </c>
      <c r="E1043" s="64">
        <v>2</v>
      </c>
      <c r="F1043" s="64">
        <v>7</v>
      </c>
      <c r="G1043" s="64">
        <v>0</v>
      </c>
      <c r="H1043" s="65"/>
      <c r="I1043" s="65"/>
      <c r="J1043" s="66"/>
      <c r="K1043" s="65" t="s">
        <v>1194</v>
      </c>
      <c r="L1043" s="64" t="s">
        <v>208</v>
      </c>
      <c r="M1043" s="64" t="s">
        <v>1195</v>
      </c>
      <c r="N1043" s="64" t="s">
        <v>198</v>
      </c>
      <c r="O1043" s="64" t="s">
        <v>359</v>
      </c>
      <c r="P1043" s="69">
        <v>44197</v>
      </c>
      <c r="Q1043" s="69">
        <v>44561</v>
      </c>
      <c r="R1043" s="64">
        <f>T1043+W1043+Z1043+AC1043</f>
        <v>2</v>
      </c>
      <c r="S1043" s="65" t="s">
        <v>760</v>
      </c>
      <c r="T1043" s="64">
        <v>1</v>
      </c>
      <c r="U1043" s="75"/>
      <c r="V1043" s="684">
        <v>0</v>
      </c>
      <c r="W1043" s="75">
        <v>0</v>
      </c>
      <c r="X1043" s="75"/>
      <c r="Y1043" s="834">
        <f t="shared" si="217"/>
        <v>0</v>
      </c>
      <c r="Z1043" s="75">
        <v>0</v>
      </c>
      <c r="AA1043" s="75"/>
      <c r="AB1043" s="75"/>
      <c r="AC1043" s="75">
        <v>1</v>
      </c>
      <c r="AD1043" s="75"/>
      <c r="AE1043" s="592"/>
      <c r="AF1043" s="259" t="s">
        <v>765</v>
      </c>
      <c r="AG1043" s="510">
        <v>0</v>
      </c>
      <c r="AH1043" s="370">
        <v>0</v>
      </c>
      <c r="AI1043" s="75"/>
      <c r="AJ1043" s="75"/>
      <c r="AK1043" s="75"/>
      <c r="AL1043" s="75"/>
      <c r="AM1043" s="75"/>
      <c r="AN1043" s="64" t="s">
        <v>39</v>
      </c>
      <c r="AO1043" s="64"/>
      <c r="AP1043" s="64"/>
      <c r="AQ1043" s="189"/>
      <c r="AR1043" s="64"/>
      <c r="AS1043" s="476"/>
      <c r="AT1043" s="64"/>
      <c r="AU1043" s="646"/>
      <c r="AV1043" s="185"/>
    </row>
    <row r="1044" spans="1:48" ht="30" customHeight="1" outlineLevel="3" x14ac:dyDescent="0.25">
      <c r="A1044" s="63" t="str">
        <f t="shared" si="207"/>
        <v>3.12.1.2.8.0</v>
      </c>
      <c r="B1044" s="64">
        <v>3</v>
      </c>
      <c r="C1044" s="64">
        <v>12</v>
      </c>
      <c r="D1044" s="64">
        <v>1</v>
      </c>
      <c r="E1044" s="64">
        <v>2</v>
      </c>
      <c r="F1044" s="64">
        <v>8</v>
      </c>
      <c r="G1044" s="64">
        <v>0</v>
      </c>
      <c r="H1044" s="65"/>
      <c r="I1044" s="65"/>
      <c r="J1044" s="66"/>
      <c r="K1044" s="67" t="s">
        <v>1196</v>
      </c>
      <c r="L1044" s="64" t="s">
        <v>208</v>
      </c>
      <c r="M1044" s="64" t="s">
        <v>1195</v>
      </c>
      <c r="N1044" s="64" t="s">
        <v>198</v>
      </c>
      <c r="O1044" s="64" t="s">
        <v>359</v>
      </c>
      <c r="P1044" s="69">
        <v>44197</v>
      </c>
      <c r="Q1044" s="69">
        <v>44561</v>
      </c>
      <c r="R1044" s="64">
        <f>T1044+W1044+Z1044+AC1044</f>
        <v>2</v>
      </c>
      <c r="S1044" s="65" t="s">
        <v>760</v>
      </c>
      <c r="T1044" s="64">
        <v>1</v>
      </c>
      <c r="U1044" s="75"/>
      <c r="V1044" s="684">
        <v>0</v>
      </c>
      <c r="W1044" s="75">
        <v>0</v>
      </c>
      <c r="X1044" s="75"/>
      <c r="Y1044" s="834">
        <f t="shared" si="217"/>
        <v>0</v>
      </c>
      <c r="Z1044" s="75">
        <v>0</v>
      </c>
      <c r="AA1044" s="75"/>
      <c r="AB1044" s="75"/>
      <c r="AC1044" s="75">
        <v>1</v>
      </c>
      <c r="AD1044" s="75"/>
      <c r="AE1044" s="592"/>
      <c r="AF1044" s="259" t="s">
        <v>765</v>
      </c>
      <c r="AG1044" s="510">
        <v>0</v>
      </c>
      <c r="AH1044" s="370">
        <v>0</v>
      </c>
      <c r="AI1044" s="75"/>
      <c r="AJ1044" s="75"/>
      <c r="AK1044" s="75"/>
      <c r="AL1044" s="75"/>
      <c r="AM1044" s="75"/>
      <c r="AN1044" s="64" t="s">
        <v>39</v>
      </c>
      <c r="AO1044" s="64"/>
      <c r="AP1044" s="64"/>
      <c r="AQ1044" s="189"/>
      <c r="AR1044" s="64"/>
      <c r="AS1044" s="476"/>
      <c r="AT1044" s="64"/>
      <c r="AU1044" s="646"/>
      <c r="AV1044" s="185"/>
    </row>
    <row r="1045" spans="1:48" ht="15" customHeight="1" outlineLevel="3" x14ac:dyDescent="0.25">
      <c r="A1045" s="63" t="str">
        <f t="shared" si="207"/>
        <v>3.12.1.2.9.0</v>
      </c>
      <c r="B1045" s="64">
        <v>3</v>
      </c>
      <c r="C1045" s="64">
        <v>12</v>
      </c>
      <c r="D1045" s="64">
        <v>1</v>
      </c>
      <c r="E1045" s="64">
        <v>2</v>
      </c>
      <c r="F1045" s="64">
        <v>9</v>
      </c>
      <c r="G1045" s="64">
        <v>0</v>
      </c>
      <c r="H1045" s="65"/>
      <c r="I1045" s="65"/>
      <c r="J1045" s="66"/>
      <c r="K1045" s="65" t="s">
        <v>1197</v>
      </c>
      <c r="L1045" s="64" t="s">
        <v>208</v>
      </c>
      <c r="M1045" s="64" t="s">
        <v>1195</v>
      </c>
      <c r="N1045" s="64" t="s">
        <v>198</v>
      </c>
      <c r="O1045" s="64" t="s">
        <v>359</v>
      </c>
      <c r="P1045" s="69">
        <v>44197</v>
      </c>
      <c r="Q1045" s="69">
        <v>44561</v>
      </c>
      <c r="R1045" s="64">
        <f>T1045+W1045+Z1045+AC1045</f>
        <v>2</v>
      </c>
      <c r="S1045" s="65" t="s">
        <v>760</v>
      </c>
      <c r="T1045" s="64">
        <v>1</v>
      </c>
      <c r="U1045" s="75"/>
      <c r="V1045" s="684">
        <v>0</v>
      </c>
      <c r="W1045" s="75">
        <v>0</v>
      </c>
      <c r="X1045" s="75"/>
      <c r="Y1045" s="834">
        <f t="shared" si="217"/>
        <v>0</v>
      </c>
      <c r="Z1045" s="75">
        <v>0</v>
      </c>
      <c r="AA1045" s="75"/>
      <c r="AB1045" s="75"/>
      <c r="AC1045" s="75">
        <v>1</v>
      </c>
      <c r="AD1045" s="75"/>
      <c r="AE1045" s="592"/>
      <c r="AF1045" s="259" t="s">
        <v>765</v>
      </c>
      <c r="AG1045" s="510">
        <v>0</v>
      </c>
      <c r="AH1045" s="370">
        <v>0</v>
      </c>
      <c r="AI1045" s="75"/>
      <c r="AJ1045" s="75"/>
      <c r="AK1045" s="75"/>
      <c r="AL1045" s="75"/>
      <c r="AM1045" s="75"/>
      <c r="AN1045" s="64" t="s">
        <v>39</v>
      </c>
      <c r="AO1045" s="64"/>
      <c r="AP1045" s="64"/>
      <c r="AQ1045" s="189"/>
      <c r="AR1045" s="64"/>
      <c r="AS1045" s="476"/>
      <c r="AT1045" s="64"/>
      <c r="AU1045" s="646"/>
      <c r="AV1045" s="185"/>
    </row>
    <row r="1046" spans="1:48" ht="15" customHeight="1" outlineLevel="3" x14ac:dyDescent="0.25">
      <c r="A1046" s="63" t="str">
        <f t="shared" si="207"/>
        <v>3.12.1.2.10.0</v>
      </c>
      <c r="B1046" s="64">
        <v>3</v>
      </c>
      <c r="C1046" s="64">
        <v>12</v>
      </c>
      <c r="D1046" s="64">
        <v>1</v>
      </c>
      <c r="E1046" s="64">
        <v>2</v>
      </c>
      <c r="F1046" s="64">
        <v>10</v>
      </c>
      <c r="G1046" s="64">
        <v>0</v>
      </c>
      <c r="H1046" s="65"/>
      <c r="I1046" s="65"/>
      <c r="J1046" s="66"/>
      <c r="K1046" s="65" t="s">
        <v>1198</v>
      </c>
      <c r="L1046" s="64" t="s">
        <v>208</v>
      </c>
      <c r="M1046" s="64" t="s">
        <v>1195</v>
      </c>
      <c r="N1046" s="68" t="s">
        <v>1199</v>
      </c>
      <c r="O1046" s="64" t="s">
        <v>359</v>
      </c>
      <c r="P1046" s="69">
        <v>44197</v>
      </c>
      <c r="Q1046" s="69">
        <v>44561</v>
      </c>
      <c r="R1046" s="64">
        <f>T1046+W1046+Z1046+AC1046</f>
        <v>14</v>
      </c>
      <c r="S1046" s="65" t="s">
        <v>760</v>
      </c>
      <c r="T1046" s="64">
        <v>0</v>
      </c>
      <c r="U1046" s="75"/>
      <c r="V1046" s="684">
        <v>0</v>
      </c>
      <c r="W1046" s="75">
        <v>7</v>
      </c>
      <c r="X1046" s="75"/>
      <c r="Y1046" s="834">
        <f t="shared" si="217"/>
        <v>0</v>
      </c>
      <c r="Z1046" s="75">
        <v>0</v>
      </c>
      <c r="AA1046" s="75"/>
      <c r="AB1046" s="75"/>
      <c r="AC1046" s="75">
        <v>7</v>
      </c>
      <c r="AD1046" s="75"/>
      <c r="AE1046" s="592"/>
      <c r="AF1046" s="259" t="s">
        <v>761</v>
      </c>
      <c r="AG1046" s="510">
        <v>0</v>
      </c>
      <c r="AH1046" s="370">
        <v>0</v>
      </c>
      <c r="AI1046" s="75"/>
      <c r="AJ1046" s="75"/>
      <c r="AK1046" s="75"/>
      <c r="AL1046" s="75"/>
      <c r="AM1046" s="75"/>
      <c r="AN1046" s="64" t="s">
        <v>39</v>
      </c>
      <c r="AO1046" s="64"/>
      <c r="AP1046" s="64"/>
      <c r="AQ1046" s="189"/>
      <c r="AR1046" s="64"/>
      <c r="AS1046" s="476"/>
      <c r="AT1046" s="64"/>
      <c r="AU1046" s="646"/>
      <c r="AV1046" s="185"/>
    </row>
    <row r="1047" spans="1:48" ht="15" customHeight="1" outlineLevel="3" x14ac:dyDescent="0.25">
      <c r="A1047" s="63" t="str">
        <f t="shared" si="207"/>
        <v>3.12.1.2.11.0</v>
      </c>
      <c r="B1047" s="64">
        <v>3</v>
      </c>
      <c r="C1047" s="64">
        <v>12</v>
      </c>
      <c r="D1047" s="64">
        <v>1</v>
      </c>
      <c r="E1047" s="64">
        <v>2</v>
      </c>
      <c r="F1047" s="64">
        <v>11</v>
      </c>
      <c r="G1047" s="64">
        <v>0</v>
      </c>
      <c r="H1047" s="65"/>
      <c r="I1047" s="65"/>
      <c r="J1047" s="66"/>
      <c r="K1047" s="65" t="s">
        <v>1200</v>
      </c>
      <c r="L1047" s="64" t="s">
        <v>208</v>
      </c>
      <c r="M1047" s="64" t="s">
        <v>767</v>
      </c>
      <c r="N1047" s="64" t="s">
        <v>764</v>
      </c>
      <c r="O1047" s="64" t="s">
        <v>359</v>
      </c>
      <c r="P1047" s="69">
        <v>44197</v>
      </c>
      <c r="Q1047" s="69">
        <v>44561</v>
      </c>
      <c r="R1047" s="64">
        <f>T1047+W1047+Z1047+AC1047</f>
        <v>2</v>
      </c>
      <c r="S1047" s="65" t="s">
        <v>1201</v>
      </c>
      <c r="T1047" s="64">
        <v>0</v>
      </c>
      <c r="U1047" s="75"/>
      <c r="V1047" s="684">
        <v>0</v>
      </c>
      <c r="W1047" s="75">
        <v>1</v>
      </c>
      <c r="X1047" s="75"/>
      <c r="Y1047" s="834">
        <f t="shared" si="217"/>
        <v>0</v>
      </c>
      <c r="Z1047" s="75">
        <v>0</v>
      </c>
      <c r="AA1047" s="75"/>
      <c r="AB1047" s="75"/>
      <c r="AC1047" s="75">
        <v>1</v>
      </c>
      <c r="AD1047" s="75"/>
      <c r="AE1047" s="592"/>
      <c r="AF1047" s="259" t="s">
        <v>761</v>
      </c>
      <c r="AG1047" s="510">
        <v>0</v>
      </c>
      <c r="AH1047" s="370">
        <v>0</v>
      </c>
      <c r="AI1047" s="75"/>
      <c r="AJ1047" s="75"/>
      <c r="AK1047" s="75"/>
      <c r="AL1047" s="75"/>
      <c r="AM1047" s="75"/>
      <c r="AN1047" s="64" t="s">
        <v>39</v>
      </c>
      <c r="AO1047" s="64"/>
      <c r="AP1047" s="64"/>
      <c r="AQ1047" s="189"/>
      <c r="AR1047" s="64"/>
      <c r="AS1047" s="476"/>
      <c r="AT1047" s="64"/>
      <c r="AU1047" s="646"/>
      <c r="AV1047" s="185"/>
    </row>
    <row r="1048" spans="1:48" s="153" customFormat="1" ht="15" customHeight="1" outlineLevel="1" x14ac:dyDescent="0.25">
      <c r="A1048" s="148" t="str">
        <f t="shared" si="207"/>
        <v>3.12.1.3.0.0</v>
      </c>
      <c r="B1048" s="82">
        <v>3</v>
      </c>
      <c r="C1048" s="82">
        <v>12</v>
      </c>
      <c r="D1048" s="82">
        <v>1</v>
      </c>
      <c r="E1048" s="82">
        <v>3</v>
      </c>
      <c r="F1048" s="82">
        <v>0</v>
      </c>
      <c r="G1048" s="82">
        <v>0</v>
      </c>
      <c r="H1048" s="149"/>
      <c r="I1048" s="149"/>
      <c r="J1048" s="1260" t="s">
        <v>1202</v>
      </c>
      <c r="K1048" s="1259"/>
      <c r="L1048" s="82" t="s">
        <v>359</v>
      </c>
      <c r="M1048" s="82" t="s">
        <v>767</v>
      </c>
      <c r="N1048" s="82" t="s">
        <v>226</v>
      </c>
      <c r="O1048" s="82" t="s">
        <v>1203</v>
      </c>
      <c r="P1048" s="82"/>
      <c r="Q1048" s="82"/>
      <c r="R1048" s="82"/>
      <c r="S1048" s="149"/>
      <c r="T1048" s="82"/>
      <c r="U1048" s="209">
        <f>SUM(U1049:U1050)</f>
        <v>300000</v>
      </c>
      <c r="V1048" s="683">
        <f>SUM(V1049:V1050)</f>
        <v>1108239.8400000001</v>
      </c>
      <c r="W1048" s="386">
        <f t="shared" ref="W1048:AI1048" si="218">+SUM(W1049:W1050)</f>
        <v>1</v>
      </c>
      <c r="X1048" s="386">
        <f t="shared" si="218"/>
        <v>17718868.379999999</v>
      </c>
      <c r="Y1048" s="847">
        <f t="shared" si="218"/>
        <v>628871.29999999993</v>
      </c>
      <c r="Z1048" s="386">
        <f t="shared" si="218"/>
        <v>1</v>
      </c>
      <c r="AA1048" s="386">
        <f t="shared" si="218"/>
        <v>300000</v>
      </c>
      <c r="AB1048" s="386">
        <f t="shared" si="218"/>
        <v>0</v>
      </c>
      <c r="AC1048" s="386">
        <f t="shared" si="218"/>
        <v>1</v>
      </c>
      <c r="AD1048" s="386">
        <f t="shared" si="218"/>
        <v>8045538.9299999997</v>
      </c>
      <c r="AE1048" s="386">
        <f t="shared" si="218"/>
        <v>0</v>
      </c>
      <c r="AF1048" s="386">
        <f t="shared" si="218"/>
        <v>0</v>
      </c>
      <c r="AG1048" s="386">
        <f t="shared" si="218"/>
        <v>27255363.57</v>
      </c>
      <c r="AH1048" s="386">
        <f t="shared" si="218"/>
        <v>26364407.309999999</v>
      </c>
      <c r="AI1048" s="522">
        <f t="shared" si="218"/>
        <v>0</v>
      </c>
      <c r="AJ1048" s="522">
        <f>+SUM(AJ1049:AJ1050)</f>
        <v>1737111.1400000001</v>
      </c>
      <c r="AK1048" s="218"/>
      <c r="AL1048" s="218"/>
      <c r="AM1048" s="218"/>
      <c r="AN1048" s="82" t="s">
        <v>39</v>
      </c>
      <c r="AO1048" s="82"/>
      <c r="AP1048" s="82"/>
      <c r="AQ1048" s="365"/>
      <c r="AR1048" s="82"/>
      <c r="AS1048" s="483"/>
      <c r="AT1048" s="82"/>
      <c r="AU1048" s="666"/>
      <c r="AV1048" s="444"/>
    </row>
    <row r="1049" spans="1:48" s="107" customFormat="1" ht="15" customHeight="1" outlineLevel="2" x14ac:dyDescent="0.25">
      <c r="A1049" s="63" t="str">
        <f t="shared" si="207"/>
        <v>3.12.1.3.1.0</v>
      </c>
      <c r="B1049" s="100">
        <v>3</v>
      </c>
      <c r="C1049" s="100">
        <v>12</v>
      </c>
      <c r="D1049" s="100">
        <v>1</v>
      </c>
      <c r="E1049" s="100">
        <v>3</v>
      </c>
      <c r="F1049" s="100">
        <v>1</v>
      </c>
      <c r="G1049" s="100">
        <v>0</v>
      </c>
      <c r="H1049" s="101"/>
      <c r="I1049" s="101"/>
      <c r="J1049" s="101"/>
      <c r="K1049" s="101" t="s">
        <v>1982</v>
      </c>
      <c r="L1049" s="100" t="s">
        <v>910</v>
      </c>
      <c r="M1049" s="100" t="s">
        <v>299</v>
      </c>
      <c r="N1049" s="100" t="s">
        <v>910</v>
      </c>
      <c r="O1049" s="100" t="s">
        <v>1204</v>
      </c>
      <c r="P1049" s="815">
        <v>44562</v>
      </c>
      <c r="Q1049" s="815">
        <v>44920</v>
      </c>
      <c r="R1049" s="710">
        <v>0</v>
      </c>
      <c r="S1049" s="710" t="s">
        <v>299</v>
      </c>
      <c r="T1049" s="710">
        <v>0</v>
      </c>
      <c r="U1049" s="254"/>
      <c r="V1049" s="684">
        <v>1108239.8400000001</v>
      </c>
      <c r="W1049" s="254">
        <v>1</v>
      </c>
      <c r="X1049" s="580">
        <v>17718868.379999999</v>
      </c>
      <c r="Y1049" s="834">
        <f>+AJ1049-V1049</f>
        <v>0</v>
      </c>
      <c r="Z1049" s="254">
        <v>0</v>
      </c>
      <c r="AA1049" s="254"/>
      <c r="AB1049" s="254"/>
      <c r="AC1049" s="254">
        <v>1</v>
      </c>
      <c r="AD1049" s="254">
        <f>+AH1049-X1049</f>
        <v>8045538.9299999997</v>
      </c>
      <c r="AE1049" s="609"/>
      <c r="AF1049" s="814" t="s">
        <v>1205</v>
      </c>
      <c r="AG1049" s="707">
        <v>26364407.309999999</v>
      </c>
      <c r="AH1049" s="706">
        <v>25764407.309999999</v>
      </c>
      <c r="AI1049" s="707"/>
      <c r="AJ1049" s="684">
        <v>1108239.8400000001</v>
      </c>
      <c r="AK1049" s="325"/>
      <c r="AL1049" s="325"/>
      <c r="AM1049" s="325"/>
      <c r="AN1049" s="165" t="s">
        <v>39</v>
      </c>
      <c r="AO1049" s="64"/>
      <c r="AP1049" s="64"/>
      <c r="AQ1049" s="64"/>
      <c r="AR1049" s="64"/>
      <c r="AS1049" s="64"/>
      <c r="AT1049" s="64"/>
      <c r="AU1049" s="646">
        <v>552</v>
      </c>
      <c r="AV1049" s="709" t="s">
        <v>1984</v>
      </c>
    </row>
    <row r="1050" spans="1:48" s="107" customFormat="1" ht="15" customHeight="1" outlineLevel="2" x14ac:dyDescent="0.25">
      <c r="A1050" s="63" t="str">
        <f t="shared" si="207"/>
        <v>3.12.1.3.2.0</v>
      </c>
      <c r="B1050" s="100">
        <v>3</v>
      </c>
      <c r="C1050" s="100">
        <v>12</v>
      </c>
      <c r="D1050" s="100">
        <v>1</v>
      </c>
      <c r="E1050" s="100">
        <v>3</v>
      </c>
      <c r="F1050" s="100">
        <v>2</v>
      </c>
      <c r="G1050" s="100">
        <v>0</v>
      </c>
      <c r="H1050" s="101"/>
      <c r="I1050" s="101"/>
      <c r="J1050" s="102"/>
      <c r="K1050" s="101" t="s">
        <v>1983</v>
      </c>
      <c r="L1050" s="100" t="s">
        <v>910</v>
      </c>
      <c r="M1050" s="100" t="s">
        <v>299</v>
      </c>
      <c r="N1050" s="100" t="s">
        <v>910</v>
      </c>
      <c r="O1050" s="100" t="s">
        <v>72</v>
      </c>
      <c r="P1050" s="104">
        <v>44197</v>
      </c>
      <c r="Q1050" s="104">
        <v>44555</v>
      </c>
      <c r="R1050" s="100">
        <v>2</v>
      </c>
      <c r="S1050" s="101" t="s">
        <v>299</v>
      </c>
      <c r="T1050" s="100">
        <v>1</v>
      </c>
      <c r="U1050" s="742">
        <f>$AH$1050/2</f>
        <v>300000</v>
      </c>
      <c r="V1050" s="684">
        <v>0</v>
      </c>
      <c r="W1050" s="78">
        <v>0</v>
      </c>
      <c r="X1050" s="78"/>
      <c r="Y1050" s="834">
        <f>+AJ1050-V1050</f>
        <v>628871.29999999993</v>
      </c>
      <c r="Z1050" s="78">
        <v>1</v>
      </c>
      <c r="AA1050" s="742">
        <f>$AH$1050/2</f>
        <v>300000</v>
      </c>
      <c r="AB1050" s="254"/>
      <c r="AC1050" s="255">
        <v>0</v>
      </c>
      <c r="AD1050" s="256"/>
      <c r="AE1050" s="610"/>
      <c r="AF1050" s="364"/>
      <c r="AG1050" s="708">
        <v>890956.26</v>
      </c>
      <c r="AH1050" s="706">
        <v>600000</v>
      </c>
      <c r="AI1050" s="322"/>
      <c r="AJ1050" s="322">
        <f>188043.22+188926.24+251901.84</f>
        <v>628871.29999999993</v>
      </c>
      <c r="AK1050" s="325"/>
      <c r="AL1050" s="325"/>
      <c r="AM1050" s="325"/>
      <c r="AN1050" s="165" t="s">
        <v>39</v>
      </c>
      <c r="AO1050" s="64" t="s">
        <v>1819</v>
      </c>
      <c r="AP1050" s="64" t="s">
        <v>2021</v>
      </c>
      <c r="AQ1050" s="64" t="s">
        <v>2048</v>
      </c>
      <c r="AR1050" s="64"/>
      <c r="AS1050" s="64"/>
      <c r="AT1050" s="64" t="s">
        <v>2047</v>
      </c>
      <c r="AU1050" s="879" t="s">
        <v>2173</v>
      </c>
      <c r="AV1050" s="456" t="s">
        <v>2046</v>
      </c>
    </row>
    <row r="1051" spans="1:48" s="153" customFormat="1" ht="15" customHeight="1" outlineLevel="1" x14ac:dyDescent="0.25">
      <c r="A1051" s="148" t="str">
        <f t="shared" si="207"/>
        <v>3.12.1.4.0.0</v>
      </c>
      <c r="B1051" s="82">
        <v>3</v>
      </c>
      <c r="C1051" s="82">
        <v>12</v>
      </c>
      <c r="D1051" s="82">
        <v>1</v>
      </c>
      <c r="E1051" s="82">
        <v>4</v>
      </c>
      <c r="F1051" s="82">
        <v>0</v>
      </c>
      <c r="G1051" s="82">
        <v>0</v>
      </c>
      <c r="H1051" s="149"/>
      <c r="I1051" s="149"/>
      <c r="J1051" s="1260" t="s">
        <v>1207</v>
      </c>
      <c r="K1051" s="1259"/>
      <c r="L1051" s="82" t="s">
        <v>1124</v>
      </c>
      <c r="M1051" s="82" t="s">
        <v>299</v>
      </c>
      <c r="N1051" s="82" t="s">
        <v>910</v>
      </c>
      <c r="O1051" s="82" t="s">
        <v>444</v>
      </c>
      <c r="P1051" s="82"/>
      <c r="Q1051" s="82"/>
      <c r="R1051" s="82">
        <v>2</v>
      </c>
      <c r="S1051" s="149"/>
      <c r="T1051" s="82"/>
      <c r="U1051" s="386">
        <f t="shared" ref="U1051:AG1051" si="219">+SUM(U1052)</f>
        <v>0</v>
      </c>
      <c r="V1051" s="685">
        <f t="shared" si="219"/>
        <v>0</v>
      </c>
      <c r="W1051" s="386">
        <f t="shared" si="219"/>
        <v>0</v>
      </c>
      <c r="X1051" s="386">
        <f t="shared" si="219"/>
        <v>0</v>
      </c>
      <c r="Y1051" s="847">
        <f t="shared" si="219"/>
        <v>0</v>
      </c>
      <c r="Z1051" s="386">
        <f t="shared" si="219"/>
        <v>0</v>
      </c>
      <c r="AA1051" s="386">
        <f t="shared" si="219"/>
        <v>0</v>
      </c>
      <c r="AB1051" s="386">
        <f t="shared" si="219"/>
        <v>0</v>
      </c>
      <c r="AC1051" s="386">
        <f t="shared" si="219"/>
        <v>0</v>
      </c>
      <c r="AD1051" s="386">
        <f t="shared" si="219"/>
        <v>0</v>
      </c>
      <c r="AE1051" s="386">
        <f t="shared" si="219"/>
        <v>0</v>
      </c>
      <c r="AF1051" s="386">
        <f t="shared" si="219"/>
        <v>0</v>
      </c>
      <c r="AG1051" s="386">
        <f t="shared" si="219"/>
        <v>0</v>
      </c>
      <c r="AH1051" s="386">
        <f>+SUM(AH1052)</f>
        <v>0</v>
      </c>
      <c r="AI1051" s="522">
        <f>+SUM(AI1052)</f>
        <v>0</v>
      </c>
      <c r="AJ1051" s="522">
        <f>+SUM(AJ1052)</f>
        <v>0</v>
      </c>
      <c r="AK1051" s="218"/>
      <c r="AL1051" s="218"/>
      <c r="AM1051" s="218"/>
      <c r="AN1051" s="82" t="s">
        <v>39</v>
      </c>
      <c r="AO1051" s="82"/>
      <c r="AP1051" s="82"/>
      <c r="AQ1051" s="365"/>
      <c r="AR1051" s="82"/>
      <c r="AS1051" s="483"/>
      <c r="AT1051" s="82"/>
      <c r="AU1051" s="666"/>
      <c r="AV1051" s="444"/>
    </row>
    <row r="1052" spans="1:48" ht="15" customHeight="1" outlineLevel="2" x14ac:dyDescent="0.25">
      <c r="A1052" s="63" t="str">
        <f t="shared" si="207"/>
        <v>3.12.1.4.1.0</v>
      </c>
      <c r="B1052" s="64">
        <v>3</v>
      </c>
      <c r="C1052" s="64">
        <v>12</v>
      </c>
      <c r="D1052" s="64">
        <v>1</v>
      </c>
      <c r="E1052" s="64">
        <v>4</v>
      </c>
      <c r="F1052" s="64">
        <v>1</v>
      </c>
      <c r="G1052" s="64">
        <v>0</v>
      </c>
      <c r="H1052" s="65"/>
      <c r="I1052" s="65"/>
      <c r="J1052" s="66"/>
      <c r="K1052" s="65" t="s">
        <v>1206</v>
      </c>
      <c r="L1052" s="64" t="s">
        <v>1124</v>
      </c>
      <c r="M1052" s="64" t="s">
        <v>299</v>
      </c>
      <c r="N1052" s="64" t="s">
        <v>910</v>
      </c>
      <c r="O1052" s="64" t="s">
        <v>444</v>
      </c>
      <c r="P1052" s="69">
        <v>44197</v>
      </c>
      <c r="Q1052" s="69">
        <v>44561</v>
      </c>
      <c r="R1052" s="64">
        <v>0</v>
      </c>
      <c r="S1052" s="65"/>
      <c r="T1052" s="64"/>
      <c r="U1052" s="75"/>
      <c r="V1052" s="684">
        <v>0</v>
      </c>
      <c r="W1052" s="75"/>
      <c r="X1052" s="75"/>
      <c r="Y1052" s="859">
        <f>+AJ1052-V1052</f>
        <v>0</v>
      </c>
      <c r="Z1052" s="75"/>
      <c r="AA1052" s="75"/>
      <c r="AB1052" s="75"/>
      <c r="AC1052" s="97"/>
      <c r="AD1052" s="97"/>
      <c r="AE1052" s="591"/>
      <c r="AF1052" s="259"/>
      <c r="AG1052" s="524">
        <v>0</v>
      </c>
      <c r="AH1052" s="388">
        <v>0</v>
      </c>
      <c r="AI1052" s="258"/>
      <c r="AJ1052" s="258"/>
      <c r="AK1052" s="258"/>
      <c r="AL1052" s="258"/>
      <c r="AM1052" s="258"/>
      <c r="AN1052" s="64" t="s">
        <v>39</v>
      </c>
      <c r="AO1052" s="64"/>
      <c r="AP1052" s="64"/>
      <c r="AQ1052" s="189"/>
      <c r="AR1052" s="64"/>
      <c r="AS1052" s="476"/>
      <c r="AT1052" s="64"/>
      <c r="AU1052" s="646"/>
      <c r="AV1052" s="185"/>
    </row>
    <row r="1053" spans="1:48" s="153" customFormat="1" ht="15" customHeight="1" outlineLevel="1" x14ac:dyDescent="0.25">
      <c r="A1053" s="148" t="str">
        <f t="shared" si="207"/>
        <v>3.12.1.5.0.0</v>
      </c>
      <c r="B1053" s="82">
        <v>3</v>
      </c>
      <c r="C1053" s="82">
        <v>12</v>
      </c>
      <c r="D1053" s="82">
        <v>1</v>
      </c>
      <c r="E1053" s="82">
        <v>5</v>
      </c>
      <c r="F1053" s="82">
        <v>0</v>
      </c>
      <c r="G1053" s="82">
        <v>0</v>
      </c>
      <c r="H1053" s="149"/>
      <c r="I1053" s="149"/>
      <c r="J1053" s="1260" t="s">
        <v>1208</v>
      </c>
      <c r="K1053" s="1259"/>
      <c r="L1053" s="82" t="s">
        <v>910</v>
      </c>
      <c r="M1053" s="82" t="s">
        <v>767</v>
      </c>
      <c r="N1053" s="82" t="s">
        <v>767</v>
      </c>
      <c r="O1053" s="82" t="s">
        <v>359</v>
      </c>
      <c r="P1053" s="82"/>
      <c r="Q1053" s="82"/>
      <c r="R1053" s="82"/>
      <c r="S1053" s="149"/>
      <c r="T1053" s="82"/>
      <c r="U1053" s="386">
        <f t="shared" ref="U1053:AG1053" si="220">+SUM(U1054)</f>
        <v>0</v>
      </c>
      <c r="V1053" s="685">
        <f t="shared" si="220"/>
        <v>0</v>
      </c>
      <c r="W1053" s="386">
        <f t="shared" si="220"/>
        <v>2</v>
      </c>
      <c r="X1053" s="386">
        <f t="shared" si="220"/>
        <v>1575719.2</v>
      </c>
      <c r="Y1053" s="847">
        <f t="shared" si="220"/>
        <v>1575719.2</v>
      </c>
      <c r="Z1053" s="386">
        <f t="shared" si="220"/>
        <v>0</v>
      </c>
      <c r="AA1053" s="386">
        <f t="shared" si="220"/>
        <v>0</v>
      </c>
      <c r="AB1053" s="386">
        <f t="shared" si="220"/>
        <v>0</v>
      </c>
      <c r="AC1053" s="386">
        <f t="shared" si="220"/>
        <v>0</v>
      </c>
      <c r="AD1053" s="386">
        <f t="shared" si="220"/>
        <v>0</v>
      </c>
      <c r="AE1053" s="386">
        <f t="shared" si="220"/>
        <v>0</v>
      </c>
      <c r="AF1053" s="386">
        <f t="shared" si="220"/>
        <v>0</v>
      </c>
      <c r="AG1053" s="386">
        <f t="shared" si="220"/>
        <v>0</v>
      </c>
      <c r="AH1053" s="386">
        <f>+SUM(AH1054)</f>
        <v>1575719.2</v>
      </c>
      <c r="AI1053" s="522">
        <f>+SUM(AI1054)</f>
        <v>0</v>
      </c>
      <c r="AJ1053" s="522">
        <f>+SUM(AJ1054)</f>
        <v>1575719.2</v>
      </c>
      <c r="AK1053" s="218"/>
      <c r="AL1053" s="218"/>
      <c r="AM1053" s="218"/>
      <c r="AN1053" s="82" t="s">
        <v>39</v>
      </c>
      <c r="AO1053" s="82"/>
      <c r="AP1053" s="82"/>
      <c r="AQ1053" s="365"/>
      <c r="AR1053" s="82"/>
      <c r="AS1053" s="483"/>
      <c r="AT1053" s="82"/>
      <c r="AU1053" s="666"/>
      <c r="AV1053" s="444"/>
    </row>
    <row r="1054" spans="1:48" ht="30" customHeight="1" outlineLevel="3" x14ac:dyDescent="0.25">
      <c r="A1054" s="63" t="str">
        <f t="shared" si="207"/>
        <v>3.12.1.5.1.0</v>
      </c>
      <c r="B1054" s="64">
        <v>3</v>
      </c>
      <c r="C1054" s="64">
        <v>12</v>
      </c>
      <c r="D1054" s="64">
        <v>1</v>
      </c>
      <c r="E1054" s="64">
        <v>5</v>
      </c>
      <c r="F1054" s="64">
        <v>1</v>
      </c>
      <c r="G1054" s="64">
        <v>0</v>
      </c>
      <c r="H1054" s="65"/>
      <c r="I1054" s="65"/>
      <c r="J1054" s="66"/>
      <c r="K1054" s="65" t="s">
        <v>1209</v>
      </c>
      <c r="L1054" s="64" t="s">
        <v>910</v>
      </c>
      <c r="M1054" s="64" t="s">
        <v>767</v>
      </c>
      <c r="N1054" s="64" t="s">
        <v>1210</v>
      </c>
      <c r="O1054" s="64" t="s">
        <v>359</v>
      </c>
      <c r="P1054" s="69"/>
      <c r="Q1054" s="69"/>
      <c r="R1054" s="64">
        <v>2</v>
      </c>
      <c r="S1054" s="65" t="s">
        <v>299</v>
      </c>
      <c r="T1054" s="64">
        <v>2</v>
      </c>
      <c r="U1054" s="75"/>
      <c r="V1054" s="684">
        <v>0</v>
      </c>
      <c r="W1054" s="75">
        <v>2</v>
      </c>
      <c r="X1054" s="75">
        <v>1575719.2</v>
      </c>
      <c r="Y1054" s="834">
        <f>+AJ1054-V1054</f>
        <v>1575719.2</v>
      </c>
      <c r="Z1054" s="75"/>
      <c r="AA1054" s="75"/>
      <c r="AB1054" s="75"/>
      <c r="AC1054" s="97"/>
      <c r="AD1054" s="97"/>
      <c r="AE1054" s="591"/>
      <c r="AF1054" s="343" t="s">
        <v>1211</v>
      </c>
      <c r="AG1054" s="510">
        <v>0</v>
      </c>
      <c r="AH1054" s="370">
        <v>1575719.2</v>
      </c>
      <c r="AI1054" s="75"/>
      <c r="AJ1054" s="75">
        <v>1575719.2</v>
      </c>
      <c r="AK1054" s="75"/>
      <c r="AL1054" s="75"/>
      <c r="AM1054" s="75"/>
      <c r="AN1054" s="64" t="s">
        <v>39</v>
      </c>
      <c r="AO1054" s="64" t="s">
        <v>1819</v>
      </c>
      <c r="AP1054" s="64" t="s">
        <v>2030</v>
      </c>
      <c r="AQ1054" s="189" t="s">
        <v>2032</v>
      </c>
      <c r="AR1054" s="64">
        <v>2020</v>
      </c>
      <c r="AS1054" s="476">
        <v>2022</v>
      </c>
      <c r="AT1054" s="69">
        <v>44661</v>
      </c>
      <c r="AU1054" s="879">
        <v>792</v>
      </c>
      <c r="AV1054" s="335" t="s">
        <v>2031</v>
      </c>
    </row>
    <row r="1055" spans="1:48" s="153" customFormat="1" ht="53.25" customHeight="1" outlineLevel="1" x14ac:dyDescent="0.25">
      <c r="A1055" s="148" t="str">
        <f t="shared" si="207"/>
        <v>3.12.1.6.0.0</v>
      </c>
      <c r="B1055" s="82">
        <v>3</v>
      </c>
      <c r="C1055" s="82">
        <v>12</v>
      </c>
      <c r="D1055" s="82">
        <v>1</v>
      </c>
      <c r="E1055" s="82">
        <v>6</v>
      </c>
      <c r="F1055" s="82">
        <v>0</v>
      </c>
      <c r="G1055" s="82">
        <v>0</v>
      </c>
      <c r="H1055" s="149"/>
      <c r="I1055" s="149"/>
      <c r="J1055" s="1289" t="s">
        <v>1213</v>
      </c>
      <c r="K1055" s="1290"/>
      <c r="L1055" s="82" t="s">
        <v>72</v>
      </c>
      <c r="M1055" s="82" t="s">
        <v>73</v>
      </c>
      <c r="N1055" s="82" t="s">
        <v>74</v>
      </c>
      <c r="O1055" s="82" t="s">
        <v>38</v>
      </c>
      <c r="P1055" s="82"/>
      <c r="Q1055" s="82"/>
      <c r="R1055" s="82"/>
      <c r="S1055" s="149"/>
      <c r="T1055" s="82"/>
      <c r="U1055" s="386">
        <f t="shared" ref="U1055:AG1055" si="221">+SUM(U1056:U1099)</f>
        <v>5613928.6850000005</v>
      </c>
      <c r="V1055" s="685">
        <f t="shared" si="221"/>
        <v>3615032.8299999996</v>
      </c>
      <c r="W1055" s="386">
        <f t="shared" si="221"/>
        <v>14</v>
      </c>
      <c r="X1055" s="386">
        <f t="shared" si="221"/>
        <v>3597928.6850000001</v>
      </c>
      <c r="Y1055" s="847">
        <f t="shared" si="221"/>
        <v>9842391.8499999996</v>
      </c>
      <c r="Z1055" s="386">
        <f t="shared" si="221"/>
        <v>15</v>
      </c>
      <c r="AA1055" s="386">
        <f t="shared" si="221"/>
        <v>3547928.6850000001</v>
      </c>
      <c r="AB1055" s="386">
        <f t="shared" si="221"/>
        <v>0</v>
      </c>
      <c r="AC1055" s="386">
        <f t="shared" si="221"/>
        <v>8</v>
      </c>
      <c r="AD1055" s="386">
        <f t="shared" si="221"/>
        <v>1863892.855</v>
      </c>
      <c r="AE1055" s="386">
        <f t="shared" si="221"/>
        <v>0</v>
      </c>
      <c r="AF1055" s="386">
        <f t="shared" si="221"/>
        <v>0</v>
      </c>
      <c r="AG1055" s="386">
        <f t="shared" si="221"/>
        <v>16370983.680000002</v>
      </c>
      <c r="AH1055" s="386">
        <f>+SUM(AH1056:AH1099)</f>
        <v>14443678.91</v>
      </c>
      <c r="AI1055" s="386">
        <f t="shared" ref="AI1055" si="222">+SUM(AI1056:AI1099)</f>
        <v>0</v>
      </c>
      <c r="AJ1055" s="386">
        <f>+SUM(AJ1056:AJ1099)</f>
        <v>13457424.68</v>
      </c>
      <c r="AK1055" s="522">
        <f t="shared" ref="AK1055:AM1055" si="223">+SUM(AK1056:AK1098)</f>
        <v>0</v>
      </c>
      <c r="AL1055" s="522">
        <f t="shared" si="223"/>
        <v>0</v>
      </c>
      <c r="AM1055" s="522">
        <f t="shared" si="223"/>
        <v>0</v>
      </c>
      <c r="AN1055" s="82" t="s">
        <v>1157</v>
      </c>
      <c r="AO1055" s="82"/>
      <c r="AP1055" s="82"/>
      <c r="AQ1055" s="365"/>
      <c r="AR1055" s="82"/>
      <c r="AS1055" s="483"/>
      <c r="AT1055" s="82"/>
      <c r="AU1055" s="666"/>
      <c r="AV1055" s="449" t="s">
        <v>1214</v>
      </c>
    </row>
    <row r="1056" spans="1:48" ht="15" customHeight="1" outlineLevel="2" x14ac:dyDescent="0.25">
      <c r="A1056" s="63" t="str">
        <f t="shared" si="207"/>
        <v>3.12.1.6.1.0</v>
      </c>
      <c r="B1056" s="64">
        <v>3</v>
      </c>
      <c r="C1056" s="64">
        <v>12</v>
      </c>
      <c r="D1056" s="64">
        <v>1</v>
      </c>
      <c r="E1056" s="64">
        <v>6</v>
      </c>
      <c r="F1056" s="64">
        <v>1</v>
      </c>
      <c r="G1056" s="64">
        <v>0</v>
      </c>
      <c r="H1056" s="65"/>
      <c r="I1056" s="65"/>
      <c r="J1056" s="65"/>
      <c r="K1056" s="65" t="s">
        <v>1215</v>
      </c>
      <c r="L1056" s="64" t="s">
        <v>72</v>
      </c>
      <c r="M1056" s="64" t="s">
        <v>73</v>
      </c>
      <c r="N1056" s="64" t="s">
        <v>74</v>
      </c>
      <c r="O1056" s="64" t="s">
        <v>38</v>
      </c>
      <c r="P1056" s="69"/>
      <c r="Q1056" s="69"/>
      <c r="R1056" s="64">
        <v>1</v>
      </c>
      <c r="S1056" s="65" t="s">
        <v>76</v>
      </c>
      <c r="T1056" s="64">
        <v>1</v>
      </c>
      <c r="U1056" s="155"/>
      <c r="V1056" s="684">
        <v>0</v>
      </c>
      <c r="W1056" s="155"/>
      <c r="X1056" s="155"/>
      <c r="Y1056" s="834">
        <f t="shared" ref="Y1056:Y1099" si="224">+AJ1056-V1056</f>
        <v>656675.9</v>
      </c>
      <c r="Z1056" s="155"/>
      <c r="AA1056" s="155"/>
      <c r="AB1056" s="155"/>
      <c r="AC1056" s="172"/>
      <c r="AD1056" s="172"/>
      <c r="AE1056" s="612"/>
      <c r="AF1056" s="259"/>
      <c r="AG1056" s="506">
        <v>0</v>
      </c>
      <c r="AH1056" s="370">
        <v>0</v>
      </c>
      <c r="AI1056" s="75"/>
      <c r="AJ1056" s="75">
        <v>656675.9</v>
      </c>
      <c r="AK1056" s="75"/>
      <c r="AL1056" s="75"/>
      <c r="AM1056" s="75"/>
      <c r="AN1056" s="64" t="s">
        <v>39</v>
      </c>
      <c r="AO1056" s="64" t="s">
        <v>1819</v>
      </c>
      <c r="AP1056" s="64" t="s">
        <v>2196</v>
      </c>
      <c r="AQ1056" s="189" t="s">
        <v>2197</v>
      </c>
      <c r="AR1056" s="69">
        <v>44678</v>
      </c>
      <c r="AS1056" s="865">
        <v>44708</v>
      </c>
      <c r="AT1056" s="69">
        <v>44693</v>
      </c>
      <c r="AU1056" s="879">
        <v>1181</v>
      </c>
      <c r="AV1056" s="454" t="s">
        <v>1015</v>
      </c>
    </row>
    <row r="1057" spans="1:48" ht="15" customHeight="1" outlineLevel="2" x14ac:dyDescent="0.25">
      <c r="A1057" s="63" t="str">
        <f t="shared" si="207"/>
        <v>3.12.1.6.2.0</v>
      </c>
      <c r="B1057" s="64">
        <v>3</v>
      </c>
      <c r="C1057" s="64">
        <v>12</v>
      </c>
      <c r="D1057" s="64">
        <v>1</v>
      </c>
      <c r="E1057" s="64">
        <v>6</v>
      </c>
      <c r="F1057" s="64">
        <v>2</v>
      </c>
      <c r="G1057" s="64">
        <v>0</v>
      </c>
      <c r="H1057" s="65"/>
      <c r="I1057" s="65"/>
      <c r="J1057" s="66"/>
      <c r="K1057" s="65" t="s">
        <v>1216</v>
      </c>
      <c r="L1057" s="64" t="s">
        <v>72</v>
      </c>
      <c r="M1057" s="64" t="s">
        <v>73</v>
      </c>
      <c r="N1057" s="64" t="s">
        <v>74</v>
      </c>
      <c r="O1057" s="64" t="s">
        <v>38</v>
      </c>
      <c r="P1057" s="69"/>
      <c r="Q1057" s="69"/>
      <c r="R1057" s="64">
        <v>2</v>
      </c>
      <c r="S1057" s="65" t="s">
        <v>76</v>
      </c>
      <c r="T1057" s="64">
        <v>1</v>
      </c>
      <c r="U1057" s="155">
        <f>+AH1057/2</f>
        <v>0</v>
      </c>
      <c r="V1057" s="684">
        <v>0</v>
      </c>
      <c r="W1057" s="155">
        <v>1</v>
      </c>
      <c r="X1057" s="155">
        <f>+AH1057/2</f>
        <v>0</v>
      </c>
      <c r="Y1057" s="834">
        <f t="shared" si="224"/>
        <v>0</v>
      </c>
      <c r="Z1057" s="155"/>
      <c r="AA1057" s="155"/>
      <c r="AB1057" s="155"/>
      <c r="AC1057" s="172"/>
      <c r="AD1057" s="172"/>
      <c r="AE1057" s="612"/>
      <c r="AF1057" s="259" t="s">
        <v>166</v>
      </c>
      <c r="AG1057" s="506">
        <v>1638726.22</v>
      </c>
      <c r="AH1057" s="370">
        <v>0</v>
      </c>
      <c r="AI1057" s="75"/>
      <c r="AJ1057" s="75"/>
      <c r="AK1057" s="75"/>
      <c r="AL1057" s="75"/>
      <c r="AM1057" s="75"/>
      <c r="AN1057" s="64" t="s">
        <v>39</v>
      </c>
      <c r="AO1057" s="64"/>
      <c r="AP1057" s="64"/>
      <c r="AQ1057" s="189"/>
      <c r="AR1057" s="64"/>
      <c r="AS1057" s="476"/>
      <c r="AT1057" s="64"/>
      <c r="AU1057" s="646"/>
      <c r="AV1057" s="454" t="s">
        <v>1217</v>
      </c>
    </row>
    <row r="1058" spans="1:48" ht="15.75" outlineLevel="2" x14ac:dyDescent="0.25">
      <c r="A1058" s="63" t="str">
        <f t="shared" si="207"/>
        <v>3.12.1.6.3.0</v>
      </c>
      <c r="B1058" s="64">
        <v>3</v>
      </c>
      <c r="C1058" s="64">
        <v>12</v>
      </c>
      <c r="D1058" s="64">
        <v>1</v>
      </c>
      <c r="E1058" s="64">
        <v>6</v>
      </c>
      <c r="F1058" s="64">
        <v>3</v>
      </c>
      <c r="G1058" s="64">
        <v>0</v>
      </c>
      <c r="H1058" s="65"/>
      <c r="I1058" s="65"/>
      <c r="J1058" s="66"/>
      <c r="K1058" s="65" t="s">
        <v>869</v>
      </c>
      <c r="L1058" s="64" t="s">
        <v>72</v>
      </c>
      <c r="M1058" s="64" t="s">
        <v>73</v>
      </c>
      <c r="N1058" s="64" t="s">
        <v>74</v>
      </c>
      <c r="O1058" s="64" t="s">
        <v>38</v>
      </c>
      <c r="P1058" s="69"/>
      <c r="Q1058" s="64"/>
      <c r="R1058" s="64"/>
      <c r="S1058" s="65"/>
      <c r="T1058" s="64"/>
      <c r="U1058" s="155">
        <f>+AH1058</f>
        <v>1836000</v>
      </c>
      <c r="V1058" s="684">
        <v>0</v>
      </c>
      <c r="W1058" s="155"/>
      <c r="X1058" s="155"/>
      <c r="Y1058" s="834">
        <f t="shared" si="224"/>
        <v>1200000</v>
      </c>
      <c r="Z1058" s="155"/>
      <c r="AA1058" s="155"/>
      <c r="AB1058" s="155"/>
      <c r="AC1058" s="172"/>
      <c r="AD1058" s="172"/>
      <c r="AE1058" s="612"/>
      <c r="AF1058" s="259"/>
      <c r="AG1058" s="506">
        <v>1836000</v>
      </c>
      <c r="AH1058" s="370">
        <v>1836000</v>
      </c>
      <c r="AI1058" s="75"/>
      <c r="AJ1058" s="777">
        <f>350000+850000</f>
        <v>1200000</v>
      </c>
      <c r="AK1058" s="75"/>
      <c r="AL1058" s="75"/>
      <c r="AM1058" s="75"/>
      <c r="AN1058" s="64" t="s">
        <v>39</v>
      </c>
      <c r="AO1058" s="313" t="s">
        <v>1819</v>
      </c>
      <c r="AP1058" s="313" t="s">
        <v>2160</v>
      </c>
      <c r="AQ1058" s="408" t="s">
        <v>2161</v>
      </c>
      <c r="AR1058" s="69">
        <v>44658</v>
      </c>
      <c r="AS1058" s="562">
        <v>45023</v>
      </c>
      <c r="AT1058" s="89" t="s">
        <v>2029</v>
      </c>
      <c r="AU1058" s="883" t="s">
        <v>2162</v>
      </c>
      <c r="AV1058" s="457" t="s">
        <v>1218</v>
      </c>
    </row>
    <row r="1059" spans="1:48" outlineLevel="2" x14ac:dyDescent="0.25">
      <c r="A1059" s="63" t="str">
        <f t="shared" si="207"/>
        <v>3.12.1.6.4.0</v>
      </c>
      <c r="B1059" s="64">
        <v>3</v>
      </c>
      <c r="C1059" s="64">
        <v>12</v>
      </c>
      <c r="D1059" s="64">
        <v>1</v>
      </c>
      <c r="E1059" s="64">
        <v>6</v>
      </c>
      <c r="F1059" s="64">
        <v>4</v>
      </c>
      <c r="G1059" s="64">
        <v>0</v>
      </c>
      <c r="H1059" s="65"/>
      <c r="I1059" s="65"/>
      <c r="J1059" s="66"/>
      <c r="K1059" s="65" t="s">
        <v>1219</v>
      </c>
      <c r="L1059" s="64" t="s">
        <v>72</v>
      </c>
      <c r="M1059" s="64" t="s">
        <v>73</v>
      </c>
      <c r="N1059" s="64" t="s">
        <v>74</v>
      </c>
      <c r="O1059" s="64" t="s">
        <v>38</v>
      </c>
      <c r="P1059" s="64"/>
      <c r="Q1059" s="64"/>
      <c r="R1059" s="64"/>
      <c r="S1059" s="65"/>
      <c r="T1059" s="64"/>
      <c r="U1059" s="636">
        <f>+$AH$1059/4</f>
        <v>109375</v>
      </c>
      <c r="V1059" s="684">
        <v>0</v>
      </c>
      <c r="W1059" s="155"/>
      <c r="X1059" s="636">
        <f>+$AH$1059/4</f>
        <v>109375</v>
      </c>
      <c r="Y1059" s="834">
        <f t="shared" si="224"/>
        <v>2357774.04</v>
      </c>
      <c r="Z1059" s="155"/>
      <c r="AA1059" s="636">
        <f>+$AH$1059/4</f>
        <v>109375</v>
      </c>
      <c r="AB1059" s="155"/>
      <c r="AC1059" s="172"/>
      <c r="AD1059" s="636">
        <f>+$AH$1059/4</f>
        <v>109375</v>
      </c>
      <c r="AE1059" s="599"/>
      <c r="AF1059" s="259"/>
      <c r="AG1059" s="506">
        <v>437500</v>
      </c>
      <c r="AH1059" s="370">
        <v>437500</v>
      </c>
      <c r="AI1059" s="75"/>
      <c r="AJ1059" s="75">
        <f>1682774.04+675000</f>
        <v>2357774.04</v>
      </c>
      <c r="AK1059" s="75"/>
      <c r="AL1059" s="75"/>
      <c r="AM1059" s="75"/>
      <c r="AN1059" s="64" t="s">
        <v>39</v>
      </c>
      <c r="AO1059" s="64" t="s">
        <v>1819</v>
      </c>
      <c r="AP1059" s="64"/>
      <c r="AQ1059" s="189"/>
      <c r="AR1059" s="64"/>
      <c r="AS1059" s="476"/>
      <c r="AT1059" s="64"/>
      <c r="AU1059" s="879" t="s">
        <v>2189</v>
      </c>
      <c r="AV1059" s="454"/>
    </row>
    <row r="1060" spans="1:48" ht="135" outlineLevel="2" x14ac:dyDescent="0.25">
      <c r="A1060" s="63" t="str">
        <f t="shared" si="207"/>
        <v>3.12.1.6.5.0</v>
      </c>
      <c r="B1060" s="64">
        <v>3</v>
      </c>
      <c r="C1060" s="64">
        <v>12</v>
      </c>
      <c r="D1060" s="64">
        <v>1</v>
      </c>
      <c r="E1060" s="64">
        <v>6</v>
      </c>
      <c r="F1060" s="64">
        <v>5</v>
      </c>
      <c r="G1060" s="64">
        <v>0</v>
      </c>
      <c r="H1060" s="65"/>
      <c r="I1060" s="65"/>
      <c r="J1060" s="66"/>
      <c r="K1060" s="67" t="s">
        <v>1220</v>
      </c>
      <c r="L1060" s="64" t="s">
        <v>72</v>
      </c>
      <c r="M1060" s="64" t="s">
        <v>73</v>
      </c>
      <c r="N1060" s="64" t="s">
        <v>74</v>
      </c>
      <c r="O1060" s="64" t="s">
        <v>38</v>
      </c>
      <c r="P1060" s="69"/>
      <c r="Q1060" s="69"/>
      <c r="R1060" s="64">
        <v>1</v>
      </c>
      <c r="S1060" s="65"/>
      <c r="T1060" s="64"/>
      <c r="U1060" s="155"/>
      <c r="V1060" s="684">
        <v>54267.38</v>
      </c>
      <c r="W1060" s="155">
        <v>2</v>
      </c>
      <c r="X1060" s="155"/>
      <c r="Y1060" s="834">
        <f t="shared" si="224"/>
        <v>74846.00999999998</v>
      </c>
      <c r="Z1060" s="155"/>
      <c r="AA1060" s="155"/>
      <c r="AB1060" s="155"/>
      <c r="AC1060" s="172"/>
      <c r="AD1060" s="172"/>
      <c r="AE1060" s="612"/>
      <c r="AF1060" s="259" t="s">
        <v>1221</v>
      </c>
      <c r="AG1060" s="506">
        <v>0</v>
      </c>
      <c r="AH1060" s="370">
        <v>0</v>
      </c>
      <c r="AI1060" s="75"/>
      <c r="AJ1060" s="75">
        <f>36455.52+17811.86+74846.01</f>
        <v>129113.38999999998</v>
      </c>
      <c r="AK1060" s="75"/>
      <c r="AL1060" s="75"/>
      <c r="AM1060" s="75"/>
      <c r="AN1060" s="64" t="s">
        <v>39</v>
      </c>
      <c r="AO1060" s="64" t="s">
        <v>1819</v>
      </c>
      <c r="AP1060" s="68" t="s">
        <v>2049</v>
      </c>
      <c r="AQ1060" s="189"/>
      <c r="AR1060" s="64"/>
      <c r="AS1060" s="476"/>
      <c r="AT1060" s="64"/>
      <c r="AU1060" s="877" t="s">
        <v>2050</v>
      </c>
      <c r="AV1060" s="583" t="s">
        <v>2051</v>
      </c>
    </row>
    <row r="1061" spans="1:48" ht="56.1" customHeight="1" outlineLevel="2" x14ac:dyDescent="0.25">
      <c r="A1061" s="63" t="str">
        <f t="shared" ref="A1061:A1310" si="225">CONCATENATE(B1061,".",C1061,".",D1061,".",E1061,".",F1061,".",G1061)</f>
        <v>3.12.1.6.6.0</v>
      </c>
      <c r="B1061" s="64">
        <v>3</v>
      </c>
      <c r="C1061" s="64">
        <v>12</v>
      </c>
      <c r="D1061" s="64">
        <v>1</v>
      </c>
      <c r="E1061" s="64">
        <v>6</v>
      </c>
      <c r="F1061" s="64">
        <v>6</v>
      </c>
      <c r="G1061" s="64">
        <v>0</v>
      </c>
      <c r="H1061" s="65"/>
      <c r="I1061" s="65"/>
      <c r="J1061" s="66"/>
      <c r="K1061" s="65" t="s">
        <v>1222</v>
      </c>
      <c r="L1061" s="64" t="s">
        <v>72</v>
      </c>
      <c r="M1061" s="64" t="s">
        <v>73</v>
      </c>
      <c r="N1061" s="64" t="s">
        <v>1223</v>
      </c>
      <c r="O1061" s="64" t="s">
        <v>38</v>
      </c>
      <c r="P1061" s="69"/>
      <c r="Q1061" s="69"/>
      <c r="R1061" s="64">
        <v>12</v>
      </c>
      <c r="S1061" s="65"/>
      <c r="T1061" s="64">
        <v>3</v>
      </c>
      <c r="U1061" s="155">
        <f>+AH1061/3</f>
        <v>1684035.83</v>
      </c>
      <c r="V1061" s="702">
        <v>1594473.38</v>
      </c>
      <c r="W1061" s="155">
        <v>3</v>
      </c>
      <c r="X1061" s="155">
        <f>+AH1061/3</f>
        <v>1684035.83</v>
      </c>
      <c r="Y1061" s="859">
        <f t="shared" si="224"/>
        <v>1438387.5499999998</v>
      </c>
      <c r="Z1061" s="155"/>
      <c r="AA1061" s="155">
        <f>+AH1061/3</f>
        <v>1684035.83</v>
      </c>
      <c r="AB1061" s="155"/>
      <c r="AC1061" s="172"/>
      <c r="AD1061" s="155"/>
      <c r="AE1061" s="599"/>
      <c r="AF1061" s="259" t="s">
        <v>1224</v>
      </c>
      <c r="AG1061" s="506">
        <v>5052107.49</v>
      </c>
      <c r="AH1061" s="370">
        <v>5052107.49</v>
      </c>
      <c r="AI1061" s="75"/>
      <c r="AJ1061" s="75">
        <f>502020.99+32309.57+488860.58+53425.67+38964.74+478891.83+478703.63+480007.18+479676.74</f>
        <v>3032860.9299999997</v>
      </c>
      <c r="AK1061" s="75"/>
      <c r="AL1061" s="75"/>
      <c r="AM1061" s="75"/>
      <c r="AN1061" s="64" t="s">
        <v>39</v>
      </c>
      <c r="AO1061" s="64" t="s">
        <v>1815</v>
      </c>
      <c r="AP1061" s="64" t="s">
        <v>649</v>
      </c>
      <c r="AQ1061" s="533" t="s">
        <v>649</v>
      </c>
      <c r="AR1061" s="69">
        <v>44592</v>
      </c>
      <c r="AS1061" s="554">
        <v>44926</v>
      </c>
      <c r="AT1061" s="64" t="s">
        <v>1814</v>
      </c>
      <c r="AU1061" s="875" t="s">
        <v>2107</v>
      </c>
      <c r="AV1061" s="443" t="s">
        <v>2017</v>
      </c>
    </row>
    <row r="1062" spans="1:48" ht="51" customHeight="1" outlineLevel="2" x14ac:dyDescent="0.25">
      <c r="A1062" s="63" t="str">
        <f t="shared" si="225"/>
        <v>3.12.1.6.7.0</v>
      </c>
      <c r="B1062" s="64">
        <v>3</v>
      </c>
      <c r="C1062" s="64">
        <v>12</v>
      </c>
      <c r="D1062" s="64">
        <v>1</v>
      </c>
      <c r="E1062" s="64">
        <v>6</v>
      </c>
      <c r="F1062" s="64">
        <v>7</v>
      </c>
      <c r="G1062" s="64">
        <v>0</v>
      </c>
      <c r="H1062" s="65"/>
      <c r="I1062" s="65"/>
      <c r="J1062" s="66"/>
      <c r="K1062" s="137" t="s">
        <v>1225</v>
      </c>
      <c r="L1062" s="64" t="s">
        <v>72</v>
      </c>
      <c r="M1062" s="64" t="s">
        <v>73</v>
      </c>
      <c r="N1062" s="64" t="s">
        <v>74</v>
      </c>
      <c r="O1062" s="64" t="s">
        <v>38</v>
      </c>
      <c r="P1062" s="69"/>
      <c r="Q1062" s="69"/>
      <c r="R1062" s="64"/>
      <c r="S1062" s="65"/>
      <c r="T1062" s="64"/>
      <c r="U1062" s="155">
        <f>+$AH$1062/4</f>
        <v>109375</v>
      </c>
      <c r="V1062" s="684">
        <v>0</v>
      </c>
      <c r="W1062" s="155"/>
      <c r="X1062" s="155">
        <f>+$AH$1062/4</f>
        <v>109375</v>
      </c>
      <c r="Y1062" s="858">
        <f t="shared" si="224"/>
        <v>0</v>
      </c>
      <c r="Z1062" s="155"/>
      <c r="AA1062" s="155">
        <f>+$AH$1062/4</f>
        <v>109375</v>
      </c>
      <c r="AB1062" s="155"/>
      <c r="AC1062" s="172"/>
      <c r="AD1062" s="155">
        <f>+$AH$1062/4</f>
        <v>109375</v>
      </c>
      <c r="AE1062" s="599"/>
      <c r="AF1062" s="355"/>
      <c r="AG1062" s="506">
        <v>437500</v>
      </c>
      <c r="AH1062" s="370">
        <v>437500</v>
      </c>
      <c r="AI1062" s="75"/>
      <c r="AJ1062" s="75"/>
      <c r="AK1062" s="75"/>
      <c r="AL1062" s="75"/>
      <c r="AM1062" s="75"/>
      <c r="AN1062" s="64" t="s">
        <v>39</v>
      </c>
      <c r="AO1062" s="64"/>
      <c r="AP1062" s="64"/>
      <c r="AQ1062" s="189"/>
      <c r="AR1062" s="64"/>
      <c r="AS1062" s="476"/>
      <c r="AT1062" s="64"/>
      <c r="AU1062" s="646"/>
      <c r="AV1062" s="335" t="s">
        <v>273</v>
      </c>
    </row>
    <row r="1063" spans="1:48" ht="120" outlineLevel="2" x14ac:dyDescent="0.25">
      <c r="A1063" s="63" t="str">
        <f t="shared" si="225"/>
        <v>3.12.1.6.8.0</v>
      </c>
      <c r="B1063" s="64">
        <v>3</v>
      </c>
      <c r="C1063" s="64">
        <v>12</v>
      </c>
      <c r="D1063" s="64">
        <v>1</v>
      </c>
      <c r="E1063" s="64">
        <v>6</v>
      </c>
      <c r="F1063" s="64">
        <v>8</v>
      </c>
      <c r="G1063" s="64">
        <v>0</v>
      </c>
      <c r="H1063" s="65"/>
      <c r="I1063" s="65"/>
      <c r="J1063" s="66"/>
      <c r="K1063" s="65" t="s">
        <v>1226</v>
      </c>
      <c r="L1063" s="64" t="s">
        <v>72</v>
      </c>
      <c r="M1063" s="64" t="s">
        <v>73</v>
      </c>
      <c r="N1063" s="64" t="s">
        <v>423</v>
      </c>
      <c r="O1063" s="64" t="s">
        <v>38</v>
      </c>
      <c r="P1063" s="64"/>
      <c r="Q1063" s="64"/>
      <c r="R1063" s="64"/>
      <c r="S1063" s="65"/>
      <c r="T1063" s="64"/>
      <c r="U1063" s="155">
        <v>350000</v>
      </c>
      <c r="V1063" s="702">
        <v>1542201.1</v>
      </c>
      <c r="W1063" s="155"/>
      <c r="X1063" s="155">
        <f>+(AH1063-U1063)/3</f>
        <v>350000</v>
      </c>
      <c r="Y1063" s="859">
        <f t="shared" si="224"/>
        <v>1262052.2800000003</v>
      </c>
      <c r="Z1063" s="155"/>
      <c r="AA1063" s="155">
        <f>+(AH1063-U1063)/3</f>
        <v>350000</v>
      </c>
      <c r="AB1063" s="155"/>
      <c r="AC1063" s="172"/>
      <c r="AD1063" s="155">
        <f>+(AH1063-U1063)/3</f>
        <v>350000</v>
      </c>
      <c r="AE1063" s="612"/>
      <c r="AF1063" s="348" t="s">
        <v>588</v>
      </c>
      <c r="AG1063" s="505">
        <v>1400000</v>
      </c>
      <c r="AH1063" s="370">
        <v>1400000</v>
      </c>
      <c r="AI1063" s="75"/>
      <c r="AJ1063" s="75">
        <f>205230.75+295653.13+1041317.22+149060.74+768050.56+275303.51+69637.47</f>
        <v>2804253.3800000004</v>
      </c>
      <c r="AK1063" s="75"/>
      <c r="AL1063" s="75"/>
      <c r="AM1063" s="75"/>
      <c r="AN1063" s="64" t="s">
        <v>39</v>
      </c>
      <c r="AO1063" s="64" t="s">
        <v>1815</v>
      </c>
      <c r="AP1063" s="64" t="s">
        <v>649</v>
      </c>
      <c r="AQ1063" s="533" t="s">
        <v>649</v>
      </c>
      <c r="AR1063" s="64" t="s">
        <v>649</v>
      </c>
      <c r="AS1063" s="533" t="s">
        <v>649</v>
      </c>
      <c r="AT1063" s="64" t="s">
        <v>1814</v>
      </c>
      <c r="AU1063" s="875" t="s">
        <v>2244</v>
      </c>
      <c r="AV1063" s="443" t="s">
        <v>2076</v>
      </c>
    </row>
    <row r="1064" spans="1:48" outlineLevel="2" x14ac:dyDescent="0.25">
      <c r="A1064" s="63" t="str">
        <f t="shared" si="225"/>
        <v>3.12.1.6.9.0</v>
      </c>
      <c r="B1064" s="64">
        <v>3</v>
      </c>
      <c r="C1064" s="64">
        <v>12</v>
      </c>
      <c r="D1064" s="64">
        <v>1</v>
      </c>
      <c r="E1064" s="64">
        <v>6</v>
      </c>
      <c r="F1064" s="64">
        <v>9</v>
      </c>
      <c r="G1064" s="64">
        <v>0</v>
      </c>
      <c r="H1064" s="65"/>
      <c r="I1064" s="65"/>
      <c r="J1064" s="66"/>
      <c r="K1064" s="65" t="s">
        <v>1227</v>
      </c>
      <c r="L1064" s="64" t="s">
        <v>72</v>
      </c>
      <c r="M1064" s="64" t="s">
        <v>73</v>
      </c>
      <c r="N1064" s="64" t="s">
        <v>74</v>
      </c>
      <c r="O1064" s="64" t="s">
        <v>38</v>
      </c>
      <c r="P1064" s="69"/>
      <c r="Q1064" s="69"/>
      <c r="R1064" s="64">
        <v>1</v>
      </c>
      <c r="S1064" s="65"/>
      <c r="T1064" s="64">
        <v>1</v>
      </c>
      <c r="U1064" s="155"/>
      <c r="V1064" s="684">
        <v>0</v>
      </c>
      <c r="W1064" s="155"/>
      <c r="X1064" s="155"/>
      <c r="Y1064" s="858">
        <f t="shared" si="224"/>
        <v>966997.02</v>
      </c>
      <c r="Z1064" s="155"/>
      <c r="AA1064" s="155"/>
      <c r="AB1064" s="155"/>
      <c r="AC1064" s="172"/>
      <c r="AD1064" s="172"/>
      <c r="AE1064" s="612"/>
      <c r="AF1064" s="259" t="s">
        <v>1228</v>
      </c>
      <c r="AG1064" s="506">
        <v>0</v>
      </c>
      <c r="AH1064" s="370">
        <v>0</v>
      </c>
      <c r="AI1064" s="75"/>
      <c r="AJ1064" s="75">
        <v>966997.02</v>
      </c>
      <c r="AK1064" s="75"/>
      <c r="AL1064" s="75"/>
      <c r="AM1064" s="75"/>
      <c r="AN1064" s="64" t="s">
        <v>39</v>
      </c>
      <c r="AO1064" s="64" t="s">
        <v>1819</v>
      </c>
      <c r="AP1064" s="64" t="s">
        <v>2195</v>
      </c>
      <c r="AQ1064" s="64" t="s">
        <v>2193</v>
      </c>
      <c r="AR1064" s="69">
        <v>44475</v>
      </c>
      <c r="AS1064" s="865">
        <v>44567</v>
      </c>
      <c r="AT1064" s="69">
        <v>44566</v>
      </c>
      <c r="AU1064" s="879">
        <v>1166</v>
      </c>
      <c r="AV1064" s="454" t="s">
        <v>2194</v>
      </c>
    </row>
    <row r="1065" spans="1:48" outlineLevel="2" x14ac:dyDescent="0.25">
      <c r="A1065" s="63" t="str">
        <f t="shared" si="225"/>
        <v>3.12.1.6.10.0</v>
      </c>
      <c r="B1065" s="64">
        <v>3</v>
      </c>
      <c r="C1065" s="64">
        <v>12</v>
      </c>
      <c r="D1065" s="64">
        <v>1</v>
      </c>
      <c r="E1065" s="64">
        <v>6</v>
      </c>
      <c r="F1065" s="64">
        <v>10</v>
      </c>
      <c r="G1065" s="64">
        <v>0</v>
      </c>
      <c r="H1065" s="65"/>
      <c r="I1065" s="65"/>
      <c r="J1065" s="66"/>
      <c r="K1065" s="65" t="s">
        <v>1229</v>
      </c>
      <c r="L1065" s="64" t="s">
        <v>72</v>
      </c>
      <c r="M1065" s="64" t="s">
        <v>73</v>
      </c>
      <c r="N1065" s="64" t="s">
        <v>74</v>
      </c>
      <c r="O1065" s="64" t="s">
        <v>38</v>
      </c>
      <c r="P1065" s="69"/>
      <c r="Q1065" s="69"/>
      <c r="R1065" s="64">
        <v>1</v>
      </c>
      <c r="S1065" s="65" t="s">
        <v>76</v>
      </c>
      <c r="T1065" s="64">
        <v>1</v>
      </c>
      <c r="U1065" s="75"/>
      <c r="V1065" s="684">
        <v>0</v>
      </c>
      <c r="W1065" s="75"/>
      <c r="X1065" s="75"/>
      <c r="Y1065" s="834">
        <f t="shared" si="224"/>
        <v>0</v>
      </c>
      <c r="Z1065" s="75"/>
      <c r="AA1065" s="155"/>
      <c r="AB1065" s="155"/>
      <c r="AC1065" s="97"/>
      <c r="AD1065" s="97"/>
      <c r="AE1065" s="591"/>
      <c r="AF1065" s="259" t="s">
        <v>1230</v>
      </c>
      <c r="AG1065" s="506">
        <v>0</v>
      </c>
      <c r="AH1065" s="370">
        <v>0</v>
      </c>
      <c r="AI1065" s="75"/>
      <c r="AJ1065" s="75"/>
      <c r="AK1065" s="75"/>
      <c r="AL1065" s="75"/>
      <c r="AM1065" s="75"/>
      <c r="AN1065" s="64" t="s">
        <v>39</v>
      </c>
      <c r="AO1065" s="64"/>
      <c r="AP1065" s="64"/>
      <c r="AQ1065" s="189"/>
      <c r="AR1065" s="64"/>
      <c r="AS1065" s="476"/>
      <c r="AT1065" s="64"/>
      <c r="AU1065" s="646"/>
      <c r="AV1065" s="443"/>
    </row>
    <row r="1066" spans="1:48" outlineLevel="2" x14ac:dyDescent="0.25">
      <c r="A1066" s="63" t="str">
        <f t="shared" si="225"/>
        <v>3.12.0.6.12.0</v>
      </c>
      <c r="B1066" s="64">
        <v>3</v>
      </c>
      <c r="C1066" s="64">
        <v>12</v>
      </c>
      <c r="D1066" s="64">
        <v>0</v>
      </c>
      <c r="E1066" s="64">
        <v>6</v>
      </c>
      <c r="F1066" s="64">
        <v>12</v>
      </c>
      <c r="G1066" s="64">
        <v>0</v>
      </c>
      <c r="H1066" s="65"/>
      <c r="I1066" s="65"/>
      <c r="J1066" s="66"/>
      <c r="K1066" s="65" t="s">
        <v>1231</v>
      </c>
      <c r="L1066" s="64" t="s">
        <v>72</v>
      </c>
      <c r="M1066" s="64" t="s">
        <v>73</v>
      </c>
      <c r="N1066" s="64" t="s">
        <v>74</v>
      </c>
      <c r="O1066" s="64" t="s">
        <v>38</v>
      </c>
      <c r="P1066" s="64"/>
      <c r="Q1066" s="64"/>
      <c r="R1066" s="64"/>
      <c r="S1066" s="65"/>
      <c r="T1066" s="64"/>
      <c r="U1066" s="75"/>
      <c r="V1066" s="684">
        <v>0</v>
      </c>
      <c r="W1066" s="75"/>
      <c r="X1066" s="75"/>
      <c r="Y1066" s="834">
        <f t="shared" si="224"/>
        <v>0</v>
      </c>
      <c r="Z1066" s="75"/>
      <c r="AA1066" s="155"/>
      <c r="AB1066" s="155"/>
      <c r="AC1066" s="97"/>
      <c r="AD1066" s="97"/>
      <c r="AE1066" s="591"/>
      <c r="AF1066" s="259"/>
      <c r="AG1066" s="506"/>
      <c r="AH1066" s="370"/>
      <c r="AI1066" s="75"/>
      <c r="AJ1066" s="75"/>
      <c r="AK1066" s="75"/>
      <c r="AL1066" s="75"/>
      <c r="AM1066" s="75"/>
      <c r="AN1066" s="64" t="s">
        <v>39</v>
      </c>
      <c r="AO1066" s="64"/>
      <c r="AP1066" s="64"/>
      <c r="AQ1066" s="189"/>
      <c r="AR1066" s="64"/>
      <c r="AS1066" s="476"/>
      <c r="AT1066" s="64"/>
      <c r="AU1066" s="646"/>
      <c r="AV1066" s="454"/>
    </row>
    <row r="1067" spans="1:48" outlineLevel="2" x14ac:dyDescent="0.25">
      <c r="A1067" s="63" t="str">
        <f t="shared" si="225"/>
        <v>3.12.0.6.13.0</v>
      </c>
      <c r="B1067" s="64">
        <v>3</v>
      </c>
      <c r="C1067" s="64">
        <v>12</v>
      </c>
      <c r="D1067" s="64">
        <v>0</v>
      </c>
      <c r="E1067" s="64">
        <v>6</v>
      </c>
      <c r="F1067" s="64">
        <v>13</v>
      </c>
      <c r="G1067" s="64">
        <v>0</v>
      </c>
      <c r="H1067" s="65"/>
      <c r="I1067" s="65"/>
      <c r="J1067" s="66"/>
      <c r="K1067" s="65" t="s">
        <v>1232</v>
      </c>
      <c r="L1067" s="64" t="s">
        <v>72</v>
      </c>
      <c r="M1067" s="64" t="s">
        <v>73</v>
      </c>
      <c r="N1067" s="64" t="s">
        <v>74</v>
      </c>
      <c r="O1067" s="64" t="s">
        <v>1191</v>
      </c>
      <c r="P1067" s="64"/>
      <c r="Q1067" s="64"/>
      <c r="R1067" s="64"/>
      <c r="S1067" s="65"/>
      <c r="T1067" s="64"/>
      <c r="U1067" s="155">
        <v>180000</v>
      </c>
      <c r="V1067" s="684">
        <v>0</v>
      </c>
      <c r="W1067" s="75"/>
      <c r="X1067" s="75"/>
      <c r="Y1067" s="834">
        <f t="shared" si="224"/>
        <v>0</v>
      </c>
      <c r="Z1067" s="75"/>
      <c r="AA1067" s="75"/>
      <c r="AB1067" s="75"/>
      <c r="AC1067" s="97"/>
      <c r="AD1067" s="97"/>
      <c r="AE1067" s="591"/>
      <c r="AF1067" s="259"/>
      <c r="AG1067" s="506"/>
      <c r="AH1067" s="371"/>
      <c r="AI1067" s="78"/>
      <c r="AJ1067" s="78"/>
      <c r="AK1067" s="78"/>
      <c r="AL1067" s="78"/>
      <c r="AM1067" s="78"/>
      <c r="AN1067" s="64" t="s">
        <v>39</v>
      </c>
      <c r="AO1067" s="64"/>
      <c r="AP1067" s="64"/>
      <c r="AQ1067" s="189"/>
      <c r="AR1067" s="64"/>
      <c r="AS1067" s="476"/>
      <c r="AT1067" s="64"/>
      <c r="AU1067" s="646"/>
      <c r="AV1067" s="454"/>
    </row>
    <row r="1068" spans="1:48" outlineLevel="2" x14ac:dyDescent="0.25">
      <c r="A1068" s="63" t="str">
        <f t="shared" si="225"/>
        <v>3.12.0.6.14.0</v>
      </c>
      <c r="B1068" s="64">
        <v>3</v>
      </c>
      <c r="C1068" s="64">
        <v>12</v>
      </c>
      <c r="D1068" s="64">
        <v>0</v>
      </c>
      <c r="E1068" s="64">
        <v>6</v>
      </c>
      <c r="F1068" s="64">
        <v>14</v>
      </c>
      <c r="G1068" s="64">
        <v>0</v>
      </c>
      <c r="H1068" s="65"/>
      <c r="I1068" s="65"/>
      <c r="J1068" s="66"/>
      <c r="K1068" s="65" t="s">
        <v>1233</v>
      </c>
      <c r="L1068" s="64" t="s">
        <v>72</v>
      </c>
      <c r="M1068" s="64" t="s">
        <v>73</v>
      </c>
      <c r="N1068" s="64" t="s">
        <v>74</v>
      </c>
      <c r="O1068" s="64" t="s">
        <v>202</v>
      </c>
      <c r="P1068" s="69"/>
      <c r="Q1068" s="69"/>
      <c r="R1068" s="64">
        <v>1</v>
      </c>
      <c r="S1068" s="65" t="s">
        <v>76</v>
      </c>
      <c r="T1068" s="64"/>
      <c r="U1068" s="75"/>
      <c r="V1068" s="684">
        <v>0</v>
      </c>
      <c r="W1068" s="75"/>
      <c r="X1068" s="75"/>
      <c r="Y1068" s="834">
        <f t="shared" si="224"/>
        <v>146910</v>
      </c>
      <c r="Z1068" s="75"/>
      <c r="AA1068" s="75"/>
      <c r="AB1068" s="75"/>
      <c r="AC1068" s="97"/>
      <c r="AD1068" s="97"/>
      <c r="AE1068" s="591"/>
      <c r="AF1068" s="259"/>
      <c r="AG1068" s="506">
        <v>180000</v>
      </c>
      <c r="AH1068" s="370">
        <v>0</v>
      </c>
      <c r="AI1068" s="75"/>
      <c r="AJ1068" s="75">
        <v>146910</v>
      </c>
      <c r="AK1068" s="75"/>
      <c r="AL1068" s="75"/>
      <c r="AM1068" s="75"/>
      <c r="AN1068" s="64" t="s">
        <v>39</v>
      </c>
      <c r="AO1068" s="64" t="s">
        <v>1819</v>
      </c>
      <c r="AP1068" s="64" t="s">
        <v>2036</v>
      </c>
      <c r="AQ1068" s="189" t="s">
        <v>2035</v>
      </c>
      <c r="AR1068" s="69">
        <v>44679</v>
      </c>
      <c r="AS1068" s="865">
        <v>44709</v>
      </c>
      <c r="AT1068" s="69">
        <v>44679</v>
      </c>
      <c r="AU1068" s="879">
        <v>858</v>
      </c>
      <c r="AV1068" s="454" t="s">
        <v>2037</v>
      </c>
    </row>
    <row r="1069" spans="1:48" outlineLevel="2" x14ac:dyDescent="0.25">
      <c r="A1069" s="63" t="str">
        <f t="shared" si="225"/>
        <v>3.12.1.6.15.0</v>
      </c>
      <c r="B1069" s="64">
        <v>3</v>
      </c>
      <c r="C1069" s="64">
        <v>12</v>
      </c>
      <c r="D1069" s="64">
        <v>1</v>
      </c>
      <c r="E1069" s="64">
        <v>6</v>
      </c>
      <c r="F1069" s="64">
        <v>15</v>
      </c>
      <c r="G1069" s="64">
        <v>0</v>
      </c>
      <c r="H1069" s="65"/>
      <c r="I1069" s="65"/>
      <c r="J1069" s="66"/>
      <c r="K1069" s="65" t="s">
        <v>1234</v>
      </c>
      <c r="L1069" s="64" t="s">
        <v>72</v>
      </c>
      <c r="M1069" s="64" t="s">
        <v>73</v>
      </c>
      <c r="N1069" s="64" t="s">
        <v>74</v>
      </c>
      <c r="O1069" s="64" t="s">
        <v>38</v>
      </c>
      <c r="P1069" s="64"/>
      <c r="Q1069" s="64"/>
      <c r="R1069" s="64"/>
      <c r="S1069" s="65"/>
      <c r="T1069" s="64"/>
      <c r="U1069" s="75"/>
      <c r="V1069" s="684">
        <v>0</v>
      </c>
      <c r="W1069" s="75"/>
      <c r="X1069" s="75"/>
      <c r="Y1069" s="834">
        <f t="shared" si="224"/>
        <v>0</v>
      </c>
      <c r="Z1069" s="75"/>
      <c r="AA1069" s="75"/>
      <c r="AB1069" s="75"/>
      <c r="AC1069" s="97"/>
      <c r="AD1069" s="97"/>
      <c r="AE1069" s="591"/>
      <c r="AF1069" s="259"/>
      <c r="AG1069" s="506">
        <v>0</v>
      </c>
      <c r="AH1069" s="370">
        <v>0</v>
      </c>
      <c r="AI1069" s="75"/>
      <c r="AJ1069" s="75"/>
      <c r="AK1069" s="75"/>
      <c r="AL1069" s="75"/>
      <c r="AM1069" s="75"/>
      <c r="AN1069" s="64" t="s">
        <v>39</v>
      </c>
      <c r="AO1069" s="64"/>
      <c r="AP1069" s="64"/>
      <c r="AQ1069" s="189"/>
      <c r="AR1069" s="64"/>
      <c r="AS1069" s="476"/>
      <c r="AT1069" s="64"/>
      <c r="AU1069" s="646"/>
      <c r="AV1069" s="454"/>
    </row>
    <row r="1070" spans="1:48" outlineLevel="2" x14ac:dyDescent="0.25">
      <c r="A1070" s="63" t="str">
        <f t="shared" si="225"/>
        <v>3.12.1.6.16.0</v>
      </c>
      <c r="B1070" s="64">
        <v>3</v>
      </c>
      <c r="C1070" s="64">
        <v>12</v>
      </c>
      <c r="D1070" s="64">
        <v>1</v>
      </c>
      <c r="E1070" s="64">
        <v>6</v>
      </c>
      <c r="F1070" s="64">
        <v>16</v>
      </c>
      <c r="G1070" s="64">
        <v>0</v>
      </c>
      <c r="H1070" s="65"/>
      <c r="I1070" s="65"/>
      <c r="J1070" s="66"/>
      <c r="K1070" s="65" t="s">
        <v>1235</v>
      </c>
      <c r="L1070" s="64" t="s">
        <v>72</v>
      </c>
      <c r="M1070" s="64" t="s">
        <v>73</v>
      </c>
      <c r="N1070" s="64" t="s">
        <v>74</v>
      </c>
      <c r="O1070" s="64" t="s">
        <v>359</v>
      </c>
      <c r="P1070" s="64"/>
      <c r="Q1070" s="64"/>
      <c r="R1070" s="64"/>
      <c r="S1070" s="65"/>
      <c r="T1070" s="64"/>
      <c r="U1070" s="75"/>
      <c r="V1070" s="684">
        <v>0</v>
      </c>
      <c r="W1070" s="75"/>
      <c r="X1070" s="75"/>
      <c r="Y1070" s="834">
        <f t="shared" si="224"/>
        <v>0</v>
      </c>
      <c r="Z1070" s="75"/>
      <c r="AA1070" s="75"/>
      <c r="AB1070" s="75"/>
      <c r="AC1070" s="97"/>
      <c r="AD1070" s="97"/>
      <c r="AE1070" s="591"/>
      <c r="AF1070" s="259"/>
      <c r="AG1070" s="506">
        <v>0</v>
      </c>
      <c r="AH1070" s="370">
        <v>0</v>
      </c>
      <c r="AI1070" s="75"/>
      <c r="AJ1070" s="75"/>
      <c r="AK1070" s="75"/>
      <c r="AL1070" s="75"/>
      <c r="AM1070" s="75"/>
      <c r="AN1070" s="64" t="s">
        <v>39</v>
      </c>
      <c r="AO1070" s="64"/>
      <c r="AP1070" s="64"/>
      <c r="AQ1070" s="189"/>
      <c r="AR1070" s="64"/>
      <c r="AS1070" s="476"/>
      <c r="AT1070" s="64"/>
      <c r="AU1070" s="646"/>
      <c r="AV1070" s="454"/>
    </row>
    <row r="1071" spans="1:48" outlineLevel="2" x14ac:dyDescent="0.25">
      <c r="A1071" s="63" t="str">
        <f t="shared" si="225"/>
        <v>3.12.1.6.17.0</v>
      </c>
      <c r="B1071" s="64">
        <v>3</v>
      </c>
      <c r="C1071" s="64">
        <v>12</v>
      </c>
      <c r="D1071" s="64">
        <v>1</v>
      </c>
      <c r="E1071" s="64">
        <v>6</v>
      </c>
      <c r="F1071" s="64">
        <v>17</v>
      </c>
      <c r="G1071" s="64">
        <v>0</v>
      </c>
      <c r="H1071" s="65"/>
      <c r="I1071" s="65"/>
      <c r="J1071" s="66"/>
      <c r="K1071" s="65" t="s">
        <v>1236</v>
      </c>
      <c r="L1071" s="64" t="s">
        <v>72</v>
      </c>
      <c r="M1071" s="64" t="s">
        <v>73</v>
      </c>
      <c r="N1071" s="64" t="s">
        <v>74</v>
      </c>
      <c r="O1071" s="64" t="s">
        <v>359</v>
      </c>
      <c r="P1071" s="64"/>
      <c r="Q1071" s="64"/>
      <c r="R1071" s="64"/>
      <c r="S1071" s="65"/>
      <c r="T1071" s="64"/>
      <c r="U1071" s="75"/>
      <c r="V1071" s="684">
        <v>0</v>
      </c>
      <c r="W1071" s="75"/>
      <c r="X1071" s="75"/>
      <c r="Y1071" s="859">
        <f t="shared" si="224"/>
        <v>0</v>
      </c>
      <c r="Z1071" s="75"/>
      <c r="AA1071" s="75"/>
      <c r="AB1071" s="75"/>
      <c r="AC1071" s="97"/>
      <c r="AD1071" s="97"/>
      <c r="AE1071" s="591"/>
      <c r="AF1071" s="259"/>
      <c r="AG1071" s="506">
        <v>0</v>
      </c>
      <c r="AH1071" s="370">
        <v>0</v>
      </c>
      <c r="AI1071" s="75"/>
      <c r="AJ1071" s="75"/>
      <c r="AK1071" s="75"/>
      <c r="AL1071" s="75"/>
      <c r="AM1071" s="75"/>
      <c r="AN1071" s="64" t="s">
        <v>39</v>
      </c>
      <c r="AO1071" s="64"/>
      <c r="AP1071" s="64"/>
      <c r="AQ1071" s="189"/>
      <c r="AR1071" s="64"/>
      <c r="AS1071" s="476"/>
      <c r="AT1071" s="64"/>
      <c r="AU1071" s="646"/>
      <c r="AV1071" s="454"/>
    </row>
    <row r="1072" spans="1:48" outlineLevel="2" x14ac:dyDescent="0.25">
      <c r="A1072" s="63" t="str">
        <f t="shared" si="225"/>
        <v>3.12.0.6.18.0</v>
      </c>
      <c r="B1072" s="64">
        <v>3</v>
      </c>
      <c r="C1072" s="64">
        <v>12</v>
      </c>
      <c r="D1072" s="64">
        <v>0</v>
      </c>
      <c r="E1072" s="64">
        <v>6</v>
      </c>
      <c r="F1072" s="64">
        <v>18</v>
      </c>
      <c r="G1072" s="64">
        <v>0</v>
      </c>
      <c r="H1072" s="65"/>
      <c r="I1072" s="65"/>
      <c r="J1072" s="66"/>
      <c r="K1072" s="65" t="s">
        <v>1237</v>
      </c>
      <c r="L1072" s="64" t="s">
        <v>72</v>
      </c>
      <c r="M1072" s="64" t="s">
        <v>73</v>
      </c>
      <c r="N1072" s="64" t="s">
        <v>74</v>
      </c>
      <c r="O1072" s="64" t="s">
        <v>359</v>
      </c>
      <c r="P1072" s="64"/>
      <c r="Q1072" s="64"/>
      <c r="R1072" s="64"/>
      <c r="S1072" s="65"/>
      <c r="T1072" s="64"/>
      <c r="U1072" s="75"/>
      <c r="V1072" s="684">
        <v>0</v>
      </c>
      <c r="W1072" s="75"/>
      <c r="X1072" s="75"/>
      <c r="Y1072" s="858">
        <f t="shared" si="224"/>
        <v>0</v>
      </c>
      <c r="Z1072" s="75"/>
      <c r="AA1072" s="75"/>
      <c r="AB1072" s="75"/>
      <c r="AC1072" s="97"/>
      <c r="AD1072" s="97"/>
      <c r="AE1072" s="591"/>
      <c r="AF1072" s="259"/>
      <c r="AG1072" s="506">
        <v>0</v>
      </c>
      <c r="AH1072" s="370">
        <v>0</v>
      </c>
      <c r="AI1072" s="75"/>
      <c r="AJ1072" s="75"/>
      <c r="AK1072" s="75"/>
      <c r="AL1072" s="75"/>
      <c r="AM1072" s="75"/>
      <c r="AN1072" s="64" t="s">
        <v>39</v>
      </c>
      <c r="AO1072" s="64"/>
      <c r="AP1072" s="64"/>
      <c r="AQ1072" s="189"/>
      <c r="AR1072" s="64"/>
      <c r="AS1072" s="476"/>
      <c r="AT1072" s="64"/>
      <c r="AU1072" s="646"/>
      <c r="AV1072" s="454"/>
    </row>
    <row r="1073" spans="1:48" ht="45" outlineLevel="2" x14ac:dyDescent="0.25">
      <c r="A1073" s="63" t="str">
        <f t="shared" si="225"/>
        <v>3.12.0.6.19.0</v>
      </c>
      <c r="B1073" s="64">
        <v>3</v>
      </c>
      <c r="C1073" s="64">
        <v>12</v>
      </c>
      <c r="D1073" s="64">
        <v>0</v>
      </c>
      <c r="E1073" s="64">
        <v>6</v>
      </c>
      <c r="F1073" s="64">
        <v>19</v>
      </c>
      <c r="G1073" s="64">
        <v>0</v>
      </c>
      <c r="H1073" s="65"/>
      <c r="I1073" s="65"/>
      <c r="J1073" s="66"/>
      <c r="K1073" s="67" t="s">
        <v>1238</v>
      </c>
      <c r="L1073" s="64" t="s">
        <v>72</v>
      </c>
      <c r="M1073" s="64" t="s">
        <v>73</v>
      </c>
      <c r="N1073" s="64" t="s">
        <v>74</v>
      </c>
      <c r="O1073" s="64" t="s">
        <v>1239</v>
      </c>
      <c r="P1073" s="69"/>
      <c r="Q1073" s="69"/>
      <c r="R1073" s="64">
        <v>10</v>
      </c>
      <c r="S1073" s="65"/>
      <c r="T1073" s="64">
        <v>1</v>
      </c>
      <c r="U1073" s="75"/>
      <c r="V1073" s="684">
        <v>0</v>
      </c>
      <c r="W1073" s="75"/>
      <c r="X1073" s="75"/>
      <c r="Y1073" s="859">
        <f t="shared" si="224"/>
        <v>0</v>
      </c>
      <c r="Z1073" s="75"/>
      <c r="AA1073" s="75"/>
      <c r="AB1073" s="75"/>
      <c r="AC1073" s="97"/>
      <c r="AD1073" s="97"/>
      <c r="AE1073" s="591"/>
      <c r="AF1073" s="259" t="s">
        <v>166</v>
      </c>
      <c r="AG1073" s="506">
        <v>0</v>
      </c>
      <c r="AH1073" s="370">
        <v>0</v>
      </c>
      <c r="AI1073" s="75"/>
      <c r="AJ1073" s="132"/>
      <c r="AK1073" s="75"/>
      <c r="AL1073" s="75"/>
      <c r="AM1073" s="75"/>
      <c r="AN1073" s="64" t="s">
        <v>39</v>
      </c>
      <c r="AO1073" s="64"/>
      <c r="AP1073" s="64"/>
      <c r="AQ1073" s="189"/>
      <c r="AR1073" s="64"/>
      <c r="AS1073" s="476"/>
      <c r="AT1073" s="64"/>
      <c r="AU1073" s="646"/>
      <c r="AV1073" s="454"/>
    </row>
    <row r="1074" spans="1:48" outlineLevel="2" x14ac:dyDescent="0.25">
      <c r="A1074" s="63" t="str">
        <f t="shared" si="225"/>
        <v>3.12.0.6.20.0</v>
      </c>
      <c r="B1074" s="64">
        <v>3</v>
      </c>
      <c r="C1074" s="64">
        <v>12</v>
      </c>
      <c r="D1074" s="64">
        <v>0</v>
      </c>
      <c r="E1074" s="64">
        <v>6</v>
      </c>
      <c r="F1074" s="64">
        <v>20</v>
      </c>
      <c r="G1074" s="64">
        <v>0</v>
      </c>
      <c r="H1074" s="65"/>
      <c r="I1074" s="65"/>
      <c r="J1074" s="66"/>
      <c r="K1074" s="65" t="s">
        <v>1240</v>
      </c>
      <c r="L1074" s="64" t="s">
        <v>72</v>
      </c>
      <c r="M1074" s="64" t="s">
        <v>73</v>
      </c>
      <c r="N1074" s="64" t="s">
        <v>74</v>
      </c>
      <c r="O1074" s="64" t="s">
        <v>38</v>
      </c>
      <c r="P1074" s="69"/>
      <c r="Q1074" s="69"/>
      <c r="R1074" s="64">
        <v>1</v>
      </c>
      <c r="S1074" s="65" t="s">
        <v>76</v>
      </c>
      <c r="T1074" s="64">
        <v>1</v>
      </c>
      <c r="U1074" s="75"/>
      <c r="V1074" s="684">
        <v>0</v>
      </c>
      <c r="W1074" s="75"/>
      <c r="X1074" s="75"/>
      <c r="Y1074" s="858">
        <f t="shared" si="224"/>
        <v>0</v>
      </c>
      <c r="Z1074" s="75"/>
      <c r="AA1074" s="75"/>
      <c r="AB1074" s="75"/>
      <c r="AC1074" s="97"/>
      <c r="AD1074" s="97"/>
      <c r="AE1074" s="591"/>
      <c r="AF1074" s="259" t="s">
        <v>166</v>
      </c>
      <c r="AG1074" s="506">
        <v>0</v>
      </c>
      <c r="AH1074" s="370">
        <v>0</v>
      </c>
      <c r="AI1074" s="75"/>
      <c r="AJ1074" s="75"/>
      <c r="AK1074" s="75"/>
      <c r="AL1074" s="75"/>
      <c r="AM1074" s="75"/>
      <c r="AN1074" s="64" t="s">
        <v>39</v>
      </c>
      <c r="AO1074" s="64"/>
      <c r="AP1074" s="64"/>
      <c r="AQ1074" s="413"/>
      <c r="AR1074" s="165"/>
      <c r="AS1074" s="475"/>
      <c r="AT1074" s="64"/>
      <c r="AU1074" s="646"/>
      <c r="AV1074" s="454"/>
    </row>
    <row r="1075" spans="1:48" outlineLevel="2" x14ac:dyDescent="0.25">
      <c r="A1075" s="63" t="str">
        <f t="shared" si="225"/>
        <v>3.12.0.6.21.0</v>
      </c>
      <c r="B1075" s="64">
        <v>3</v>
      </c>
      <c r="C1075" s="64">
        <v>12</v>
      </c>
      <c r="D1075" s="64">
        <v>0</v>
      </c>
      <c r="E1075" s="64">
        <v>6</v>
      </c>
      <c r="F1075" s="64">
        <v>21</v>
      </c>
      <c r="G1075" s="64">
        <v>0</v>
      </c>
      <c r="H1075" s="65"/>
      <c r="I1075" s="65"/>
      <c r="J1075" s="66"/>
      <c r="K1075" s="65" t="s">
        <v>1241</v>
      </c>
      <c r="L1075" s="64" t="s">
        <v>72</v>
      </c>
      <c r="M1075" s="64" t="s">
        <v>73</v>
      </c>
      <c r="N1075" s="64" t="s">
        <v>74</v>
      </c>
      <c r="O1075" s="64" t="s">
        <v>38</v>
      </c>
      <c r="P1075" s="69"/>
      <c r="Q1075" s="69"/>
      <c r="R1075" s="64">
        <v>10</v>
      </c>
      <c r="S1075" s="65"/>
      <c r="T1075" s="64">
        <v>1</v>
      </c>
      <c r="U1075" s="75"/>
      <c r="V1075" s="684">
        <v>0</v>
      </c>
      <c r="W1075" s="75">
        <v>3</v>
      </c>
      <c r="X1075" s="75"/>
      <c r="Y1075" s="834">
        <f t="shared" si="224"/>
        <v>0</v>
      </c>
      <c r="Z1075" s="75">
        <v>3</v>
      </c>
      <c r="AA1075" s="75"/>
      <c r="AB1075" s="75"/>
      <c r="AC1075" s="97">
        <v>3</v>
      </c>
      <c r="AD1075" s="97"/>
      <c r="AE1075" s="591"/>
      <c r="AF1075" s="259" t="s">
        <v>1242</v>
      </c>
      <c r="AG1075" s="506">
        <v>0</v>
      </c>
      <c r="AH1075" s="370">
        <v>0</v>
      </c>
      <c r="AI1075" s="75"/>
      <c r="AJ1075" s="536"/>
      <c r="AK1075" s="75"/>
      <c r="AL1075" s="75"/>
      <c r="AM1075" s="75"/>
      <c r="AN1075" s="64" t="s">
        <v>39</v>
      </c>
      <c r="AO1075" s="64"/>
      <c r="AP1075" s="189"/>
      <c r="AQ1075" s="64"/>
      <c r="AR1075" s="64"/>
      <c r="AS1075" s="64"/>
      <c r="AT1075" s="460"/>
      <c r="AU1075" s="646"/>
      <c r="AV1075" s="335" t="s">
        <v>1243</v>
      </c>
    </row>
    <row r="1076" spans="1:48" outlineLevel="2" x14ac:dyDescent="0.25">
      <c r="A1076" s="63" t="str">
        <f t="shared" si="225"/>
        <v>3.12.0.6.22.0</v>
      </c>
      <c r="B1076" s="64">
        <v>3</v>
      </c>
      <c r="C1076" s="64">
        <v>12</v>
      </c>
      <c r="D1076" s="64">
        <v>0</v>
      </c>
      <c r="E1076" s="64">
        <v>6</v>
      </c>
      <c r="F1076" s="64">
        <v>22</v>
      </c>
      <c r="G1076" s="64">
        <v>0</v>
      </c>
      <c r="H1076" s="65"/>
      <c r="I1076" s="65"/>
      <c r="J1076" s="66"/>
      <c r="K1076" s="65" t="s">
        <v>1244</v>
      </c>
      <c r="L1076" s="64" t="s">
        <v>72</v>
      </c>
      <c r="M1076" s="64" t="s">
        <v>73</v>
      </c>
      <c r="N1076" s="64" t="s">
        <v>74</v>
      </c>
      <c r="O1076" s="64" t="s">
        <v>737</v>
      </c>
      <c r="P1076" s="69"/>
      <c r="Q1076" s="69"/>
      <c r="R1076" s="64">
        <v>2</v>
      </c>
      <c r="S1076" s="65"/>
      <c r="T1076" s="64">
        <v>2</v>
      </c>
      <c r="U1076" s="75"/>
      <c r="V1076" s="684">
        <v>0</v>
      </c>
      <c r="W1076" s="75"/>
      <c r="X1076" s="75"/>
      <c r="Y1076" s="834">
        <f t="shared" si="224"/>
        <v>0</v>
      </c>
      <c r="Z1076" s="75"/>
      <c r="AA1076" s="75"/>
      <c r="AB1076" s="75"/>
      <c r="AC1076" s="97"/>
      <c r="AD1076" s="97"/>
      <c r="AE1076" s="591"/>
      <c r="AF1076" s="259" t="s">
        <v>1245</v>
      </c>
      <c r="AG1076" s="506">
        <v>0</v>
      </c>
      <c r="AH1076" s="370">
        <v>0</v>
      </c>
      <c r="AI1076" s="75"/>
      <c r="AJ1076" s="75"/>
      <c r="AK1076" s="75"/>
      <c r="AL1076" s="75"/>
      <c r="AM1076" s="75"/>
      <c r="AN1076" s="64" t="s">
        <v>39</v>
      </c>
      <c r="AO1076" s="64"/>
      <c r="AP1076" s="64"/>
      <c r="AQ1076" s="416"/>
      <c r="AR1076" s="245"/>
      <c r="AS1076" s="480"/>
      <c r="AT1076" s="64"/>
      <c r="AU1076" s="646"/>
      <c r="AV1076" s="454"/>
    </row>
    <row r="1077" spans="1:48" outlineLevel="2" x14ac:dyDescent="0.25">
      <c r="A1077" s="63" t="str">
        <f t="shared" si="225"/>
        <v>3.12.0.6.23.0</v>
      </c>
      <c r="B1077" s="64">
        <v>3</v>
      </c>
      <c r="C1077" s="64">
        <v>12</v>
      </c>
      <c r="D1077" s="64">
        <v>0</v>
      </c>
      <c r="E1077" s="64">
        <v>6</v>
      </c>
      <c r="F1077" s="64">
        <v>23</v>
      </c>
      <c r="G1077" s="64">
        <v>0</v>
      </c>
      <c r="H1077" s="65"/>
      <c r="I1077" s="65"/>
      <c r="J1077" s="66"/>
      <c r="K1077" s="65" t="s">
        <v>1246</v>
      </c>
      <c r="L1077" s="64" t="s">
        <v>72</v>
      </c>
      <c r="M1077" s="64" t="s">
        <v>73</v>
      </c>
      <c r="N1077" s="64" t="s">
        <v>423</v>
      </c>
      <c r="O1077" s="64" t="s">
        <v>72</v>
      </c>
      <c r="P1077" s="64"/>
      <c r="Q1077" s="64"/>
      <c r="R1077" s="64"/>
      <c r="S1077" s="65"/>
      <c r="T1077" s="64"/>
      <c r="U1077" s="75"/>
      <c r="V1077" s="684">
        <v>0</v>
      </c>
      <c r="W1077" s="75"/>
      <c r="X1077" s="75"/>
      <c r="Y1077" s="834">
        <f t="shared" si="224"/>
        <v>0</v>
      </c>
      <c r="Z1077" s="75"/>
      <c r="AA1077" s="75"/>
      <c r="AB1077" s="75"/>
      <c r="AC1077" s="97"/>
      <c r="AD1077" s="97"/>
      <c r="AE1077" s="591"/>
      <c r="AF1077" s="259"/>
      <c r="AG1077" s="506">
        <v>0</v>
      </c>
      <c r="AH1077" s="370">
        <v>0</v>
      </c>
      <c r="AI1077" s="75"/>
      <c r="AJ1077" s="75"/>
      <c r="AK1077" s="75"/>
      <c r="AL1077" s="75"/>
      <c r="AM1077" s="75"/>
      <c r="AN1077" s="64" t="s">
        <v>39</v>
      </c>
      <c r="AO1077" s="64"/>
      <c r="AP1077" s="64"/>
      <c r="AQ1077" s="189"/>
      <c r="AR1077" s="64"/>
      <c r="AS1077" s="476"/>
      <c r="AT1077" s="64"/>
      <c r="AU1077" s="646"/>
      <c r="AV1077" s="454"/>
    </row>
    <row r="1078" spans="1:48" outlineLevel="2" x14ac:dyDescent="0.25">
      <c r="A1078" s="63" t="str">
        <f t="shared" si="225"/>
        <v>3.12.0.6.24.0</v>
      </c>
      <c r="B1078" s="64">
        <v>3</v>
      </c>
      <c r="C1078" s="64">
        <v>12</v>
      </c>
      <c r="D1078" s="64">
        <v>0</v>
      </c>
      <c r="E1078" s="64">
        <v>6</v>
      </c>
      <c r="F1078" s="64">
        <v>24</v>
      </c>
      <c r="G1078" s="64">
        <v>0</v>
      </c>
      <c r="H1078" s="65"/>
      <c r="I1078" s="65"/>
      <c r="J1078" s="66"/>
      <c r="K1078" s="65" t="s">
        <v>1247</v>
      </c>
      <c r="L1078" s="64" t="s">
        <v>72</v>
      </c>
      <c r="M1078" s="64" t="s">
        <v>73</v>
      </c>
      <c r="N1078" s="64" t="s">
        <v>74</v>
      </c>
      <c r="O1078" s="64" t="s">
        <v>359</v>
      </c>
      <c r="P1078" s="64"/>
      <c r="Q1078" s="64"/>
      <c r="R1078" s="64"/>
      <c r="S1078" s="65"/>
      <c r="T1078" s="64"/>
      <c r="U1078" s="75"/>
      <c r="V1078" s="684">
        <v>0</v>
      </c>
      <c r="W1078" s="75"/>
      <c r="X1078" s="75"/>
      <c r="Y1078" s="834">
        <f t="shared" si="224"/>
        <v>0</v>
      </c>
      <c r="Z1078" s="75"/>
      <c r="AA1078" s="75"/>
      <c r="AB1078" s="75"/>
      <c r="AC1078" s="97"/>
      <c r="AD1078" s="97"/>
      <c r="AE1078" s="591"/>
      <c r="AF1078" s="259"/>
      <c r="AG1078" s="506">
        <v>0</v>
      </c>
      <c r="AH1078" s="370">
        <v>0</v>
      </c>
      <c r="AI1078" s="75"/>
      <c r="AJ1078" s="75"/>
      <c r="AK1078" s="75"/>
      <c r="AL1078" s="75"/>
      <c r="AM1078" s="75"/>
      <c r="AN1078" s="64" t="s">
        <v>39</v>
      </c>
      <c r="AO1078" s="64"/>
      <c r="AP1078" s="64"/>
      <c r="AQ1078" s="189"/>
      <c r="AR1078" s="64"/>
      <c r="AS1078" s="476"/>
      <c r="AT1078" s="64"/>
      <c r="AU1078" s="646"/>
      <c r="AV1078" s="454"/>
    </row>
    <row r="1079" spans="1:48" ht="30" outlineLevel="2" x14ac:dyDescent="0.25">
      <c r="A1079" s="63" t="str">
        <f t="shared" si="225"/>
        <v>3.12.0.6.25.0</v>
      </c>
      <c r="B1079" s="64">
        <v>3</v>
      </c>
      <c r="C1079" s="64">
        <v>12</v>
      </c>
      <c r="D1079" s="64">
        <v>0</v>
      </c>
      <c r="E1079" s="64">
        <v>6</v>
      </c>
      <c r="F1079" s="64">
        <v>25</v>
      </c>
      <c r="G1079" s="64">
        <v>0</v>
      </c>
      <c r="H1079" s="65"/>
      <c r="I1079" s="65"/>
      <c r="J1079" s="66"/>
      <c r="K1079" s="67" t="s">
        <v>1248</v>
      </c>
      <c r="L1079" s="64" t="s">
        <v>72</v>
      </c>
      <c r="M1079" s="64" t="s">
        <v>73</v>
      </c>
      <c r="N1079" s="64" t="s">
        <v>1249</v>
      </c>
      <c r="O1079" s="64" t="s">
        <v>72</v>
      </c>
      <c r="P1079" s="69"/>
      <c r="Q1079" s="69"/>
      <c r="R1079" s="64">
        <v>3</v>
      </c>
      <c r="S1079" s="65"/>
      <c r="T1079" s="64">
        <v>3</v>
      </c>
      <c r="U1079" s="75"/>
      <c r="V1079" s="684">
        <v>0</v>
      </c>
      <c r="W1079" s="75"/>
      <c r="X1079" s="75"/>
      <c r="Y1079" s="834">
        <f t="shared" si="224"/>
        <v>0</v>
      </c>
      <c r="Z1079" s="75"/>
      <c r="AA1079" s="75"/>
      <c r="AB1079" s="75"/>
      <c r="AC1079" s="97"/>
      <c r="AD1079" s="97"/>
      <c r="AE1079" s="591"/>
      <c r="AF1079" s="259" t="s">
        <v>1250</v>
      </c>
      <c r="AG1079" s="506">
        <v>0</v>
      </c>
      <c r="AH1079" s="370"/>
      <c r="AI1079" s="75"/>
      <c r="AJ1079" s="75"/>
      <c r="AK1079" s="75"/>
      <c r="AL1079" s="75"/>
      <c r="AM1079" s="75"/>
      <c r="AN1079" s="64" t="s">
        <v>181</v>
      </c>
      <c r="AO1079" s="64"/>
      <c r="AP1079" s="64"/>
      <c r="AQ1079" s="189"/>
      <c r="AR1079" s="64"/>
      <c r="AS1079" s="476"/>
      <c r="AT1079" s="64"/>
      <c r="AU1079" s="646"/>
      <c r="AV1079" s="335" t="s">
        <v>127</v>
      </c>
    </row>
    <row r="1080" spans="1:48" outlineLevel="2" x14ac:dyDescent="0.25">
      <c r="A1080" s="63" t="str">
        <f t="shared" si="225"/>
        <v>3.12.0.6.26.0</v>
      </c>
      <c r="B1080" s="64">
        <v>3</v>
      </c>
      <c r="C1080" s="64">
        <v>12</v>
      </c>
      <c r="D1080" s="64">
        <v>0</v>
      </c>
      <c r="E1080" s="64">
        <v>6</v>
      </c>
      <c r="F1080" s="64">
        <v>26</v>
      </c>
      <c r="G1080" s="64">
        <v>0</v>
      </c>
      <c r="H1080" s="65"/>
      <c r="I1080" s="65"/>
      <c r="J1080" s="66"/>
      <c r="K1080" s="65" t="s">
        <v>1251</v>
      </c>
      <c r="L1080" s="64" t="s">
        <v>72</v>
      </c>
      <c r="M1080" s="64" t="s">
        <v>73</v>
      </c>
      <c r="N1080" s="64">
        <v>0</v>
      </c>
      <c r="O1080" s="64">
        <v>0</v>
      </c>
      <c r="P1080" s="64"/>
      <c r="Q1080" s="64"/>
      <c r="R1080" s="64"/>
      <c r="S1080" s="65"/>
      <c r="T1080" s="64"/>
      <c r="U1080" s="75"/>
      <c r="V1080" s="684">
        <v>0</v>
      </c>
      <c r="W1080" s="75"/>
      <c r="X1080" s="75"/>
      <c r="Y1080" s="834">
        <f t="shared" si="224"/>
        <v>0</v>
      </c>
      <c r="Z1080" s="75"/>
      <c r="AA1080" s="75"/>
      <c r="AB1080" s="75"/>
      <c r="AC1080" s="97"/>
      <c r="AD1080" s="97"/>
      <c r="AE1080" s="591"/>
      <c r="AF1080" s="259"/>
      <c r="AG1080" s="506"/>
      <c r="AH1080" s="389">
        <v>0</v>
      </c>
      <c r="AI1080" s="155"/>
      <c r="AJ1080" s="155"/>
      <c r="AK1080" s="155"/>
      <c r="AL1080" s="155"/>
      <c r="AM1080" s="155"/>
      <c r="AN1080" s="64" t="s">
        <v>39</v>
      </c>
      <c r="AO1080" s="64"/>
      <c r="AP1080" s="64"/>
      <c r="AQ1080" s="189"/>
      <c r="AR1080" s="64"/>
      <c r="AS1080" s="476"/>
      <c r="AT1080" s="64"/>
      <c r="AU1080" s="646"/>
      <c r="AV1080" s="454"/>
    </row>
    <row r="1081" spans="1:48" ht="50.25" customHeight="1" outlineLevel="2" x14ac:dyDescent="0.25">
      <c r="A1081" s="63" t="str">
        <f t="shared" si="225"/>
        <v>3.12.0.6.27.0</v>
      </c>
      <c r="B1081" s="64">
        <v>3</v>
      </c>
      <c r="C1081" s="64">
        <v>12</v>
      </c>
      <c r="D1081" s="64">
        <v>0</v>
      </c>
      <c r="E1081" s="64">
        <v>6</v>
      </c>
      <c r="F1081" s="64">
        <v>27</v>
      </c>
      <c r="G1081" s="64">
        <v>0</v>
      </c>
      <c r="H1081" s="65"/>
      <c r="I1081" s="65"/>
      <c r="J1081" s="66"/>
      <c r="K1081" s="65" t="s">
        <v>1252</v>
      </c>
      <c r="L1081" s="64" t="s">
        <v>72</v>
      </c>
      <c r="M1081" s="64" t="s">
        <v>73</v>
      </c>
      <c r="N1081" s="64" t="s">
        <v>74</v>
      </c>
      <c r="O1081" s="64" t="s">
        <v>38</v>
      </c>
      <c r="P1081" s="69"/>
      <c r="Q1081" s="69"/>
      <c r="R1081" s="64">
        <v>2</v>
      </c>
      <c r="S1081" s="65"/>
      <c r="T1081" s="64">
        <v>1</v>
      </c>
      <c r="U1081" s="155"/>
      <c r="V1081" s="704">
        <v>16986.05</v>
      </c>
      <c r="W1081" s="155">
        <v>1</v>
      </c>
      <c r="X1081" s="155"/>
      <c r="Y1081" s="834">
        <f t="shared" si="224"/>
        <v>0</v>
      </c>
      <c r="Z1081" s="155"/>
      <c r="AA1081" s="155"/>
      <c r="AB1081" s="155"/>
      <c r="AC1081" s="172"/>
      <c r="AD1081" s="172"/>
      <c r="AE1081" s="612"/>
      <c r="AF1081" s="259" t="s">
        <v>1230</v>
      </c>
      <c r="AG1081" s="506">
        <v>0</v>
      </c>
      <c r="AH1081" s="389">
        <v>0</v>
      </c>
      <c r="AI1081" s="155"/>
      <c r="AJ1081" s="155">
        <v>16986.05</v>
      </c>
      <c r="AK1081" s="155"/>
      <c r="AL1081" s="155"/>
      <c r="AM1081" s="155"/>
      <c r="AN1081" s="64" t="s">
        <v>181</v>
      </c>
      <c r="AO1081" s="64"/>
      <c r="AP1081" s="64"/>
      <c r="AQ1081" s="189"/>
      <c r="AR1081" s="64"/>
      <c r="AS1081" s="476"/>
      <c r="AT1081" s="64"/>
      <c r="AU1081" s="877">
        <v>275</v>
      </c>
      <c r="AV1081" s="335" t="s">
        <v>1902</v>
      </c>
    </row>
    <row r="1082" spans="1:48" outlineLevel="2" x14ac:dyDescent="0.25">
      <c r="A1082" s="63" t="str">
        <f t="shared" si="225"/>
        <v>3.12.0.6.28.0</v>
      </c>
      <c r="B1082" s="64">
        <v>3</v>
      </c>
      <c r="C1082" s="64">
        <v>12</v>
      </c>
      <c r="D1082" s="64">
        <v>0</v>
      </c>
      <c r="E1082" s="64">
        <v>6</v>
      </c>
      <c r="F1082" s="64">
        <v>28</v>
      </c>
      <c r="G1082" s="64">
        <v>0</v>
      </c>
      <c r="H1082" s="65"/>
      <c r="I1082" s="65"/>
      <c r="J1082" s="66"/>
      <c r="K1082" s="65" t="s">
        <v>1253</v>
      </c>
      <c r="L1082" s="64" t="s">
        <v>72</v>
      </c>
      <c r="M1082" s="64" t="s">
        <v>73</v>
      </c>
      <c r="N1082" s="64">
        <v>0</v>
      </c>
      <c r="O1082" s="64">
        <v>0</v>
      </c>
      <c r="P1082" s="64"/>
      <c r="Q1082" s="64"/>
      <c r="R1082" s="64"/>
      <c r="S1082" s="65"/>
      <c r="T1082" s="64"/>
      <c r="U1082" s="155"/>
      <c r="V1082" s="684">
        <v>0</v>
      </c>
      <c r="W1082" s="155"/>
      <c r="X1082" s="155"/>
      <c r="Y1082" s="834">
        <f t="shared" si="224"/>
        <v>0</v>
      </c>
      <c r="Z1082" s="155"/>
      <c r="AA1082" s="155"/>
      <c r="AB1082" s="155"/>
      <c r="AC1082" s="172"/>
      <c r="AD1082" s="172"/>
      <c r="AE1082" s="612"/>
      <c r="AF1082" s="259"/>
      <c r="AG1082" s="506">
        <v>0</v>
      </c>
      <c r="AH1082" s="389">
        <v>0</v>
      </c>
      <c r="AI1082" s="155"/>
      <c r="AJ1082" s="155"/>
      <c r="AK1082" s="155"/>
      <c r="AL1082" s="155"/>
      <c r="AM1082" s="155"/>
      <c r="AN1082" s="64" t="s">
        <v>39</v>
      </c>
      <c r="AO1082" s="64"/>
      <c r="AP1082" s="64"/>
      <c r="AQ1082" s="189"/>
      <c r="AR1082" s="64"/>
      <c r="AS1082" s="476"/>
      <c r="AT1082" s="64"/>
      <c r="AU1082" s="646"/>
      <c r="AV1082" s="454"/>
    </row>
    <row r="1083" spans="1:48" ht="30" outlineLevel="2" x14ac:dyDescent="0.25">
      <c r="A1083" s="63" t="str">
        <f t="shared" si="225"/>
        <v>3.12.0.6.29.0</v>
      </c>
      <c r="B1083" s="64">
        <v>3</v>
      </c>
      <c r="C1083" s="64">
        <v>12</v>
      </c>
      <c r="D1083" s="64">
        <v>0</v>
      </c>
      <c r="E1083" s="64">
        <v>6</v>
      </c>
      <c r="F1083" s="64">
        <v>29</v>
      </c>
      <c r="G1083" s="64">
        <v>0</v>
      </c>
      <c r="H1083" s="65"/>
      <c r="I1083" s="65"/>
      <c r="J1083" s="66"/>
      <c r="K1083" s="67" t="s">
        <v>1254</v>
      </c>
      <c r="L1083" s="64" t="s">
        <v>72</v>
      </c>
      <c r="M1083" s="64" t="s">
        <v>73</v>
      </c>
      <c r="N1083" s="64" t="s">
        <v>74</v>
      </c>
      <c r="O1083" s="64" t="s">
        <v>76</v>
      </c>
      <c r="P1083" s="69"/>
      <c r="Q1083" s="64"/>
      <c r="R1083" s="64">
        <v>1</v>
      </c>
      <c r="S1083" s="65" t="s">
        <v>76</v>
      </c>
      <c r="T1083" s="64">
        <v>1</v>
      </c>
      <c r="U1083" s="155">
        <v>50000</v>
      </c>
      <c r="V1083" s="684">
        <v>0</v>
      </c>
      <c r="W1083" s="155"/>
      <c r="X1083" s="155">
        <v>50000</v>
      </c>
      <c r="Y1083" s="834">
        <f t="shared" si="224"/>
        <v>0</v>
      </c>
      <c r="Z1083" s="155"/>
      <c r="AA1083" s="155"/>
      <c r="AB1083" s="155"/>
      <c r="AC1083" s="172"/>
      <c r="AD1083" s="172"/>
      <c r="AE1083" s="612"/>
      <c r="AF1083" s="347" t="s">
        <v>166</v>
      </c>
      <c r="AG1083" s="506">
        <v>0</v>
      </c>
      <c r="AH1083" s="370">
        <v>100000</v>
      </c>
      <c r="AI1083" s="75"/>
      <c r="AJ1083" s="75"/>
      <c r="AK1083" s="75"/>
      <c r="AL1083" s="75"/>
      <c r="AM1083" s="75"/>
      <c r="AN1083" s="64" t="s">
        <v>181</v>
      </c>
      <c r="AO1083" s="64"/>
      <c r="AP1083" s="64"/>
      <c r="AQ1083" s="189"/>
      <c r="AR1083" s="64"/>
      <c r="AS1083" s="476"/>
      <c r="AT1083" s="64"/>
      <c r="AU1083" s="646"/>
      <c r="AV1083" s="454"/>
    </row>
    <row r="1084" spans="1:48" ht="45" outlineLevel="2" x14ac:dyDescent="0.25">
      <c r="A1084" s="63" t="str">
        <f t="shared" si="225"/>
        <v>3.12.0.6.30.0</v>
      </c>
      <c r="B1084" s="64">
        <v>3</v>
      </c>
      <c r="C1084" s="64">
        <v>12</v>
      </c>
      <c r="D1084" s="64">
        <v>0</v>
      </c>
      <c r="E1084" s="64">
        <v>6</v>
      </c>
      <c r="F1084" s="64">
        <v>30</v>
      </c>
      <c r="G1084" s="64">
        <v>0</v>
      </c>
      <c r="H1084" s="65"/>
      <c r="I1084" s="65"/>
      <c r="J1084" s="66"/>
      <c r="K1084" s="65" t="s">
        <v>1916</v>
      </c>
      <c r="L1084" s="64" t="s">
        <v>72</v>
      </c>
      <c r="M1084" s="64" t="s">
        <v>73</v>
      </c>
      <c r="N1084" s="64" t="s">
        <v>74</v>
      </c>
      <c r="O1084" s="64" t="s">
        <v>38</v>
      </c>
      <c r="P1084" s="64"/>
      <c r="Q1084" s="64"/>
      <c r="R1084" s="64"/>
      <c r="S1084" s="65"/>
      <c r="T1084" s="64"/>
      <c r="U1084" s="155">
        <v>350000</v>
      </c>
      <c r="V1084" s="704">
        <v>351644.92</v>
      </c>
      <c r="W1084" s="155"/>
      <c r="X1084" s="155">
        <f>+(AH1084-U1084)/3</f>
        <v>350000</v>
      </c>
      <c r="Y1084" s="834">
        <f t="shared" si="224"/>
        <v>301536.19</v>
      </c>
      <c r="Z1084" s="155"/>
      <c r="AA1084" s="155">
        <f>+(AH1084-U1084)/3</f>
        <v>350000</v>
      </c>
      <c r="AB1084" s="155"/>
      <c r="AC1084" s="172"/>
      <c r="AD1084" s="155">
        <f>+(AH1084-U1084)/3</f>
        <v>350000</v>
      </c>
      <c r="AE1084" s="599"/>
      <c r="AF1084" s="259"/>
      <c r="AG1084" s="506">
        <v>100000</v>
      </c>
      <c r="AH1084" s="370">
        <v>1400000</v>
      </c>
      <c r="AI1084" s="75"/>
      <c r="AJ1084" s="75">
        <f>178732.24+81712.57+91200.11+101652.04+91729.66+108154.49</f>
        <v>653181.11</v>
      </c>
      <c r="AK1084" s="75"/>
      <c r="AL1084" s="75"/>
      <c r="AM1084" s="75"/>
      <c r="AN1084" s="64" t="s">
        <v>39</v>
      </c>
      <c r="AO1084" s="64" t="s">
        <v>1815</v>
      </c>
      <c r="AP1084" s="64" t="s">
        <v>649</v>
      </c>
      <c r="AQ1084" s="533" t="s">
        <v>649</v>
      </c>
      <c r="AR1084" s="69">
        <v>44562</v>
      </c>
      <c r="AS1084" s="554">
        <v>44926</v>
      </c>
      <c r="AT1084" s="64" t="s">
        <v>1814</v>
      </c>
      <c r="AU1084" s="877" t="s">
        <v>2077</v>
      </c>
      <c r="AV1084" s="443" t="s">
        <v>2078</v>
      </c>
    </row>
    <row r="1085" spans="1:48" ht="30" outlineLevel="2" x14ac:dyDescent="0.25">
      <c r="A1085" s="63" t="str">
        <f t="shared" si="225"/>
        <v>3.12.0.6.31.0</v>
      </c>
      <c r="B1085" s="64">
        <v>3</v>
      </c>
      <c r="C1085" s="64">
        <v>12</v>
      </c>
      <c r="D1085" s="64">
        <v>0</v>
      </c>
      <c r="E1085" s="64">
        <v>6</v>
      </c>
      <c r="F1085" s="64">
        <v>31</v>
      </c>
      <c r="G1085" s="64">
        <v>0</v>
      </c>
      <c r="H1085" s="65"/>
      <c r="I1085" s="65"/>
      <c r="J1085" s="66"/>
      <c r="K1085" s="67" t="s">
        <v>1255</v>
      </c>
      <c r="L1085" s="64" t="s">
        <v>72</v>
      </c>
      <c r="M1085" s="64" t="s">
        <v>267</v>
      </c>
      <c r="N1085" s="64" t="s">
        <v>265</v>
      </c>
      <c r="O1085" s="64" t="s">
        <v>1256</v>
      </c>
      <c r="P1085" s="64"/>
      <c r="Q1085" s="64"/>
      <c r="R1085" s="64"/>
      <c r="S1085" s="65"/>
      <c r="T1085" s="64"/>
      <c r="U1085" s="155"/>
      <c r="V1085" s="684">
        <v>0</v>
      </c>
      <c r="W1085" s="155"/>
      <c r="X1085" s="155"/>
      <c r="Y1085" s="834">
        <f t="shared" si="224"/>
        <v>0</v>
      </c>
      <c r="Z1085" s="155"/>
      <c r="AA1085" s="155"/>
      <c r="AB1085" s="155"/>
      <c r="AC1085" s="172"/>
      <c r="AD1085" s="172"/>
      <c r="AE1085" s="612"/>
      <c r="AF1085" s="259"/>
      <c r="AG1085" s="506">
        <v>1400000</v>
      </c>
      <c r="AH1085" s="370">
        <v>0</v>
      </c>
      <c r="AI1085" s="75"/>
      <c r="AJ1085" s="75"/>
      <c r="AK1085" s="75"/>
      <c r="AL1085" s="75"/>
      <c r="AM1085" s="75"/>
      <c r="AN1085" s="64" t="s">
        <v>39</v>
      </c>
      <c r="AO1085" s="64"/>
      <c r="AP1085" s="64"/>
      <c r="AQ1085" s="189"/>
      <c r="AR1085" s="64"/>
      <c r="AS1085" s="476"/>
      <c r="AT1085" s="64"/>
      <c r="AU1085" s="646"/>
      <c r="AV1085" s="443" t="s">
        <v>1015</v>
      </c>
    </row>
    <row r="1086" spans="1:48" ht="30" outlineLevel="2" x14ac:dyDescent="0.25">
      <c r="A1086" s="63" t="str">
        <f t="shared" si="225"/>
        <v>3.12.0.6.32.0</v>
      </c>
      <c r="B1086" s="64">
        <v>3</v>
      </c>
      <c r="C1086" s="64">
        <v>12</v>
      </c>
      <c r="D1086" s="64">
        <v>0</v>
      </c>
      <c r="E1086" s="64">
        <v>6</v>
      </c>
      <c r="F1086" s="64">
        <v>32</v>
      </c>
      <c r="G1086" s="64">
        <v>0</v>
      </c>
      <c r="H1086" s="65"/>
      <c r="I1086" s="65"/>
      <c r="J1086" s="66"/>
      <c r="K1086" s="67" t="s">
        <v>1257</v>
      </c>
      <c r="L1086" s="64" t="s">
        <v>72</v>
      </c>
      <c r="M1086" s="64" t="s">
        <v>267</v>
      </c>
      <c r="N1086" s="64" t="s">
        <v>265</v>
      </c>
      <c r="O1086" s="64" t="s">
        <v>1256</v>
      </c>
      <c r="P1086" s="64"/>
      <c r="Q1086" s="64"/>
      <c r="R1086" s="64"/>
      <c r="S1086" s="65"/>
      <c r="T1086" s="64"/>
      <c r="U1086" s="155"/>
      <c r="V1086" s="684">
        <v>0</v>
      </c>
      <c r="W1086" s="155"/>
      <c r="X1086" s="155"/>
      <c r="Y1086" s="834">
        <f t="shared" si="224"/>
        <v>0</v>
      </c>
      <c r="Z1086" s="155"/>
      <c r="AA1086" s="155"/>
      <c r="AB1086" s="155"/>
      <c r="AC1086" s="172"/>
      <c r="AD1086" s="172"/>
      <c r="AE1086" s="612"/>
      <c r="AF1086" s="259"/>
      <c r="AG1086" s="506">
        <v>0</v>
      </c>
      <c r="AH1086" s="370">
        <v>0</v>
      </c>
      <c r="AI1086" s="75"/>
      <c r="AJ1086" s="75"/>
      <c r="AK1086" s="75"/>
      <c r="AL1086" s="75"/>
      <c r="AM1086" s="75"/>
      <c r="AN1086" s="64" t="s">
        <v>39</v>
      </c>
      <c r="AO1086" s="64"/>
      <c r="AP1086" s="64"/>
      <c r="AQ1086" s="189"/>
      <c r="AR1086" s="64"/>
      <c r="AS1086" s="476"/>
      <c r="AT1086" s="64"/>
      <c r="AU1086" s="646"/>
      <c r="AV1086" s="454"/>
    </row>
    <row r="1087" spans="1:48" ht="30" outlineLevel="2" x14ac:dyDescent="0.25">
      <c r="A1087" s="63" t="str">
        <f t="shared" si="225"/>
        <v>3.12.0.6.33.0</v>
      </c>
      <c r="B1087" s="64">
        <v>3</v>
      </c>
      <c r="C1087" s="64">
        <v>12</v>
      </c>
      <c r="D1087" s="64">
        <v>0</v>
      </c>
      <c r="E1087" s="64">
        <v>6</v>
      </c>
      <c r="F1087" s="64">
        <v>33</v>
      </c>
      <c r="G1087" s="64">
        <v>0</v>
      </c>
      <c r="H1087" s="65"/>
      <c r="I1087" s="65"/>
      <c r="J1087" s="65"/>
      <c r="K1087" s="67" t="s">
        <v>1258</v>
      </c>
      <c r="L1087" s="64" t="s">
        <v>72</v>
      </c>
      <c r="M1087" s="64" t="s">
        <v>73</v>
      </c>
      <c r="N1087" s="64" t="s">
        <v>1249</v>
      </c>
      <c r="O1087" s="64" t="s">
        <v>1259</v>
      </c>
      <c r="P1087" s="69"/>
      <c r="Q1087" s="69"/>
      <c r="R1087" s="64">
        <v>1</v>
      </c>
      <c r="S1087" s="65"/>
      <c r="T1087" s="64">
        <v>1</v>
      </c>
      <c r="U1087" s="155"/>
      <c r="V1087" s="684">
        <v>0</v>
      </c>
      <c r="W1087" s="155"/>
      <c r="X1087" s="155"/>
      <c r="Y1087" s="834">
        <f t="shared" si="224"/>
        <v>0</v>
      </c>
      <c r="Z1087" s="155"/>
      <c r="AA1087" s="155"/>
      <c r="AB1087" s="155"/>
      <c r="AC1087" s="172"/>
      <c r="AD1087" s="172"/>
      <c r="AE1087" s="612"/>
      <c r="AF1087" s="259" t="s">
        <v>1260</v>
      </c>
      <c r="AG1087" s="506">
        <v>0</v>
      </c>
      <c r="AH1087" s="370">
        <v>0</v>
      </c>
      <c r="AI1087" s="75"/>
      <c r="AJ1087" s="75"/>
      <c r="AK1087" s="75"/>
      <c r="AL1087" s="75"/>
      <c r="AM1087" s="75"/>
      <c r="AN1087" s="64" t="s">
        <v>39</v>
      </c>
      <c r="AO1087" s="64"/>
      <c r="AP1087" s="64"/>
      <c r="AQ1087" s="189"/>
      <c r="AR1087" s="64"/>
      <c r="AS1087" s="476"/>
      <c r="AT1087" s="64"/>
      <c r="AU1087" s="646"/>
      <c r="AV1087" s="454"/>
    </row>
    <row r="1088" spans="1:48" ht="30" outlineLevel="2" x14ac:dyDescent="0.25">
      <c r="A1088" s="63" t="str">
        <f t="shared" si="225"/>
        <v>3.12.0.6.34.0</v>
      </c>
      <c r="B1088" s="64">
        <v>3</v>
      </c>
      <c r="C1088" s="64">
        <v>12</v>
      </c>
      <c r="D1088" s="64">
        <v>0</v>
      </c>
      <c r="E1088" s="64">
        <v>6</v>
      </c>
      <c r="F1088" s="64">
        <v>34</v>
      </c>
      <c r="G1088" s="64">
        <v>0</v>
      </c>
      <c r="H1088" s="65"/>
      <c r="I1088" s="65"/>
      <c r="J1088" s="65"/>
      <c r="K1088" s="67" t="s">
        <v>1261</v>
      </c>
      <c r="L1088" s="64" t="s">
        <v>72</v>
      </c>
      <c r="M1088" s="64" t="s">
        <v>73</v>
      </c>
      <c r="N1088" s="64" t="s">
        <v>180</v>
      </c>
      <c r="O1088" s="64" t="s">
        <v>1262</v>
      </c>
      <c r="P1088" s="69"/>
      <c r="Q1088" s="69"/>
      <c r="R1088" s="64">
        <v>3</v>
      </c>
      <c r="S1088" s="65"/>
      <c r="T1088" s="64">
        <v>2</v>
      </c>
      <c r="U1088" s="155"/>
      <c r="V1088" s="684">
        <v>0</v>
      </c>
      <c r="W1088" s="155"/>
      <c r="X1088" s="155"/>
      <c r="Y1088" s="834">
        <f t="shared" si="224"/>
        <v>0</v>
      </c>
      <c r="Z1088" s="155"/>
      <c r="AA1088" s="155"/>
      <c r="AB1088" s="155"/>
      <c r="AC1088" s="172"/>
      <c r="AD1088" s="172"/>
      <c r="AE1088" s="612"/>
      <c r="AF1088" s="259" t="s">
        <v>1263</v>
      </c>
      <c r="AG1088" s="506">
        <v>0</v>
      </c>
      <c r="AH1088" s="370"/>
      <c r="AI1088" s="75"/>
      <c r="AJ1088" s="75"/>
      <c r="AK1088" s="75"/>
      <c r="AL1088" s="75"/>
      <c r="AM1088" s="75"/>
      <c r="AN1088" s="64" t="s">
        <v>181</v>
      </c>
      <c r="AO1088" s="64"/>
      <c r="AP1088" s="64"/>
      <c r="AQ1088" s="189"/>
      <c r="AR1088" s="64"/>
      <c r="AS1088" s="476"/>
      <c r="AT1088" s="64"/>
      <c r="AU1088" s="646"/>
      <c r="AV1088" s="443"/>
    </row>
    <row r="1089" spans="1:48" ht="30" outlineLevel="2" x14ac:dyDescent="0.25">
      <c r="A1089" s="63" t="str">
        <f t="shared" si="225"/>
        <v>3.12.0.6.35.0</v>
      </c>
      <c r="B1089" s="64">
        <v>3</v>
      </c>
      <c r="C1089" s="64">
        <v>12</v>
      </c>
      <c r="D1089" s="64">
        <v>0</v>
      </c>
      <c r="E1089" s="64">
        <v>6</v>
      </c>
      <c r="F1089" s="64">
        <v>35</v>
      </c>
      <c r="G1089" s="64">
        <v>0</v>
      </c>
      <c r="H1089" s="65"/>
      <c r="I1089" s="65"/>
      <c r="J1089" s="66"/>
      <c r="K1089" s="67" t="s">
        <v>1264</v>
      </c>
      <c r="L1089" s="64" t="s">
        <v>72</v>
      </c>
      <c r="M1089" s="64" t="s">
        <v>267</v>
      </c>
      <c r="N1089" s="64" t="s">
        <v>265</v>
      </c>
      <c r="O1089" s="64" t="s">
        <v>1256</v>
      </c>
      <c r="P1089" s="64"/>
      <c r="Q1089" s="64"/>
      <c r="R1089" s="64"/>
      <c r="S1089" s="65"/>
      <c r="T1089" s="64"/>
      <c r="U1089" s="155">
        <v>750000</v>
      </c>
      <c r="V1089" s="684">
        <v>0</v>
      </c>
      <c r="W1089" s="155"/>
      <c r="X1089" s="155">
        <v>750000</v>
      </c>
      <c r="Y1089" s="834">
        <f t="shared" si="224"/>
        <v>1193951.31</v>
      </c>
      <c r="Z1089" s="155"/>
      <c r="AA1089" s="155">
        <v>750000</v>
      </c>
      <c r="AB1089" s="155"/>
      <c r="AC1089" s="172"/>
      <c r="AD1089" s="155">
        <v>750000</v>
      </c>
      <c r="AE1089" s="599"/>
      <c r="AF1089" s="259"/>
      <c r="AG1089" s="506">
        <v>50000</v>
      </c>
      <c r="AH1089" s="370">
        <v>3000000</v>
      </c>
      <c r="AI1089" s="75"/>
      <c r="AJ1089" s="75">
        <f>578625.07+615326.24</f>
        <v>1193951.31</v>
      </c>
      <c r="AK1089" s="75"/>
      <c r="AL1089" s="75"/>
      <c r="AM1089" s="75"/>
      <c r="AN1089" s="64" t="s">
        <v>39</v>
      </c>
      <c r="AO1089" s="64"/>
      <c r="AP1089" s="64"/>
      <c r="AQ1089" s="189"/>
      <c r="AR1089" s="64"/>
      <c r="AS1089" s="476"/>
      <c r="AT1089" s="64"/>
      <c r="AU1089" s="879" t="s">
        <v>2224</v>
      </c>
      <c r="AV1089" s="454" t="s">
        <v>2034</v>
      </c>
    </row>
    <row r="1090" spans="1:48" ht="30" outlineLevel="2" x14ac:dyDescent="0.25">
      <c r="A1090" s="63" t="str">
        <f t="shared" si="225"/>
        <v>3.12.0.6.36.0</v>
      </c>
      <c r="B1090" s="64">
        <v>3</v>
      </c>
      <c r="C1090" s="64">
        <v>12</v>
      </c>
      <c r="D1090" s="64">
        <v>0</v>
      </c>
      <c r="E1090" s="64">
        <v>6</v>
      </c>
      <c r="F1090" s="64">
        <v>36</v>
      </c>
      <c r="G1090" s="64">
        <v>0</v>
      </c>
      <c r="H1090" s="65"/>
      <c r="I1090" s="65"/>
      <c r="J1090" s="66"/>
      <c r="K1090" s="67" t="s">
        <v>1265</v>
      </c>
      <c r="L1090" s="64" t="s">
        <v>72</v>
      </c>
      <c r="M1090" s="64" t="s">
        <v>267</v>
      </c>
      <c r="N1090" s="64" t="s">
        <v>1266</v>
      </c>
      <c r="O1090" s="64" t="s">
        <v>72</v>
      </c>
      <c r="P1090" s="64"/>
      <c r="Q1090" s="64"/>
      <c r="R1090" s="64"/>
      <c r="S1090" s="65"/>
      <c r="T1090" s="64"/>
      <c r="U1090" s="75"/>
      <c r="V1090" s="684">
        <v>0</v>
      </c>
      <c r="W1090" s="75"/>
      <c r="X1090" s="75"/>
      <c r="Y1090" s="834">
        <f t="shared" si="224"/>
        <v>0</v>
      </c>
      <c r="Z1090" s="75"/>
      <c r="AA1090" s="75"/>
      <c r="AB1090" s="75"/>
      <c r="AC1090" s="97"/>
      <c r="AD1090" s="97"/>
      <c r="AE1090" s="591"/>
      <c r="AF1090" s="259"/>
      <c r="AG1090" s="506">
        <v>3000000</v>
      </c>
      <c r="AH1090" s="370">
        <v>0</v>
      </c>
      <c r="AI1090" s="75"/>
      <c r="AJ1090" s="75"/>
      <c r="AK1090" s="75"/>
      <c r="AL1090" s="75"/>
      <c r="AM1090" s="75"/>
      <c r="AN1090" s="64" t="s">
        <v>39</v>
      </c>
      <c r="AO1090" s="64"/>
      <c r="AP1090" s="64"/>
      <c r="AQ1090" s="189"/>
      <c r="AR1090" s="64"/>
      <c r="AS1090" s="476"/>
      <c r="AT1090" s="64"/>
      <c r="AU1090" s="646"/>
      <c r="AV1090" s="454"/>
    </row>
    <row r="1091" spans="1:48" ht="30" outlineLevel="2" x14ac:dyDescent="0.25">
      <c r="A1091" s="63" t="str">
        <f t="shared" si="225"/>
        <v>3.12.0.6.37.0</v>
      </c>
      <c r="B1091" s="64">
        <v>3</v>
      </c>
      <c r="C1091" s="64">
        <v>12</v>
      </c>
      <c r="D1091" s="64">
        <v>0</v>
      </c>
      <c r="E1091" s="64">
        <v>6</v>
      </c>
      <c r="F1091" s="64">
        <v>37</v>
      </c>
      <c r="G1091" s="64">
        <v>0</v>
      </c>
      <c r="H1091" s="65"/>
      <c r="I1091" s="65"/>
      <c r="J1091" s="66"/>
      <c r="K1091" s="67" t="s">
        <v>1267</v>
      </c>
      <c r="L1091" s="64" t="s">
        <v>72</v>
      </c>
      <c r="M1091" s="64" t="s">
        <v>73</v>
      </c>
      <c r="N1091" s="64" t="s">
        <v>74</v>
      </c>
      <c r="O1091" s="64" t="s">
        <v>72</v>
      </c>
      <c r="P1091" s="69"/>
      <c r="Q1091" s="69"/>
      <c r="R1091" s="64">
        <v>1</v>
      </c>
      <c r="S1091" s="65"/>
      <c r="T1091" s="64"/>
      <c r="U1091" s="155">
        <f>$AH$1091/4</f>
        <v>107142.855</v>
      </c>
      <c r="V1091" s="684">
        <v>0</v>
      </c>
      <c r="W1091" s="75">
        <v>1</v>
      </c>
      <c r="X1091" s="155">
        <f>$AH$1091/4</f>
        <v>107142.855</v>
      </c>
      <c r="Y1091" s="834">
        <f t="shared" si="224"/>
        <v>95053.55</v>
      </c>
      <c r="Z1091" s="75"/>
      <c r="AA1091" s="155">
        <f>$AH$1091/4</f>
        <v>107142.855</v>
      </c>
      <c r="AB1091" s="155"/>
      <c r="AC1091" s="97"/>
      <c r="AD1091" s="155">
        <f>$AH$1091/4</f>
        <v>107142.855</v>
      </c>
      <c r="AE1091" s="599"/>
      <c r="AF1091" s="259" t="s">
        <v>1268</v>
      </c>
      <c r="AG1091" s="506">
        <v>0</v>
      </c>
      <c r="AH1091" s="370">
        <v>428571.42</v>
      </c>
      <c r="AI1091" s="75"/>
      <c r="AJ1091" s="75">
        <v>95053.55</v>
      </c>
      <c r="AK1091" s="75"/>
      <c r="AL1091" s="75"/>
      <c r="AM1091" s="75"/>
      <c r="AN1091" s="64" t="s">
        <v>39</v>
      </c>
      <c r="AO1091" s="64" t="s">
        <v>1819</v>
      </c>
      <c r="AP1091" s="64" t="s">
        <v>2236</v>
      </c>
      <c r="AQ1091" s="189" t="s">
        <v>2237</v>
      </c>
      <c r="AR1091" s="69">
        <v>44676</v>
      </c>
      <c r="AS1091" s="865">
        <v>44767</v>
      </c>
      <c r="AT1091" s="69">
        <v>44680</v>
      </c>
      <c r="AU1091" s="879">
        <v>1532</v>
      </c>
      <c r="AV1091" s="443"/>
    </row>
    <row r="1092" spans="1:48" ht="30" outlineLevel="2" x14ac:dyDescent="0.25">
      <c r="A1092" s="63" t="str">
        <f t="shared" si="225"/>
        <v>3.12.0.6.39.0</v>
      </c>
      <c r="B1092" s="64">
        <v>3</v>
      </c>
      <c r="C1092" s="64">
        <v>12</v>
      </c>
      <c r="D1092" s="64">
        <v>0</v>
      </c>
      <c r="E1092" s="64">
        <v>6</v>
      </c>
      <c r="F1092" s="64">
        <v>39</v>
      </c>
      <c r="G1092" s="64">
        <v>0</v>
      </c>
      <c r="H1092" s="65"/>
      <c r="I1092" s="65"/>
      <c r="J1092" s="66"/>
      <c r="K1092" s="67" t="s">
        <v>1269</v>
      </c>
      <c r="L1092" s="64" t="s">
        <v>72</v>
      </c>
      <c r="M1092" s="64" t="s">
        <v>73</v>
      </c>
      <c r="N1092" s="64" t="s">
        <v>74</v>
      </c>
      <c r="O1092" s="64" t="s">
        <v>1270</v>
      </c>
      <c r="P1092" s="69"/>
      <c r="Q1092" s="69"/>
      <c r="R1092" s="64">
        <v>6</v>
      </c>
      <c r="S1092" s="65" t="s">
        <v>1271</v>
      </c>
      <c r="T1092" s="64"/>
      <c r="U1092" s="75"/>
      <c r="V1092" s="684">
        <v>0</v>
      </c>
      <c r="W1092" s="75"/>
      <c r="X1092" s="75"/>
      <c r="Y1092" s="834">
        <f t="shared" si="224"/>
        <v>0</v>
      </c>
      <c r="Z1092" s="75">
        <v>4</v>
      </c>
      <c r="AA1092" s="75"/>
      <c r="AB1092" s="75"/>
      <c r="AC1092" s="75">
        <v>2</v>
      </c>
      <c r="AD1092" s="75"/>
      <c r="AE1092" s="592"/>
      <c r="AF1092" s="259"/>
      <c r="AG1092" s="506">
        <v>159149.97</v>
      </c>
      <c r="AH1092" s="370">
        <v>0</v>
      </c>
      <c r="AI1092" s="75"/>
      <c r="AJ1092" s="75"/>
      <c r="AK1092" s="75"/>
      <c r="AL1092" s="75"/>
      <c r="AM1092" s="75"/>
      <c r="AN1092" s="64" t="s">
        <v>39</v>
      </c>
      <c r="AO1092" s="64"/>
      <c r="AP1092" s="64"/>
      <c r="AQ1092" s="189"/>
      <c r="AR1092" s="64"/>
      <c r="AS1092" s="476"/>
      <c r="AT1092" s="64"/>
      <c r="AU1092" s="646"/>
      <c r="AV1092" s="454"/>
    </row>
    <row r="1093" spans="1:48" outlineLevel="2" x14ac:dyDescent="0.25">
      <c r="A1093" s="63" t="str">
        <f t="shared" si="225"/>
        <v>3.12.0.6.40.0</v>
      </c>
      <c r="B1093" s="64">
        <v>3</v>
      </c>
      <c r="C1093" s="64">
        <v>12</v>
      </c>
      <c r="D1093" s="64">
        <v>0</v>
      </c>
      <c r="E1093" s="64">
        <v>6</v>
      </c>
      <c r="F1093" s="64">
        <v>40</v>
      </c>
      <c r="G1093" s="64">
        <v>0</v>
      </c>
      <c r="H1093" s="65"/>
      <c r="I1093" s="65"/>
      <c r="J1093" s="65"/>
      <c r="K1093" s="65" t="s">
        <v>1272</v>
      </c>
      <c r="L1093" s="64" t="s">
        <v>72</v>
      </c>
      <c r="M1093" s="64" t="s">
        <v>73</v>
      </c>
      <c r="N1093" s="64" t="s">
        <v>382</v>
      </c>
      <c r="O1093" s="64" t="s">
        <v>72</v>
      </c>
      <c r="P1093" s="170"/>
      <c r="Q1093" s="170"/>
      <c r="R1093" s="170">
        <v>12</v>
      </c>
      <c r="S1093" s="170" t="s">
        <v>1273</v>
      </c>
      <c r="T1093" s="170">
        <v>3</v>
      </c>
      <c r="U1093" s="97"/>
      <c r="V1093" s="684">
        <v>0</v>
      </c>
      <c r="W1093" s="97">
        <v>3</v>
      </c>
      <c r="X1093" s="97"/>
      <c r="Y1093" s="859">
        <f t="shared" si="224"/>
        <v>0</v>
      </c>
      <c r="Z1093" s="97">
        <v>3</v>
      </c>
      <c r="AA1093" s="97"/>
      <c r="AB1093" s="97"/>
      <c r="AC1093" s="97">
        <v>3</v>
      </c>
      <c r="AD1093" s="97"/>
      <c r="AE1093" s="591"/>
      <c r="AF1093" s="353" t="s">
        <v>1274</v>
      </c>
      <c r="AG1093" s="525">
        <v>0</v>
      </c>
      <c r="AH1093" s="388">
        <v>0</v>
      </c>
      <c r="AI1093" s="258"/>
      <c r="AJ1093" s="258"/>
      <c r="AK1093" s="258"/>
      <c r="AL1093" s="258"/>
      <c r="AM1093" s="258"/>
      <c r="AN1093" s="64" t="s">
        <v>39</v>
      </c>
      <c r="AO1093" s="64"/>
      <c r="AP1093" s="64"/>
      <c r="AQ1093" s="189"/>
      <c r="AR1093" s="64"/>
      <c r="AS1093" s="476"/>
      <c r="AT1093" s="64"/>
      <c r="AU1093" s="646"/>
      <c r="AV1093" s="454" t="s">
        <v>127</v>
      </c>
    </row>
    <row r="1094" spans="1:48" outlineLevel="2" x14ac:dyDescent="0.25">
      <c r="A1094" s="63" t="str">
        <f t="shared" si="225"/>
        <v>3.12.0.6.41.0</v>
      </c>
      <c r="B1094" s="64">
        <v>3</v>
      </c>
      <c r="C1094" s="64">
        <v>12</v>
      </c>
      <c r="D1094" s="64">
        <v>0</v>
      </c>
      <c r="E1094" s="64">
        <v>6</v>
      </c>
      <c r="F1094" s="64">
        <v>41</v>
      </c>
      <c r="G1094" s="64">
        <v>0</v>
      </c>
      <c r="H1094" s="65"/>
      <c r="I1094" s="65"/>
      <c r="J1094" s="65"/>
      <c r="K1094" s="65" t="s">
        <v>1275</v>
      </c>
      <c r="L1094" s="64" t="s">
        <v>72</v>
      </c>
      <c r="M1094" s="64" t="s">
        <v>166</v>
      </c>
      <c r="N1094" s="64" t="s">
        <v>1249</v>
      </c>
      <c r="O1094" s="64"/>
      <c r="P1094" s="170"/>
      <c r="Q1094" s="170"/>
      <c r="R1094" s="170">
        <v>1</v>
      </c>
      <c r="S1094" s="170"/>
      <c r="T1094" s="170">
        <v>1</v>
      </c>
      <c r="U1094" s="97"/>
      <c r="V1094" s="684">
        <v>0</v>
      </c>
      <c r="W1094" s="97"/>
      <c r="X1094" s="97"/>
      <c r="Y1094" s="858">
        <f t="shared" si="224"/>
        <v>0</v>
      </c>
      <c r="Z1094" s="97"/>
      <c r="AA1094" s="97"/>
      <c r="AB1094" s="97"/>
      <c r="AC1094" s="97"/>
      <c r="AD1094" s="97"/>
      <c r="AE1094" s="591"/>
      <c r="AF1094" s="353"/>
      <c r="AG1094" s="525">
        <v>0</v>
      </c>
      <c r="AH1094" s="388">
        <v>0</v>
      </c>
      <c r="AI1094" s="258"/>
      <c r="AJ1094" s="258"/>
      <c r="AK1094" s="258"/>
      <c r="AL1094" s="258"/>
      <c r="AM1094" s="258"/>
      <c r="AN1094" s="171" t="s">
        <v>181</v>
      </c>
      <c r="AO1094" s="171"/>
      <c r="AP1094" s="171"/>
      <c r="AQ1094" s="418"/>
      <c r="AS1094" s="484"/>
      <c r="AV1094" s="454"/>
    </row>
    <row r="1095" spans="1:48" ht="45" outlineLevel="2" x14ac:dyDescent="0.25">
      <c r="A1095" s="63" t="str">
        <f t="shared" si="225"/>
        <v>3.12.0.6.42.0</v>
      </c>
      <c r="B1095" s="64">
        <v>3</v>
      </c>
      <c r="C1095" s="64">
        <v>12</v>
      </c>
      <c r="D1095" s="64">
        <v>0</v>
      </c>
      <c r="E1095" s="64">
        <v>6</v>
      </c>
      <c r="F1095" s="64">
        <v>42</v>
      </c>
      <c r="G1095" s="64">
        <v>0</v>
      </c>
      <c r="H1095" s="65"/>
      <c r="I1095" s="65"/>
      <c r="J1095" s="65"/>
      <c r="K1095" s="65" t="s">
        <v>1276</v>
      </c>
      <c r="L1095" s="64" t="s">
        <v>72</v>
      </c>
      <c r="M1095" s="64" t="s">
        <v>1277</v>
      </c>
      <c r="N1095" s="64" t="s">
        <v>1278</v>
      </c>
      <c r="O1095" s="64" t="s">
        <v>1279</v>
      </c>
      <c r="P1095" s="69">
        <v>44562</v>
      </c>
      <c r="Q1095" s="69">
        <v>44925</v>
      </c>
      <c r="R1095" s="170"/>
      <c r="S1095" s="170"/>
      <c r="T1095" s="170"/>
      <c r="U1095" s="97">
        <f>+$AH$1095/4</f>
        <v>63000</v>
      </c>
      <c r="V1095" s="684">
        <v>55460</v>
      </c>
      <c r="W1095" s="97"/>
      <c r="X1095" s="97">
        <f>+$AH$1095/4</f>
        <v>63000</v>
      </c>
      <c r="Y1095" s="834">
        <f t="shared" si="224"/>
        <v>148208</v>
      </c>
      <c r="Z1095" s="97">
        <v>2</v>
      </c>
      <c r="AA1095" s="97">
        <f>+$AH$1095/4</f>
        <v>63000</v>
      </c>
      <c r="AB1095" s="97"/>
      <c r="AC1095" s="97"/>
      <c r="AD1095" s="97">
        <f>+$AH$1095/4</f>
        <v>63000</v>
      </c>
      <c r="AE1095" s="591"/>
      <c r="AF1095" s="353" t="s">
        <v>1280</v>
      </c>
      <c r="AG1095" s="525">
        <v>0</v>
      </c>
      <c r="AH1095" s="388">
        <v>252000</v>
      </c>
      <c r="AI1095" s="258"/>
      <c r="AJ1095" s="258">
        <f>55460+119888+28320</f>
        <v>203668</v>
      </c>
      <c r="AK1095" s="258"/>
      <c r="AL1095" s="258"/>
      <c r="AM1095" s="258"/>
      <c r="AN1095" s="171" t="s">
        <v>39</v>
      </c>
      <c r="AO1095" s="171" t="s">
        <v>1819</v>
      </c>
      <c r="AP1095" s="872" t="s">
        <v>2164</v>
      </c>
      <c r="AQ1095" s="885" t="s">
        <v>2165</v>
      </c>
      <c r="AR1095" s="886" t="s">
        <v>2166</v>
      </c>
      <c r="AS1095" s="887" t="s">
        <v>2167</v>
      </c>
      <c r="AT1095" s="886" t="s">
        <v>2168</v>
      </c>
      <c r="AU1095" s="884" t="s">
        <v>2163</v>
      </c>
      <c r="AV1095" s="443" t="s">
        <v>2028</v>
      </c>
    </row>
    <row r="1096" spans="1:48" outlineLevel="2" x14ac:dyDescent="0.25">
      <c r="A1096" s="63" t="str">
        <f t="shared" si="225"/>
        <v>3.12.0.6.43.0</v>
      </c>
      <c r="B1096" s="64">
        <v>3</v>
      </c>
      <c r="C1096" s="64">
        <v>12</v>
      </c>
      <c r="D1096" s="64">
        <v>0</v>
      </c>
      <c r="E1096" s="64">
        <v>6</v>
      </c>
      <c r="F1096" s="64">
        <v>43</v>
      </c>
      <c r="G1096" s="64">
        <v>0</v>
      </c>
      <c r="H1096" s="65"/>
      <c r="I1096" s="65"/>
      <c r="J1096" s="65"/>
      <c r="K1096" s="65" t="s">
        <v>1281</v>
      </c>
      <c r="L1096" s="64" t="s">
        <v>1282</v>
      </c>
      <c r="M1096" s="64" t="s">
        <v>166</v>
      </c>
      <c r="N1096" s="64" t="s">
        <v>1283</v>
      </c>
      <c r="O1096" s="64" t="s">
        <v>1284</v>
      </c>
      <c r="P1096" s="170"/>
      <c r="Q1096" s="170"/>
      <c r="R1096" s="170">
        <v>3</v>
      </c>
      <c r="S1096" s="170"/>
      <c r="T1096" s="170"/>
      <c r="U1096" s="97"/>
      <c r="V1096" s="684">
        <v>0</v>
      </c>
      <c r="W1096" s="97"/>
      <c r="X1096" s="97"/>
      <c r="Y1096" s="834">
        <f t="shared" si="224"/>
        <v>0</v>
      </c>
      <c r="Z1096" s="97">
        <v>3</v>
      </c>
      <c r="AA1096" s="97"/>
      <c r="AB1096" s="97"/>
      <c r="AC1096" s="97"/>
      <c r="AD1096" s="97"/>
      <c r="AE1096" s="591"/>
      <c r="AF1096" s="353" t="s">
        <v>1280</v>
      </c>
      <c r="AG1096" s="525">
        <v>580000</v>
      </c>
      <c r="AH1096" s="388">
        <v>0</v>
      </c>
      <c r="AI1096" s="258"/>
      <c r="AJ1096" s="258"/>
      <c r="AK1096" s="258"/>
      <c r="AL1096" s="258"/>
      <c r="AM1096" s="258"/>
      <c r="AN1096" s="171" t="s">
        <v>181</v>
      </c>
      <c r="AO1096" s="171"/>
      <c r="AP1096" s="171"/>
      <c r="AQ1096" s="418"/>
      <c r="AS1096" s="484"/>
      <c r="AV1096" s="454"/>
    </row>
    <row r="1097" spans="1:48" outlineLevel="2" x14ac:dyDescent="0.25">
      <c r="A1097" s="63" t="str">
        <f t="shared" si="225"/>
        <v>3.12.0.6.44.0</v>
      </c>
      <c r="B1097" s="64">
        <v>3</v>
      </c>
      <c r="C1097" s="64">
        <v>12</v>
      </c>
      <c r="D1097" s="64">
        <v>0</v>
      </c>
      <c r="E1097" s="64">
        <v>6</v>
      </c>
      <c r="F1097" s="64">
        <v>44</v>
      </c>
      <c r="G1097" s="64">
        <v>0</v>
      </c>
      <c r="H1097" s="65"/>
      <c r="I1097" s="65"/>
      <c r="J1097" s="65"/>
      <c r="K1097" s="65" t="s">
        <v>1285</v>
      </c>
      <c r="L1097" s="64" t="s">
        <v>1286</v>
      </c>
      <c r="M1097" s="64" t="s">
        <v>1277</v>
      </c>
      <c r="N1097" s="64" t="s">
        <v>1287</v>
      </c>
      <c r="O1097" s="64" t="s">
        <v>1288</v>
      </c>
      <c r="P1097" s="170"/>
      <c r="Q1097" s="170"/>
      <c r="R1097" s="170">
        <v>12</v>
      </c>
      <c r="S1097" s="170"/>
      <c r="T1097" s="170">
        <v>12</v>
      </c>
      <c r="U1097" s="97">
        <v>25000</v>
      </c>
      <c r="V1097" s="684">
        <v>0</v>
      </c>
      <c r="W1097" s="97"/>
      <c r="X1097" s="97">
        <v>25000</v>
      </c>
      <c r="Y1097" s="834">
        <f t="shared" si="224"/>
        <v>0</v>
      </c>
      <c r="Z1097" s="97"/>
      <c r="AA1097" s="97">
        <v>25000</v>
      </c>
      <c r="AB1097" s="97"/>
      <c r="AC1097" s="97"/>
      <c r="AD1097" s="97">
        <v>25000</v>
      </c>
      <c r="AE1097" s="591"/>
      <c r="AF1097" s="353" t="s">
        <v>1289</v>
      </c>
      <c r="AG1097" s="525">
        <v>0</v>
      </c>
      <c r="AH1097" s="370">
        <v>100000</v>
      </c>
      <c r="AI1097" s="75"/>
      <c r="AJ1097" s="75"/>
      <c r="AK1097" s="75"/>
      <c r="AL1097" s="75"/>
      <c r="AM1097" s="75"/>
      <c r="AN1097" s="171" t="s">
        <v>39</v>
      </c>
      <c r="AO1097" s="171"/>
      <c r="AP1097" s="171"/>
      <c r="AQ1097" s="418"/>
      <c r="AS1097" s="484"/>
      <c r="AV1097" s="454" t="s">
        <v>1290</v>
      </c>
    </row>
    <row r="1098" spans="1:48" outlineLevel="2" x14ac:dyDescent="0.25">
      <c r="A1098" s="63" t="str">
        <f t="shared" si="225"/>
        <v>3.12.0.6.45.0</v>
      </c>
      <c r="B1098" s="64">
        <v>3</v>
      </c>
      <c r="C1098" s="64">
        <v>12</v>
      </c>
      <c r="D1098" s="64">
        <v>0</v>
      </c>
      <c r="E1098" s="64">
        <v>6</v>
      </c>
      <c r="F1098" s="64">
        <v>45</v>
      </c>
      <c r="G1098" s="64">
        <v>0</v>
      </c>
      <c r="H1098" s="65"/>
      <c r="I1098" s="65"/>
      <c r="J1098" s="65"/>
      <c r="K1098" s="65" t="s">
        <v>1291</v>
      </c>
      <c r="L1098" s="64" t="s">
        <v>1292</v>
      </c>
      <c r="M1098" s="64" t="s">
        <v>279</v>
      </c>
      <c r="N1098" s="64" t="s">
        <v>1249</v>
      </c>
      <c r="O1098" s="64" t="s">
        <v>1239</v>
      </c>
      <c r="P1098" s="69"/>
      <c r="Q1098" s="69"/>
      <c r="R1098" s="170"/>
      <c r="S1098" s="170"/>
      <c r="T1098" s="170">
        <v>1</v>
      </c>
      <c r="U1098" s="97"/>
      <c r="V1098" s="684">
        <v>0</v>
      </c>
      <c r="W1098" s="97"/>
      <c r="X1098" s="97"/>
      <c r="Y1098" s="834">
        <f t="shared" si="224"/>
        <v>0</v>
      </c>
      <c r="Z1098" s="97"/>
      <c r="AA1098" s="97"/>
      <c r="AB1098" s="97"/>
      <c r="AC1098" s="97"/>
      <c r="AD1098" s="97"/>
      <c r="AE1098" s="591"/>
      <c r="AF1098" s="353" t="s">
        <v>1293</v>
      </c>
      <c r="AG1098" s="525">
        <v>100000</v>
      </c>
      <c r="AH1098" s="370">
        <v>0</v>
      </c>
      <c r="AI1098" s="75"/>
      <c r="AJ1098" s="75"/>
      <c r="AK1098" s="75"/>
      <c r="AL1098" s="75"/>
      <c r="AM1098" s="75"/>
      <c r="AN1098" s="171" t="s">
        <v>39</v>
      </c>
      <c r="AO1098" s="171"/>
      <c r="AP1098" s="171"/>
      <c r="AQ1098" s="418"/>
      <c r="AS1098" s="484"/>
      <c r="AV1098" s="454"/>
    </row>
    <row r="1099" spans="1:48" outlineLevel="2" x14ac:dyDescent="0.25">
      <c r="A1099" s="63" t="str">
        <f>CONCATENATE(B1099,".",C1099,".",D1099,".",E1099,".",F1099,".",G1099)</f>
        <v>3.12.0.6.46.0</v>
      </c>
      <c r="B1099" s="64">
        <v>3</v>
      </c>
      <c r="C1099" s="64">
        <v>12</v>
      </c>
      <c r="D1099" s="64">
        <v>0</v>
      </c>
      <c r="E1099" s="64">
        <v>6</v>
      </c>
      <c r="F1099" s="64">
        <v>46</v>
      </c>
      <c r="G1099" s="64">
        <v>0</v>
      </c>
      <c r="H1099" s="65"/>
      <c r="I1099" s="65"/>
      <c r="J1099" s="65"/>
      <c r="K1099" s="185" t="s">
        <v>1872</v>
      </c>
      <c r="L1099" s="64"/>
      <c r="M1099" s="64" t="s">
        <v>279</v>
      </c>
      <c r="N1099" s="64"/>
      <c r="O1099" s="64"/>
      <c r="P1099" s="69"/>
      <c r="Q1099" s="69"/>
      <c r="R1099" s="170"/>
      <c r="S1099" s="170"/>
      <c r="T1099" s="170"/>
      <c r="U1099" s="97"/>
      <c r="V1099" s="684">
        <v>0</v>
      </c>
      <c r="W1099" s="97"/>
      <c r="X1099" s="97"/>
      <c r="Y1099" s="834">
        <f t="shared" si="224"/>
        <v>0</v>
      </c>
      <c r="Z1099" s="97"/>
      <c r="AA1099" s="97"/>
      <c r="AB1099" s="97"/>
      <c r="AC1099" s="97"/>
      <c r="AD1099" s="97"/>
      <c r="AE1099" s="591"/>
      <c r="AF1099" s="353"/>
      <c r="AG1099" s="525">
        <v>0</v>
      </c>
      <c r="AH1099" s="370"/>
      <c r="AI1099" s="75"/>
      <c r="AJ1099" s="75"/>
      <c r="AK1099" s="75"/>
      <c r="AL1099" s="75"/>
      <c r="AM1099" s="75"/>
      <c r="AN1099" s="171"/>
      <c r="AO1099" s="171"/>
      <c r="AP1099" s="171"/>
      <c r="AQ1099" s="418"/>
      <c r="AS1099" s="484"/>
      <c r="AV1099" s="454" t="s">
        <v>1294</v>
      </c>
    </row>
    <row r="1100" spans="1:48" s="153" customFormat="1" ht="19.5" customHeight="1" outlineLevel="1" x14ac:dyDescent="0.25">
      <c r="A1100" s="260" t="str">
        <f t="shared" si="225"/>
        <v>3.13.0.0.0.0</v>
      </c>
      <c r="B1100" s="261">
        <v>3</v>
      </c>
      <c r="C1100" s="261">
        <v>13</v>
      </c>
      <c r="D1100" s="261">
        <v>0</v>
      </c>
      <c r="E1100" s="261">
        <v>0</v>
      </c>
      <c r="F1100" s="261">
        <v>0</v>
      </c>
      <c r="G1100" s="262">
        <v>0</v>
      </c>
      <c r="H1100" s="263"/>
      <c r="I1100" s="1295" t="s">
        <v>1295</v>
      </c>
      <c r="J1100" s="1296"/>
      <c r="K1100" s="1297"/>
      <c r="L1100" s="262" t="s">
        <v>630</v>
      </c>
      <c r="M1100" s="262" t="s">
        <v>1296</v>
      </c>
      <c r="N1100" s="262" t="s">
        <v>1297</v>
      </c>
      <c r="O1100" s="262" t="s">
        <v>1298</v>
      </c>
      <c r="P1100" s="264"/>
      <c r="Q1100" s="264"/>
      <c r="R1100" s="261"/>
      <c r="S1100" s="265"/>
      <c r="T1100" s="261"/>
      <c r="U1100" s="266">
        <f>+U1101+U1107+U1120+U1123+U1127+U1144+U1147+U1154+U1158</f>
        <v>4454999.2200000007</v>
      </c>
      <c r="V1100" s="825">
        <f>+V1101+V1107+V1120+V1123+V1127+V1144+V1147+V1154+V1158</f>
        <v>0</v>
      </c>
      <c r="W1100" s="390">
        <f t="shared" ref="W1100:AG1100" si="226">+W1101+W1107+W1120+W1123+W1127+W1144+W1147+W1154+W1158</f>
        <v>200</v>
      </c>
      <c r="X1100" s="390">
        <f t="shared" si="226"/>
        <v>205000</v>
      </c>
      <c r="Y1100" s="855">
        <f t="shared" si="226"/>
        <v>5</v>
      </c>
      <c r="Z1100" s="390">
        <f t="shared" si="226"/>
        <v>135</v>
      </c>
      <c r="AA1100" s="390">
        <f t="shared" si="226"/>
        <v>155000</v>
      </c>
      <c r="AB1100" s="390">
        <f t="shared" si="226"/>
        <v>0</v>
      </c>
      <c r="AC1100" s="390">
        <f t="shared" si="226"/>
        <v>26</v>
      </c>
      <c r="AD1100" s="390">
        <f t="shared" si="226"/>
        <v>145000</v>
      </c>
      <c r="AE1100" s="390">
        <f t="shared" si="226"/>
        <v>0</v>
      </c>
      <c r="AF1100" s="390">
        <f t="shared" si="226"/>
        <v>0</v>
      </c>
      <c r="AG1100" s="390">
        <f t="shared" si="226"/>
        <v>7485000</v>
      </c>
      <c r="AH1100" s="390">
        <f>+AH1101+AH1107+AH1120+AH1123+AH1127+AH1144+AH1147+AH1154+AH1158</f>
        <v>4749999.2200000007</v>
      </c>
      <c r="AI1100" s="526">
        <f>+AI1101+AI1107+AI1120+AI1123+AI1127+AI1144+AI1147+AI1154+AI1158</f>
        <v>0</v>
      </c>
      <c r="AJ1100" s="526">
        <f>+AJ1101+AJ1107+AJ1120+AJ1123+AJ1127+AJ1144+AJ1147+AJ1154+AJ1158</f>
        <v>1687499.23</v>
      </c>
      <c r="AK1100" s="267"/>
      <c r="AL1100" s="267"/>
      <c r="AM1100" s="267"/>
      <c r="AN1100" s="261" t="s">
        <v>1157</v>
      </c>
      <c r="AO1100" s="261"/>
      <c r="AP1100" s="261"/>
      <c r="AQ1100" s="422"/>
      <c r="AR1100" s="261"/>
      <c r="AS1100" s="488"/>
      <c r="AT1100" s="261"/>
      <c r="AU1100" s="669"/>
      <c r="AV1100" s="458"/>
    </row>
    <row r="1101" spans="1:48" s="153" customFormat="1" ht="19.5" customHeight="1" outlineLevel="1" x14ac:dyDescent="0.25">
      <c r="A1101" s="148" t="str">
        <f t="shared" si="225"/>
        <v>3.13.0.1.0.0</v>
      </c>
      <c r="B1101" s="82">
        <v>3</v>
      </c>
      <c r="C1101" s="82">
        <v>13</v>
      </c>
      <c r="D1101" s="82">
        <v>0</v>
      </c>
      <c r="E1101" s="82">
        <v>1</v>
      </c>
      <c r="F1101" s="82">
        <v>0</v>
      </c>
      <c r="G1101" s="82">
        <v>0</v>
      </c>
      <c r="H1101" s="149"/>
      <c r="I1101" s="149"/>
      <c r="J1101" s="1260" t="s">
        <v>1299</v>
      </c>
      <c r="K1101" s="1259"/>
      <c r="L1101" s="622" t="s">
        <v>1300</v>
      </c>
      <c r="M1101" s="268" t="s">
        <v>1296</v>
      </c>
      <c r="N1101" s="268" t="s">
        <v>1297</v>
      </c>
      <c r="O1101" s="268" t="s">
        <v>1298</v>
      </c>
      <c r="P1101" s="268"/>
      <c r="Q1101" s="268"/>
      <c r="R1101" s="152"/>
      <c r="S1101" s="269"/>
      <c r="T1101" s="82"/>
      <c r="U1101" s="379">
        <f t="shared" ref="U1101:AG1101" si="227">+SUM(U1102:U1106)</f>
        <v>0</v>
      </c>
      <c r="V1101" s="682">
        <f t="shared" si="227"/>
        <v>0</v>
      </c>
      <c r="W1101" s="379">
        <f t="shared" si="227"/>
        <v>0</v>
      </c>
      <c r="X1101" s="379">
        <f t="shared" si="227"/>
        <v>0</v>
      </c>
      <c r="Y1101" s="845">
        <f t="shared" si="227"/>
        <v>0</v>
      </c>
      <c r="Z1101" s="379">
        <f t="shared" si="227"/>
        <v>0</v>
      </c>
      <c r="AA1101" s="379">
        <f t="shared" si="227"/>
        <v>0</v>
      </c>
      <c r="AB1101" s="379">
        <f t="shared" si="227"/>
        <v>0</v>
      </c>
      <c r="AC1101" s="379">
        <f t="shared" si="227"/>
        <v>0</v>
      </c>
      <c r="AD1101" s="379">
        <f t="shared" si="227"/>
        <v>0</v>
      </c>
      <c r="AE1101" s="379">
        <f t="shared" si="227"/>
        <v>0</v>
      </c>
      <c r="AF1101" s="379">
        <f t="shared" si="227"/>
        <v>0</v>
      </c>
      <c r="AG1101" s="379">
        <f t="shared" si="227"/>
        <v>0</v>
      </c>
      <c r="AH1101" s="379">
        <f>+SUM(AH1102:AH1106)</f>
        <v>0</v>
      </c>
      <c r="AI1101" s="512">
        <f>+SUM(AI1102:AI1106)</f>
        <v>0</v>
      </c>
      <c r="AJ1101" s="512">
        <f>+SUM(AJ1102:AJ1106)</f>
        <v>0</v>
      </c>
      <c r="AK1101" s="152"/>
      <c r="AL1101" s="152"/>
      <c r="AM1101" s="152"/>
      <c r="AN1101" s="82" t="s">
        <v>39</v>
      </c>
      <c r="AO1101" s="82"/>
      <c r="AP1101" s="82"/>
      <c r="AQ1101" s="365"/>
      <c r="AR1101" s="82"/>
      <c r="AS1101" s="483"/>
      <c r="AT1101" s="82"/>
      <c r="AU1101" s="666"/>
      <c r="AV1101" s="444"/>
    </row>
    <row r="1102" spans="1:48" outlineLevel="3" x14ac:dyDescent="0.25">
      <c r="A1102" s="63" t="str">
        <f t="shared" si="225"/>
        <v>3.13.0.1.1.58-64</v>
      </c>
      <c r="B1102" s="64">
        <v>3</v>
      </c>
      <c r="C1102" s="64">
        <v>13</v>
      </c>
      <c r="D1102" s="64">
        <v>0</v>
      </c>
      <c r="E1102" s="64">
        <v>1</v>
      </c>
      <c r="F1102" s="64">
        <v>1</v>
      </c>
      <c r="G1102" s="64" t="s">
        <v>64</v>
      </c>
      <c r="H1102" s="65"/>
      <c r="I1102" s="65"/>
      <c r="J1102" s="66"/>
      <c r="K1102" s="65" t="s">
        <v>1301</v>
      </c>
      <c r="L1102" s="64" t="s">
        <v>1300</v>
      </c>
      <c r="M1102" s="64" t="s">
        <v>1296</v>
      </c>
      <c r="N1102" s="64" t="s">
        <v>1297</v>
      </c>
      <c r="O1102" s="64" t="s">
        <v>1298</v>
      </c>
      <c r="P1102" s="69"/>
      <c r="Q1102" s="69"/>
      <c r="R1102" s="64"/>
      <c r="S1102" s="65" t="s">
        <v>299</v>
      </c>
      <c r="T1102" s="64"/>
      <c r="U1102" s="75"/>
      <c r="V1102" s="674">
        <v>0</v>
      </c>
      <c r="W1102" s="75"/>
      <c r="X1102" s="75"/>
      <c r="Y1102" s="834">
        <f>+AJ1102-V1102</f>
        <v>0</v>
      </c>
      <c r="Z1102" s="75"/>
      <c r="AA1102" s="75"/>
      <c r="AB1102" s="75"/>
      <c r="AC1102" s="97"/>
      <c r="AD1102" s="97"/>
      <c r="AE1102" s="591"/>
      <c r="AF1102" s="259"/>
      <c r="AG1102" s="510">
        <v>0</v>
      </c>
      <c r="AH1102" s="370">
        <v>0</v>
      </c>
      <c r="AI1102" s="75"/>
      <c r="AJ1102" s="75"/>
      <c r="AK1102" s="75"/>
      <c r="AL1102" s="75"/>
      <c r="AM1102" s="75"/>
      <c r="AN1102" s="64" t="s">
        <v>39</v>
      </c>
      <c r="AO1102" s="64"/>
      <c r="AP1102" s="64"/>
      <c r="AQ1102" s="189"/>
      <c r="AR1102" s="64"/>
      <c r="AS1102" s="476"/>
      <c r="AT1102" s="64"/>
      <c r="AU1102" s="646"/>
      <c r="AV1102" s="185"/>
    </row>
    <row r="1103" spans="1:48" outlineLevel="3" x14ac:dyDescent="0.25">
      <c r="A1103" s="63" t="str">
        <f t="shared" si="225"/>
        <v>3.13.0.1.2.58-64</v>
      </c>
      <c r="B1103" s="64">
        <v>3</v>
      </c>
      <c r="C1103" s="64">
        <v>13</v>
      </c>
      <c r="D1103" s="64">
        <v>0</v>
      </c>
      <c r="E1103" s="64">
        <v>1</v>
      </c>
      <c r="F1103" s="64">
        <v>2</v>
      </c>
      <c r="G1103" s="64" t="s">
        <v>64</v>
      </c>
      <c r="H1103" s="65"/>
      <c r="I1103" s="65"/>
      <c r="J1103" s="66"/>
      <c r="K1103" s="65" t="s">
        <v>1302</v>
      </c>
      <c r="L1103" s="64" t="s">
        <v>1300</v>
      </c>
      <c r="M1103" s="64" t="s">
        <v>1296</v>
      </c>
      <c r="N1103" s="64" t="s">
        <v>1297</v>
      </c>
      <c r="O1103" s="64" t="s">
        <v>1298</v>
      </c>
      <c r="P1103" s="69"/>
      <c r="Q1103" s="69"/>
      <c r="R1103" s="64"/>
      <c r="S1103" s="65" t="s">
        <v>299</v>
      </c>
      <c r="T1103" s="64"/>
      <c r="U1103" s="75"/>
      <c r="V1103" s="674">
        <v>0</v>
      </c>
      <c r="W1103" s="75"/>
      <c r="X1103" s="75"/>
      <c r="Y1103" s="834">
        <f>+AJ1103-V1103</f>
        <v>0</v>
      </c>
      <c r="Z1103" s="75"/>
      <c r="AA1103" s="75"/>
      <c r="AB1103" s="75"/>
      <c r="AC1103" s="97"/>
      <c r="AD1103" s="97"/>
      <c r="AE1103" s="591"/>
      <c r="AF1103" s="259"/>
      <c r="AG1103" s="510">
        <v>0</v>
      </c>
      <c r="AH1103" s="370">
        <v>0</v>
      </c>
      <c r="AI1103" s="75"/>
      <c r="AJ1103" s="75"/>
      <c r="AK1103" s="75"/>
      <c r="AL1103" s="75"/>
      <c r="AM1103" s="75"/>
      <c r="AN1103" s="64" t="s">
        <v>39</v>
      </c>
      <c r="AO1103" s="64"/>
      <c r="AP1103" s="64"/>
      <c r="AQ1103" s="189"/>
      <c r="AR1103" s="64"/>
      <c r="AS1103" s="476"/>
      <c r="AT1103" s="64"/>
      <c r="AU1103" s="646"/>
      <c r="AV1103" s="185"/>
    </row>
    <row r="1104" spans="1:48" ht="30" outlineLevel="3" x14ac:dyDescent="0.25">
      <c r="A1104" s="63" t="str">
        <f t="shared" si="225"/>
        <v>3.13.0.1.3.58-64</v>
      </c>
      <c r="B1104" s="64">
        <v>3</v>
      </c>
      <c r="C1104" s="64">
        <v>13</v>
      </c>
      <c r="D1104" s="64">
        <v>0</v>
      </c>
      <c r="E1104" s="64">
        <v>1</v>
      </c>
      <c r="F1104" s="64">
        <v>3</v>
      </c>
      <c r="G1104" s="64" t="s">
        <v>64</v>
      </c>
      <c r="H1104" s="65"/>
      <c r="I1104" s="65"/>
      <c r="J1104" s="66"/>
      <c r="K1104" s="67" t="s">
        <v>1303</v>
      </c>
      <c r="L1104" s="64" t="s">
        <v>1300</v>
      </c>
      <c r="M1104" s="64" t="s">
        <v>1296</v>
      </c>
      <c r="N1104" s="64" t="s">
        <v>1297</v>
      </c>
      <c r="O1104" s="64" t="s">
        <v>1298</v>
      </c>
      <c r="P1104" s="69"/>
      <c r="Q1104" s="69"/>
      <c r="R1104" s="64"/>
      <c r="S1104" s="65" t="s">
        <v>299</v>
      </c>
      <c r="T1104" s="64"/>
      <c r="U1104" s="75"/>
      <c r="V1104" s="674">
        <v>0</v>
      </c>
      <c r="W1104" s="75"/>
      <c r="X1104" s="75"/>
      <c r="Y1104" s="834">
        <f>+AJ1104-V1104</f>
        <v>0</v>
      </c>
      <c r="Z1104" s="75"/>
      <c r="AA1104" s="75"/>
      <c r="AB1104" s="75"/>
      <c r="AC1104" s="97"/>
      <c r="AD1104" s="97"/>
      <c r="AE1104" s="591"/>
      <c r="AF1104" s="259"/>
      <c r="AG1104" s="510">
        <v>0</v>
      </c>
      <c r="AH1104" s="370">
        <v>0</v>
      </c>
      <c r="AI1104" s="75"/>
      <c r="AJ1104" s="75"/>
      <c r="AK1104" s="75"/>
      <c r="AL1104" s="75"/>
      <c r="AM1104" s="75"/>
      <c r="AN1104" s="64" t="s">
        <v>39</v>
      </c>
      <c r="AO1104" s="64"/>
      <c r="AP1104" s="64"/>
      <c r="AQ1104" s="189"/>
      <c r="AR1104" s="64"/>
      <c r="AS1104" s="476"/>
      <c r="AT1104" s="64"/>
      <c r="AU1104" s="646"/>
      <c r="AV1104" s="185"/>
    </row>
    <row r="1105" spans="1:48" ht="36" customHeight="1" outlineLevel="3" x14ac:dyDescent="0.25">
      <c r="A1105" s="63" t="str">
        <f t="shared" si="225"/>
        <v>3.13.0.1.4.0</v>
      </c>
      <c r="B1105" s="64">
        <v>3</v>
      </c>
      <c r="C1105" s="64">
        <v>13</v>
      </c>
      <c r="D1105" s="64">
        <v>0</v>
      </c>
      <c r="E1105" s="64">
        <v>1</v>
      </c>
      <c r="F1105" s="64">
        <v>4</v>
      </c>
      <c r="G1105" s="64">
        <v>0</v>
      </c>
      <c r="H1105" s="65"/>
      <c r="I1105" s="65"/>
      <c r="J1105" s="66"/>
      <c r="K1105" s="67" t="s">
        <v>1304</v>
      </c>
      <c r="L1105" s="64" t="s">
        <v>1300</v>
      </c>
      <c r="M1105" s="64" t="s">
        <v>1296</v>
      </c>
      <c r="N1105" s="64" t="s">
        <v>1297</v>
      </c>
      <c r="O1105" s="64" t="s">
        <v>1298</v>
      </c>
      <c r="P1105" s="69"/>
      <c r="Q1105" s="69"/>
      <c r="R1105" s="64"/>
      <c r="S1105" s="65" t="s">
        <v>299</v>
      </c>
      <c r="T1105" s="64"/>
      <c r="U1105" s="75"/>
      <c r="V1105" s="674">
        <v>0</v>
      </c>
      <c r="W1105" s="75"/>
      <c r="X1105" s="75"/>
      <c r="Y1105" s="834">
        <f>+AJ1105-V1105</f>
        <v>0</v>
      </c>
      <c r="Z1105" s="75"/>
      <c r="AA1105" s="75"/>
      <c r="AB1105" s="75"/>
      <c r="AC1105" s="97"/>
      <c r="AD1105" s="97"/>
      <c r="AE1105" s="591"/>
      <c r="AF1105" s="259"/>
      <c r="AG1105" s="510">
        <v>0</v>
      </c>
      <c r="AH1105" s="370">
        <v>0</v>
      </c>
      <c r="AI1105" s="75"/>
      <c r="AJ1105" s="75"/>
      <c r="AK1105" s="75"/>
      <c r="AL1105" s="75"/>
      <c r="AM1105" s="75"/>
      <c r="AN1105" s="64" t="s">
        <v>39</v>
      </c>
      <c r="AO1105" s="64"/>
      <c r="AP1105" s="64"/>
      <c r="AQ1105" s="189"/>
      <c r="AR1105" s="64"/>
      <c r="AS1105" s="476"/>
      <c r="AT1105" s="64"/>
      <c r="AU1105" s="646"/>
      <c r="AV1105" s="185"/>
    </row>
    <row r="1106" spans="1:48" outlineLevel="3" x14ac:dyDescent="0.25">
      <c r="A1106" s="63" t="str">
        <f t="shared" si="225"/>
        <v>3.13.0.1.5.58-64</v>
      </c>
      <c r="B1106" s="64">
        <v>3</v>
      </c>
      <c r="C1106" s="64">
        <v>13</v>
      </c>
      <c r="D1106" s="64">
        <v>0</v>
      </c>
      <c r="E1106" s="64">
        <v>1</v>
      </c>
      <c r="F1106" s="64">
        <v>5</v>
      </c>
      <c r="G1106" s="64" t="s">
        <v>64</v>
      </c>
      <c r="H1106" s="65"/>
      <c r="I1106" s="65"/>
      <c r="J1106" s="65"/>
      <c r="K1106" s="65" t="s">
        <v>1305</v>
      </c>
      <c r="L1106" s="64" t="s">
        <v>1300</v>
      </c>
      <c r="M1106" s="64" t="s">
        <v>1296</v>
      </c>
      <c r="N1106" s="64" t="s">
        <v>1297</v>
      </c>
      <c r="O1106" s="64" t="s">
        <v>1298</v>
      </c>
      <c r="P1106" s="69"/>
      <c r="Q1106" s="69"/>
      <c r="R1106" s="64"/>
      <c r="S1106" s="65" t="s">
        <v>299</v>
      </c>
      <c r="T1106" s="64"/>
      <c r="U1106" s="75"/>
      <c r="V1106" s="674">
        <v>0</v>
      </c>
      <c r="W1106" s="75"/>
      <c r="X1106" s="75"/>
      <c r="Y1106" s="834">
        <f>+AJ1106-V1106</f>
        <v>0</v>
      </c>
      <c r="Z1106" s="75"/>
      <c r="AA1106" s="75"/>
      <c r="AB1106" s="75"/>
      <c r="AC1106" s="97"/>
      <c r="AD1106" s="97"/>
      <c r="AE1106" s="591"/>
      <c r="AF1106" s="259"/>
      <c r="AG1106" s="510">
        <v>0</v>
      </c>
      <c r="AH1106" s="370">
        <v>0</v>
      </c>
      <c r="AI1106" s="75"/>
      <c r="AJ1106" s="75"/>
      <c r="AK1106" s="75"/>
      <c r="AL1106" s="75"/>
      <c r="AM1106" s="75"/>
      <c r="AN1106" s="64" t="s">
        <v>39</v>
      </c>
      <c r="AO1106" s="64"/>
      <c r="AP1106" s="64"/>
      <c r="AQ1106" s="189"/>
      <c r="AR1106" s="64"/>
      <c r="AS1106" s="476"/>
      <c r="AT1106" s="64"/>
      <c r="AU1106" s="646"/>
      <c r="AV1106" s="185"/>
    </row>
    <row r="1107" spans="1:48" s="153" customFormat="1" ht="15" customHeight="1" outlineLevel="1" x14ac:dyDescent="0.25">
      <c r="A1107" s="148" t="str">
        <f t="shared" si="225"/>
        <v>3.13.0.2.0.0</v>
      </c>
      <c r="B1107" s="82">
        <v>3</v>
      </c>
      <c r="C1107" s="82">
        <v>13</v>
      </c>
      <c r="D1107" s="82">
        <v>0</v>
      </c>
      <c r="E1107" s="82">
        <v>2</v>
      </c>
      <c r="F1107" s="82">
        <v>0</v>
      </c>
      <c r="G1107" s="82">
        <v>0</v>
      </c>
      <c r="H1107" s="149"/>
      <c r="I1107" s="149"/>
      <c r="J1107" s="1260" t="s">
        <v>1306</v>
      </c>
      <c r="K1107" s="1259"/>
      <c r="L1107" s="82" t="s">
        <v>179</v>
      </c>
      <c r="M1107" s="82" t="s">
        <v>1307</v>
      </c>
      <c r="N1107" s="82" t="s">
        <v>180</v>
      </c>
      <c r="O1107" s="82" t="s">
        <v>38</v>
      </c>
      <c r="P1107" s="82"/>
      <c r="Q1107" s="82"/>
      <c r="R1107" s="82"/>
      <c r="S1107" s="149"/>
      <c r="T1107" s="82"/>
      <c r="U1107" s="209">
        <f>SUM(U1108:U1119)</f>
        <v>50000</v>
      </c>
      <c r="V1107" s="683">
        <f>SUM(V1108:V1119)</f>
        <v>0</v>
      </c>
      <c r="W1107" s="379">
        <f t="shared" ref="W1107:AG1107" si="228">+SUM(W1108:W1117)</f>
        <v>0</v>
      </c>
      <c r="X1107" s="379">
        <f t="shared" si="228"/>
        <v>50000</v>
      </c>
      <c r="Y1107" s="845">
        <f t="shared" si="228"/>
        <v>0</v>
      </c>
      <c r="Z1107" s="379">
        <f t="shared" si="228"/>
        <v>0</v>
      </c>
      <c r="AA1107" s="379">
        <f t="shared" si="228"/>
        <v>0</v>
      </c>
      <c r="AB1107" s="379">
        <f t="shared" si="228"/>
        <v>0</v>
      </c>
      <c r="AC1107" s="379">
        <f t="shared" si="228"/>
        <v>0</v>
      </c>
      <c r="AD1107" s="379">
        <f t="shared" si="228"/>
        <v>0</v>
      </c>
      <c r="AE1107" s="379">
        <f t="shared" si="228"/>
        <v>0</v>
      </c>
      <c r="AF1107" s="379">
        <f t="shared" si="228"/>
        <v>0</v>
      </c>
      <c r="AG1107" s="379">
        <f t="shared" si="228"/>
        <v>0</v>
      </c>
      <c r="AH1107" s="379">
        <f>+SUM(AH1108:AH1117)</f>
        <v>0</v>
      </c>
      <c r="AI1107" s="152"/>
      <c r="AJ1107" s="152"/>
      <c r="AK1107" s="152"/>
      <c r="AL1107" s="152"/>
      <c r="AM1107" s="152"/>
      <c r="AN1107" s="82" t="s">
        <v>1157</v>
      </c>
      <c r="AO1107" s="82"/>
      <c r="AP1107" s="82"/>
      <c r="AQ1107" s="365"/>
      <c r="AR1107" s="82"/>
      <c r="AS1107" s="483"/>
      <c r="AT1107" s="82"/>
      <c r="AU1107" s="666"/>
      <c r="AV1107" s="444"/>
    </row>
    <row r="1108" spans="1:48" ht="36" customHeight="1" outlineLevel="3" x14ac:dyDescent="0.25">
      <c r="A1108" s="63" t="str">
        <f t="shared" si="225"/>
        <v>3.13.0.2.1.58-64</v>
      </c>
      <c r="B1108" s="64">
        <v>3</v>
      </c>
      <c r="C1108" s="64">
        <v>13</v>
      </c>
      <c r="D1108" s="64">
        <v>0</v>
      </c>
      <c r="E1108" s="64">
        <v>2</v>
      </c>
      <c r="F1108" s="64">
        <v>1</v>
      </c>
      <c r="G1108" s="64" t="s">
        <v>64</v>
      </c>
      <c r="H1108" s="65"/>
      <c r="I1108" s="65"/>
      <c r="J1108" s="65"/>
      <c r="K1108" s="67" t="s">
        <v>1308</v>
      </c>
      <c r="L1108" s="64" t="s">
        <v>179</v>
      </c>
      <c r="M1108" s="68" t="s">
        <v>1309</v>
      </c>
      <c r="N1108" s="64" t="s">
        <v>180</v>
      </c>
      <c r="O1108" s="64" t="s">
        <v>38</v>
      </c>
      <c r="P1108" s="69" t="s">
        <v>1310</v>
      </c>
      <c r="Q1108" s="69">
        <v>44301</v>
      </c>
      <c r="R1108" s="64"/>
      <c r="S1108" s="65"/>
      <c r="T1108" s="64"/>
      <c r="U1108" s="75"/>
      <c r="V1108" s="674">
        <v>0</v>
      </c>
      <c r="W1108" s="75"/>
      <c r="X1108" s="75"/>
      <c r="Y1108" s="834">
        <f t="shared" ref="Y1108:Y1119" si="229">+AJ1108-V1108</f>
        <v>0</v>
      </c>
      <c r="Z1108" s="75"/>
      <c r="AA1108" s="75"/>
      <c r="AB1108" s="75"/>
      <c r="AC1108" s="97"/>
      <c r="AD1108" s="97"/>
      <c r="AE1108" s="591"/>
      <c r="AF1108" s="259"/>
      <c r="AG1108" s="510">
        <v>0</v>
      </c>
      <c r="AH1108" s="370">
        <v>0</v>
      </c>
      <c r="AI1108" s="75"/>
      <c r="AJ1108" s="75"/>
      <c r="AK1108" s="75"/>
      <c r="AL1108" s="75"/>
      <c r="AM1108" s="75"/>
      <c r="AN1108" s="64" t="s">
        <v>181</v>
      </c>
      <c r="AO1108" s="64"/>
      <c r="AP1108" s="64"/>
      <c r="AQ1108" s="189"/>
      <c r="AR1108" s="64"/>
      <c r="AS1108" s="476"/>
      <c r="AT1108" s="64"/>
      <c r="AU1108" s="646"/>
      <c r="AV1108" s="185"/>
    </row>
    <row r="1109" spans="1:48" outlineLevel="3" x14ac:dyDescent="0.25">
      <c r="A1109" s="63" t="str">
        <f t="shared" si="225"/>
        <v>3.13.0.2.2.58-64</v>
      </c>
      <c r="B1109" s="64">
        <v>3</v>
      </c>
      <c r="C1109" s="64">
        <v>13</v>
      </c>
      <c r="D1109" s="64">
        <v>0</v>
      </c>
      <c r="E1109" s="64">
        <v>2</v>
      </c>
      <c r="F1109" s="64">
        <v>2</v>
      </c>
      <c r="G1109" s="64" t="s">
        <v>64</v>
      </c>
      <c r="H1109" s="65"/>
      <c r="I1109" s="65"/>
      <c r="J1109" s="65"/>
      <c r="K1109" s="67" t="s">
        <v>1311</v>
      </c>
      <c r="L1109" s="64" t="s">
        <v>179</v>
      </c>
      <c r="M1109" s="68" t="s">
        <v>1312</v>
      </c>
      <c r="N1109" s="64" t="s">
        <v>180</v>
      </c>
      <c r="O1109" s="64" t="s">
        <v>38</v>
      </c>
      <c r="P1109" s="69"/>
      <c r="Q1109" s="69"/>
      <c r="R1109" s="170"/>
      <c r="S1109" s="170"/>
      <c r="T1109" s="170"/>
      <c r="U1109" s="97"/>
      <c r="V1109" s="674">
        <v>0</v>
      </c>
      <c r="W1109" s="97"/>
      <c r="X1109" s="97"/>
      <c r="Y1109" s="834">
        <f t="shared" si="229"/>
        <v>0</v>
      </c>
      <c r="Z1109" s="97"/>
      <c r="AA1109" s="97"/>
      <c r="AB1109" s="97"/>
      <c r="AC1109" s="97"/>
      <c r="AD1109" s="97"/>
      <c r="AE1109" s="591"/>
      <c r="AF1109" s="353"/>
      <c r="AG1109" s="510">
        <v>0</v>
      </c>
      <c r="AH1109" s="370">
        <v>0</v>
      </c>
      <c r="AI1109" s="75"/>
      <c r="AJ1109" s="75"/>
      <c r="AK1109" s="75"/>
      <c r="AL1109" s="75"/>
      <c r="AM1109" s="75"/>
      <c r="AN1109" s="64" t="s">
        <v>181</v>
      </c>
      <c r="AO1109" s="64"/>
      <c r="AP1109" s="64"/>
      <c r="AQ1109" s="189"/>
      <c r="AR1109" s="64"/>
      <c r="AS1109" s="476"/>
      <c r="AT1109" s="64"/>
      <c r="AU1109" s="646"/>
      <c r="AV1109" s="335" t="s">
        <v>1094</v>
      </c>
    </row>
    <row r="1110" spans="1:48" outlineLevel="3" x14ac:dyDescent="0.25">
      <c r="A1110" s="63" t="str">
        <f t="shared" si="225"/>
        <v>3.13.0.2.3.58-64</v>
      </c>
      <c r="B1110" s="64">
        <v>3</v>
      </c>
      <c r="C1110" s="64">
        <v>13</v>
      </c>
      <c r="D1110" s="64">
        <v>0</v>
      </c>
      <c r="E1110" s="64">
        <v>2</v>
      </c>
      <c r="F1110" s="64">
        <v>3</v>
      </c>
      <c r="G1110" s="64" t="s">
        <v>64</v>
      </c>
      <c r="H1110" s="65"/>
      <c r="I1110" s="65"/>
      <c r="J1110" s="65"/>
      <c r="K1110" s="67" t="s">
        <v>1313</v>
      </c>
      <c r="L1110" s="64" t="s">
        <v>179</v>
      </c>
      <c r="M1110" s="68">
        <v>0</v>
      </c>
      <c r="N1110" s="64" t="s">
        <v>180</v>
      </c>
      <c r="O1110" s="64" t="s">
        <v>1314</v>
      </c>
      <c r="P1110" s="69" t="s">
        <v>1315</v>
      </c>
      <c r="Q1110" s="69"/>
      <c r="R1110" s="170"/>
      <c r="S1110" s="170"/>
      <c r="T1110" s="170"/>
      <c r="U1110" s="97"/>
      <c r="V1110" s="674">
        <v>0</v>
      </c>
      <c r="W1110" s="97"/>
      <c r="X1110" s="97"/>
      <c r="Y1110" s="834">
        <f t="shared" si="229"/>
        <v>0</v>
      </c>
      <c r="Z1110" s="97"/>
      <c r="AA1110" s="97"/>
      <c r="AB1110" s="97"/>
      <c r="AC1110" s="97"/>
      <c r="AD1110" s="97"/>
      <c r="AE1110" s="591"/>
      <c r="AF1110" s="353"/>
      <c r="AG1110" s="510">
        <v>0</v>
      </c>
      <c r="AH1110" s="370">
        <v>0</v>
      </c>
      <c r="AI1110" s="75"/>
      <c r="AJ1110" s="75"/>
      <c r="AK1110" s="75"/>
      <c r="AL1110" s="75"/>
      <c r="AM1110" s="75"/>
      <c r="AN1110" s="171" t="s">
        <v>39</v>
      </c>
      <c r="AO1110" s="171"/>
      <c r="AP1110" s="171"/>
      <c r="AQ1110" s="418"/>
      <c r="AS1110" s="484"/>
      <c r="AV1110" s="441"/>
    </row>
    <row r="1111" spans="1:48" outlineLevel="3" x14ac:dyDescent="0.25">
      <c r="A1111" s="63" t="str">
        <f t="shared" si="225"/>
        <v>3.13.0.2.4.58-64</v>
      </c>
      <c r="B1111" s="64">
        <v>3</v>
      </c>
      <c r="C1111" s="64">
        <v>13</v>
      </c>
      <c r="D1111" s="64">
        <v>0</v>
      </c>
      <c r="E1111" s="64">
        <v>2</v>
      </c>
      <c r="F1111" s="64">
        <v>4</v>
      </c>
      <c r="G1111" s="64" t="s">
        <v>64</v>
      </c>
      <c r="H1111" s="65"/>
      <c r="I1111" s="65"/>
      <c r="J1111" s="65"/>
      <c r="K1111" s="67" t="s">
        <v>1316</v>
      </c>
      <c r="L1111" s="64" t="s">
        <v>179</v>
      </c>
      <c r="M1111" s="68">
        <v>0</v>
      </c>
      <c r="N1111" s="64" t="s">
        <v>180</v>
      </c>
      <c r="O1111" s="64" t="s">
        <v>1314</v>
      </c>
      <c r="P1111" s="69"/>
      <c r="Q1111" s="69"/>
      <c r="R1111" s="170"/>
      <c r="S1111" s="170"/>
      <c r="T1111" s="170"/>
      <c r="U1111" s="97"/>
      <c r="V1111" s="674">
        <v>0</v>
      </c>
      <c r="W1111" s="97"/>
      <c r="X1111" s="97"/>
      <c r="Y1111" s="834">
        <f t="shared" si="229"/>
        <v>0</v>
      </c>
      <c r="Z1111" s="97"/>
      <c r="AA1111" s="97"/>
      <c r="AB1111" s="97"/>
      <c r="AC1111" s="97"/>
      <c r="AD1111" s="97"/>
      <c r="AE1111" s="591"/>
      <c r="AF1111" s="353"/>
      <c r="AG1111" s="510">
        <v>0</v>
      </c>
      <c r="AH1111" s="370">
        <v>0</v>
      </c>
      <c r="AI1111" s="75"/>
      <c r="AJ1111" s="75"/>
      <c r="AK1111" s="75"/>
      <c r="AL1111" s="75"/>
      <c r="AM1111" s="75"/>
      <c r="AN1111" s="171" t="s">
        <v>39</v>
      </c>
      <c r="AO1111" s="171"/>
      <c r="AP1111" s="171"/>
      <c r="AQ1111" s="418"/>
      <c r="AS1111" s="484"/>
      <c r="AV1111" s="441"/>
    </row>
    <row r="1112" spans="1:48" outlineLevel="3" x14ac:dyDescent="0.25">
      <c r="A1112" s="63" t="str">
        <f t="shared" si="225"/>
        <v>3.13.0.2.5.0</v>
      </c>
      <c r="B1112" s="64">
        <v>3</v>
      </c>
      <c r="C1112" s="64">
        <v>13</v>
      </c>
      <c r="D1112" s="64">
        <v>0</v>
      </c>
      <c r="E1112" s="64">
        <v>2</v>
      </c>
      <c r="F1112" s="64">
        <v>5</v>
      </c>
      <c r="G1112" s="64">
        <v>0</v>
      </c>
      <c r="H1112" s="65"/>
      <c r="I1112" s="65"/>
      <c r="J1112" s="65"/>
      <c r="K1112" s="65" t="s">
        <v>1317</v>
      </c>
      <c r="L1112" s="64" t="s">
        <v>179</v>
      </c>
      <c r="M1112" s="68" t="s">
        <v>1318</v>
      </c>
      <c r="N1112" s="64" t="s">
        <v>180</v>
      </c>
      <c r="O1112" s="64" t="s">
        <v>1314</v>
      </c>
      <c r="P1112" s="69">
        <v>44228</v>
      </c>
      <c r="Q1112" s="69">
        <v>44255</v>
      </c>
      <c r="R1112" s="170"/>
      <c r="S1112" s="170"/>
      <c r="T1112" s="170"/>
      <c r="U1112" s="97"/>
      <c r="V1112" s="674">
        <v>0</v>
      </c>
      <c r="W1112" s="97"/>
      <c r="X1112" s="97"/>
      <c r="Y1112" s="834">
        <f t="shared" si="229"/>
        <v>0</v>
      </c>
      <c r="Z1112" s="97"/>
      <c r="AA1112" s="97"/>
      <c r="AB1112" s="97"/>
      <c r="AC1112" s="97"/>
      <c r="AD1112" s="97"/>
      <c r="AE1112" s="591"/>
      <c r="AF1112" s="353"/>
      <c r="AG1112" s="510">
        <v>0</v>
      </c>
      <c r="AH1112" s="370">
        <v>0</v>
      </c>
      <c r="AI1112" s="75"/>
      <c r="AJ1112" s="75"/>
      <c r="AK1112" s="75"/>
      <c r="AL1112" s="75"/>
      <c r="AM1112" s="75"/>
      <c r="AN1112" s="171" t="s">
        <v>181</v>
      </c>
      <c r="AO1112" s="171"/>
      <c r="AP1112" s="171"/>
      <c r="AQ1112" s="418"/>
      <c r="AS1112" s="484"/>
      <c r="AV1112" s="335" t="s">
        <v>1094</v>
      </c>
    </row>
    <row r="1113" spans="1:48" outlineLevel="3" x14ac:dyDescent="0.25">
      <c r="A1113" s="63" t="str">
        <f t="shared" si="225"/>
        <v>3.13.0.2.6.0</v>
      </c>
      <c r="B1113" s="64">
        <v>3</v>
      </c>
      <c r="C1113" s="64">
        <v>13</v>
      </c>
      <c r="D1113" s="64">
        <v>0</v>
      </c>
      <c r="E1113" s="64">
        <v>2</v>
      </c>
      <c r="F1113" s="64">
        <v>6</v>
      </c>
      <c r="G1113" s="64">
        <v>0</v>
      </c>
      <c r="H1113" s="65"/>
      <c r="I1113" s="65"/>
      <c r="J1113" s="65"/>
      <c r="K1113" s="65" t="s">
        <v>1319</v>
      </c>
      <c r="L1113" s="64" t="s">
        <v>179</v>
      </c>
      <c r="M1113" s="68" t="s">
        <v>1318</v>
      </c>
      <c r="N1113" s="64" t="s">
        <v>180</v>
      </c>
      <c r="O1113" s="64" t="s">
        <v>1314</v>
      </c>
      <c r="P1113" s="69">
        <v>44228</v>
      </c>
      <c r="Q1113" s="69">
        <v>44255</v>
      </c>
      <c r="R1113" s="170"/>
      <c r="S1113" s="170"/>
      <c r="T1113" s="170"/>
      <c r="U1113" s="97"/>
      <c r="V1113" s="674">
        <v>0</v>
      </c>
      <c r="W1113" s="97"/>
      <c r="X1113" s="97"/>
      <c r="Y1113" s="834">
        <f t="shared" si="229"/>
        <v>0</v>
      </c>
      <c r="Z1113" s="97"/>
      <c r="AA1113" s="97"/>
      <c r="AB1113" s="97"/>
      <c r="AC1113" s="97"/>
      <c r="AD1113" s="97"/>
      <c r="AE1113" s="591"/>
      <c r="AF1113" s="353"/>
      <c r="AG1113" s="510">
        <v>0</v>
      </c>
      <c r="AH1113" s="370">
        <v>0</v>
      </c>
      <c r="AI1113" s="75"/>
      <c r="AJ1113" s="75"/>
      <c r="AK1113" s="75"/>
      <c r="AL1113" s="75"/>
      <c r="AM1113" s="75"/>
      <c r="AN1113" s="171" t="s">
        <v>181</v>
      </c>
      <c r="AO1113" s="171"/>
      <c r="AP1113" s="171"/>
      <c r="AQ1113" s="418"/>
      <c r="AS1113" s="484"/>
      <c r="AV1113" s="335" t="s">
        <v>1094</v>
      </c>
    </row>
    <row r="1114" spans="1:48" outlineLevel="3" x14ac:dyDescent="0.25">
      <c r="A1114" s="63" t="str">
        <f t="shared" si="225"/>
        <v>3.13.0.2.7.0</v>
      </c>
      <c r="B1114" s="64">
        <v>3</v>
      </c>
      <c r="C1114" s="64">
        <v>13</v>
      </c>
      <c r="D1114" s="64">
        <v>0</v>
      </c>
      <c r="E1114" s="64">
        <v>2</v>
      </c>
      <c r="F1114" s="64">
        <v>7</v>
      </c>
      <c r="G1114" s="64">
        <v>0</v>
      </c>
      <c r="H1114" s="65"/>
      <c r="I1114" s="65"/>
      <c r="J1114" s="65"/>
      <c r="K1114" s="65" t="s">
        <v>1320</v>
      </c>
      <c r="L1114" s="64" t="s">
        <v>179</v>
      </c>
      <c r="M1114" s="68" t="s">
        <v>1318</v>
      </c>
      <c r="N1114" s="64" t="s">
        <v>180</v>
      </c>
      <c r="O1114" s="64" t="s">
        <v>1314</v>
      </c>
      <c r="P1114" s="69">
        <v>44228</v>
      </c>
      <c r="Q1114" s="69">
        <v>44255</v>
      </c>
      <c r="R1114" s="170">
        <v>2</v>
      </c>
      <c r="S1114" s="170"/>
      <c r="T1114" s="170">
        <v>2</v>
      </c>
      <c r="U1114" s="97"/>
      <c r="V1114" s="674">
        <v>0</v>
      </c>
      <c r="W1114" s="97"/>
      <c r="X1114" s="97"/>
      <c r="Y1114" s="834">
        <f t="shared" si="229"/>
        <v>0</v>
      </c>
      <c r="Z1114" s="97"/>
      <c r="AA1114" s="97"/>
      <c r="AB1114" s="97"/>
      <c r="AC1114" s="97"/>
      <c r="AD1114" s="97"/>
      <c r="AE1114" s="591"/>
      <c r="AF1114" s="353"/>
      <c r="AG1114" s="510">
        <v>0</v>
      </c>
      <c r="AH1114" s="370">
        <v>0</v>
      </c>
      <c r="AI1114" s="75"/>
      <c r="AJ1114" s="75"/>
      <c r="AK1114" s="75"/>
      <c r="AL1114" s="75"/>
      <c r="AM1114" s="75"/>
      <c r="AN1114" s="171" t="s">
        <v>181</v>
      </c>
      <c r="AO1114" s="171"/>
      <c r="AP1114" s="171"/>
      <c r="AQ1114" s="418"/>
      <c r="AS1114" s="484"/>
      <c r="AV1114" s="185"/>
    </row>
    <row r="1115" spans="1:48" outlineLevel="3" x14ac:dyDescent="0.25">
      <c r="A1115" s="63" t="str">
        <f t="shared" si="225"/>
        <v>3.13.0.2.8.0</v>
      </c>
      <c r="B1115" s="64">
        <v>3</v>
      </c>
      <c r="C1115" s="64">
        <v>13</v>
      </c>
      <c r="D1115" s="64">
        <v>0</v>
      </c>
      <c r="E1115" s="64">
        <v>2</v>
      </c>
      <c r="F1115" s="64">
        <v>8</v>
      </c>
      <c r="G1115" s="64">
        <v>0</v>
      </c>
      <c r="H1115" s="65"/>
      <c r="I1115" s="65"/>
      <c r="J1115" s="65"/>
      <c r="K1115" s="65" t="s">
        <v>1321</v>
      </c>
      <c r="L1115" s="64" t="s">
        <v>179</v>
      </c>
      <c r="M1115" s="68" t="s">
        <v>1318</v>
      </c>
      <c r="N1115" s="64" t="s">
        <v>180</v>
      </c>
      <c r="O1115" s="64" t="s">
        <v>1314</v>
      </c>
      <c r="P1115" s="69">
        <v>44228</v>
      </c>
      <c r="Q1115" s="69">
        <v>44255</v>
      </c>
      <c r="R1115" s="170"/>
      <c r="S1115" s="170"/>
      <c r="T1115" s="170"/>
      <c r="U1115" s="97"/>
      <c r="V1115" s="674">
        <v>0</v>
      </c>
      <c r="W1115" s="97"/>
      <c r="X1115" s="97"/>
      <c r="Y1115" s="834">
        <f t="shared" si="229"/>
        <v>0</v>
      </c>
      <c r="Z1115" s="97"/>
      <c r="AA1115" s="97"/>
      <c r="AB1115" s="97"/>
      <c r="AC1115" s="97"/>
      <c r="AD1115" s="97"/>
      <c r="AE1115" s="591"/>
      <c r="AF1115" s="353"/>
      <c r="AG1115" s="510">
        <v>0</v>
      </c>
      <c r="AH1115" s="370">
        <v>0</v>
      </c>
      <c r="AI1115" s="75"/>
      <c r="AJ1115" s="75"/>
      <c r="AK1115" s="75"/>
      <c r="AL1115" s="75"/>
      <c r="AM1115" s="75"/>
      <c r="AN1115" s="171" t="s">
        <v>181</v>
      </c>
      <c r="AO1115" s="171"/>
      <c r="AP1115" s="171"/>
      <c r="AQ1115" s="418"/>
      <c r="AS1115" s="484"/>
      <c r="AV1115" s="335" t="s">
        <v>127</v>
      </c>
    </row>
    <row r="1116" spans="1:48" outlineLevel="3" x14ac:dyDescent="0.25">
      <c r="A1116" s="63" t="str">
        <f t="shared" si="225"/>
        <v>3.13.0.2.9.0</v>
      </c>
      <c r="B1116" s="64">
        <v>3</v>
      </c>
      <c r="C1116" s="64">
        <v>13</v>
      </c>
      <c r="D1116" s="64">
        <v>0</v>
      </c>
      <c r="E1116" s="64">
        <v>2</v>
      </c>
      <c r="F1116" s="64">
        <v>9</v>
      </c>
      <c r="G1116" s="64">
        <v>0</v>
      </c>
      <c r="H1116" s="65"/>
      <c r="I1116" s="65"/>
      <c r="J1116" s="65"/>
      <c r="K1116" s="65" t="s">
        <v>1322</v>
      </c>
      <c r="L1116" s="64" t="s">
        <v>179</v>
      </c>
      <c r="M1116" s="68" t="s">
        <v>1318</v>
      </c>
      <c r="N1116" s="64" t="s">
        <v>180</v>
      </c>
      <c r="O1116" s="64" t="s">
        <v>1314</v>
      </c>
      <c r="P1116" s="69">
        <v>44228</v>
      </c>
      <c r="Q1116" s="69">
        <v>44255</v>
      </c>
      <c r="R1116" s="170"/>
      <c r="S1116" s="170"/>
      <c r="T1116" s="170"/>
      <c r="U1116" s="97"/>
      <c r="V1116" s="674">
        <v>0</v>
      </c>
      <c r="W1116" s="97"/>
      <c r="X1116" s="97"/>
      <c r="Y1116" s="834">
        <f t="shared" si="229"/>
        <v>0</v>
      </c>
      <c r="Z1116" s="97"/>
      <c r="AA1116" s="97"/>
      <c r="AB1116" s="97"/>
      <c r="AC1116" s="97"/>
      <c r="AD1116" s="97"/>
      <c r="AE1116" s="591"/>
      <c r="AF1116" s="353"/>
      <c r="AG1116" s="510">
        <v>0</v>
      </c>
      <c r="AH1116" s="370">
        <v>0</v>
      </c>
      <c r="AI1116" s="75"/>
      <c r="AJ1116" s="75"/>
      <c r="AK1116" s="75"/>
      <c r="AL1116" s="75"/>
      <c r="AM1116" s="75"/>
      <c r="AN1116" s="171" t="s">
        <v>181</v>
      </c>
      <c r="AO1116" s="171"/>
      <c r="AP1116" s="171"/>
      <c r="AQ1116" s="418"/>
      <c r="AS1116" s="484"/>
      <c r="AV1116" s="185"/>
    </row>
    <row r="1117" spans="1:48" outlineLevel="3" x14ac:dyDescent="0.25">
      <c r="A1117" s="63" t="str">
        <f t="shared" si="225"/>
        <v>3.13.0.2.10.0</v>
      </c>
      <c r="B1117" s="64">
        <v>3</v>
      </c>
      <c r="C1117" s="64">
        <v>13</v>
      </c>
      <c r="D1117" s="64">
        <v>0</v>
      </c>
      <c r="E1117" s="64">
        <v>2</v>
      </c>
      <c r="F1117" s="64">
        <v>10</v>
      </c>
      <c r="G1117" s="64">
        <v>0</v>
      </c>
      <c r="H1117" s="65"/>
      <c r="I1117" s="65"/>
      <c r="J1117" s="65"/>
      <c r="K1117" s="65" t="s">
        <v>1323</v>
      </c>
      <c r="L1117" s="64" t="s">
        <v>179</v>
      </c>
      <c r="M1117" s="68" t="s">
        <v>1324</v>
      </c>
      <c r="N1117" s="64" t="s">
        <v>180</v>
      </c>
      <c r="O1117" s="64" t="s">
        <v>38</v>
      </c>
      <c r="P1117" s="69">
        <v>44228</v>
      </c>
      <c r="Q1117" s="69">
        <v>44255</v>
      </c>
      <c r="R1117" s="170"/>
      <c r="S1117" s="170"/>
      <c r="T1117" s="170"/>
      <c r="U1117" s="172">
        <v>50000</v>
      </c>
      <c r="V1117" s="674">
        <v>0</v>
      </c>
      <c r="W1117" s="97"/>
      <c r="X1117" s="172">
        <v>50000</v>
      </c>
      <c r="Y1117" s="834">
        <f t="shared" si="229"/>
        <v>0</v>
      </c>
      <c r="Z1117" s="97"/>
      <c r="AA1117" s="97"/>
      <c r="AB1117" s="97"/>
      <c r="AC1117" s="97"/>
      <c r="AD1117" s="97"/>
      <c r="AE1117" s="591"/>
      <c r="AF1117" s="353"/>
      <c r="AG1117" s="510">
        <v>0</v>
      </c>
      <c r="AH1117" s="370">
        <v>0</v>
      </c>
      <c r="AI1117" s="75"/>
      <c r="AJ1117" s="75"/>
      <c r="AK1117" s="75"/>
      <c r="AL1117" s="75"/>
      <c r="AM1117" s="75"/>
      <c r="AN1117" s="171" t="s">
        <v>181</v>
      </c>
      <c r="AO1117" s="171"/>
      <c r="AP1117" s="171"/>
      <c r="AQ1117" s="418"/>
      <c r="AS1117" s="484"/>
      <c r="AV1117" s="185"/>
    </row>
    <row r="1118" spans="1:48" outlineLevel="3" x14ac:dyDescent="0.25">
      <c r="A1118" s="63" t="str">
        <f t="shared" si="225"/>
        <v>3.13.0.2.20.0</v>
      </c>
      <c r="B1118" s="64">
        <v>3</v>
      </c>
      <c r="C1118" s="64">
        <v>13</v>
      </c>
      <c r="D1118" s="64">
        <v>0</v>
      </c>
      <c r="E1118" s="64">
        <v>2</v>
      </c>
      <c r="F1118" s="64">
        <v>20</v>
      </c>
      <c r="G1118" s="64">
        <v>0</v>
      </c>
      <c r="H1118" s="65"/>
      <c r="I1118" s="65"/>
      <c r="J1118" s="65"/>
      <c r="K1118" s="185" t="s">
        <v>1325</v>
      </c>
      <c r="L1118" s="64" t="s">
        <v>179</v>
      </c>
      <c r="M1118" s="68" t="s">
        <v>1324</v>
      </c>
      <c r="N1118" s="64" t="s">
        <v>180</v>
      </c>
      <c r="O1118" s="64" t="s">
        <v>38</v>
      </c>
      <c r="P1118" s="69">
        <v>44228</v>
      </c>
      <c r="Q1118" s="69">
        <v>44255</v>
      </c>
      <c r="R1118" s="170"/>
      <c r="S1118" s="170"/>
      <c r="T1118" s="170"/>
      <c r="U1118" s="97"/>
      <c r="V1118" s="674">
        <v>0</v>
      </c>
      <c r="W1118" s="97"/>
      <c r="X1118" s="97"/>
      <c r="Y1118" s="834">
        <f t="shared" si="229"/>
        <v>0</v>
      </c>
      <c r="Z1118" s="97"/>
      <c r="AA1118" s="97"/>
      <c r="AB1118" s="97"/>
      <c r="AC1118" s="97"/>
      <c r="AD1118" s="97"/>
      <c r="AE1118" s="591"/>
      <c r="AF1118" s="353"/>
      <c r="AG1118" s="510">
        <v>0</v>
      </c>
      <c r="AH1118" s="370">
        <v>0</v>
      </c>
      <c r="AI1118" s="75"/>
      <c r="AJ1118" s="75"/>
      <c r="AK1118" s="75"/>
      <c r="AL1118" s="75"/>
      <c r="AM1118" s="75"/>
      <c r="AN1118" s="171" t="s">
        <v>181</v>
      </c>
      <c r="AO1118" s="171"/>
      <c r="AP1118" s="171"/>
      <c r="AQ1118" s="418"/>
      <c r="AS1118" s="484"/>
      <c r="AV1118" s="185"/>
    </row>
    <row r="1119" spans="1:48" outlineLevel="3" x14ac:dyDescent="0.25">
      <c r="A1119" s="63" t="str">
        <f t="shared" si="225"/>
        <v>3.13.0.2.23.0</v>
      </c>
      <c r="B1119" s="64">
        <v>3</v>
      </c>
      <c r="C1119" s="64">
        <v>13</v>
      </c>
      <c r="D1119" s="64">
        <v>0</v>
      </c>
      <c r="E1119" s="64">
        <v>2</v>
      </c>
      <c r="F1119" s="64">
        <v>23</v>
      </c>
      <c r="G1119" s="64">
        <v>0</v>
      </c>
      <c r="H1119" s="65"/>
      <c r="I1119" s="65"/>
      <c r="J1119" s="65"/>
      <c r="K1119" s="185" t="s">
        <v>1326</v>
      </c>
      <c r="L1119" s="64"/>
      <c r="M1119" s="68"/>
      <c r="N1119" s="64"/>
      <c r="O1119" s="64"/>
      <c r="P1119" s="69"/>
      <c r="Q1119" s="69"/>
      <c r="R1119" s="170"/>
      <c r="S1119" s="170"/>
      <c r="T1119" s="170"/>
      <c r="U1119" s="97"/>
      <c r="V1119" s="674">
        <v>0</v>
      </c>
      <c r="W1119" s="97"/>
      <c r="X1119" s="97"/>
      <c r="Y1119" s="834">
        <f t="shared" si="229"/>
        <v>0</v>
      </c>
      <c r="Z1119" s="97"/>
      <c r="AA1119" s="97"/>
      <c r="AB1119" s="97"/>
      <c r="AC1119" s="97"/>
      <c r="AD1119" s="97"/>
      <c r="AE1119" s="591"/>
      <c r="AF1119" s="353"/>
      <c r="AG1119" s="510">
        <v>0</v>
      </c>
      <c r="AH1119" s="370">
        <v>0</v>
      </c>
      <c r="AI1119" s="75"/>
      <c r="AJ1119" s="75"/>
      <c r="AK1119" s="75"/>
      <c r="AL1119" s="75"/>
      <c r="AM1119" s="75"/>
      <c r="AN1119" s="171" t="s">
        <v>181</v>
      </c>
      <c r="AO1119" s="171"/>
      <c r="AP1119" s="171"/>
      <c r="AQ1119" s="418"/>
      <c r="AS1119" s="484"/>
      <c r="AV1119" s="185"/>
    </row>
    <row r="1120" spans="1:48" s="153" customFormat="1" ht="36.75" customHeight="1" outlineLevel="1" x14ac:dyDescent="0.25">
      <c r="A1120" s="148" t="str">
        <f t="shared" si="225"/>
        <v>3.13.0.3.0.0</v>
      </c>
      <c r="B1120" s="82">
        <v>3</v>
      </c>
      <c r="C1120" s="82">
        <v>13</v>
      </c>
      <c r="D1120" s="82">
        <v>0</v>
      </c>
      <c r="E1120" s="82">
        <v>3</v>
      </c>
      <c r="F1120" s="82">
        <v>0</v>
      </c>
      <c r="G1120" s="82">
        <v>0</v>
      </c>
      <c r="H1120" s="149"/>
      <c r="I1120" s="149"/>
      <c r="J1120" s="1291" t="s">
        <v>1873</v>
      </c>
      <c r="K1120" s="1292"/>
      <c r="L1120" s="82" t="s">
        <v>192</v>
      </c>
      <c r="M1120" s="82" t="s">
        <v>1327</v>
      </c>
      <c r="N1120" s="82" t="s">
        <v>1328</v>
      </c>
      <c r="O1120" s="82" t="s">
        <v>38</v>
      </c>
      <c r="P1120" s="82"/>
      <c r="Q1120" s="82"/>
      <c r="R1120" s="82"/>
      <c r="S1120" s="149"/>
      <c r="T1120" s="82"/>
      <c r="U1120" s="379">
        <f>+SUM(U1121:U1122)</f>
        <v>0</v>
      </c>
      <c r="V1120" s="682">
        <f>+SUM(V1121:V1122)</f>
        <v>0</v>
      </c>
      <c r="W1120" s="152"/>
      <c r="X1120" s="844">
        <f>SUM(X1121:X1122)</f>
        <v>0</v>
      </c>
      <c r="Y1120" s="844">
        <f>SUM(Y1121:Y1122)</f>
        <v>0</v>
      </c>
      <c r="Z1120" s="152"/>
      <c r="AA1120" s="152"/>
      <c r="AB1120" s="152"/>
      <c r="AC1120" s="257"/>
      <c r="AD1120" s="257"/>
      <c r="AE1120" s="611"/>
      <c r="AF1120" s="358"/>
      <c r="AG1120" s="512">
        <f>+SUM(AG1121:AG1122)</f>
        <v>0</v>
      </c>
      <c r="AH1120" s="379">
        <f>+SUM(AH1121:AH1122)</f>
        <v>0</v>
      </c>
      <c r="AI1120" s="512">
        <f>+SUM(AI1121:AI1122)</f>
        <v>0</v>
      </c>
      <c r="AJ1120" s="512">
        <f>+SUM(AJ1121:AJ1122)</f>
        <v>0</v>
      </c>
      <c r="AK1120" s="152"/>
      <c r="AL1120" s="152"/>
      <c r="AM1120" s="152"/>
      <c r="AN1120" s="82" t="s">
        <v>39</v>
      </c>
      <c r="AO1120" s="82"/>
      <c r="AP1120" s="82"/>
      <c r="AQ1120" s="365"/>
      <c r="AR1120" s="82"/>
      <c r="AS1120" s="483"/>
      <c r="AT1120" s="82"/>
      <c r="AU1120" s="666"/>
      <c r="AV1120" s="444"/>
    </row>
    <row r="1121" spans="1:48" outlineLevel="2" x14ac:dyDescent="0.25">
      <c r="A1121" s="63" t="str">
        <f t="shared" si="225"/>
        <v>3.13.0.3.1.58-64</v>
      </c>
      <c r="B1121" s="64">
        <v>3</v>
      </c>
      <c r="C1121" s="64">
        <v>13</v>
      </c>
      <c r="D1121" s="64">
        <v>0</v>
      </c>
      <c r="E1121" s="64">
        <v>3</v>
      </c>
      <c r="F1121" s="64">
        <v>1</v>
      </c>
      <c r="G1121" s="64" t="s">
        <v>64</v>
      </c>
      <c r="H1121" s="65"/>
      <c r="I1121" s="65"/>
      <c r="J1121" s="65"/>
      <c r="K1121" s="65" t="s">
        <v>1329</v>
      </c>
      <c r="L1121" s="64" t="s">
        <v>192</v>
      </c>
      <c r="M1121" s="64" t="s">
        <v>1327</v>
      </c>
      <c r="N1121" s="64" t="s">
        <v>1330</v>
      </c>
      <c r="O1121" s="64" t="s">
        <v>38</v>
      </c>
      <c r="P1121" s="64"/>
      <c r="Q1121" s="64"/>
      <c r="R1121" s="64"/>
      <c r="S1121" s="65"/>
      <c r="T1121" s="64"/>
      <c r="U1121" s="370">
        <v>0</v>
      </c>
      <c r="V1121" s="687">
        <v>0</v>
      </c>
      <c r="W1121" s="75"/>
      <c r="X1121" s="75"/>
      <c r="Y1121" s="834">
        <f>+AJ1121-V1121</f>
        <v>0</v>
      </c>
      <c r="Z1121" s="75"/>
      <c r="AA1121" s="75"/>
      <c r="AB1121" s="75"/>
      <c r="AC1121" s="97"/>
      <c r="AD1121" s="97"/>
      <c r="AE1121" s="591"/>
      <c r="AF1121" s="259"/>
      <c r="AG1121" s="510">
        <v>0</v>
      </c>
      <c r="AH1121" s="370">
        <v>0</v>
      </c>
      <c r="AI1121" s="75"/>
      <c r="AJ1121" s="75"/>
      <c r="AK1121" s="75"/>
      <c r="AL1121" s="75"/>
      <c r="AM1121" s="75"/>
      <c r="AN1121" s="64" t="s">
        <v>39</v>
      </c>
      <c r="AO1121" s="64"/>
      <c r="AP1121" s="64"/>
      <c r="AQ1121" s="189"/>
      <c r="AR1121" s="64"/>
      <c r="AS1121" s="476"/>
      <c r="AT1121" s="64"/>
      <c r="AU1121" s="646"/>
      <c r="AV1121" s="185"/>
    </row>
    <row r="1122" spans="1:48" ht="36" customHeight="1" outlineLevel="2" x14ac:dyDescent="0.25">
      <c r="A1122" s="63" t="str">
        <f t="shared" si="225"/>
        <v>3.13.0.3.2.58-64</v>
      </c>
      <c r="B1122" s="64">
        <v>3</v>
      </c>
      <c r="C1122" s="64">
        <v>13</v>
      </c>
      <c r="D1122" s="64">
        <v>0</v>
      </c>
      <c r="E1122" s="64">
        <v>3</v>
      </c>
      <c r="F1122" s="64">
        <v>2</v>
      </c>
      <c r="G1122" s="64" t="s">
        <v>64</v>
      </c>
      <c r="H1122" s="65"/>
      <c r="I1122" s="65"/>
      <c r="J1122" s="66"/>
      <c r="K1122" s="67" t="s">
        <v>1331</v>
      </c>
      <c r="L1122" s="64" t="s">
        <v>192</v>
      </c>
      <c r="M1122" s="64" t="s">
        <v>1332</v>
      </c>
      <c r="N1122" s="64" t="s">
        <v>1330</v>
      </c>
      <c r="O1122" s="64" t="s">
        <v>38</v>
      </c>
      <c r="P1122" s="64"/>
      <c r="Q1122" s="64"/>
      <c r="R1122" s="64"/>
      <c r="S1122" s="65"/>
      <c r="T1122" s="64"/>
      <c r="U1122" s="370">
        <v>0</v>
      </c>
      <c r="V1122" s="687">
        <v>0</v>
      </c>
      <c r="W1122" s="75"/>
      <c r="X1122" s="75"/>
      <c r="Y1122" s="834">
        <f>+AJ1122-V1122</f>
        <v>0</v>
      </c>
      <c r="Z1122" s="75"/>
      <c r="AA1122" s="75"/>
      <c r="AB1122" s="75"/>
      <c r="AC1122" s="97"/>
      <c r="AD1122" s="97"/>
      <c r="AE1122" s="591"/>
      <c r="AF1122" s="259"/>
      <c r="AG1122" s="510">
        <v>0</v>
      </c>
      <c r="AH1122" s="370">
        <v>0</v>
      </c>
      <c r="AI1122" s="75"/>
      <c r="AJ1122" s="75"/>
      <c r="AK1122" s="75"/>
      <c r="AL1122" s="75"/>
      <c r="AM1122" s="75"/>
      <c r="AN1122" s="64" t="s">
        <v>39</v>
      </c>
      <c r="AO1122" s="64"/>
      <c r="AP1122" s="64"/>
      <c r="AQ1122" s="189"/>
      <c r="AR1122" s="64"/>
      <c r="AS1122" s="476"/>
      <c r="AT1122" s="64"/>
      <c r="AU1122" s="646"/>
      <c r="AV1122" s="185"/>
    </row>
    <row r="1123" spans="1:48" s="153" customFormat="1" ht="34.5" customHeight="1" outlineLevel="1" x14ac:dyDescent="0.25">
      <c r="A1123" s="148" t="str">
        <f t="shared" si="225"/>
        <v>3.13.0.4.0.0</v>
      </c>
      <c r="B1123" s="82">
        <v>3</v>
      </c>
      <c r="C1123" s="82">
        <v>13</v>
      </c>
      <c r="D1123" s="82">
        <v>0</v>
      </c>
      <c r="E1123" s="82">
        <v>4</v>
      </c>
      <c r="F1123" s="82">
        <v>0</v>
      </c>
      <c r="G1123" s="82">
        <v>0</v>
      </c>
      <c r="H1123" s="149"/>
      <c r="I1123" s="149"/>
      <c r="J1123" s="149" t="s">
        <v>1333</v>
      </c>
      <c r="K1123" s="83"/>
      <c r="L1123" s="82" t="s">
        <v>72</v>
      </c>
      <c r="M1123" s="82" t="s">
        <v>1334</v>
      </c>
      <c r="N1123" s="82" t="s">
        <v>1223</v>
      </c>
      <c r="O1123" s="82" t="s">
        <v>1335</v>
      </c>
      <c r="P1123" s="82"/>
      <c r="Q1123" s="82"/>
      <c r="R1123" s="82"/>
      <c r="S1123" s="149"/>
      <c r="T1123" s="82"/>
      <c r="U1123" s="379">
        <f>+SUM(U1124:U1126)</f>
        <v>0</v>
      </c>
      <c r="V1123" s="682">
        <f>+SUM(V1124:V1126)</f>
        <v>0</v>
      </c>
      <c r="W1123" s="152"/>
      <c r="X1123" s="152">
        <f>SUM(X1124:X1126)</f>
        <v>0</v>
      </c>
      <c r="Y1123" s="844">
        <f>SUM(Y1124:Y1126)</f>
        <v>0</v>
      </c>
      <c r="Z1123" s="152"/>
      <c r="AA1123" s="152"/>
      <c r="AB1123" s="152"/>
      <c r="AC1123" s="257"/>
      <c r="AD1123" s="257"/>
      <c r="AE1123" s="611"/>
      <c r="AF1123" s="358"/>
      <c r="AG1123" s="512">
        <f>+SUM(AG1124:AG1126)</f>
        <v>0</v>
      </c>
      <c r="AH1123" s="379">
        <f>+SUM(AH1124:AH1126)</f>
        <v>0</v>
      </c>
      <c r="AI1123" s="512">
        <f>+SUM(AI1124:AI1126)</f>
        <v>0</v>
      </c>
      <c r="AJ1123" s="512">
        <f>+SUM(AJ1124:AJ1126)</f>
        <v>0</v>
      </c>
      <c r="AK1123" s="152"/>
      <c r="AL1123" s="152"/>
      <c r="AM1123" s="152"/>
      <c r="AN1123" s="82" t="s">
        <v>39</v>
      </c>
      <c r="AO1123" s="82"/>
      <c r="AP1123" s="82"/>
      <c r="AQ1123" s="365"/>
      <c r="AR1123" s="82"/>
      <c r="AS1123" s="483"/>
      <c r="AT1123" s="82"/>
      <c r="AU1123" s="666"/>
      <c r="AV1123" s="444"/>
    </row>
    <row r="1124" spans="1:48" outlineLevel="3" x14ac:dyDescent="0.25">
      <c r="A1124" s="63" t="str">
        <f t="shared" si="225"/>
        <v>3.13.0.4.1.58-64</v>
      </c>
      <c r="B1124" s="64">
        <v>3</v>
      </c>
      <c r="C1124" s="64">
        <v>13</v>
      </c>
      <c r="D1124" s="64">
        <v>0</v>
      </c>
      <c r="E1124" s="64">
        <v>4</v>
      </c>
      <c r="F1124" s="64">
        <v>1</v>
      </c>
      <c r="G1124" s="64" t="s">
        <v>64</v>
      </c>
      <c r="H1124" s="65"/>
      <c r="I1124" s="65"/>
      <c r="J1124" s="66"/>
      <c r="K1124" s="65" t="s">
        <v>1336</v>
      </c>
      <c r="L1124" s="64" t="s">
        <v>72</v>
      </c>
      <c r="M1124" s="64" t="s">
        <v>1337</v>
      </c>
      <c r="N1124" s="64" t="s">
        <v>1223</v>
      </c>
      <c r="O1124" s="64" t="s">
        <v>359</v>
      </c>
      <c r="P1124" s="64"/>
      <c r="Q1124" s="64"/>
      <c r="R1124" s="64"/>
      <c r="S1124" s="65"/>
      <c r="T1124" s="64"/>
      <c r="U1124" s="370">
        <v>0</v>
      </c>
      <c r="V1124" s="687">
        <v>0</v>
      </c>
      <c r="W1124" s="75"/>
      <c r="X1124" s="75"/>
      <c r="Y1124" s="834">
        <f>+AJ1124-V1124</f>
        <v>0</v>
      </c>
      <c r="Z1124" s="75"/>
      <c r="AA1124" s="75"/>
      <c r="AB1124" s="75"/>
      <c r="AC1124" s="97"/>
      <c r="AD1124" s="97"/>
      <c r="AE1124" s="591"/>
      <c r="AF1124" s="259"/>
      <c r="AG1124" s="510">
        <v>0</v>
      </c>
      <c r="AH1124" s="370">
        <v>0</v>
      </c>
      <c r="AI1124" s="75"/>
      <c r="AJ1124" s="75"/>
      <c r="AK1124" s="75"/>
      <c r="AL1124" s="75"/>
      <c r="AM1124" s="75"/>
      <c r="AN1124" s="64" t="s">
        <v>39</v>
      </c>
      <c r="AO1124" s="64"/>
      <c r="AP1124" s="64"/>
      <c r="AQ1124" s="189"/>
      <c r="AR1124" s="64"/>
      <c r="AS1124" s="476"/>
      <c r="AT1124" s="64"/>
      <c r="AU1124" s="646"/>
      <c r="AV1124" s="185"/>
    </row>
    <row r="1125" spans="1:48" outlineLevel="3" x14ac:dyDescent="0.25">
      <c r="A1125" s="63" t="str">
        <f t="shared" si="225"/>
        <v>3.13.0.4.2.58-64</v>
      </c>
      <c r="B1125" s="64">
        <v>3</v>
      </c>
      <c r="C1125" s="64">
        <v>13</v>
      </c>
      <c r="D1125" s="64">
        <v>0</v>
      </c>
      <c r="E1125" s="64">
        <v>4</v>
      </c>
      <c r="F1125" s="64">
        <v>2</v>
      </c>
      <c r="G1125" s="64" t="s">
        <v>64</v>
      </c>
      <c r="H1125" s="65"/>
      <c r="I1125" s="65"/>
      <c r="J1125" s="66"/>
      <c r="K1125" s="67" t="s">
        <v>1874</v>
      </c>
      <c r="L1125" s="64" t="s">
        <v>72</v>
      </c>
      <c r="M1125" s="68" t="s">
        <v>1338</v>
      </c>
      <c r="N1125" s="64" t="s">
        <v>1223</v>
      </c>
      <c r="O1125" s="64" t="s">
        <v>38</v>
      </c>
      <c r="P1125" s="64"/>
      <c r="Q1125" s="64"/>
      <c r="R1125" s="64"/>
      <c r="S1125" s="65"/>
      <c r="T1125" s="64"/>
      <c r="U1125" s="370">
        <v>0</v>
      </c>
      <c r="V1125" s="687">
        <v>0</v>
      </c>
      <c r="W1125" s="75"/>
      <c r="X1125" s="75"/>
      <c r="Y1125" s="834">
        <f>+AJ1125-V1125</f>
        <v>0</v>
      </c>
      <c r="Z1125" s="75"/>
      <c r="AA1125" s="75"/>
      <c r="AB1125" s="75"/>
      <c r="AC1125" s="97"/>
      <c r="AD1125" s="97"/>
      <c r="AE1125" s="591"/>
      <c r="AF1125" s="259"/>
      <c r="AG1125" s="510">
        <v>0</v>
      </c>
      <c r="AH1125" s="370">
        <v>0</v>
      </c>
      <c r="AI1125" s="75"/>
      <c r="AJ1125" s="75"/>
      <c r="AK1125" s="75"/>
      <c r="AL1125" s="75"/>
      <c r="AM1125" s="75"/>
      <c r="AN1125" s="64" t="s">
        <v>39</v>
      </c>
      <c r="AO1125" s="64"/>
      <c r="AP1125" s="64"/>
      <c r="AQ1125" s="189"/>
      <c r="AR1125" s="64"/>
      <c r="AS1125" s="476"/>
      <c r="AT1125" s="64"/>
      <c r="AU1125" s="646"/>
      <c r="AV1125" s="185"/>
    </row>
    <row r="1126" spans="1:48" outlineLevel="3" x14ac:dyDescent="0.25">
      <c r="A1126" s="63" t="str">
        <f t="shared" si="225"/>
        <v>3.13.0.4.3.58-64</v>
      </c>
      <c r="B1126" s="64">
        <v>3</v>
      </c>
      <c r="C1126" s="64">
        <v>13</v>
      </c>
      <c r="D1126" s="64">
        <v>0</v>
      </c>
      <c r="E1126" s="64">
        <v>4</v>
      </c>
      <c r="F1126" s="64">
        <v>3</v>
      </c>
      <c r="G1126" s="64" t="s">
        <v>64</v>
      </c>
      <c r="H1126" s="65"/>
      <c r="I1126" s="65"/>
      <c r="J1126" s="66"/>
      <c r="K1126" s="65" t="s">
        <v>1339</v>
      </c>
      <c r="L1126" s="64" t="s">
        <v>72</v>
      </c>
      <c r="M1126" s="64" t="s">
        <v>1340</v>
      </c>
      <c r="N1126" s="64" t="s">
        <v>1223</v>
      </c>
      <c r="O1126" s="64" t="s">
        <v>1341</v>
      </c>
      <c r="P1126" s="64"/>
      <c r="Q1126" s="64"/>
      <c r="R1126" s="64"/>
      <c r="S1126" s="65"/>
      <c r="T1126" s="64"/>
      <c r="U1126" s="370">
        <v>0</v>
      </c>
      <c r="V1126" s="687">
        <v>0</v>
      </c>
      <c r="W1126" s="75"/>
      <c r="X1126" s="75"/>
      <c r="Y1126" s="834">
        <f>+AJ1126-V1126</f>
        <v>0</v>
      </c>
      <c r="Z1126" s="75"/>
      <c r="AA1126" s="75"/>
      <c r="AB1126" s="75"/>
      <c r="AC1126" s="97"/>
      <c r="AD1126" s="97"/>
      <c r="AE1126" s="591"/>
      <c r="AF1126" s="259"/>
      <c r="AG1126" s="510">
        <v>0</v>
      </c>
      <c r="AH1126" s="370">
        <v>0</v>
      </c>
      <c r="AI1126" s="75"/>
      <c r="AJ1126" s="75"/>
      <c r="AK1126" s="75"/>
      <c r="AL1126" s="75"/>
      <c r="AM1126" s="75"/>
      <c r="AN1126" s="64" t="s">
        <v>39</v>
      </c>
      <c r="AO1126" s="64"/>
      <c r="AP1126" s="64"/>
      <c r="AQ1126" s="189"/>
      <c r="AR1126" s="64"/>
      <c r="AS1126" s="476"/>
      <c r="AT1126" s="64"/>
      <c r="AU1126" s="646"/>
      <c r="AV1126" s="185"/>
    </row>
    <row r="1127" spans="1:48" s="153" customFormat="1" ht="29.25" customHeight="1" outlineLevel="1" x14ac:dyDescent="0.25">
      <c r="A1127" s="148" t="str">
        <f t="shared" si="225"/>
        <v>3.13.0.5.0.0</v>
      </c>
      <c r="B1127" s="82">
        <v>3</v>
      </c>
      <c r="C1127" s="82">
        <v>13</v>
      </c>
      <c r="D1127" s="82">
        <v>0</v>
      </c>
      <c r="E1127" s="82">
        <v>5</v>
      </c>
      <c r="F1127" s="82">
        <v>0</v>
      </c>
      <c r="G1127" s="82">
        <v>0</v>
      </c>
      <c r="H1127" s="149"/>
      <c r="I1127" s="149"/>
      <c r="J1127" s="1260" t="s">
        <v>1342</v>
      </c>
      <c r="K1127" s="1259"/>
      <c r="L1127" s="82" t="s">
        <v>1343</v>
      </c>
      <c r="M1127" s="82" t="s">
        <v>1344</v>
      </c>
      <c r="N1127" s="83" t="s">
        <v>1345</v>
      </c>
      <c r="O1127" s="83" t="s">
        <v>1346</v>
      </c>
      <c r="P1127" s="82"/>
      <c r="Q1127" s="82"/>
      <c r="R1127" s="82">
        <f>SUM(R1129+R1130+R1132+R1133+R1134+R1135+R1136+R1137+R1138+R1139+R1140+R1141+R1142)</f>
        <v>442</v>
      </c>
      <c r="S1127" s="149"/>
      <c r="T1127" s="82"/>
      <c r="U1127" s="209">
        <f>SUM(U1128:U1143)</f>
        <v>30000</v>
      </c>
      <c r="V1127" s="683">
        <f>SUM(V1128:V1143)</f>
        <v>0</v>
      </c>
      <c r="W1127" s="379">
        <f t="shared" ref="W1127:AG1127" si="230">+SUM(W1128:W1143)</f>
        <v>174</v>
      </c>
      <c r="X1127" s="379">
        <f t="shared" si="230"/>
        <v>30000</v>
      </c>
      <c r="Y1127" s="845">
        <f t="shared" si="230"/>
        <v>0</v>
      </c>
      <c r="Z1127" s="379">
        <f t="shared" si="230"/>
        <v>114</v>
      </c>
      <c r="AA1127" s="379">
        <f t="shared" si="230"/>
        <v>30000</v>
      </c>
      <c r="AB1127" s="379">
        <f t="shared" si="230"/>
        <v>0</v>
      </c>
      <c r="AC1127" s="379">
        <f t="shared" si="230"/>
        <v>5</v>
      </c>
      <c r="AD1127" s="379">
        <f t="shared" si="230"/>
        <v>20000</v>
      </c>
      <c r="AE1127" s="379">
        <f t="shared" si="230"/>
        <v>0</v>
      </c>
      <c r="AF1127" s="379">
        <f t="shared" si="230"/>
        <v>0</v>
      </c>
      <c r="AG1127" s="379">
        <f t="shared" si="230"/>
        <v>250000</v>
      </c>
      <c r="AH1127" s="379">
        <f>+SUM(AH1128:AH1143)</f>
        <v>0</v>
      </c>
      <c r="AI1127" s="512">
        <f>+SUM(AI1128:AI1143)</f>
        <v>0</v>
      </c>
      <c r="AJ1127" s="512">
        <f>+SUM(AJ1128:AJ1143)</f>
        <v>0</v>
      </c>
      <c r="AK1127" s="152"/>
      <c r="AL1127" s="152"/>
      <c r="AM1127" s="152"/>
      <c r="AN1127" s="82" t="s">
        <v>181</v>
      </c>
      <c r="AO1127" s="82"/>
      <c r="AP1127" s="82"/>
      <c r="AQ1127" s="365"/>
      <c r="AR1127" s="82"/>
      <c r="AS1127" s="483"/>
      <c r="AT1127" s="82"/>
      <c r="AU1127" s="666"/>
      <c r="AV1127" s="444"/>
    </row>
    <row r="1128" spans="1:48" outlineLevel="2" x14ac:dyDescent="0.25">
      <c r="A1128" s="63" t="str">
        <f t="shared" si="225"/>
        <v>3.13.0.5.1.58-64</v>
      </c>
      <c r="B1128" s="64">
        <v>3</v>
      </c>
      <c r="C1128" s="64">
        <v>13</v>
      </c>
      <c r="D1128" s="64">
        <v>0</v>
      </c>
      <c r="E1128" s="64">
        <v>5</v>
      </c>
      <c r="F1128" s="64">
        <v>1</v>
      </c>
      <c r="G1128" s="64" t="s">
        <v>64</v>
      </c>
      <c r="H1128" s="65"/>
      <c r="I1128" s="65"/>
      <c r="J1128" s="66"/>
      <c r="K1128" s="65" t="s">
        <v>1347</v>
      </c>
      <c r="L1128" s="64" t="s">
        <v>1343</v>
      </c>
      <c r="M1128" s="64" t="s">
        <v>1344</v>
      </c>
      <c r="N1128" s="64" t="s">
        <v>1348</v>
      </c>
      <c r="O1128" s="64" t="s">
        <v>44</v>
      </c>
      <c r="P1128" s="64"/>
      <c r="Q1128" s="64"/>
      <c r="R1128" s="64"/>
      <c r="S1128" s="65"/>
      <c r="T1128" s="64"/>
      <c r="U1128" s="75"/>
      <c r="V1128" s="674">
        <v>0</v>
      </c>
      <c r="W1128" s="75"/>
      <c r="X1128" s="75"/>
      <c r="Y1128" s="834">
        <f t="shared" ref="Y1128:Y1143" si="231">+AJ1128-V1128</f>
        <v>0</v>
      </c>
      <c r="Z1128" s="75"/>
      <c r="AA1128" s="75"/>
      <c r="AB1128" s="75"/>
      <c r="AC1128" s="97"/>
      <c r="AD1128" s="97"/>
      <c r="AE1128" s="591"/>
      <c r="AF1128" s="259"/>
      <c r="AG1128" s="510">
        <v>0</v>
      </c>
      <c r="AH1128" s="370">
        <v>0</v>
      </c>
      <c r="AI1128" s="75"/>
      <c r="AJ1128" s="75"/>
      <c r="AK1128" s="75"/>
      <c r="AL1128" s="75"/>
      <c r="AM1128" s="75"/>
      <c r="AN1128" s="64" t="s">
        <v>181</v>
      </c>
      <c r="AO1128" s="64"/>
      <c r="AP1128" s="64"/>
      <c r="AQ1128" s="189"/>
      <c r="AR1128" s="64"/>
      <c r="AS1128" s="476"/>
      <c r="AT1128" s="64"/>
      <c r="AU1128" s="646"/>
      <c r="AV1128" s="185"/>
    </row>
    <row r="1129" spans="1:48" outlineLevel="2" x14ac:dyDescent="0.25">
      <c r="A1129" s="63" t="str">
        <f t="shared" si="225"/>
        <v>3.13.0.5.2.58-64</v>
      </c>
      <c r="B1129" s="64">
        <v>3</v>
      </c>
      <c r="C1129" s="64">
        <v>13</v>
      </c>
      <c r="D1129" s="64">
        <v>0</v>
      </c>
      <c r="E1129" s="64">
        <v>5</v>
      </c>
      <c r="F1129" s="64">
        <v>2</v>
      </c>
      <c r="G1129" s="64" t="s">
        <v>64</v>
      </c>
      <c r="H1129" s="65"/>
      <c r="I1129" s="65"/>
      <c r="J1129" s="66"/>
      <c r="K1129" s="65" t="s">
        <v>1349</v>
      </c>
      <c r="L1129" s="64" t="s">
        <v>1343</v>
      </c>
      <c r="M1129" s="64" t="s">
        <v>1350</v>
      </c>
      <c r="N1129" s="68" t="s">
        <v>1351</v>
      </c>
      <c r="O1129" s="64" t="s">
        <v>1352</v>
      </c>
      <c r="P1129" s="69">
        <v>44201</v>
      </c>
      <c r="Q1129" s="69">
        <v>44232</v>
      </c>
      <c r="R1129" s="64">
        <v>29</v>
      </c>
      <c r="S1129" s="67" t="s">
        <v>1350</v>
      </c>
      <c r="T1129" s="64">
        <v>29</v>
      </c>
      <c r="U1129" s="155">
        <v>10000</v>
      </c>
      <c r="V1129" s="674">
        <v>0</v>
      </c>
      <c r="W1129" s="75"/>
      <c r="X1129" s="75"/>
      <c r="Y1129" s="834">
        <f t="shared" si="231"/>
        <v>0</v>
      </c>
      <c r="Z1129" s="75"/>
      <c r="AA1129" s="75"/>
      <c r="AB1129" s="75"/>
      <c r="AC1129" s="97"/>
      <c r="AD1129" s="97"/>
      <c r="AE1129" s="591"/>
      <c r="AF1129" s="343" t="s">
        <v>1353</v>
      </c>
      <c r="AG1129" s="510">
        <v>10000</v>
      </c>
      <c r="AH1129" s="510">
        <v>0</v>
      </c>
      <c r="AI1129" s="78"/>
      <c r="AJ1129" s="78"/>
      <c r="AK1129" s="78"/>
      <c r="AL1129" s="78"/>
      <c r="AM1129" s="78"/>
      <c r="AN1129" s="64" t="s">
        <v>181</v>
      </c>
      <c r="AO1129" s="64"/>
      <c r="AP1129" s="64"/>
      <c r="AQ1129" s="189"/>
      <c r="AR1129" s="64"/>
      <c r="AS1129" s="476"/>
      <c r="AT1129" s="64"/>
      <c r="AU1129" s="646"/>
      <c r="AV1129" s="185"/>
    </row>
    <row r="1130" spans="1:48" outlineLevel="2" x14ac:dyDescent="0.25">
      <c r="A1130" s="63" t="str">
        <f t="shared" si="225"/>
        <v>3.13.0.5.3.58-64</v>
      </c>
      <c r="B1130" s="64">
        <v>3</v>
      </c>
      <c r="C1130" s="64">
        <v>13</v>
      </c>
      <c r="D1130" s="64">
        <v>0</v>
      </c>
      <c r="E1130" s="64">
        <v>5</v>
      </c>
      <c r="F1130" s="64">
        <v>3</v>
      </c>
      <c r="G1130" s="64" t="s">
        <v>64</v>
      </c>
      <c r="H1130" s="65"/>
      <c r="I1130" s="65"/>
      <c r="J1130" s="66"/>
      <c r="K1130" s="65" t="s">
        <v>1354</v>
      </c>
      <c r="L1130" s="64" t="s">
        <v>1343</v>
      </c>
      <c r="M1130" s="64" t="s">
        <v>1350</v>
      </c>
      <c r="N1130" s="68" t="s">
        <v>1351</v>
      </c>
      <c r="O1130" s="64" t="s">
        <v>1352</v>
      </c>
      <c r="P1130" s="69">
        <v>44232</v>
      </c>
      <c r="Q1130" s="69">
        <v>44260</v>
      </c>
      <c r="R1130" s="64">
        <v>28</v>
      </c>
      <c r="S1130" s="67" t="s">
        <v>1350</v>
      </c>
      <c r="T1130" s="64">
        <v>28</v>
      </c>
      <c r="U1130" s="155">
        <v>10000</v>
      </c>
      <c r="V1130" s="674">
        <v>0</v>
      </c>
      <c r="W1130" s="75"/>
      <c r="X1130" s="75"/>
      <c r="Y1130" s="834">
        <f t="shared" si="231"/>
        <v>0</v>
      </c>
      <c r="Z1130" s="75"/>
      <c r="AA1130" s="75"/>
      <c r="AB1130" s="75"/>
      <c r="AC1130" s="97"/>
      <c r="AD1130" s="97"/>
      <c r="AE1130" s="591"/>
      <c r="AF1130" s="343" t="s">
        <v>1353</v>
      </c>
      <c r="AG1130" s="510">
        <v>10000</v>
      </c>
      <c r="AH1130" s="510">
        <v>0</v>
      </c>
      <c r="AI1130" s="78"/>
      <c r="AJ1130" s="78"/>
      <c r="AK1130" s="78"/>
      <c r="AL1130" s="78"/>
      <c r="AM1130" s="78"/>
      <c r="AN1130" s="64" t="s">
        <v>181</v>
      </c>
      <c r="AO1130" s="64"/>
      <c r="AP1130" s="64"/>
      <c r="AQ1130" s="189"/>
      <c r="AR1130" s="64"/>
      <c r="AS1130" s="476"/>
      <c r="AT1130" s="64"/>
      <c r="AU1130" s="646"/>
      <c r="AV1130" s="185"/>
    </row>
    <row r="1131" spans="1:48" outlineLevel="2" x14ac:dyDescent="0.25">
      <c r="A1131" s="63" t="str">
        <f t="shared" si="225"/>
        <v>3.13.0.5.4.58-64</v>
      </c>
      <c r="B1131" s="64">
        <v>3</v>
      </c>
      <c r="C1131" s="64">
        <v>13</v>
      </c>
      <c r="D1131" s="64">
        <v>0</v>
      </c>
      <c r="E1131" s="64">
        <v>5</v>
      </c>
      <c r="F1131" s="64">
        <v>4</v>
      </c>
      <c r="G1131" s="64" t="s">
        <v>64</v>
      </c>
      <c r="H1131" s="65"/>
      <c r="I1131" s="65"/>
      <c r="J1131" s="66"/>
      <c r="K1131" s="65" t="s">
        <v>1355</v>
      </c>
      <c r="L1131" s="64" t="s">
        <v>1343</v>
      </c>
      <c r="M1131" s="64" t="s">
        <v>1350</v>
      </c>
      <c r="N1131" s="68" t="s">
        <v>1351</v>
      </c>
      <c r="O1131" s="64" t="s">
        <v>1352</v>
      </c>
      <c r="P1131" s="69">
        <v>44260</v>
      </c>
      <c r="Q1131" s="69">
        <v>44291</v>
      </c>
      <c r="R1131" s="64">
        <v>24</v>
      </c>
      <c r="S1131" s="67" t="s">
        <v>1350</v>
      </c>
      <c r="T1131" s="64">
        <v>24</v>
      </c>
      <c r="U1131" s="155">
        <v>10000</v>
      </c>
      <c r="V1131" s="674">
        <v>0</v>
      </c>
      <c r="W1131" s="75"/>
      <c r="X1131" s="75"/>
      <c r="Y1131" s="834">
        <f t="shared" si="231"/>
        <v>0</v>
      </c>
      <c r="Z1131" s="75"/>
      <c r="AA1131" s="75"/>
      <c r="AB1131" s="75"/>
      <c r="AC1131" s="97"/>
      <c r="AD1131" s="97"/>
      <c r="AE1131" s="591"/>
      <c r="AF1131" s="343" t="s">
        <v>1353</v>
      </c>
      <c r="AG1131" s="510">
        <v>10000</v>
      </c>
      <c r="AH1131" s="510">
        <v>0</v>
      </c>
      <c r="AI1131" s="78"/>
      <c r="AJ1131" s="78"/>
      <c r="AK1131" s="78"/>
      <c r="AL1131" s="78"/>
      <c r="AM1131" s="78"/>
      <c r="AN1131" s="64" t="s">
        <v>181</v>
      </c>
      <c r="AO1131" s="64"/>
      <c r="AP1131" s="64"/>
      <c r="AQ1131" s="189"/>
      <c r="AR1131" s="64"/>
      <c r="AS1131" s="476"/>
      <c r="AT1131" s="64"/>
      <c r="AU1131" s="646"/>
      <c r="AV1131" s="185"/>
    </row>
    <row r="1132" spans="1:48" outlineLevel="2" x14ac:dyDescent="0.25">
      <c r="A1132" s="63" t="str">
        <f t="shared" si="225"/>
        <v>3.13.0.5.5.58-64</v>
      </c>
      <c r="B1132" s="64">
        <v>3</v>
      </c>
      <c r="C1132" s="64">
        <v>13</v>
      </c>
      <c r="D1132" s="64">
        <v>0</v>
      </c>
      <c r="E1132" s="64">
        <v>5</v>
      </c>
      <c r="F1132" s="64">
        <v>5</v>
      </c>
      <c r="G1132" s="64" t="s">
        <v>64</v>
      </c>
      <c r="H1132" s="65"/>
      <c r="I1132" s="65"/>
      <c r="J1132" s="66"/>
      <c r="K1132" s="65" t="s">
        <v>1356</v>
      </c>
      <c r="L1132" s="64" t="s">
        <v>1343</v>
      </c>
      <c r="M1132" s="64" t="s">
        <v>1350</v>
      </c>
      <c r="N1132" s="68" t="s">
        <v>1351</v>
      </c>
      <c r="O1132" s="64" t="s">
        <v>1352</v>
      </c>
      <c r="P1132" s="69">
        <v>43926</v>
      </c>
      <c r="Q1132" s="69">
        <v>44321</v>
      </c>
      <c r="R1132" s="64">
        <v>9</v>
      </c>
      <c r="S1132" s="67" t="s">
        <v>1350</v>
      </c>
      <c r="T1132" s="64"/>
      <c r="U1132" s="75"/>
      <c r="V1132" s="674">
        <v>0</v>
      </c>
      <c r="W1132" s="75">
        <v>9</v>
      </c>
      <c r="X1132" s="155">
        <v>10000</v>
      </c>
      <c r="Y1132" s="834">
        <f t="shared" si="231"/>
        <v>0</v>
      </c>
      <c r="Z1132" s="75"/>
      <c r="AA1132" s="75"/>
      <c r="AB1132" s="75"/>
      <c r="AC1132" s="97"/>
      <c r="AD1132" s="97"/>
      <c r="AE1132" s="591"/>
      <c r="AF1132" s="343" t="s">
        <v>1353</v>
      </c>
      <c r="AG1132" s="510">
        <v>10000</v>
      </c>
      <c r="AH1132" s="510">
        <v>0</v>
      </c>
      <c r="AI1132" s="78"/>
      <c r="AJ1132" s="78"/>
      <c r="AK1132" s="78"/>
      <c r="AL1132" s="78"/>
      <c r="AM1132" s="78"/>
      <c r="AN1132" s="64" t="s">
        <v>181</v>
      </c>
      <c r="AO1132" s="64"/>
      <c r="AP1132" s="64"/>
      <c r="AQ1132" s="189"/>
      <c r="AR1132" s="64"/>
      <c r="AS1132" s="476"/>
      <c r="AT1132" s="64"/>
      <c r="AU1132" s="646"/>
      <c r="AV1132" s="185"/>
    </row>
    <row r="1133" spans="1:48" outlineLevel="2" x14ac:dyDescent="0.25">
      <c r="A1133" s="63" t="str">
        <f t="shared" si="225"/>
        <v>3.13.0.5.6.58-64</v>
      </c>
      <c r="B1133" s="64">
        <v>3</v>
      </c>
      <c r="C1133" s="64">
        <v>13</v>
      </c>
      <c r="D1133" s="64">
        <v>0</v>
      </c>
      <c r="E1133" s="64">
        <v>5</v>
      </c>
      <c r="F1133" s="64">
        <v>6</v>
      </c>
      <c r="G1133" s="64" t="s">
        <v>64</v>
      </c>
      <c r="H1133" s="65"/>
      <c r="I1133" s="65"/>
      <c r="J1133" s="66"/>
      <c r="K1133" s="65" t="s">
        <v>1357</v>
      </c>
      <c r="L1133" s="64" t="s">
        <v>1343</v>
      </c>
      <c r="M1133" s="64" t="s">
        <v>1350</v>
      </c>
      <c r="N1133" s="64" t="s">
        <v>1351</v>
      </c>
      <c r="O1133" s="64" t="s">
        <v>1352</v>
      </c>
      <c r="P1133" s="69">
        <v>44321</v>
      </c>
      <c r="Q1133" s="69">
        <v>44352</v>
      </c>
      <c r="R1133" s="64">
        <v>27</v>
      </c>
      <c r="S1133" s="67" t="s">
        <v>1350</v>
      </c>
      <c r="T1133" s="64"/>
      <c r="U1133" s="75"/>
      <c r="V1133" s="674">
        <v>0</v>
      </c>
      <c r="W1133" s="75">
        <v>27</v>
      </c>
      <c r="X1133" s="155">
        <v>10000</v>
      </c>
      <c r="Y1133" s="834">
        <f t="shared" si="231"/>
        <v>0</v>
      </c>
      <c r="Z1133" s="75"/>
      <c r="AA1133" s="75"/>
      <c r="AB1133" s="75"/>
      <c r="AC1133" s="97"/>
      <c r="AD1133" s="97"/>
      <c r="AE1133" s="591"/>
      <c r="AF1133" s="343" t="s">
        <v>1353</v>
      </c>
      <c r="AG1133" s="510">
        <v>10000</v>
      </c>
      <c r="AH1133" s="510">
        <v>0</v>
      </c>
      <c r="AI1133" s="78"/>
      <c r="AJ1133" s="78"/>
      <c r="AK1133" s="78"/>
      <c r="AL1133" s="78"/>
      <c r="AM1133" s="78"/>
      <c r="AN1133" s="64" t="s">
        <v>181</v>
      </c>
      <c r="AO1133" s="64"/>
      <c r="AP1133" s="64"/>
      <c r="AQ1133" s="189"/>
      <c r="AR1133" s="64"/>
      <c r="AS1133" s="476"/>
      <c r="AT1133" s="64"/>
      <c r="AU1133" s="646"/>
      <c r="AV1133" s="185"/>
    </row>
    <row r="1134" spans="1:48" outlineLevel="2" x14ac:dyDescent="0.25">
      <c r="A1134" s="63" t="str">
        <f t="shared" si="225"/>
        <v>3.13.0.5.7.58-64</v>
      </c>
      <c r="B1134" s="64">
        <v>3</v>
      </c>
      <c r="C1134" s="64">
        <v>13</v>
      </c>
      <c r="D1134" s="64">
        <v>0</v>
      </c>
      <c r="E1134" s="64">
        <v>5</v>
      </c>
      <c r="F1134" s="64">
        <v>7</v>
      </c>
      <c r="G1134" s="64" t="s">
        <v>64</v>
      </c>
      <c r="H1134" s="65"/>
      <c r="I1134" s="65"/>
      <c r="J1134" s="66"/>
      <c r="K1134" s="65" t="s">
        <v>1358</v>
      </c>
      <c r="L1134" s="64" t="s">
        <v>1343</v>
      </c>
      <c r="M1134" s="64" t="s">
        <v>1350</v>
      </c>
      <c r="N1134" s="64" t="s">
        <v>1351</v>
      </c>
      <c r="O1134" s="64" t="s">
        <v>1352</v>
      </c>
      <c r="P1134" s="69">
        <v>44352</v>
      </c>
      <c r="Q1134" s="69">
        <v>44382</v>
      </c>
      <c r="R1134" s="64">
        <v>108</v>
      </c>
      <c r="S1134" s="67" t="s">
        <v>1350</v>
      </c>
      <c r="T1134" s="64"/>
      <c r="U1134" s="75"/>
      <c r="V1134" s="674">
        <v>0</v>
      </c>
      <c r="W1134" s="75">
        <v>108</v>
      </c>
      <c r="X1134" s="155">
        <v>10000</v>
      </c>
      <c r="Y1134" s="834">
        <f t="shared" si="231"/>
        <v>0</v>
      </c>
      <c r="Z1134" s="75"/>
      <c r="AA1134" s="75"/>
      <c r="AB1134" s="75"/>
      <c r="AC1134" s="97"/>
      <c r="AD1134" s="97"/>
      <c r="AE1134" s="591"/>
      <c r="AF1134" s="343" t="s">
        <v>1353</v>
      </c>
      <c r="AG1134" s="510">
        <v>10000</v>
      </c>
      <c r="AH1134" s="510">
        <v>0</v>
      </c>
      <c r="AI1134" s="78"/>
      <c r="AJ1134" s="78"/>
      <c r="AK1134" s="78"/>
      <c r="AL1134" s="78"/>
      <c r="AM1134" s="78"/>
      <c r="AN1134" s="64" t="s">
        <v>181</v>
      </c>
      <c r="AO1134" s="64"/>
      <c r="AP1134" s="64"/>
      <c r="AQ1134" s="189"/>
      <c r="AR1134" s="64"/>
      <c r="AS1134" s="476"/>
      <c r="AT1134" s="64"/>
      <c r="AU1134" s="646"/>
      <c r="AV1134" s="185"/>
    </row>
    <row r="1135" spans="1:48" outlineLevel="2" x14ac:dyDescent="0.25">
      <c r="A1135" s="63" t="str">
        <f t="shared" si="225"/>
        <v>3.13.0.5.8.58-64</v>
      </c>
      <c r="B1135" s="64">
        <v>3</v>
      </c>
      <c r="C1135" s="64">
        <v>13</v>
      </c>
      <c r="D1135" s="64">
        <v>0</v>
      </c>
      <c r="E1135" s="64">
        <v>5</v>
      </c>
      <c r="F1135" s="64">
        <v>8</v>
      </c>
      <c r="G1135" s="64" t="s">
        <v>64</v>
      </c>
      <c r="H1135" s="65"/>
      <c r="I1135" s="65"/>
      <c r="J1135" s="66"/>
      <c r="K1135" s="65" t="s">
        <v>1359</v>
      </c>
      <c r="L1135" s="64" t="s">
        <v>1343</v>
      </c>
      <c r="M1135" s="64" t="s">
        <v>1350</v>
      </c>
      <c r="N1135" s="64" t="s">
        <v>1351</v>
      </c>
      <c r="O1135" s="64" t="s">
        <v>1352</v>
      </c>
      <c r="P1135" s="69">
        <v>44382</v>
      </c>
      <c r="Q1135" s="69">
        <v>44444</v>
      </c>
      <c r="R1135" s="64">
        <v>41</v>
      </c>
      <c r="S1135" s="67" t="s">
        <v>1350</v>
      </c>
      <c r="T1135" s="64"/>
      <c r="U1135" s="75"/>
      <c r="V1135" s="674">
        <v>0</v>
      </c>
      <c r="W1135" s="75"/>
      <c r="X1135" s="75"/>
      <c r="Y1135" s="834">
        <f t="shared" si="231"/>
        <v>0</v>
      </c>
      <c r="Z1135" s="75">
        <v>41</v>
      </c>
      <c r="AA1135" s="155">
        <v>10000</v>
      </c>
      <c r="AB1135" s="155"/>
      <c r="AC1135" s="97"/>
      <c r="AD1135" s="97"/>
      <c r="AE1135" s="591"/>
      <c r="AF1135" s="343" t="s">
        <v>1353</v>
      </c>
      <c r="AG1135" s="510">
        <v>10000</v>
      </c>
      <c r="AH1135" s="510">
        <v>0</v>
      </c>
      <c r="AI1135" s="78"/>
      <c r="AJ1135" s="78"/>
      <c r="AK1135" s="78"/>
      <c r="AL1135" s="78"/>
      <c r="AM1135" s="78"/>
      <c r="AN1135" s="64" t="s">
        <v>181</v>
      </c>
      <c r="AO1135" s="64"/>
      <c r="AP1135" s="64"/>
      <c r="AQ1135" s="189"/>
      <c r="AR1135" s="64"/>
      <c r="AS1135" s="476"/>
      <c r="AT1135" s="64"/>
      <c r="AU1135" s="646"/>
      <c r="AV1135" s="185"/>
    </row>
    <row r="1136" spans="1:48" outlineLevel="2" x14ac:dyDescent="0.25">
      <c r="A1136" s="63" t="str">
        <f t="shared" si="225"/>
        <v>3.13.0.5.9.58-64</v>
      </c>
      <c r="B1136" s="64">
        <v>3</v>
      </c>
      <c r="C1136" s="64">
        <v>13</v>
      </c>
      <c r="D1136" s="64">
        <v>0</v>
      </c>
      <c r="E1136" s="64">
        <v>5</v>
      </c>
      <c r="F1136" s="64">
        <v>9</v>
      </c>
      <c r="G1136" s="64" t="s">
        <v>64</v>
      </c>
      <c r="H1136" s="65"/>
      <c r="I1136" s="65"/>
      <c r="J1136" s="66"/>
      <c r="K1136" s="65" t="s">
        <v>1360</v>
      </c>
      <c r="L1136" s="64" t="s">
        <v>1343</v>
      </c>
      <c r="M1136" s="64" t="s">
        <v>1350</v>
      </c>
      <c r="N1136" s="64" t="s">
        <v>1351</v>
      </c>
      <c r="O1136" s="64" t="s">
        <v>1352</v>
      </c>
      <c r="P1136" s="69">
        <v>44413</v>
      </c>
      <c r="Q1136" s="69">
        <v>44444</v>
      </c>
      <c r="R1136" s="64">
        <v>16</v>
      </c>
      <c r="S1136" s="67" t="s">
        <v>1350</v>
      </c>
      <c r="T1136" s="64"/>
      <c r="U1136" s="75"/>
      <c r="V1136" s="674">
        <v>0</v>
      </c>
      <c r="W1136" s="75"/>
      <c r="X1136" s="75"/>
      <c r="Y1136" s="834">
        <f t="shared" si="231"/>
        <v>0</v>
      </c>
      <c r="Z1136" s="75">
        <v>16</v>
      </c>
      <c r="AA1136" s="155">
        <v>10000</v>
      </c>
      <c r="AB1136" s="155"/>
      <c r="AC1136" s="97"/>
      <c r="AD1136" s="97"/>
      <c r="AE1136" s="591"/>
      <c r="AF1136" s="343" t="s">
        <v>1353</v>
      </c>
      <c r="AG1136" s="510">
        <v>10000</v>
      </c>
      <c r="AH1136" s="510">
        <v>0</v>
      </c>
      <c r="AI1136" s="78"/>
      <c r="AJ1136" s="78"/>
      <c r="AK1136" s="78"/>
      <c r="AL1136" s="78"/>
      <c r="AM1136" s="78"/>
      <c r="AN1136" s="64" t="s">
        <v>181</v>
      </c>
      <c r="AO1136" s="64"/>
      <c r="AP1136" s="64"/>
      <c r="AQ1136" s="189"/>
      <c r="AR1136" s="64"/>
      <c r="AS1136" s="476"/>
      <c r="AT1136" s="64"/>
      <c r="AU1136" s="646"/>
      <c r="AV1136" s="185"/>
    </row>
    <row r="1137" spans="1:48" outlineLevel="2" x14ac:dyDescent="0.25">
      <c r="A1137" s="63" t="str">
        <f t="shared" si="225"/>
        <v>3.13.0.5.10.58-64</v>
      </c>
      <c r="B1137" s="64">
        <v>3</v>
      </c>
      <c r="C1137" s="64">
        <v>13</v>
      </c>
      <c r="D1137" s="64">
        <v>0</v>
      </c>
      <c r="E1137" s="64">
        <v>5</v>
      </c>
      <c r="F1137" s="64">
        <v>10</v>
      </c>
      <c r="G1137" s="64" t="s">
        <v>64</v>
      </c>
      <c r="H1137" s="65"/>
      <c r="I1137" s="65"/>
      <c r="J1137" s="65"/>
      <c r="K1137" s="65" t="s">
        <v>1361</v>
      </c>
      <c r="L1137" s="64" t="s">
        <v>1343</v>
      </c>
      <c r="M1137" s="64" t="s">
        <v>1350</v>
      </c>
      <c r="N1137" s="64" t="s">
        <v>1351</v>
      </c>
      <c r="O1137" s="64" t="s">
        <v>1352</v>
      </c>
      <c r="P1137" s="69">
        <v>44444</v>
      </c>
      <c r="Q1137" s="69">
        <v>44505</v>
      </c>
      <c r="R1137" s="64">
        <v>4</v>
      </c>
      <c r="S1137" s="67" t="s">
        <v>1350</v>
      </c>
      <c r="T1137" s="64"/>
      <c r="U1137" s="75"/>
      <c r="V1137" s="674">
        <v>0</v>
      </c>
      <c r="W1137" s="75"/>
      <c r="X1137" s="75"/>
      <c r="Y1137" s="834">
        <f t="shared" si="231"/>
        <v>0</v>
      </c>
      <c r="Z1137" s="75"/>
      <c r="AA1137" s="155">
        <v>10000</v>
      </c>
      <c r="AB1137" s="155"/>
      <c r="AC1137" s="97"/>
      <c r="AD1137" s="97"/>
      <c r="AE1137" s="591"/>
      <c r="AF1137" s="343" t="s">
        <v>1353</v>
      </c>
      <c r="AG1137" s="510">
        <v>10000</v>
      </c>
      <c r="AH1137" s="510">
        <v>0</v>
      </c>
      <c r="AI1137" s="78"/>
      <c r="AJ1137" s="78"/>
      <c r="AK1137" s="78"/>
      <c r="AL1137" s="78"/>
      <c r="AM1137" s="78"/>
      <c r="AN1137" s="64" t="s">
        <v>181</v>
      </c>
      <c r="AO1137" s="64"/>
      <c r="AP1137" s="64"/>
      <c r="AQ1137" s="189"/>
      <c r="AR1137" s="64"/>
      <c r="AS1137" s="476"/>
      <c r="AT1137" s="64"/>
      <c r="AU1137" s="646"/>
      <c r="AV1137" s="185"/>
    </row>
    <row r="1138" spans="1:48" outlineLevel="2" x14ac:dyDescent="0.25">
      <c r="A1138" s="63" t="str">
        <f t="shared" si="225"/>
        <v>3.13.0.5.11.58-64</v>
      </c>
      <c r="B1138" s="64">
        <v>3</v>
      </c>
      <c r="C1138" s="64">
        <v>13</v>
      </c>
      <c r="D1138" s="64">
        <v>0</v>
      </c>
      <c r="E1138" s="64">
        <v>5</v>
      </c>
      <c r="F1138" s="64">
        <v>11</v>
      </c>
      <c r="G1138" s="64" t="s">
        <v>64</v>
      </c>
      <c r="H1138" s="65"/>
      <c r="I1138" s="65"/>
      <c r="J1138" s="66"/>
      <c r="K1138" s="65" t="s">
        <v>1362</v>
      </c>
      <c r="L1138" s="64" t="s">
        <v>1343</v>
      </c>
      <c r="M1138" s="64" t="s">
        <v>1350</v>
      </c>
      <c r="N1138" s="64" t="s">
        <v>1351</v>
      </c>
      <c r="O1138" s="64" t="s">
        <v>1352</v>
      </c>
      <c r="P1138" s="69">
        <v>44474</v>
      </c>
      <c r="Q1138" s="69">
        <v>44505</v>
      </c>
      <c r="R1138" s="64">
        <v>20</v>
      </c>
      <c r="S1138" s="67" t="s">
        <v>1350</v>
      </c>
      <c r="T1138" s="64"/>
      <c r="U1138" s="75"/>
      <c r="V1138" s="674">
        <v>0</v>
      </c>
      <c r="W1138" s="75"/>
      <c r="X1138" s="75"/>
      <c r="Y1138" s="834">
        <f t="shared" si="231"/>
        <v>0</v>
      </c>
      <c r="Z1138" s="75"/>
      <c r="AA1138" s="75"/>
      <c r="AB1138" s="75"/>
      <c r="AC1138" s="97"/>
      <c r="AD1138" s="155">
        <v>10000</v>
      </c>
      <c r="AE1138" s="599"/>
      <c r="AF1138" s="343" t="s">
        <v>1353</v>
      </c>
      <c r="AG1138" s="510">
        <v>10000</v>
      </c>
      <c r="AH1138" s="510">
        <v>0</v>
      </c>
      <c r="AI1138" s="78"/>
      <c r="AJ1138" s="78"/>
      <c r="AK1138" s="78"/>
      <c r="AL1138" s="78"/>
      <c r="AM1138" s="78"/>
      <c r="AN1138" s="64" t="s">
        <v>181</v>
      </c>
      <c r="AO1138" s="64"/>
      <c r="AP1138" s="64"/>
      <c r="AQ1138" s="189"/>
      <c r="AR1138" s="64"/>
      <c r="AS1138" s="476"/>
      <c r="AT1138" s="64"/>
      <c r="AU1138" s="646"/>
      <c r="AV1138" s="185"/>
    </row>
    <row r="1139" spans="1:48" outlineLevel="2" x14ac:dyDescent="0.25">
      <c r="A1139" s="63" t="str">
        <f t="shared" si="225"/>
        <v>3.13.0.5.12.58-64</v>
      </c>
      <c r="B1139" s="64">
        <v>3</v>
      </c>
      <c r="C1139" s="64">
        <v>13</v>
      </c>
      <c r="D1139" s="64">
        <v>0</v>
      </c>
      <c r="E1139" s="64">
        <v>5</v>
      </c>
      <c r="F1139" s="64">
        <v>12</v>
      </c>
      <c r="G1139" s="64" t="s">
        <v>64</v>
      </c>
      <c r="H1139" s="65"/>
      <c r="I1139" s="65"/>
      <c r="J1139" s="66"/>
      <c r="K1139" s="65" t="s">
        <v>1363</v>
      </c>
      <c r="L1139" s="64" t="s">
        <v>1343</v>
      </c>
      <c r="M1139" s="64" t="s">
        <v>1350</v>
      </c>
      <c r="N1139" s="64" t="s">
        <v>1351</v>
      </c>
      <c r="O1139" s="64" t="s">
        <v>1352</v>
      </c>
      <c r="P1139" s="69">
        <v>44505</v>
      </c>
      <c r="Q1139" s="69">
        <v>44535</v>
      </c>
      <c r="R1139" s="64">
        <v>15</v>
      </c>
      <c r="S1139" s="67" t="s">
        <v>1350</v>
      </c>
      <c r="T1139" s="64"/>
      <c r="U1139" s="75"/>
      <c r="V1139" s="674">
        <v>0</v>
      </c>
      <c r="W1139" s="75"/>
      <c r="X1139" s="75"/>
      <c r="Y1139" s="834">
        <f t="shared" si="231"/>
        <v>0</v>
      </c>
      <c r="Z1139" s="75"/>
      <c r="AA1139" s="75"/>
      <c r="AB1139" s="75"/>
      <c r="AC1139" s="97"/>
      <c r="AD1139" s="155">
        <v>10000</v>
      </c>
      <c r="AE1139" s="599"/>
      <c r="AF1139" s="343" t="s">
        <v>1364</v>
      </c>
      <c r="AG1139" s="510">
        <v>10000</v>
      </c>
      <c r="AH1139" s="510">
        <v>0</v>
      </c>
      <c r="AI1139" s="78"/>
      <c r="AJ1139" s="78"/>
      <c r="AK1139" s="78"/>
      <c r="AL1139" s="78"/>
      <c r="AM1139" s="78"/>
      <c r="AN1139" s="64" t="s">
        <v>181</v>
      </c>
      <c r="AO1139" s="64"/>
      <c r="AP1139" s="64"/>
      <c r="AQ1139" s="189"/>
      <c r="AR1139" s="64"/>
      <c r="AS1139" s="476"/>
      <c r="AT1139" s="64"/>
      <c r="AU1139" s="646"/>
      <c r="AV1139" s="185"/>
    </row>
    <row r="1140" spans="1:48" outlineLevel="2" x14ac:dyDescent="0.25">
      <c r="A1140" s="63" t="str">
        <f t="shared" si="225"/>
        <v>3.13.0.5.13.58-64</v>
      </c>
      <c r="B1140" s="64">
        <v>3</v>
      </c>
      <c r="C1140" s="64">
        <v>13</v>
      </c>
      <c r="D1140" s="64">
        <v>0</v>
      </c>
      <c r="E1140" s="64">
        <v>5</v>
      </c>
      <c r="F1140" s="64">
        <v>13</v>
      </c>
      <c r="G1140" s="64" t="s">
        <v>64</v>
      </c>
      <c r="H1140" s="65"/>
      <c r="I1140" s="65"/>
      <c r="J1140" s="65"/>
      <c r="K1140" s="65" t="s">
        <v>1365</v>
      </c>
      <c r="L1140" s="64" t="s">
        <v>1343</v>
      </c>
      <c r="M1140" s="64" t="s">
        <v>1350</v>
      </c>
      <c r="N1140" s="64" t="s">
        <v>1351</v>
      </c>
      <c r="O1140" s="64" t="s">
        <v>1352</v>
      </c>
      <c r="P1140" s="69">
        <v>44535</v>
      </c>
      <c r="Q1140" s="69">
        <v>44201</v>
      </c>
      <c r="R1140" s="64">
        <v>15</v>
      </c>
      <c r="S1140" s="67" t="s">
        <v>1350</v>
      </c>
      <c r="T1140" s="64"/>
      <c r="U1140" s="155">
        <f>+AH1140/4</f>
        <v>0</v>
      </c>
      <c r="V1140" s="674">
        <v>0</v>
      </c>
      <c r="W1140" s="155"/>
      <c r="X1140" s="155">
        <f>+AH1140/4</f>
        <v>0</v>
      </c>
      <c r="Y1140" s="834">
        <f t="shared" si="231"/>
        <v>0</v>
      </c>
      <c r="Z1140" s="155">
        <v>3</v>
      </c>
      <c r="AA1140" s="155">
        <f>+AH1140/4</f>
        <v>0</v>
      </c>
      <c r="AB1140" s="155"/>
      <c r="AC1140" s="172"/>
      <c r="AD1140" s="172">
        <f>+AH1140/4</f>
        <v>0</v>
      </c>
      <c r="AE1140" s="612"/>
      <c r="AF1140" s="343" t="s">
        <v>1366</v>
      </c>
      <c r="AG1140" s="510">
        <v>35000</v>
      </c>
      <c r="AH1140" s="510">
        <v>0</v>
      </c>
      <c r="AI1140" s="78"/>
      <c r="AJ1140" s="78"/>
      <c r="AK1140" s="78"/>
      <c r="AL1140" s="78"/>
      <c r="AM1140" s="78"/>
      <c r="AN1140" s="64" t="s">
        <v>181</v>
      </c>
      <c r="AO1140" s="64"/>
      <c r="AP1140" s="64"/>
      <c r="AQ1140" s="189"/>
      <c r="AR1140" s="64"/>
      <c r="AS1140" s="476"/>
      <c r="AT1140" s="64"/>
      <c r="AU1140" s="646"/>
      <c r="AV1140" s="185"/>
    </row>
    <row r="1141" spans="1:48" outlineLevel="2" x14ac:dyDescent="0.25">
      <c r="A1141" s="63" t="str">
        <f t="shared" si="225"/>
        <v>3.13.0.5.14.58-64</v>
      </c>
      <c r="B1141" s="64">
        <v>3</v>
      </c>
      <c r="C1141" s="64">
        <v>13</v>
      </c>
      <c r="D1141" s="64">
        <v>0</v>
      </c>
      <c r="E1141" s="64">
        <v>5</v>
      </c>
      <c r="F1141" s="64">
        <v>14</v>
      </c>
      <c r="G1141" s="64" t="s">
        <v>64</v>
      </c>
      <c r="H1141" s="65"/>
      <c r="I1141" s="65"/>
      <c r="J1141" s="66"/>
      <c r="K1141" s="65" t="s">
        <v>1367</v>
      </c>
      <c r="L1141" s="64" t="s">
        <v>1343</v>
      </c>
      <c r="M1141" s="64" t="s">
        <v>177</v>
      </c>
      <c r="N1141" s="64" t="s">
        <v>1351</v>
      </c>
      <c r="O1141" s="64" t="s">
        <v>1368</v>
      </c>
      <c r="P1141" s="69">
        <v>44197</v>
      </c>
      <c r="Q1141" s="69">
        <v>44560</v>
      </c>
      <c r="R1141" s="64">
        <v>50</v>
      </c>
      <c r="S1141" s="67" t="s">
        <v>1369</v>
      </c>
      <c r="T1141" s="64">
        <v>11</v>
      </c>
      <c r="U1141" s="155">
        <f>+AH1141/4</f>
        <v>0</v>
      </c>
      <c r="V1141" s="674">
        <v>0</v>
      </c>
      <c r="W1141" s="155">
        <v>14</v>
      </c>
      <c r="X1141" s="155">
        <f>+AH1141/4</f>
        <v>0</v>
      </c>
      <c r="Y1141" s="834">
        <f t="shared" si="231"/>
        <v>0</v>
      </c>
      <c r="Z1141" s="155">
        <v>3</v>
      </c>
      <c r="AA1141" s="155">
        <f>+AH1141/4</f>
        <v>0</v>
      </c>
      <c r="AB1141" s="155"/>
      <c r="AC1141" s="172"/>
      <c r="AD1141" s="172">
        <f>+AH1141/4</f>
        <v>0</v>
      </c>
      <c r="AE1141" s="612"/>
      <c r="AF1141" s="343" t="s">
        <v>1353</v>
      </c>
      <c r="AG1141" s="510">
        <v>35000</v>
      </c>
      <c r="AH1141" s="510">
        <v>0</v>
      </c>
      <c r="AI1141" s="78"/>
      <c r="AJ1141" s="78"/>
      <c r="AK1141" s="78"/>
      <c r="AL1141" s="78"/>
      <c r="AM1141" s="78"/>
      <c r="AN1141" s="64" t="s">
        <v>181</v>
      </c>
      <c r="AO1141" s="64"/>
      <c r="AP1141" s="64"/>
      <c r="AQ1141" s="189"/>
      <c r="AR1141" s="64"/>
      <c r="AS1141" s="476"/>
      <c r="AT1141" s="64"/>
      <c r="AU1141" s="646"/>
      <c r="AV1141" s="185"/>
    </row>
    <row r="1142" spans="1:48" ht="30" outlineLevel="2" x14ac:dyDescent="0.25">
      <c r="A1142" s="63" t="str">
        <f t="shared" si="225"/>
        <v>3.13.0.5.15.58-64</v>
      </c>
      <c r="B1142" s="64">
        <v>3</v>
      </c>
      <c r="C1142" s="64">
        <v>13</v>
      </c>
      <c r="D1142" s="64">
        <v>0</v>
      </c>
      <c r="E1142" s="64">
        <v>5</v>
      </c>
      <c r="F1142" s="64">
        <v>15</v>
      </c>
      <c r="G1142" s="64" t="s">
        <v>64</v>
      </c>
      <c r="H1142" s="65"/>
      <c r="I1142" s="65"/>
      <c r="J1142" s="66"/>
      <c r="K1142" s="67" t="s">
        <v>1370</v>
      </c>
      <c r="L1142" s="64" t="s">
        <v>1343</v>
      </c>
      <c r="M1142" s="64" t="s">
        <v>177</v>
      </c>
      <c r="N1142" s="64" t="s">
        <v>1351</v>
      </c>
      <c r="O1142" s="64" t="s">
        <v>179</v>
      </c>
      <c r="P1142" s="69">
        <v>44197</v>
      </c>
      <c r="Q1142" s="69">
        <v>44560</v>
      </c>
      <c r="R1142" s="64">
        <v>80</v>
      </c>
      <c r="S1142" s="67" t="s">
        <v>1369</v>
      </c>
      <c r="T1142" s="64"/>
      <c r="U1142" s="155">
        <f t="shared" ref="U1142:U1143" si="232">+AH1142/4</f>
        <v>0</v>
      </c>
      <c r="V1142" s="674">
        <v>0</v>
      </c>
      <c r="W1142" s="155"/>
      <c r="X1142" s="155">
        <f t="shared" ref="X1142:X1143" si="233">+AH1142/4</f>
        <v>0</v>
      </c>
      <c r="Y1142" s="834">
        <f t="shared" si="231"/>
        <v>0</v>
      </c>
      <c r="Z1142" s="155">
        <v>22</v>
      </c>
      <c r="AA1142" s="155">
        <f t="shared" ref="AA1142:AA1143" si="234">+AH1142/4</f>
        <v>0</v>
      </c>
      <c r="AB1142" s="155"/>
      <c r="AC1142" s="172">
        <v>5</v>
      </c>
      <c r="AD1142" s="172">
        <f t="shared" ref="AD1142:AD1143" si="235">+AH1142/4</f>
        <v>0</v>
      </c>
      <c r="AE1142" s="612"/>
      <c r="AF1142" s="343" t="s">
        <v>1353</v>
      </c>
      <c r="AG1142" s="510">
        <v>35000</v>
      </c>
      <c r="AH1142" s="510">
        <v>0</v>
      </c>
      <c r="AI1142" s="78"/>
      <c r="AJ1142" s="78"/>
      <c r="AK1142" s="78"/>
      <c r="AL1142" s="78"/>
      <c r="AM1142" s="78"/>
      <c r="AN1142" s="64" t="s">
        <v>181</v>
      </c>
      <c r="AO1142" s="64"/>
      <c r="AP1142" s="64"/>
      <c r="AQ1142" s="189"/>
      <c r="AR1142" s="64"/>
      <c r="AS1142" s="476"/>
      <c r="AT1142" s="64"/>
      <c r="AU1142" s="646"/>
      <c r="AV1142" s="185"/>
    </row>
    <row r="1143" spans="1:48" ht="30" outlineLevel="2" x14ac:dyDescent="0.25">
      <c r="A1143" s="63" t="str">
        <f t="shared" si="225"/>
        <v>3.13.0.5.16.58-65</v>
      </c>
      <c r="B1143" s="64">
        <v>3</v>
      </c>
      <c r="C1143" s="64">
        <v>13</v>
      </c>
      <c r="D1143" s="64">
        <v>0</v>
      </c>
      <c r="E1143" s="64">
        <v>5</v>
      </c>
      <c r="F1143" s="64">
        <v>16</v>
      </c>
      <c r="G1143" s="64" t="s">
        <v>946</v>
      </c>
      <c r="H1143" s="65"/>
      <c r="I1143" s="65"/>
      <c r="J1143" s="66"/>
      <c r="K1143" s="67" t="s">
        <v>1371</v>
      </c>
      <c r="L1143" s="64" t="s">
        <v>1343</v>
      </c>
      <c r="M1143" s="64" t="s">
        <v>1372</v>
      </c>
      <c r="N1143" s="64" t="s">
        <v>1351</v>
      </c>
      <c r="O1143" s="64" t="s">
        <v>1368</v>
      </c>
      <c r="P1143" s="69">
        <v>44197</v>
      </c>
      <c r="Q1143" s="69">
        <v>44560</v>
      </c>
      <c r="R1143" s="64">
        <v>46</v>
      </c>
      <c r="S1143" s="67" t="s">
        <v>1373</v>
      </c>
      <c r="T1143" s="64"/>
      <c r="U1143" s="155">
        <f t="shared" si="232"/>
        <v>0</v>
      </c>
      <c r="V1143" s="674">
        <v>0</v>
      </c>
      <c r="W1143" s="155">
        <v>16</v>
      </c>
      <c r="X1143" s="155">
        <f t="shared" si="233"/>
        <v>0</v>
      </c>
      <c r="Y1143" s="834">
        <f t="shared" si="231"/>
        <v>0</v>
      </c>
      <c r="Z1143" s="155">
        <v>29</v>
      </c>
      <c r="AA1143" s="155">
        <f t="shared" si="234"/>
        <v>0</v>
      </c>
      <c r="AB1143" s="155"/>
      <c r="AC1143" s="172"/>
      <c r="AD1143" s="172">
        <f t="shared" si="235"/>
        <v>0</v>
      </c>
      <c r="AE1143" s="612"/>
      <c r="AF1143" s="343" t="s">
        <v>1353</v>
      </c>
      <c r="AG1143" s="510">
        <v>35000</v>
      </c>
      <c r="AH1143" s="510">
        <v>0</v>
      </c>
      <c r="AI1143" s="78"/>
      <c r="AJ1143" s="78"/>
      <c r="AK1143" s="78"/>
      <c r="AL1143" s="78"/>
      <c r="AM1143" s="78"/>
      <c r="AN1143" s="64" t="s">
        <v>181</v>
      </c>
      <c r="AO1143" s="64"/>
      <c r="AP1143" s="64"/>
      <c r="AQ1143" s="189"/>
      <c r="AR1143" s="64"/>
      <c r="AS1143" s="476"/>
      <c r="AT1143" s="64"/>
      <c r="AU1143" s="646"/>
      <c r="AV1143" s="185"/>
    </row>
    <row r="1144" spans="1:48" s="153" customFormat="1" ht="15" customHeight="1" outlineLevel="1" x14ac:dyDescent="0.25">
      <c r="A1144" s="148" t="str">
        <f t="shared" si="225"/>
        <v>3.13.0.6.0.0</v>
      </c>
      <c r="B1144" s="82">
        <v>3</v>
      </c>
      <c r="C1144" s="82">
        <v>13</v>
      </c>
      <c r="D1144" s="82">
        <v>0</v>
      </c>
      <c r="E1144" s="82">
        <v>6</v>
      </c>
      <c r="F1144" s="82">
        <v>0</v>
      </c>
      <c r="G1144" s="82">
        <v>0</v>
      </c>
      <c r="H1144" s="149"/>
      <c r="I1144" s="149"/>
      <c r="J1144" s="1289" t="s">
        <v>1374</v>
      </c>
      <c r="K1144" s="1290"/>
      <c r="L1144" s="82" t="s">
        <v>1026</v>
      </c>
      <c r="M1144" s="82" t="s">
        <v>1375</v>
      </c>
      <c r="N1144" s="82" t="s">
        <v>1376</v>
      </c>
      <c r="O1144" s="82" t="s">
        <v>1377</v>
      </c>
      <c r="P1144" s="84">
        <v>44562</v>
      </c>
      <c r="Q1144" s="84">
        <v>44926</v>
      </c>
      <c r="R1144" s="82">
        <f>+SUM(R1146+R1145)</f>
        <v>22</v>
      </c>
      <c r="S1144" s="149"/>
      <c r="T1144" s="82"/>
      <c r="U1144" s="379">
        <f t="shared" ref="U1144:AG1144" si="236">+SUM(U1145:U1146)</f>
        <v>0</v>
      </c>
      <c r="V1144" s="682">
        <f t="shared" si="236"/>
        <v>0</v>
      </c>
      <c r="W1144" s="379">
        <f t="shared" si="236"/>
        <v>0</v>
      </c>
      <c r="X1144" s="379">
        <f t="shared" si="236"/>
        <v>0</v>
      </c>
      <c r="Y1144" s="845">
        <f t="shared" si="236"/>
        <v>0</v>
      </c>
      <c r="Z1144" s="379">
        <f t="shared" si="236"/>
        <v>0</v>
      </c>
      <c r="AA1144" s="379">
        <f t="shared" si="236"/>
        <v>0</v>
      </c>
      <c r="AB1144" s="379">
        <f t="shared" si="236"/>
        <v>0</v>
      </c>
      <c r="AC1144" s="379">
        <f t="shared" si="236"/>
        <v>0</v>
      </c>
      <c r="AD1144" s="379">
        <f t="shared" si="236"/>
        <v>0</v>
      </c>
      <c r="AE1144" s="379">
        <f t="shared" si="236"/>
        <v>0</v>
      </c>
      <c r="AF1144" s="379">
        <f t="shared" si="236"/>
        <v>0</v>
      </c>
      <c r="AG1144" s="379">
        <f t="shared" si="236"/>
        <v>0</v>
      </c>
      <c r="AH1144" s="379">
        <f>+SUM(AH1145:AH1146)</f>
        <v>0</v>
      </c>
      <c r="AI1144" s="512">
        <f>+SUM(AI1145:AI1146)</f>
        <v>0</v>
      </c>
      <c r="AJ1144" s="512">
        <f>+SUM(AJ1145:AJ1146)</f>
        <v>0</v>
      </c>
      <c r="AK1144" s="152"/>
      <c r="AL1144" s="152"/>
      <c r="AM1144" s="152"/>
      <c r="AN1144" s="82" t="s">
        <v>181</v>
      </c>
      <c r="AO1144" s="82"/>
      <c r="AP1144" s="82"/>
      <c r="AQ1144" s="365"/>
      <c r="AR1144" s="82"/>
      <c r="AS1144" s="483"/>
      <c r="AT1144" s="82"/>
      <c r="AU1144" s="666"/>
      <c r="AV1144" s="444"/>
    </row>
    <row r="1145" spans="1:48" ht="15" customHeight="1" outlineLevel="4" x14ac:dyDescent="0.25">
      <c r="A1145" s="63" t="str">
        <f t="shared" si="225"/>
        <v>3.13.0.6.1.58-64</v>
      </c>
      <c r="B1145" s="64">
        <v>3</v>
      </c>
      <c r="C1145" s="64">
        <v>13</v>
      </c>
      <c r="D1145" s="64">
        <v>0</v>
      </c>
      <c r="E1145" s="64">
        <v>6</v>
      </c>
      <c r="F1145" s="64">
        <v>1</v>
      </c>
      <c r="G1145" s="64" t="s">
        <v>64</v>
      </c>
      <c r="H1145" s="65"/>
      <c r="I1145" s="65"/>
      <c r="J1145" s="65"/>
      <c r="K1145" s="65" t="s">
        <v>1378</v>
      </c>
      <c r="L1145" s="64" t="s">
        <v>1026</v>
      </c>
      <c r="M1145" s="64" t="s">
        <v>1375</v>
      </c>
      <c r="N1145" s="64" t="s">
        <v>1376</v>
      </c>
      <c r="O1145" s="64" t="s">
        <v>1379</v>
      </c>
      <c r="P1145" s="69">
        <v>44197</v>
      </c>
      <c r="Q1145" s="69">
        <v>44561</v>
      </c>
      <c r="R1145" s="64">
        <v>10</v>
      </c>
      <c r="S1145" s="65" t="s">
        <v>1380</v>
      </c>
      <c r="T1145" s="64"/>
      <c r="U1145" s="75">
        <v>0</v>
      </c>
      <c r="V1145" s="674">
        <v>0</v>
      </c>
      <c r="W1145" s="75"/>
      <c r="X1145" s="75"/>
      <c r="Y1145" s="834">
        <f>+AJ1145-V1145</f>
        <v>0</v>
      </c>
      <c r="Z1145" s="75"/>
      <c r="AA1145" s="75"/>
      <c r="AB1145" s="75"/>
      <c r="AC1145" s="97"/>
      <c r="AD1145" s="97"/>
      <c r="AE1145" s="591"/>
      <c r="AF1145" s="259"/>
      <c r="AG1145" s="510">
        <v>0</v>
      </c>
      <c r="AH1145" s="370">
        <v>0</v>
      </c>
      <c r="AI1145" s="75"/>
      <c r="AJ1145" s="75"/>
      <c r="AK1145" s="75"/>
      <c r="AL1145" s="75"/>
      <c r="AM1145" s="75"/>
      <c r="AN1145" s="64" t="s">
        <v>181</v>
      </c>
      <c r="AO1145" s="64"/>
      <c r="AP1145" s="64"/>
      <c r="AQ1145" s="189"/>
      <c r="AR1145" s="64"/>
      <c r="AS1145" s="476"/>
      <c r="AT1145" s="64"/>
      <c r="AU1145" s="646"/>
      <c r="AV1145" s="185"/>
    </row>
    <row r="1146" spans="1:48" ht="15" customHeight="1" outlineLevel="4" x14ac:dyDescent="0.25">
      <c r="A1146" s="63" t="str">
        <f t="shared" si="225"/>
        <v>3.13.0.6.2.58-64</v>
      </c>
      <c r="B1146" s="64">
        <v>3</v>
      </c>
      <c r="C1146" s="64">
        <v>13</v>
      </c>
      <c r="D1146" s="64">
        <v>0</v>
      </c>
      <c r="E1146" s="64">
        <v>6</v>
      </c>
      <c r="F1146" s="64">
        <v>2</v>
      </c>
      <c r="G1146" s="64" t="s">
        <v>64</v>
      </c>
      <c r="H1146" s="65"/>
      <c r="I1146" s="65"/>
      <c r="J1146" s="65"/>
      <c r="K1146" s="65" t="s">
        <v>1381</v>
      </c>
      <c r="L1146" s="64" t="s">
        <v>1026</v>
      </c>
      <c r="M1146" s="64" t="s">
        <v>299</v>
      </c>
      <c r="N1146" s="64" t="s">
        <v>1376</v>
      </c>
      <c r="O1146" s="64" t="s">
        <v>1382</v>
      </c>
      <c r="P1146" s="69">
        <v>44197</v>
      </c>
      <c r="Q1146" s="69">
        <v>44561</v>
      </c>
      <c r="R1146" s="64">
        <v>12</v>
      </c>
      <c r="S1146" s="65" t="s">
        <v>1383</v>
      </c>
      <c r="T1146" s="64"/>
      <c r="U1146" s="75">
        <v>0</v>
      </c>
      <c r="V1146" s="674">
        <v>0</v>
      </c>
      <c r="W1146" s="75"/>
      <c r="X1146" s="75"/>
      <c r="Y1146" s="834">
        <f>+AJ1146-V1146</f>
        <v>0</v>
      </c>
      <c r="Z1146" s="75"/>
      <c r="AA1146" s="75"/>
      <c r="AB1146" s="75"/>
      <c r="AC1146" s="97"/>
      <c r="AD1146" s="97"/>
      <c r="AE1146" s="591"/>
      <c r="AF1146" s="259"/>
      <c r="AG1146" s="510">
        <v>0</v>
      </c>
      <c r="AH1146" s="370">
        <v>0</v>
      </c>
      <c r="AI1146" s="75"/>
      <c r="AJ1146" s="75"/>
      <c r="AK1146" s="75"/>
      <c r="AL1146" s="75"/>
      <c r="AM1146" s="75"/>
      <c r="AN1146" s="64" t="s">
        <v>181</v>
      </c>
      <c r="AO1146" s="64"/>
      <c r="AP1146" s="64"/>
      <c r="AQ1146" s="189"/>
      <c r="AR1146" s="64"/>
      <c r="AS1146" s="476"/>
      <c r="AT1146" s="64"/>
      <c r="AU1146" s="646"/>
      <c r="AV1146" s="185"/>
    </row>
    <row r="1147" spans="1:48" s="153" customFormat="1" ht="15" customHeight="1" outlineLevel="1" x14ac:dyDescent="0.25">
      <c r="A1147" s="148" t="str">
        <f t="shared" si="225"/>
        <v>3.13.0.7.0.0</v>
      </c>
      <c r="B1147" s="82">
        <v>3</v>
      </c>
      <c r="C1147" s="82">
        <v>13</v>
      </c>
      <c r="D1147" s="82">
        <v>0</v>
      </c>
      <c r="E1147" s="82">
        <v>7</v>
      </c>
      <c r="F1147" s="82">
        <v>0</v>
      </c>
      <c r="G1147" s="82">
        <v>0</v>
      </c>
      <c r="H1147" s="149"/>
      <c r="I1147" s="149"/>
      <c r="J1147" s="1260" t="s">
        <v>1384</v>
      </c>
      <c r="K1147" s="1259"/>
      <c r="L1147" s="82" t="s">
        <v>1385</v>
      </c>
      <c r="M1147" s="82" t="s">
        <v>1139</v>
      </c>
      <c r="N1147" s="82" t="s">
        <v>1386</v>
      </c>
      <c r="O1147" s="82" t="s">
        <v>830</v>
      </c>
      <c r="P1147" s="84">
        <v>44562</v>
      </c>
      <c r="Q1147" s="84">
        <v>44926</v>
      </c>
      <c r="R1147" s="82"/>
      <c r="S1147" s="149"/>
      <c r="T1147" s="82"/>
      <c r="U1147" s="152">
        <f>SUM(U1148:U1153)</f>
        <v>4374999.2200000007</v>
      </c>
      <c r="V1147" s="681">
        <f>SUM(V1148:V1153)</f>
        <v>0</v>
      </c>
      <c r="W1147" s="379">
        <f t="shared" ref="W1147:AG1147" si="237">+SUM(W1148:W1153)</f>
        <v>6</v>
      </c>
      <c r="X1147" s="379">
        <f t="shared" si="237"/>
        <v>125000</v>
      </c>
      <c r="Y1147" s="845">
        <f t="shared" si="237"/>
        <v>5</v>
      </c>
      <c r="Z1147" s="379">
        <f t="shared" si="237"/>
        <v>1</v>
      </c>
      <c r="AA1147" s="379">
        <f t="shared" si="237"/>
        <v>125000</v>
      </c>
      <c r="AB1147" s="379">
        <f t="shared" si="237"/>
        <v>0</v>
      </c>
      <c r="AC1147" s="379">
        <f t="shared" si="237"/>
        <v>0</v>
      </c>
      <c r="AD1147" s="379">
        <f t="shared" si="237"/>
        <v>125000</v>
      </c>
      <c r="AE1147" s="379">
        <f t="shared" si="237"/>
        <v>0</v>
      </c>
      <c r="AF1147" s="379">
        <f t="shared" si="237"/>
        <v>0</v>
      </c>
      <c r="AG1147" s="379">
        <f t="shared" si="237"/>
        <v>7235000</v>
      </c>
      <c r="AH1147" s="379">
        <f>+SUM(AH1148:AH1153)</f>
        <v>4749999.2200000007</v>
      </c>
      <c r="AI1147" s="512">
        <f>+SUM(AI1148:AI1153)</f>
        <v>0</v>
      </c>
      <c r="AJ1147" s="512">
        <f>+SUM(AJ1148:AJ1153)</f>
        <v>1687499.23</v>
      </c>
      <c r="AK1147" s="152"/>
      <c r="AL1147" s="152"/>
      <c r="AM1147" s="152"/>
      <c r="AN1147" s="82" t="s">
        <v>39</v>
      </c>
      <c r="AO1147" s="82"/>
      <c r="AP1147" s="82"/>
      <c r="AQ1147" s="365"/>
      <c r="AR1147" s="82"/>
      <c r="AS1147" s="483"/>
      <c r="AT1147" s="82"/>
      <c r="AU1147" s="666"/>
      <c r="AV1147" s="444"/>
    </row>
    <row r="1148" spans="1:48" ht="135" outlineLevel="2" x14ac:dyDescent="0.25">
      <c r="A1148" s="63" t="str">
        <f t="shared" si="225"/>
        <v>3.13.0.7.1.58-64</v>
      </c>
      <c r="B1148" s="64">
        <v>3</v>
      </c>
      <c r="C1148" s="64">
        <v>13</v>
      </c>
      <c r="D1148" s="64">
        <v>0</v>
      </c>
      <c r="E1148" s="64">
        <v>7</v>
      </c>
      <c r="F1148" s="64">
        <v>1</v>
      </c>
      <c r="G1148" s="100" t="s">
        <v>64</v>
      </c>
      <c r="H1148" s="65"/>
      <c r="I1148" s="65"/>
      <c r="J1148" s="66"/>
      <c r="K1148" s="67" t="s">
        <v>1387</v>
      </c>
      <c r="L1148" s="64" t="s">
        <v>1388</v>
      </c>
      <c r="M1148" s="64" t="s">
        <v>299</v>
      </c>
      <c r="N1148" s="64" t="s">
        <v>1386</v>
      </c>
      <c r="O1148" s="64" t="s">
        <v>1368</v>
      </c>
      <c r="P1148" s="69">
        <v>44197</v>
      </c>
      <c r="Q1148" s="69">
        <v>44561</v>
      </c>
      <c r="R1148" s="64">
        <v>6</v>
      </c>
      <c r="S1148" s="65" t="s">
        <v>767</v>
      </c>
      <c r="T1148" s="64">
        <v>0</v>
      </c>
      <c r="U1148" s="75">
        <f>+AH1148</f>
        <v>2249999.2200000002</v>
      </c>
      <c r="V1148" s="674">
        <v>0</v>
      </c>
      <c r="W1148" s="75">
        <v>5</v>
      </c>
      <c r="X1148" s="75"/>
      <c r="Y1148" s="834">
        <v>5</v>
      </c>
      <c r="Z1148" s="75">
        <v>1</v>
      </c>
      <c r="AA1148" s="75"/>
      <c r="AB1148" s="75"/>
      <c r="AC1148" s="97"/>
      <c r="AD1148" s="97"/>
      <c r="AE1148" s="591"/>
      <c r="AF1148" s="259"/>
      <c r="AG1148" s="510">
        <v>2500000</v>
      </c>
      <c r="AH1148" s="370">
        <v>2249999.2200000002</v>
      </c>
      <c r="AI1148" s="75"/>
      <c r="AJ1148" s="75">
        <f>1349999.41+337499.82</f>
        <v>1687499.23</v>
      </c>
      <c r="AK1148" s="75"/>
      <c r="AL1148" s="75"/>
      <c r="AM1148" s="75"/>
      <c r="AN1148" s="64" t="s">
        <v>39</v>
      </c>
      <c r="AO1148" s="64" t="s">
        <v>1819</v>
      </c>
      <c r="AP1148" s="64" t="s">
        <v>2118</v>
      </c>
      <c r="AQ1148" s="189" t="s">
        <v>2145</v>
      </c>
      <c r="AR1148" s="69">
        <v>44491</v>
      </c>
      <c r="AS1148" s="865">
        <v>44856</v>
      </c>
      <c r="AT1148" s="64"/>
      <c r="AU1148" s="879" t="s">
        <v>2247</v>
      </c>
      <c r="AV1148" s="335" t="s">
        <v>2245</v>
      </c>
    </row>
    <row r="1149" spans="1:48" outlineLevel="2" x14ac:dyDescent="0.25">
      <c r="A1149" s="63" t="str">
        <f>CONCATENATE(B1149,".",C1149,".",D1149,".",E1149,".",F1149,".",G1149)</f>
        <v>3.13.0.7.2.58-64</v>
      </c>
      <c r="B1149" s="64">
        <v>3</v>
      </c>
      <c r="C1149" s="64">
        <v>13</v>
      </c>
      <c r="D1149" s="64">
        <v>0</v>
      </c>
      <c r="E1149" s="64">
        <v>7</v>
      </c>
      <c r="F1149" s="64">
        <v>2</v>
      </c>
      <c r="G1149" s="100" t="s">
        <v>64</v>
      </c>
      <c r="H1149" s="65"/>
      <c r="I1149" s="65"/>
      <c r="J1149" s="66"/>
      <c r="K1149" s="65" t="s">
        <v>1389</v>
      </c>
      <c r="L1149" s="64" t="s">
        <v>1388</v>
      </c>
      <c r="M1149" s="64" t="s">
        <v>299</v>
      </c>
      <c r="N1149" s="64" t="s">
        <v>1386</v>
      </c>
      <c r="O1149" s="64" t="s">
        <v>1368</v>
      </c>
      <c r="P1149" s="69">
        <v>44197</v>
      </c>
      <c r="Q1149" s="69">
        <v>44561</v>
      </c>
      <c r="R1149" s="64">
        <v>12</v>
      </c>
      <c r="S1149" s="65" t="s">
        <v>1390</v>
      </c>
      <c r="T1149" s="64"/>
      <c r="U1149" s="155">
        <f>+AH1149/2</f>
        <v>0</v>
      </c>
      <c r="V1149" s="674">
        <v>0</v>
      </c>
      <c r="W1149" s="75"/>
      <c r="X1149" s="155">
        <f>+AH1149/2</f>
        <v>0</v>
      </c>
      <c r="Y1149" s="834">
        <f>+AJ1149-V1149</f>
        <v>0</v>
      </c>
      <c r="Z1149" s="75"/>
      <c r="AA1149" s="75"/>
      <c r="AB1149" s="75"/>
      <c r="AC1149" s="97"/>
      <c r="AD1149" s="97"/>
      <c r="AE1149" s="591"/>
      <c r="AF1149" s="259"/>
      <c r="AG1149" s="510">
        <v>1000000</v>
      </c>
      <c r="AH1149" s="370">
        <v>0</v>
      </c>
      <c r="AI1149" s="75"/>
      <c r="AJ1149" s="75"/>
      <c r="AK1149" s="75"/>
      <c r="AL1149" s="75"/>
      <c r="AM1149" s="75"/>
      <c r="AN1149" s="64" t="s">
        <v>39</v>
      </c>
      <c r="AO1149" s="64"/>
      <c r="AP1149" s="64"/>
      <c r="AQ1149" s="189"/>
      <c r="AR1149" s="64"/>
      <c r="AS1149" s="476"/>
      <c r="AT1149" s="64"/>
      <c r="AU1149" s="646"/>
      <c r="AV1149" s="185"/>
    </row>
    <row r="1150" spans="1:48" outlineLevel="2" x14ac:dyDescent="0.25">
      <c r="A1150" s="63" t="str">
        <f t="shared" si="225"/>
        <v>3.13.0.7.3.58-64</v>
      </c>
      <c r="B1150" s="64">
        <v>3</v>
      </c>
      <c r="C1150" s="64">
        <v>13</v>
      </c>
      <c r="D1150" s="64">
        <v>0</v>
      </c>
      <c r="E1150" s="64">
        <v>7</v>
      </c>
      <c r="F1150" s="64">
        <v>3</v>
      </c>
      <c r="G1150" s="100" t="s">
        <v>64</v>
      </c>
      <c r="H1150" s="65"/>
      <c r="I1150" s="65"/>
      <c r="J1150" s="66"/>
      <c r="K1150" s="65" t="s">
        <v>1391</v>
      </c>
      <c r="L1150" s="64" t="s">
        <v>1388</v>
      </c>
      <c r="M1150" s="64" t="s">
        <v>73</v>
      </c>
      <c r="N1150" s="64" t="s">
        <v>1386</v>
      </c>
      <c r="O1150" s="64" t="s">
        <v>1368</v>
      </c>
      <c r="P1150" s="69">
        <v>44197</v>
      </c>
      <c r="Q1150" s="69">
        <v>44561</v>
      </c>
      <c r="R1150" s="64">
        <v>1</v>
      </c>
      <c r="S1150" s="65" t="s">
        <v>1392</v>
      </c>
      <c r="T1150" s="64"/>
      <c r="U1150" s="75">
        <f>$AH$1150/4</f>
        <v>0</v>
      </c>
      <c r="V1150" s="674">
        <v>0</v>
      </c>
      <c r="W1150" s="75"/>
      <c r="X1150" s="75">
        <f>$AH$1150/4</f>
        <v>0</v>
      </c>
      <c r="Y1150" s="834">
        <f>+AJ1150-V1150</f>
        <v>0</v>
      </c>
      <c r="Z1150" s="75"/>
      <c r="AA1150" s="75">
        <f>$AH$1150/4</f>
        <v>0</v>
      </c>
      <c r="AB1150" s="75"/>
      <c r="AC1150" s="97"/>
      <c r="AD1150" s="75">
        <f>$AH$1150/4</f>
        <v>0</v>
      </c>
      <c r="AE1150" s="592"/>
      <c r="AF1150" s="259"/>
      <c r="AG1150" s="510">
        <v>1100000</v>
      </c>
      <c r="AH1150" s="370">
        <v>0</v>
      </c>
      <c r="AI1150" s="75"/>
      <c r="AJ1150" s="75"/>
      <c r="AK1150" s="75"/>
      <c r="AL1150" s="75"/>
      <c r="AM1150" s="75"/>
      <c r="AN1150" s="64" t="s">
        <v>39</v>
      </c>
      <c r="AO1150" s="64"/>
      <c r="AP1150" s="64"/>
      <c r="AQ1150" s="189"/>
      <c r="AR1150" s="64"/>
      <c r="AS1150" s="476"/>
      <c r="AT1150" s="64"/>
      <c r="AU1150" s="646"/>
      <c r="AV1150" s="185"/>
    </row>
    <row r="1151" spans="1:48" outlineLevel="2" x14ac:dyDescent="0.25">
      <c r="A1151" s="63" t="str">
        <f t="shared" si="225"/>
        <v>3.13.0.7.4.58-64</v>
      </c>
      <c r="B1151" s="64">
        <v>3</v>
      </c>
      <c r="C1151" s="64">
        <v>13</v>
      </c>
      <c r="D1151" s="64">
        <v>0</v>
      </c>
      <c r="E1151" s="64">
        <v>7</v>
      </c>
      <c r="F1151" s="64">
        <v>4</v>
      </c>
      <c r="G1151" s="100" t="s">
        <v>64</v>
      </c>
      <c r="H1151" s="65"/>
      <c r="I1151" s="65"/>
      <c r="J1151" s="66"/>
      <c r="K1151" s="65" t="s">
        <v>1393</v>
      </c>
      <c r="L1151" s="64" t="s">
        <v>1388</v>
      </c>
      <c r="M1151" s="64" t="s">
        <v>299</v>
      </c>
      <c r="N1151" s="64" t="s">
        <v>1386</v>
      </c>
      <c r="O1151" s="64" t="s">
        <v>1368</v>
      </c>
      <c r="P1151" s="69">
        <v>44197</v>
      </c>
      <c r="Q1151" s="69">
        <v>44561</v>
      </c>
      <c r="R1151" s="64">
        <v>1</v>
      </c>
      <c r="S1151" s="65" t="s">
        <v>767</v>
      </c>
      <c r="T1151" s="64"/>
      <c r="U1151" s="75">
        <f>$AH$1151/4</f>
        <v>125000</v>
      </c>
      <c r="V1151" s="674">
        <v>0</v>
      </c>
      <c r="W1151" s="75"/>
      <c r="X1151" s="75">
        <f>$AH$1151/4</f>
        <v>125000</v>
      </c>
      <c r="Y1151" s="834">
        <f>+AJ1151-V1151</f>
        <v>0</v>
      </c>
      <c r="Z1151" s="75"/>
      <c r="AA1151" s="75">
        <f>$AH$1151/4</f>
        <v>125000</v>
      </c>
      <c r="AB1151" s="75"/>
      <c r="AC1151" s="97"/>
      <c r="AD1151" s="75">
        <f>$AH$1151/4</f>
        <v>125000</v>
      </c>
      <c r="AE1151" s="592"/>
      <c r="AF1151" s="259"/>
      <c r="AG1151" s="510">
        <v>500000</v>
      </c>
      <c r="AH1151" s="370">
        <v>500000</v>
      </c>
      <c r="AI1151" s="75"/>
      <c r="AJ1151" s="75"/>
      <c r="AK1151" s="75"/>
      <c r="AL1151" s="75"/>
      <c r="AM1151" s="75"/>
      <c r="AN1151" s="64" t="s">
        <v>39</v>
      </c>
      <c r="AO1151" s="64"/>
      <c r="AP1151" s="64"/>
      <c r="AQ1151" s="189"/>
      <c r="AR1151" s="64"/>
      <c r="AS1151" s="476"/>
      <c r="AT1151" s="64"/>
      <c r="AU1151" s="646"/>
      <c r="AV1151" s="185"/>
    </row>
    <row r="1152" spans="1:48" ht="30" outlineLevel="2" x14ac:dyDescent="0.25">
      <c r="A1152" s="63" t="str">
        <f t="shared" si="225"/>
        <v>3.13.0.7.6.0</v>
      </c>
      <c r="B1152" s="64">
        <v>3</v>
      </c>
      <c r="C1152" s="64">
        <v>13</v>
      </c>
      <c r="D1152" s="64">
        <v>0</v>
      </c>
      <c r="E1152" s="64">
        <v>7</v>
      </c>
      <c r="F1152" s="64">
        <v>6</v>
      </c>
      <c r="G1152" s="100">
        <v>0</v>
      </c>
      <c r="H1152" s="65"/>
      <c r="I1152" s="65"/>
      <c r="J1152" s="65"/>
      <c r="K1152" s="67" t="s">
        <v>1394</v>
      </c>
      <c r="L1152" s="64" t="s">
        <v>1388</v>
      </c>
      <c r="M1152" s="64" t="s">
        <v>73</v>
      </c>
      <c r="N1152" s="64" t="s">
        <v>1395</v>
      </c>
      <c r="O1152" s="64" t="s">
        <v>1368</v>
      </c>
      <c r="P1152" s="69">
        <v>44197</v>
      </c>
      <c r="Q1152" s="69">
        <v>44561</v>
      </c>
      <c r="R1152" s="170">
        <v>1</v>
      </c>
      <c r="S1152" s="170" t="s">
        <v>1396</v>
      </c>
      <c r="T1152" s="170"/>
      <c r="U1152" s="75">
        <f>+AH1152</f>
        <v>2000000</v>
      </c>
      <c r="V1152" s="674">
        <v>0</v>
      </c>
      <c r="W1152" s="97">
        <v>1</v>
      </c>
      <c r="X1152" s="75"/>
      <c r="Y1152" s="834">
        <f>+AJ1152-V1152</f>
        <v>0</v>
      </c>
      <c r="Z1152" s="97"/>
      <c r="AA1152" s="75"/>
      <c r="AB1152" s="75"/>
      <c r="AC1152" s="97"/>
      <c r="AD1152" s="75"/>
      <c r="AE1152" s="592"/>
      <c r="AF1152" s="353" t="s">
        <v>1397</v>
      </c>
      <c r="AG1152" s="524">
        <v>865000</v>
      </c>
      <c r="AH1152" s="388">
        <v>2000000</v>
      </c>
      <c r="AI1152" s="258"/>
      <c r="AJ1152" s="258"/>
      <c r="AK1152" s="258"/>
      <c r="AL1152" s="258"/>
      <c r="AM1152" s="258"/>
      <c r="AN1152" s="171" t="s">
        <v>39</v>
      </c>
      <c r="AO1152" s="171"/>
      <c r="AP1152" s="171"/>
      <c r="AQ1152" s="418"/>
      <c r="AS1152" s="484"/>
      <c r="AV1152" s="459" t="s">
        <v>1398</v>
      </c>
    </row>
    <row r="1153" spans="1:48" ht="30" outlineLevel="2" x14ac:dyDescent="0.25">
      <c r="A1153" s="63" t="str">
        <f t="shared" si="225"/>
        <v>3.13.0.7.7.58-64</v>
      </c>
      <c r="B1153" s="64">
        <v>3</v>
      </c>
      <c r="C1153" s="64">
        <v>13</v>
      </c>
      <c r="D1153" s="64">
        <v>0</v>
      </c>
      <c r="E1153" s="64">
        <v>7</v>
      </c>
      <c r="F1153" s="64">
        <v>7</v>
      </c>
      <c r="G1153" s="100" t="s">
        <v>64</v>
      </c>
      <c r="H1153" s="65" t="s">
        <v>330</v>
      </c>
      <c r="I1153" s="65"/>
      <c r="J1153" s="65"/>
      <c r="K1153" s="67" t="s">
        <v>1399</v>
      </c>
      <c r="L1153" s="64" t="s">
        <v>1388</v>
      </c>
      <c r="M1153" s="64" t="s">
        <v>135</v>
      </c>
      <c r="N1153" s="64" t="s">
        <v>1386</v>
      </c>
      <c r="O1153" s="64" t="s">
        <v>1400</v>
      </c>
      <c r="P1153" s="69">
        <v>44197</v>
      </c>
      <c r="Q1153" s="69">
        <v>44561</v>
      </c>
      <c r="R1153" s="170"/>
      <c r="S1153" s="170" t="s">
        <v>1401</v>
      </c>
      <c r="T1153" s="170"/>
      <c r="U1153" s="75">
        <f>$AH$1153/4</f>
        <v>0</v>
      </c>
      <c r="V1153" s="674">
        <v>0</v>
      </c>
      <c r="W1153" s="97"/>
      <c r="X1153" s="75">
        <f>$AH$1153/4</f>
        <v>0</v>
      </c>
      <c r="Y1153" s="834">
        <f>+AJ1153-V1153</f>
        <v>0</v>
      </c>
      <c r="Z1153" s="97"/>
      <c r="AA1153" s="75">
        <f>$AH$1153/4</f>
        <v>0</v>
      </c>
      <c r="AB1153" s="75"/>
      <c r="AC1153" s="97"/>
      <c r="AD1153" s="75">
        <f>$AH$1153/4</f>
        <v>0</v>
      </c>
      <c r="AE1153" s="592"/>
      <c r="AF1153" s="353"/>
      <c r="AG1153" s="510">
        <v>1270000</v>
      </c>
      <c r="AH1153" s="510">
        <v>0</v>
      </c>
      <c r="AI1153" s="258"/>
      <c r="AJ1153" s="258"/>
      <c r="AK1153" s="258"/>
      <c r="AL1153" s="258"/>
      <c r="AM1153" s="258"/>
      <c r="AN1153" s="171" t="s">
        <v>39</v>
      </c>
      <c r="AO1153" s="171"/>
      <c r="AP1153" s="171"/>
      <c r="AQ1153" s="418"/>
      <c r="AS1153" s="484"/>
      <c r="AV1153" s="185"/>
    </row>
    <row r="1154" spans="1:48" s="153" customFormat="1" ht="15" customHeight="1" outlineLevel="1" x14ac:dyDescent="0.25">
      <c r="A1154" s="148" t="str">
        <f t="shared" si="225"/>
        <v>3.13.0.8.0.0</v>
      </c>
      <c r="B1154" s="82">
        <v>3</v>
      </c>
      <c r="C1154" s="82">
        <v>13</v>
      </c>
      <c r="D1154" s="82">
        <v>0</v>
      </c>
      <c r="E1154" s="82">
        <v>8</v>
      </c>
      <c r="F1154" s="82">
        <v>0</v>
      </c>
      <c r="G1154" s="82">
        <v>0</v>
      </c>
      <c r="H1154" s="149"/>
      <c r="I1154" s="149"/>
      <c r="J1154" s="1260" t="s">
        <v>1193</v>
      </c>
      <c r="K1154" s="1259"/>
      <c r="L1154" s="82" t="s">
        <v>208</v>
      </c>
      <c r="M1154" s="82" t="s">
        <v>1195</v>
      </c>
      <c r="N1154" s="82" t="s">
        <v>198</v>
      </c>
      <c r="O1154" s="82" t="s">
        <v>359</v>
      </c>
      <c r="P1154" s="82"/>
      <c r="Q1154" s="82"/>
      <c r="R1154" s="82"/>
      <c r="S1154" s="149"/>
      <c r="T1154" s="82"/>
      <c r="U1154" s="379">
        <f t="shared" ref="U1154:AG1154" si="238">SUM(U1155:U1157)</f>
        <v>0</v>
      </c>
      <c r="V1154" s="682">
        <f t="shared" si="238"/>
        <v>0</v>
      </c>
      <c r="W1154" s="379">
        <f t="shared" si="238"/>
        <v>14</v>
      </c>
      <c r="X1154" s="379">
        <f t="shared" si="238"/>
        <v>0</v>
      </c>
      <c r="Y1154" s="845">
        <f t="shared" si="238"/>
        <v>0</v>
      </c>
      <c r="Z1154" s="379">
        <f t="shared" si="238"/>
        <v>14</v>
      </c>
      <c r="AA1154" s="379">
        <f t="shared" si="238"/>
        <v>0</v>
      </c>
      <c r="AB1154" s="379">
        <f t="shared" si="238"/>
        <v>0</v>
      </c>
      <c r="AC1154" s="379">
        <f t="shared" si="238"/>
        <v>15</v>
      </c>
      <c r="AD1154" s="379">
        <f t="shared" si="238"/>
        <v>0</v>
      </c>
      <c r="AE1154" s="379">
        <f t="shared" si="238"/>
        <v>0</v>
      </c>
      <c r="AF1154" s="379">
        <f t="shared" si="238"/>
        <v>0</v>
      </c>
      <c r="AG1154" s="379">
        <f t="shared" si="238"/>
        <v>0</v>
      </c>
      <c r="AH1154" s="379">
        <f>SUM(AH1155:AH1157)</f>
        <v>0</v>
      </c>
      <c r="AI1154" s="152"/>
      <c r="AJ1154" s="152"/>
      <c r="AK1154" s="152"/>
      <c r="AL1154" s="152"/>
      <c r="AM1154" s="152"/>
      <c r="AN1154" s="82" t="s">
        <v>39</v>
      </c>
      <c r="AO1154" s="82"/>
      <c r="AP1154" s="82"/>
      <c r="AQ1154" s="365"/>
      <c r="AR1154" s="82"/>
      <c r="AS1154" s="483"/>
      <c r="AT1154" s="82"/>
      <c r="AU1154" s="666"/>
      <c r="AV1154" s="444"/>
    </row>
    <row r="1155" spans="1:48" ht="15" customHeight="1" outlineLevel="3" x14ac:dyDescent="0.25">
      <c r="A1155" s="63" t="str">
        <f t="shared" si="225"/>
        <v>3.13.0.8.1.58-64</v>
      </c>
      <c r="B1155" s="64">
        <v>3</v>
      </c>
      <c r="C1155" s="64">
        <v>13</v>
      </c>
      <c r="D1155" s="64">
        <v>0</v>
      </c>
      <c r="E1155" s="64">
        <v>8</v>
      </c>
      <c r="F1155" s="64">
        <v>1</v>
      </c>
      <c r="G1155" s="64" t="s">
        <v>64</v>
      </c>
      <c r="H1155" s="65"/>
      <c r="I1155" s="65"/>
      <c r="J1155" s="66"/>
      <c r="K1155" s="65" t="s">
        <v>1402</v>
      </c>
      <c r="L1155" s="64" t="s">
        <v>208</v>
      </c>
      <c r="M1155" s="64" t="s">
        <v>1195</v>
      </c>
      <c r="N1155" s="64" t="s">
        <v>198</v>
      </c>
      <c r="O1155" s="64" t="s">
        <v>359</v>
      </c>
      <c r="P1155" s="69">
        <v>44197</v>
      </c>
      <c r="Q1155" s="69">
        <v>44561</v>
      </c>
      <c r="R1155" s="64">
        <f>T1155+W1155+Z1155+AC1155</f>
        <v>52</v>
      </c>
      <c r="S1155" s="65" t="s">
        <v>760</v>
      </c>
      <c r="T1155" s="64">
        <v>13</v>
      </c>
      <c r="U1155" s="75">
        <v>0</v>
      </c>
      <c r="V1155" s="674">
        <v>0</v>
      </c>
      <c r="W1155" s="75">
        <v>13</v>
      </c>
      <c r="X1155" s="75"/>
      <c r="Y1155" s="834">
        <f>+AJ1155-V1155</f>
        <v>0</v>
      </c>
      <c r="Z1155" s="75">
        <v>13</v>
      </c>
      <c r="AA1155" s="75"/>
      <c r="AB1155" s="75"/>
      <c r="AC1155" s="97">
        <v>13</v>
      </c>
      <c r="AD1155" s="97"/>
      <c r="AE1155" s="591"/>
      <c r="AF1155" s="259" t="s">
        <v>765</v>
      </c>
      <c r="AG1155" s="510">
        <v>0</v>
      </c>
      <c r="AH1155" s="370">
        <v>0</v>
      </c>
      <c r="AI1155" s="75"/>
      <c r="AJ1155" s="75"/>
      <c r="AK1155" s="75"/>
      <c r="AL1155" s="75"/>
      <c r="AM1155" s="75"/>
      <c r="AN1155" s="64" t="s">
        <v>39</v>
      </c>
      <c r="AO1155" s="64"/>
      <c r="AP1155" s="64"/>
      <c r="AQ1155" s="189"/>
      <c r="AR1155" s="64"/>
      <c r="AS1155" s="476"/>
      <c r="AT1155" s="64"/>
      <c r="AU1155" s="646"/>
      <c r="AV1155" s="185" t="s">
        <v>1029</v>
      </c>
    </row>
    <row r="1156" spans="1:48" ht="15" customHeight="1" outlineLevel="3" x14ac:dyDescent="0.25">
      <c r="A1156" s="63" t="str">
        <f>CONCATENATE(B1156,".",C1156,".",D1156,".",E1156,".",F1156,".",G1156)</f>
        <v>3.13.0.8.2.58-64</v>
      </c>
      <c r="B1156" s="64">
        <v>3</v>
      </c>
      <c r="C1156" s="64">
        <v>13</v>
      </c>
      <c r="D1156" s="64">
        <v>0</v>
      </c>
      <c r="E1156" s="64">
        <v>8</v>
      </c>
      <c r="F1156" s="64">
        <v>2</v>
      </c>
      <c r="G1156" s="64" t="s">
        <v>64</v>
      </c>
      <c r="H1156" s="65"/>
      <c r="I1156" s="65"/>
      <c r="J1156" s="66"/>
      <c r="K1156" s="65" t="s">
        <v>1403</v>
      </c>
      <c r="L1156" s="64" t="s">
        <v>208</v>
      </c>
      <c r="M1156" s="64" t="s">
        <v>1195</v>
      </c>
      <c r="N1156" s="64" t="s">
        <v>198</v>
      </c>
      <c r="O1156" s="64" t="s">
        <v>359</v>
      </c>
      <c r="P1156" s="69">
        <v>44197</v>
      </c>
      <c r="Q1156" s="69">
        <v>44561</v>
      </c>
      <c r="R1156" s="64">
        <f>T1156+W1156+Z1156+AC1156</f>
        <v>4</v>
      </c>
      <c r="S1156" s="65" t="s">
        <v>760</v>
      </c>
      <c r="T1156" s="64">
        <v>1</v>
      </c>
      <c r="U1156" s="75">
        <v>0</v>
      </c>
      <c r="V1156" s="674">
        <v>0</v>
      </c>
      <c r="W1156" s="75">
        <v>1</v>
      </c>
      <c r="X1156" s="75"/>
      <c r="Y1156" s="834">
        <f>+AJ1156-V1156</f>
        <v>0</v>
      </c>
      <c r="Z1156" s="75">
        <v>1</v>
      </c>
      <c r="AA1156" s="75"/>
      <c r="AB1156" s="75"/>
      <c r="AC1156" s="97">
        <v>1</v>
      </c>
      <c r="AD1156" s="97"/>
      <c r="AE1156" s="591"/>
      <c r="AF1156" s="259" t="s">
        <v>765</v>
      </c>
      <c r="AG1156" s="510">
        <v>0</v>
      </c>
      <c r="AH1156" s="370">
        <v>0</v>
      </c>
      <c r="AI1156" s="75"/>
      <c r="AJ1156" s="75"/>
      <c r="AK1156" s="75"/>
      <c r="AL1156" s="75"/>
      <c r="AM1156" s="75"/>
      <c r="AN1156" s="64" t="s">
        <v>39</v>
      </c>
      <c r="AO1156" s="64"/>
      <c r="AP1156" s="64"/>
      <c r="AQ1156" s="189"/>
      <c r="AR1156" s="64"/>
      <c r="AS1156" s="476"/>
      <c r="AT1156" s="64"/>
      <c r="AU1156" s="646"/>
      <c r="AV1156" s="185" t="s">
        <v>1029</v>
      </c>
    </row>
    <row r="1157" spans="1:48" ht="15" customHeight="1" outlineLevel="3" x14ac:dyDescent="0.25">
      <c r="A1157" s="63" t="str">
        <f t="shared" si="225"/>
        <v>3.13.0.8.3.58-64</v>
      </c>
      <c r="B1157" s="64">
        <v>3</v>
      </c>
      <c r="C1157" s="64">
        <v>13</v>
      </c>
      <c r="D1157" s="64">
        <v>0</v>
      </c>
      <c r="E1157" s="64">
        <v>8</v>
      </c>
      <c r="F1157" s="64">
        <v>3</v>
      </c>
      <c r="G1157" s="64" t="s">
        <v>64</v>
      </c>
      <c r="H1157" s="65"/>
      <c r="I1157" s="65"/>
      <c r="J1157" s="66"/>
      <c r="K1157" s="65" t="s">
        <v>1404</v>
      </c>
      <c r="L1157" s="64" t="s">
        <v>208</v>
      </c>
      <c r="M1157" s="64" t="s">
        <v>1195</v>
      </c>
      <c r="N1157" s="64" t="s">
        <v>198</v>
      </c>
      <c r="O1157" s="64" t="s">
        <v>359</v>
      </c>
      <c r="P1157" s="69">
        <v>44197</v>
      </c>
      <c r="Q1157" s="69">
        <v>44561</v>
      </c>
      <c r="R1157" s="64">
        <f>T1157+W1157+Z1157+AC1157</f>
        <v>1</v>
      </c>
      <c r="S1157" s="65" t="s">
        <v>760</v>
      </c>
      <c r="T1157" s="64">
        <v>0</v>
      </c>
      <c r="U1157" s="75">
        <v>0</v>
      </c>
      <c r="V1157" s="674">
        <v>0</v>
      </c>
      <c r="W1157" s="75">
        <v>0</v>
      </c>
      <c r="X1157" s="75"/>
      <c r="Y1157" s="834">
        <f>+AJ1157-V1157</f>
        <v>0</v>
      </c>
      <c r="Z1157" s="75">
        <v>0</v>
      </c>
      <c r="AA1157" s="75"/>
      <c r="AB1157" s="75"/>
      <c r="AC1157" s="97">
        <v>1</v>
      </c>
      <c r="AD1157" s="97"/>
      <c r="AE1157" s="591"/>
      <c r="AF1157" s="259" t="s">
        <v>765</v>
      </c>
      <c r="AG1157" s="510">
        <v>0</v>
      </c>
      <c r="AH1157" s="370">
        <v>0</v>
      </c>
      <c r="AI1157" s="75"/>
      <c r="AJ1157" s="75"/>
      <c r="AK1157" s="75"/>
      <c r="AL1157" s="75"/>
      <c r="AM1157" s="75"/>
      <c r="AN1157" s="64" t="s">
        <v>39</v>
      </c>
      <c r="AO1157" s="64"/>
      <c r="AP1157" s="64"/>
      <c r="AQ1157" s="189"/>
      <c r="AR1157" s="64"/>
      <c r="AS1157" s="476"/>
      <c r="AT1157" s="64"/>
      <c r="AU1157" s="646"/>
      <c r="AV1157" s="185" t="s">
        <v>1029</v>
      </c>
    </row>
    <row r="1158" spans="1:48" s="153" customFormat="1" ht="15" customHeight="1" outlineLevel="1" x14ac:dyDescent="0.25">
      <c r="A1158" s="148" t="str">
        <f t="shared" si="225"/>
        <v>3.13.0.9.0.0</v>
      </c>
      <c r="B1158" s="82">
        <v>3</v>
      </c>
      <c r="C1158" s="82">
        <v>13</v>
      </c>
      <c r="D1158" s="82">
        <v>0</v>
      </c>
      <c r="E1158" s="82">
        <v>9</v>
      </c>
      <c r="F1158" s="82">
        <v>0</v>
      </c>
      <c r="G1158" s="82">
        <v>0</v>
      </c>
      <c r="H1158" s="149"/>
      <c r="I1158" s="149"/>
      <c r="J1158" s="1260" t="s">
        <v>1405</v>
      </c>
      <c r="K1158" s="1259"/>
      <c r="L1158" s="82" t="s">
        <v>208</v>
      </c>
      <c r="M1158" s="82"/>
      <c r="N1158" s="82"/>
      <c r="O1158" s="82"/>
      <c r="P1158" s="82"/>
      <c r="Q1158" s="82"/>
      <c r="R1158" s="82"/>
      <c r="S1158" s="149"/>
      <c r="T1158" s="82"/>
      <c r="U1158" s="379">
        <f t="shared" ref="U1158:AG1158" si="239">SUM(U1159:U1160)</f>
        <v>0</v>
      </c>
      <c r="V1158" s="682">
        <f t="shared" si="239"/>
        <v>0</v>
      </c>
      <c r="W1158" s="379">
        <f t="shared" si="239"/>
        <v>6</v>
      </c>
      <c r="X1158" s="379">
        <f t="shared" si="239"/>
        <v>0</v>
      </c>
      <c r="Y1158" s="845">
        <f t="shared" si="239"/>
        <v>0</v>
      </c>
      <c r="Z1158" s="379">
        <f t="shared" si="239"/>
        <v>6</v>
      </c>
      <c r="AA1158" s="379">
        <f t="shared" si="239"/>
        <v>0</v>
      </c>
      <c r="AB1158" s="379">
        <f t="shared" si="239"/>
        <v>0</v>
      </c>
      <c r="AC1158" s="379">
        <f t="shared" si="239"/>
        <v>6</v>
      </c>
      <c r="AD1158" s="379">
        <f t="shared" si="239"/>
        <v>0</v>
      </c>
      <c r="AE1158" s="379">
        <f t="shared" si="239"/>
        <v>0</v>
      </c>
      <c r="AF1158" s="379">
        <f t="shared" si="239"/>
        <v>0</v>
      </c>
      <c r="AG1158" s="379">
        <f t="shared" si="239"/>
        <v>0</v>
      </c>
      <c r="AH1158" s="379">
        <f>SUM(AH1159:AH1160)</f>
        <v>0</v>
      </c>
      <c r="AI1158" s="152"/>
      <c r="AJ1158" s="152"/>
      <c r="AK1158" s="152"/>
      <c r="AL1158" s="152"/>
      <c r="AM1158" s="152"/>
      <c r="AN1158" s="82" t="s">
        <v>39</v>
      </c>
      <c r="AO1158" s="82"/>
      <c r="AP1158" s="82"/>
      <c r="AQ1158" s="365"/>
      <c r="AR1158" s="82"/>
      <c r="AS1158" s="483"/>
      <c r="AT1158" s="82"/>
      <c r="AU1158" s="666"/>
      <c r="AV1158" s="444"/>
    </row>
    <row r="1159" spans="1:48" ht="15" customHeight="1" outlineLevel="2" x14ac:dyDescent="0.25">
      <c r="A1159" s="63" t="str">
        <f t="shared" si="225"/>
        <v>3.13.0.9.1.58-64</v>
      </c>
      <c r="B1159" s="64">
        <v>3</v>
      </c>
      <c r="C1159" s="64">
        <v>13</v>
      </c>
      <c r="D1159" s="64">
        <v>0</v>
      </c>
      <c r="E1159" s="64">
        <v>9</v>
      </c>
      <c r="F1159" s="64">
        <v>1</v>
      </c>
      <c r="G1159" s="64" t="s">
        <v>64</v>
      </c>
      <c r="H1159" s="65"/>
      <c r="I1159" s="65"/>
      <c r="J1159" s="66"/>
      <c r="K1159" s="65" t="s">
        <v>1406</v>
      </c>
      <c r="L1159" s="64" t="s">
        <v>208</v>
      </c>
      <c r="M1159" s="64" t="s">
        <v>1195</v>
      </c>
      <c r="N1159" s="64" t="s">
        <v>1407</v>
      </c>
      <c r="O1159" s="64" t="s">
        <v>359</v>
      </c>
      <c r="P1159" s="69">
        <v>44221</v>
      </c>
      <c r="Q1159" s="69">
        <v>44555</v>
      </c>
      <c r="R1159" s="64">
        <f>T1159+W1159+Z1159+AC1159</f>
        <v>12</v>
      </c>
      <c r="S1159" s="65" t="s">
        <v>760</v>
      </c>
      <c r="T1159" s="64">
        <v>3</v>
      </c>
      <c r="U1159" s="75">
        <v>0</v>
      </c>
      <c r="V1159" s="674">
        <v>0</v>
      </c>
      <c r="W1159" s="75">
        <v>3</v>
      </c>
      <c r="X1159" s="75"/>
      <c r="Y1159" s="834">
        <f>+AJ1159-V1159</f>
        <v>0</v>
      </c>
      <c r="Z1159" s="75">
        <v>3</v>
      </c>
      <c r="AA1159" s="75"/>
      <c r="AB1159" s="75"/>
      <c r="AC1159" s="97">
        <v>3</v>
      </c>
      <c r="AD1159" s="97"/>
      <c r="AE1159" s="591"/>
      <c r="AF1159" s="259" t="s">
        <v>765</v>
      </c>
      <c r="AG1159" s="510">
        <v>0</v>
      </c>
      <c r="AH1159" s="370">
        <v>0</v>
      </c>
      <c r="AI1159" s="75"/>
      <c r="AJ1159" s="75"/>
      <c r="AK1159" s="75"/>
      <c r="AL1159" s="75"/>
      <c r="AM1159" s="75"/>
      <c r="AN1159" s="64" t="s">
        <v>39</v>
      </c>
      <c r="AO1159" s="64"/>
      <c r="AP1159" s="64"/>
      <c r="AQ1159" s="189"/>
      <c r="AR1159" s="64"/>
      <c r="AS1159" s="476"/>
      <c r="AT1159" s="64"/>
      <c r="AU1159" s="646"/>
      <c r="AV1159" s="185"/>
    </row>
    <row r="1160" spans="1:48" ht="15" customHeight="1" outlineLevel="2" x14ac:dyDescent="0.25">
      <c r="A1160" s="63" t="str">
        <f t="shared" si="225"/>
        <v>3.13.0.9.2.58-64</v>
      </c>
      <c r="B1160" s="64">
        <v>3</v>
      </c>
      <c r="C1160" s="64">
        <v>13</v>
      </c>
      <c r="D1160" s="64">
        <v>0</v>
      </c>
      <c r="E1160" s="64">
        <v>9</v>
      </c>
      <c r="F1160" s="64">
        <v>2</v>
      </c>
      <c r="G1160" s="64" t="s">
        <v>64</v>
      </c>
      <c r="H1160" s="65"/>
      <c r="I1160" s="65"/>
      <c r="J1160" s="66"/>
      <c r="K1160" s="65" t="s">
        <v>1408</v>
      </c>
      <c r="L1160" s="64" t="s">
        <v>208</v>
      </c>
      <c r="M1160" s="64" t="s">
        <v>1195</v>
      </c>
      <c r="N1160" s="64" t="s">
        <v>1407</v>
      </c>
      <c r="O1160" s="64" t="s">
        <v>359</v>
      </c>
      <c r="P1160" s="69">
        <v>44222</v>
      </c>
      <c r="Q1160" s="69">
        <v>44556</v>
      </c>
      <c r="R1160" s="64">
        <f>T1160+W1160+Z1160+AC1160</f>
        <v>12</v>
      </c>
      <c r="S1160" s="65" t="s">
        <v>760</v>
      </c>
      <c r="T1160" s="64">
        <v>3</v>
      </c>
      <c r="U1160" s="75">
        <v>0</v>
      </c>
      <c r="V1160" s="674">
        <v>0</v>
      </c>
      <c r="W1160" s="75">
        <v>3</v>
      </c>
      <c r="X1160" s="75"/>
      <c r="Y1160" s="834">
        <f>+AJ1160-V1160</f>
        <v>0</v>
      </c>
      <c r="Z1160" s="75">
        <v>3</v>
      </c>
      <c r="AA1160" s="75"/>
      <c r="AB1160" s="75"/>
      <c r="AC1160" s="97">
        <v>3</v>
      </c>
      <c r="AD1160" s="97"/>
      <c r="AE1160" s="591"/>
      <c r="AF1160" s="259" t="s">
        <v>765</v>
      </c>
      <c r="AG1160" s="510">
        <v>0</v>
      </c>
      <c r="AH1160" s="370">
        <v>0</v>
      </c>
      <c r="AI1160" s="75"/>
      <c r="AJ1160" s="75"/>
      <c r="AK1160" s="75"/>
      <c r="AL1160" s="75"/>
      <c r="AM1160" s="75"/>
      <c r="AN1160" s="64" t="s">
        <v>39</v>
      </c>
      <c r="AO1160" s="64"/>
      <c r="AP1160" s="64"/>
      <c r="AQ1160" s="189"/>
      <c r="AR1160" s="64"/>
      <c r="AS1160" s="476"/>
      <c r="AT1160" s="64"/>
      <c r="AU1160" s="646"/>
      <c r="AV1160" s="185"/>
    </row>
    <row r="1161" spans="1:48" s="153" customFormat="1" ht="36" customHeight="1" outlineLevel="1" x14ac:dyDescent="0.25">
      <c r="A1161" s="108" t="str">
        <f t="shared" si="225"/>
        <v>3.14.0.0.0.0</v>
      </c>
      <c r="B1161" s="109">
        <v>3</v>
      </c>
      <c r="C1161" s="109">
        <v>14</v>
      </c>
      <c r="D1161" s="109">
        <v>0</v>
      </c>
      <c r="E1161" s="109">
        <v>0</v>
      </c>
      <c r="F1161" s="109">
        <v>0</v>
      </c>
      <c r="G1161" s="109">
        <v>0</v>
      </c>
      <c r="H1161" s="110"/>
      <c r="I1161" s="1258" t="s">
        <v>1409</v>
      </c>
      <c r="J1161" s="1259"/>
      <c r="K1161" s="1259"/>
      <c r="L1161" s="109" t="s">
        <v>1410</v>
      </c>
      <c r="M1161" s="109">
        <v>0</v>
      </c>
      <c r="N1161" s="109">
        <v>0</v>
      </c>
      <c r="O1161" s="109">
        <v>0</v>
      </c>
      <c r="P1161" s="109"/>
      <c r="Q1161" s="109"/>
      <c r="R1161" s="109"/>
      <c r="S1161" s="110"/>
      <c r="T1161" s="109"/>
      <c r="U1161" s="374">
        <f t="shared" ref="U1161:AG1161" si="240">+SUM(U1167+U1165+U1162+U1172)</f>
        <v>375000</v>
      </c>
      <c r="V1161" s="686">
        <f t="shared" si="240"/>
        <v>0</v>
      </c>
      <c r="W1161" s="374">
        <f t="shared" si="240"/>
        <v>1</v>
      </c>
      <c r="X1161" s="374">
        <f t="shared" si="240"/>
        <v>375000</v>
      </c>
      <c r="Y1161" s="837">
        <f t="shared" si="240"/>
        <v>130125.2</v>
      </c>
      <c r="Z1161" s="374">
        <f t="shared" si="240"/>
        <v>0</v>
      </c>
      <c r="AA1161" s="374">
        <f t="shared" si="240"/>
        <v>375000</v>
      </c>
      <c r="AB1161" s="374">
        <f t="shared" si="240"/>
        <v>0</v>
      </c>
      <c r="AC1161" s="374">
        <f t="shared" si="240"/>
        <v>0</v>
      </c>
      <c r="AD1161" s="374">
        <f t="shared" si="240"/>
        <v>375000</v>
      </c>
      <c r="AE1161" s="374">
        <f t="shared" si="240"/>
        <v>0</v>
      </c>
      <c r="AF1161" s="374">
        <f t="shared" si="240"/>
        <v>0</v>
      </c>
      <c r="AG1161" s="374">
        <f t="shared" si="240"/>
        <v>3000000</v>
      </c>
      <c r="AH1161" s="374">
        <f>+SUM(AH1167+AH1165+AH1162+AH1172)</f>
        <v>1500000</v>
      </c>
      <c r="AI1161" s="514">
        <f>+SUM(AI1167+AI1165+AI1162+AI1172)</f>
        <v>0</v>
      </c>
      <c r="AJ1161" s="514">
        <f>+SUM(AJ1167+AJ1165+AJ1162+AJ1172)</f>
        <v>130125.2</v>
      </c>
      <c r="AK1161" s="112"/>
      <c r="AL1161" s="112"/>
      <c r="AM1161" s="112"/>
      <c r="AN1161" s="109" t="s">
        <v>181</v>
      </c>
      <c r="AO1161" s="109"/>
      <c r="AP1161" s="109"/>
      <c r="AQ1161" s="411"/>
      <c r="AR1161" s="109"/>
      <c r="AS1161" s="473"/>
      <c r="AT1161" s="109"/>
      <c r="AU1161" s="659"/>
      <c r="AV1161" s="429" t="s">
        <v>1411</v>
      </c>
    </row>
    <row r="1162" spans="1:48" s="153" customFormat="1" ht="25.5" customHeight="1" outlineLevel="1" x14ac:dyDescent="0.25">
      <c r="A1162" s="148" t="str">
        <f t="shared" si="225"/>
        <v>3.14.0.1.0.0</v>
      </c>
      <c r="B1162" s="82">
        <v>3</v>
      </c>
      <c r="C1162" s="82">
        <v>14</v>
      </c>
      <c r="D1162" s="82">
        <v>0</v>
      </c>
      <c r="E1162" s="82">
        <v>1</v>
      </c>
      <c r="F1162" s="82">
        <v>0</v>
      </c>
      <c r="G1162" s="82">
        <v>0</v>
      </c>
      <c r="H1162" s="149"/>
      <c r="I1162" s="149"/>
      <c r="J1162" s="1260" t="s">
        <v>1412</v>
      </c>
      <c r="K1162" s="1259"/>
      <c r="L1162" s="82" t="s">
        <v>1410</v>
      </c>
      <c r="M1162" s="82" t="s">
        <v>1413</v>
      </c>
      <c r="N1162" s="82" t="s">
        <v>1414</v>
      </c>
      <c r="O1162" s="84" t="s">
        <v>1415</v>
      </c>
      <c r="P1162" s="84"/>
      <c r="Q1162" s="84"/>
      <c r="R1162" s="82" t="s">
        <v>887</v>
      </c>
      <c r="S1162" s="149" t="s">
        <v>1416</v>
      </c>
      <c r="T1162" s="82" t="s">
        <v>887</v>
      </c>
      <c r="U1162" s="379">
        <f>+SUM(U1163:U1164)</f>
        <v>0</v>
      </c>
      <c r="V1162" s="682">
        <f>+SUM(V1163:V1164)</f>
        <v>0</v>
      </c>
      <c r="W1162" s="379">
        <f t="shared" ref="W1162:AG1162" si="241">+SUM(W1163:W1164)</f>
        <v>0</v>
      </c>
      <c r="X1162" s="379">
        <f t="shared" si="241"/>
        <v>0</v>
      </c>
      <c r="Y1162" s="845">
        <f t="shared" si="241"/>
        <v>0</v>
      </c>
      <c r="Z1162" s="379">
        <f t="shared" si="241"/>
        <v>0</v>
      </c>
      <c r="AA1162" s="379">
        <f t="shared" si="241"/>
        <v>0</v>
      </c>
      <c r="AB1162" s="379">
        <f t="shared" si="241"/>
        <v>0</v>
      </c>
      <c r="AC1162" s="379">
        <f t="shared" si="241"/>
        <v>0</v>
      </c>
      <c r="AD1162" s="379">
        <f t="shared" si="241"/>
        <v>0</v>
      </c>
      <c r="AE1162" s="379">
        <f t="shared" si="241"/>
        <v>0</v>
      </c>
      <c r="AF1162" s="379">
        <f t="shared" si="241"/>
        <v>0</v>
      </c>
      <c r="AG1162" s="379">
        <f t="shared" si="241"/>
        <v>0</v>
      </c>
      <c r="AH1162" s="379">
        <f>+SUM(AH1163:AH1164)</f>
        <v>0</v>
      </c>
      <c r="AI1162" s="512">
        <f>+SUM(AI1163:AI1164)</f>
        <v>0</v>
      </c>
      <c r="AJ1162" s="512">
        <f>+SUM(AJ1163:AJ1164)</f>
        <v>0</v>
      </c>
      <c r="AK1162" s="152"/>
      <c r="AL1162" s="152"/>
      <c r="AM1162" s="152"/>
      <c r="AN1162" s="82" t="s">
        <v>181</v>
      </c>
      <c r="AO1162" s="82"/>
      <c r="AP1162" s="82"/>
      <c r="AQ1162" s="365"/>
      <c r="AR1162" s="82"/>
      <c r="AS1162" s="483"/>
      <c r="AT1162" s="82"/>
      <c r="AU1162" s="666"/>
      <c r="AV1162" s="444"/>
    </row>
    <row r="1163" spans="1:48" ht="39" customHeight="1" outlineLevel="3" x14ac:dyDescent="0.25">
      <c r="A1163" s="63" t="str">
        <f t="shared" si="225"/>
        <v>3.14.0.1.1.0</v>
      </c>
      <c r="B1163" s="64">
        <v>3</v>
      </c>
      <c r="C1163" s="64">
        <v>14</v>
      </c>
      <c r="D1163" s="64">
        <v>0</v>
      </c>
      <c r="E1163" s="64">
        <v>1</v>
      </c>
      <c r="F1163" s="64">
        <v>1</v>
      </c>
      <c r="G1163" s="64">
        <v>0</v>
      </c>
      <c r="H1163" s="65"/>
      <c r="I1163" s="65"/>
      <c r="J1163" s="66"/>
      <c r="K1163" s="67" t="s">
        <v>1417</v>
      </c>
      <c r="L1163" s="64" t="s">
        <v>1410</v>
      </c>
      <c r="M1163" s="64" t="s">
        <v>1418</v>
      </c>
      <c r="N1163" s="64" t="s">
        <v>1414</v>
      </c>
      <c r="O1163" s="64" t="s">
        <v>44</v>
      </c>
      <c r="P1163" s="69">
        <v>44197</v>
      </c>
      <c r="Q1163" s="69">
        <v>44531</v>
      </c>
      <c r="R1163" s="64" t="s">
        <v>887</v>
      </c>
      <c r="S1163" s="65" t="s">
        <v>1419</v>
      </c>
      <c r="T1163" s="64" t="s">
        <v>887</v>
      </c>
      <c r="U1163" s="75">
        <v>0</v>
      </c>
      <c r="V1163" s="674">
        <v>0</v>
      </c>
      <c r="W1163" s="75"/>
      <c r="X1163" s="75"/>
      <c r="Y1163" s="834">
        <f>+AJ1163-V1163</f>
        <v>0</v>
      </c>
      <c r="Z1163" s="75"/>
      <c r="AA1163" s="75"/>
      <c r="AB1163" s="75"/>
      <c r="AC1163" s="97"/>
      <c r="AD1163" s="97"/>
      <c r="AE1163" s="591"/>
      <c r="AF1163" s="259"/>
      <c r="AG1163" s="510">
        <v>0</v>
      </c>
      <c r="AH1163" s="370">
        <v>0</v>
      </c>
      <c r="AI1163" s="75"/>
      <c r="AJ1163" s="75">
        <v>0</v>
      </c>
      <c r="AK1163" s="75"/>
      <c r="AL1163" s="75"/>
      <c r="AM1163" s="75"/>
      <c r="AN1163" s="64" t="s">
        <v>181</v>
      </c>
      <c r="AO1163" s="64"/>
      <c r="AP1163" s="64"/>
      <c r="AQ1163" s="189"/>
      <c r="AR1163" s="64"/>
      <c r="AS1163" s="476"/>
      <c r="AT1163" s="64"/>
      <c r="AU1163" s="646"/>
      <c r="AV1163" s="185"/>
    </row>
    <row r="1164" spans="1:48" outlineLevel="3" x14ac:dyDescent="0.25">
      <c r="A1164" s="63" t="str">
        <f t="shared" si="225"/>
        <v>3.14.0.1.2.0</v>
      </c>
      <c r="B1164" s="64">
        <v>3</v>
      </c>
      <c r="C1164" s="64">
        <v>14</v>
      </c>
      <c r="D1164" s="64">
        <v>0</v>
      </c>
      <c r="E1164" s="64">
        <v>1</v>
      </c>
      <c r="F1164" s="64">
        <v>2</v>
      </c>
      <c r="G1164" s="64">
        <v>0</v>
      </c>
      <c r="H1164" s="65"/>
      <c r="I1164" s="65"/>
      <c r="J1164" s="66"/>
      <c r="K1164" s="65" t="s">
        <v>1420</v>
      </c>
      <c r="L1164" s="64" t="s">
        <v>1410</v>
      </c>
      <c r="M1164" s="64" t="s">
        <v>1421</v>
      </c>
      <c r="N1164" s="64"/>
      <c r="O1164" s="64"/>
      <c r="P1164" s="69"/>
      <c r="Q1164" s="69"/>
      <c r="R1164" s="64"/>
      <c r="S1164" s="65"/>
      <c r="T1164" s="64"/>
      <c r="U1164" s="75">
        <v>0</v>
      </c>
      <c r="V1164" s="674">
        <v>0</v>
      </c>
      <c r="W1164" s="75"/>
      <c r="X1164" s="75"/>
      <c r="Y1164" s="834">
        <f>+AJ1164-V1164</f>
        <v>0</v>
      </c>
      <c r="Z1164" s="75"/>
      <c r="AA1164" s="75"/>
      <c r="AB1164" s="75"/>
      <c r="AC1164" s="97"/>
      <c r="AD1164" s="97"/>
      <c r="AE1164" s="591"/>
      <c r="AF1164" s="259"/>
      <c r="AG1164" s="510">
        <v>0</v>
      </c>
      <c r="AH1164" s="370">
        <v>0</v>
      </c>
      <c r="AI1164" s="75"/>
      <c r="AJ1164" s="75">
        <v>0</v>
      </c>
      <c r="AK1164" s="75"/>
      <c r="AL1164" s="75"/>
      <c r="AM1164" s="75"/>
      <c r="AN1164" s="64" t="s">
        <v>181</v>
      </c>
      <c r="AO1164" s="64"/>
      <c r="AP1164" s="64"/>
      <c r="AQ1164" s="189"/>
      <c r="AR1164" s="64"/>
      <c r="AS1164" s="476"/>
      <c r="AT1164" s="64"/>
      <c r="AU1164" s="646"/>
      <c r="AV1164" s="185"/>
    </row>
    <row r="1165" spans="1:48" s="153" customFormat="1" ht="27" customHeight="1" outlineLevel="1" x14ac:dyDescent="0.25">
      <c r="A1165" s="148" t="str">
        <f t="shared" si="225"/>
        <v>3.14.0.2.0.0</v>
      </c>
      <c r="B1165" s="82">
        <v>3</v>
      </c>
      <c r="C1165" s="82">
        <v>14</v>
      </c>
      <c r="D1165" s="82">
        <v>0</v>
      </c>
      <c r="E1165" s="82">
        <v>2</v>
      </c>
      <c r="F1165" s="82">
        <v>0</v>
      </c>
      <c r="G1165" s="82">
        <v>0</v>
      </c>
      <c r="H1165" s="149"/>
      <c r="I1165" s="149"/>
      <c r="J1165" s="1260" t="s">
        <v>1422</v>
      </c>
      <c r="K1165" s="1259"/>
      <c r="L1165" s="82" t="s">
        <v>1410</v>
      </c>
      <c r="M1165" s="82" t="s">
        <v>1413</v>
      </c>
      <c r="N1165" s="82" t="s">
        <v>1414</v>
      </c>
      <c r="O1165" s="84" t="s">
        <v>1415</v>
      </c>
      <c r="P1165" s="84">
        <v>44562</v>
      </c>
      <c r="Q1165" s="84">
        <v>44926</v>
      </c>
      <c r="R1165" s="82" t="s">
        <v>887</v>
      </c>
      <c r="S1165" s="82" t="s">
        <v>1416</v>
      </c>
      <c r="T1165" s="82" t="s">
        <v>887</v>
      </c>
      <c r="U1165" s="379">
        <f t="shared" ref="U1165:AG1165" si="242">+SUM(U1166)</f>
        <v>375000</v>
      </c>
      <c r="V1165" s="682">
        <f t="shared" si="242"/>
        <v>0</v>
      </c>
      <c r="W1165" s="379">
        <f t="shared" si="242"/>
        <v>0</v>
      </c>
      <c r="X1165" s="379">
        <f t="shared" si="242"/>
        <v>375000</v>
      </c>
      <c r="Y1165" s="845">
        <f t="shared" si="242"/>
        <v>130125.2</v>
      </c>
      <c r="Z1165" s="379">
        <f t="shared" si="242"/>
        <v>0</v>
      </c>
      <c r="AA1165" s="379">
        <f t="shared" si="242"/>
        <v>375000</v>
      </c>
      <c r="AB1165" s="379">
        <f t="shared" si="242"/>
        <v>0</v>
      </c>
      <c r="AC1165" s="379">
        <f t="shared" si="242"/>
        <v>0</v>
      </c>
      <c r="AD1165" s="379">
        <f t="shared" si="242"/>
        <v>375000</v>
      </c>
      <c r="AE1165" s="379">
        <f t="shared" si="242"/>
        <v>0</v>
      </c>
      <c r="AF1165" s="379">
        <f t="shared" si="242"/>
        <v>0</v>
      </c>
      <c r="AG1165" s="379">
        <f t="shared" si="242"/>
        <v>2500000</v>
      </c>
      <c r="AH1165" s="379">
        <f>+SUM(AH1166)</f>
        <v>1500000</v>
      </c>
      <c r="AI1165" s="512">
        <f>+SUM(AI1166)</f>
        <v>0</v>
      </c>
      <c r="AJ1165" s="512">
        <f>+SUM(AJ1166)</f>
        <v>130125.2</v>
      </c>
      <c r="AK1165" s="152"/>
      <c r="AL1165" s="152"/>
      <c r="AM1165" s="152"/>
      <c r="AN1165" s="82" t="s">
        <v>181</v>
      </c>
      <c r="AO1165" s="82"/>
      <c r="AP1165" s="82"/>
      <c r="AQ1165" s="365"/>
      <c r="AR1165" s="82"/>
      <c r="AS1165" s="483"/>
      <c r="AT1165" s="82"/>
      <c r="AU1165" s="666"/>
      <c r="AV1165" s="444"/>
    </row>
    <row r="1166" spans="1:48" s="272" customFormat="1" ht="56.25" customHeight="1" outlineLevel="2" x14ac:dyDescent="0.25">
      <c r="A1166" s="64" t="str">
        <f t="shared" si="225"/>
        <v>3.14.0.2.1.0</v>
      </c>
      <c r="B1166" s="64">
        <v>3</v>
      </c>
      <c r="C1166" s="64">
        <v>14</v>
      </c>
      <c r="D1166" s="64">
        <v>0</v>
      </c>
      <c r="E1166" s="64">
        <v>2</v>
      </c>
      <c r="F1166" s="64">
        <v>1</v>
      </c>
      <c r="G1166" s="100">
        <v>0</v>
      </c>
      <c r="H1166" s="64"/>
      <c r="I1166" s="64"/>
      <c r="J1166" s="270"/>
      <c r="K1166" s="65" t="s">
        <v>1423</v>
      </c>
      <c r="L1166" s="64" t="s">
        <v>1410</v>
      </c>
      <c r="M1166" s="64" t="s">
        <v>76</v>
      </c>
      <c r="N1166" s="64" t="s">
        <v>1297</v>
      </c>
      <c r="O1166" s="64" t="s">
        <v>1424</v>
      </c>
      <c r="P1166" s="69">
        <v>44197</v>
      </c>
      <c r="Q1166" s="69">
        <v>44561</v>
      </c>
      <c r="R1166" s="64">
        <v>3</v>
      </c>
      <c r="S1166" s="64" t="s">
        <v>73</v>
      </c>
      <c r="T1166" s="64">
        <v>3</v>
      </c>
      <c r="U1166" s="75">
        <f>$AH$1166/4</f>
        <v>375000</v>
      </c>
      <c r="V1166" s="674">
        <v>0</v>
      </c>
      <c r="W1166" s="75"/>
      <c r="X1166" s="75">
        <f>$AH$1166/4</f>
        <v>375000</v>
      </c>
      <c r="Y1166" s="834">
        <f>+AJ1166-V1166</f>
        <v>130125.2</v>
      </c>
      <c r="Z1166" s="75"/>
      <c r="AA1166" s="75">
        <f>$AH$1166/4</f>
        <v>375000</v>
      </c>
      <c r="AB1166" s="75"/>
      <c r="AC1166" s="75"/>
      <c r="AD1166" s="75">
        <f>$AH$1166/4</f>
        <v>375000</v>
      </c>
      <c r="AE1166" s="592"/>
      <c r="AF1166" s="189"/>
      <c r="AG1166" s="524">
        <v>2500000</v>
      </c>
      <c r="AH1166" s="388">
        <v>1500000</v>
      </c>
      <c r="AI1166" s="258"/>
      <c r="AJ1166" s="258">
        <v>130125.2</v>
      </c>
      <c r="AK1166" s="271"/>
      <c r="AL1166" s="271"/>
      <c r="AM1166" s="271"/>
      <c r="AN1166" s="64" t="s">
        <v>181</v>
      </c>
      <c r="AO1166" s="64" t="s">
        <v>1819</v>
      </c>
      <c r="AP1166" s="64" t="s">
        <v>2187</v>
      </c>
      <c r="AQ1166" s="189" t="s">
        <v>2188</v>
      </c>
      <c r="AR1166" s="69">
        <v>44676</v>
      </c>
      <c r="AS1166" s="69">
        <v>44706</v>
      </c>
      <c r="AT1166" s="69">
        <v>44676</v>
      </c>
      <c r="AU1166" s="879">
        <v>1024</v>
      </c>
      <c r="AV1166" s="460"/>
    </row>
    <row r="1167" spans="1:48" s="153" customFormat="1" ht="24" customHeight="1" outlineLevel="1" x14ac:dyDescent="0.25">
      <c r="A1167" s="148" t="str">
        <f t="shared" si="225"/>
        <v>3.14.1.3.0.0</v>
      </c>
      <c r="B1167" s="82">
        <v>3</v>
      </c>
      <c r="C1167" s="82">
        <v>14</v>
      </c>
      <c r="D1167" s="82">
        <v>1</v>
      </c>
      <c r="E1167" s="82">
        <v>3</v>
      </c>
      <c r="F1167" s="82">
        <v>0</v>
      </c>
      <c r="G1167" s="82">
        <v>0</v>
      </c>
      <c r="H1167" s="149"/>
      <c r="I1167" s="149"/>
      <c r="J1167" s="1260" t="s">
        <v>1425</v>
      </c>
      <c r="K1167" s="1259"/>
      <c r="L1167" s="82" t="s">
        <v>1410</v>
      </c>
      <c r="M1167" s="82" t="s">
        <v>1426</v>
      </c>
      <c r="N1167" s="82" t="s">
        <v>1414</v>
      </c>
      <c r="O1167" s="82" t="s">
        <v>1415</v>
      </c>
      <c r="P1167" s="84">
        <v>44562</v>
      </c>
      <c r="Q1167" s="84">
        <v>44926</v>
      </c>
      <c r="R1167" s="82" t="s">
        <v>887</v>
      </c>
      <c r="S1167" s="82" t="s">
        <v>1416</v>
      </c>
      <c r="T1167" s="148" t="s">
        <v>887</v>
      </c>
      <c r="U1167" s="152">
        <f>SUM(U1168:U1171)</f>
        <v>0</v>
      </c>
      <c r="V1167" s="681">
        <f>SUM(V1168:V1171)</f>
        <v>0</v>
      </c>
      <c r="W1167" s="379">
        <f t="shared" ref="W1167:AM1167" si="243">+SUM(W1168:W1171)</f>
        <v>0</v>
      </c>
      <c r="X1167" s="379">
        <f t="shared" si="243"/>
        <v>0</v>
      </c>
      <c r="Y1167" s="845">
        <f t="shared" si="243"/>
        <v>0</v>
      </c>
      <c r="Z1167" s="379">
        <f t="shared" si="243"/>
        <v>0</v>
      </c>
      <c r="AA1167" s="379">
        <f t="shared" si="243"/>
        <v>0</v>
      </c>
      <c r="AB1167" s="379">
        <f t="shared" si="243"/>
        <v>0</v>
      </c>
      <c r="AC1167" s="379">
        <f t="shared" si="243"/>
        <v>0</v>
      </c>
      <c r="AD1167" s="379">
        <f t="shared" si="243"/>
        <v>0</v>
      </c>
      <c r="AE1167" s="379">
        <f t="shared" si="243"/>
        <v>0</v>
      </c>
      <c r="AF1167" s="379">
        <f t="shared" si="243"/>
        <v>0</v>
      </c>
      <c r="AG1167" s="379">
        <f t="shared" si="243"/>
        <v>500000</v>
      </c>
      <c r="AH1167" s="379">
        <f t="shared" si="243"/>
        <v>0</v>
      </c>
      <c r="AI1167" s="512">
        <f t="shared" si="243"/>
        <v>0</v>
      </c>
      <c r="AJ1167" s="512">
        <f t="shared" si="243"/>
        <v>0</v>
      </c>
      <c r="AK1167" s="512">
        <f t="shared" si="243"/>
        <v>0</v>
      </c>
      <c r="AL1167" s="512">
        <f t="shared" si="243"/>
        <v>0</v>
      </c>
      <c r="AM1167" s="512">
        <f t="shared" si="243"/>
        <v>0</v>
      </c>
      <c r="AN1167" s="82" t="s">
        <v>181</v>
      </c>
      <c r="AO1167" s="82"/>
      <c r="AP1167" s="82"/>
      <c r="AQ1167" s="365"/>
      <c r="AR1167" s="82"/>
      <c r="AS1167" s="483"/>
      <c r="AT1167" s="82"/>
      <c r="AU1167" s="666"/>
      <c r="AV1167" s="444"/>
    </row>
    <row r="1168" spans="1:48" ht="26.25" customHeight="1" outlineLevel="3" x14ac:dyDescent="0.25">
      <c r="A1168" s="63" t="str">
        <f t="shared" si="225"/>
        <v>3.14.1.3.1.0</v>
      </c>
      <c r="B1168" s="64">
        <v>3</v>
      </c>
      <c r="C1168" s="64">
        <v>14</v>
      </c>
      <c r="D1168" s="64">
        <v>1</v>
      </c>
      <c r="E1168" s="64">
        <v>3</v>
      </c>
      <c r="F1168" s="64">
        <v>1</v>
      </c>
      <c r="G1168" s="64">
        <v>0</v>
      </c>
      <c r="H1168" s="65"/>
      <c r="I1168" s="65"/>
      <c r="J1168" s="65"/>
      <c r="K1168" s="65" t="s">
        <v>1875</v>
      </c>
      <c r="L1168" s="64" t="s">
        <v>1410</v>
      </c>
      <c r="M1168" s="64" t="s">
        <v>1427</v>
      </c>
      <c r="N1168" s="64" t="s">
        <v>1428</v>
      </c>
      <c r="O1168" s="68" t="s">
        <v>1429</v>
      </c>
      <c r="P1168" s="69">
        <v>44197</v>
      </c>
      <c r="Q1168" s="69">
        <v>44561</v>
      </c>
      <c r="R1168" s="64" t="s">
        <v>887</v>
      </c>
      <c r="S1168" s="65" t="s">
        <v>1430</v>
      </c>
      <c r="T1168" s="64"/>
      <c r="U1168" s="75">
        <v>0</v>
      </c>
      <c r="V1168" s="674">
        <v>0</v>
      </c>
      <c r="W1168" s="75"/>
      <c r="X1168" s="75"/>
      <c r="Y1168" s="834">
        <f>+AJ1168-V1168</f>
        <v>0</v>
      </c>
      <c r="Z1168" s="75"/>
      <c r="AA1168" s="75"/>
      <c r="AB1168" s="75"/>
      <c r="AC1168" s="97"/>
      <c r="AD1168" s="97"/>
      <c r="AE1168" s="591"/>
      <c r="AF1168" s="259"/>
      <c r="AG1168" s="510">
        <v>0</v>
      </c>
      <c r="AH1168" s="370">
        <v>0</v>
      </c>
      <c r="AI1168" s="75"/>
      <c r="AJ1168" s="75">
        <v>0</v>
      </c>
      <c r="AK1168" s="75"/>
      <c r="AL1168" s="75"/>
      <c r="AM1168" s="75"/>
      <c r="AN1168" s="64" t="s">
        <v>181</v>
      </c>
      <c r="AO1168" s="64"/>
      <c r="AP1168" s="64"/>
      <c r="AQ1168" s="413"/>
      <c r="AR1168" s="165"/>
      <c r="AS1168" s="475"/>
      <c r="AT1168" s="64"/>
      <c r="AU1168" s="646"/>
      <c r="AV1168" s="185"/>
    </row>
    <row r="1169" spans="1:48" outlineLevel="3" x14ac:dyDescent="0.25">
      <c r="A1169" s="63" t="str">
        <f t="shared" si="225"/>
        <v>3.14.1.3.2.0</v>
      </c>
      <c r="B1169" s="64">
        <v>3</v>
      </c>
      <c r="C1169" s="64">
        <v>14</v>
      </c>
      <c r="D1169" s="64">
        <v>1</v>
      </c>
      <c r="E1169" s="64">
        <v>3</v>
      </c>
      <c r="F1169" s="64">
        <v>2</v>
      </c>
      <c r="G1169" s="64">
        <v>0</v>
      </c>
      <c r="H1169" s="65"/>
      <c r="I1169" s="65"/>
      <c r="J1169" s="65"/>
      <c r="K1169" s="65" t="s">
        <v>1876</v>
      </c>
      <c r="L1169" s="64" t="s">
        <v>1410</v>
      </c>
      <c r="M1169" s="64" t="s">
        <v>299</v>
      </c>
      <c r="N1169" s="64" t="s">
        <v>1428</v>
      </c>
      <c r="O1169" s="64" t="s">
        <v>1429</v>
      </c>
      <c r="P1169" s="69">
        <v>44197</v>
      </c>
      <c r="Q1169" s="69">
        <v>44561</v>
      </c>
      <c r="R1169" s="64" t="s">
        <v>887</v>
      </c>
      <c r="S1169" s="65" t="s">
        <v>1431</v>
      </c>
      <c r="T1169" s="64"/>
      <c r="U1169" s="75">
        <v>0</v>
      </c>
      <c r="V1169" s="674">
        <v>0</v>
      </c>
      <c r="W1169" s="75"/>
      <c r="X1169" s="75"/>
      <c r="Y1169" s="859">
        <f>+AJ1169-V1169</f>
        <v>0</v>
      </c>
      <c r="Z1169" s="75"/>
      <c r="AA1169" s="75"/>
      <c r="AB1169" s="75"/>
      <c r="AC1169" s="97"/>
      <c r="AD1169" s="97"/>
      <c r="AE1169" s="591"/>
      <c r="AF1169" s="259"/>
      <c r="AG1169" s="510">
        <v>0</v>
      </c>
      <c r="AH1169" s="370">
        <v>0</v>
      </c>
      <c r="AI1169" s="75"/>
      <c r="AJ1169" s="75">
        <v>0</v>
      </c>
      <c r="AK1169" s="75"/>
      <c r="AL1169" s="75"/>
      <c r="AM1169" s="75"/>
      <c r="AN1169" s="64" t="s">
        <v>181</v>
      </c>
      <c r="AO1169" s="64"/>
      <c r="AP1169" s="189"/>
      <c r="AQ1169" s="64"/>
      <c r="AR1169" s="64"/>
      <c r="AS1169" s="64"/>
      <c r="AT1169" s="460"/>
      <c r="AU1169" s="646"/>
      <c r="AV1169" s="185"/>
    </row>
    <row r="1170" spans="1:48" ht="30" customHeight="1" outlineLevel="3" x14ac:dyDescent="0.25">
      <c r="A1170" s="63" t="str">
        <f t="shared" si="225"/>
        <v>3.14.1.3.3.0</v>
      </c>
      <c r="B1170" s="64">
        <v>3</v>
      </c>
      <c r="C1170" s="64">
        <v>14</v>
      </c>
      <c r="D1170" s="64">
        <v>1</v>
      </c>
      <c r="E1170" s="64">
        <v>3</v>
      </c>
      <c r="F1170" s="64">
        <v>3</v>
      </c>
      <c r="G1170" s="64">
        <v>0</v>
      </c>
      <c r="H1170" s="65"/>
      <c r="I1170" s="65"/>
      <c r="J1170" s="65"/>
      <c r="K1170" s="65" t="s">
        <v>1877</v>
      </c>
      <c r="L1170" s="64" t="s">
        <v>1410</v>
      </c>
      <c r="M1170" s="64" t="s">
        <v>76</v>
      </c>
      <c r="N1170" s="64" t="s">
        <v>74</v>
      </c>
      <c r="O1170" s="64" t="s">
        <v>1432</v>
      </c>
      <c r="P1170" s="69">
        <v>44197</v>
      </c>
      <c r="Q1170" s="69">
        <v>44377</v>
      </c>
      <c r="R1170" s="64" t="s">
        <v>887</v>
      </c>
      <c r="S1170" s="65" t="s">
        <v>73</v>
      </c>
      <c r="T1170" s="64"/>
      <c r="U1170" s="75">
        <v>0</v>
      </c>
      <c r="V1170" s="674">
        <v>0</v>
      </c>
      <c r="W1170" s="75"/>
      <c r="X1170" s="75"/>
      <c r="Y1170" s="858">
        <f>+AJ1170-V1170</f>
        <v>0</v>
      </c>
      <c r="Z1170" s="75"/>
      <c r="AA1170" s="75"/>
      <c r="AB1170" s="75"/>
      <c r="AC1170" s="97"/>
      <c r="AD1170" s="75"/>
      <c r="AE1170" s="592"/>
      <c r="AF1170" s="343" t="s">
        <v>1433</v>
      </c>
      <c r="AG1170" s="510">
        <v>500000</v>
      </c>
      <c r="AH1170" s="370">
        <v>0</v>
      </c>
      <c r="AI1170" s="75"/>
      <c r="AJ1170" s="75">
        <v>0</v>
      </c>
      <c r="AK1170" s="75"/>
      <c r="AL1170" s="75"/>
      <c r="AM1170" s="75"/>
      <c r="AN1170" s="64" t="s">
        <v>181</v>
      </c>
      <c r="AO1170" s="64"/>
      <c r="AP1170" s="64"/>
      <c r="AQ1170" s="416"/>
      <c r="AR1170" s="245"/>
      <c r="AS1170" s="480"/>
      <c r="AT1170" s="64"/>
      <c r="AU1170" s="646"/>
      <c r="AV1170" s="185" t="s">
        <v>589</v>
      </c>
    </row>
    <row r="1171" spans="1:48" ht="14.25" customHeight="1" outlineLevel="3" x14ac:dyDescent="0.25">
      <c r="A1171" s="63" t="str">
        <f t="shared" si="225"/>
        <v>3.14.1.3.4.0</v>
      </c>
      <c r="B1171" s="64">
        <v>3</v>
      </c>
      <c r="C1171" s="64">
        <v>14</v>
      </c>
      <c r="D1171" s="64">
        <v>1</v>
      </c>
      <c r="E1171" s="64">
        <v>3</v>
      </c>
      <c r="F1171" s="64">
        <v>4</v>
      </c>
      <c r="G1171" s="64">
        <v>0</v>
      </c>
      <c r="H1171" s="65"/>
      <c r="I1171" s="65"/>
      <c r="J1171" s="65"/>
      <c r="K1171" s="65" t="s">
        <v>1434</v>
      </c>
      <c r="L1171" s="64" t="s">
        <v>1410</v>
      </c>
      <c r="M1171" s="64" t="s">
        <v>76</v>
      </c>
      <c r="N1171" s="64" t="s">
        <v>74</v>
      </c>
      <c r="O1171" s="64" t="s">
        <v>1432</v>
      </c>
      <c r="P1171" s="69">
        <v>44197</v>
      </c>
      <c r="Q1171" s="69">
        <v>44377</v>
      </c>
      <c r="R1171" s="64" t="s">
        <v>887</v>
      </c>
      <c r="S1171" s="65" t="s">
        <v>73</v>
      </c>
      <c r="T1171" s="64"/>
      <c r="U1171" s="75">
        <v>0</v>
      </c>
      <c r="V1171" s="674">
        <v>0</v>
      </c>
      <c r="W1171" s="75"/>
      <c r="X1171" s="75"/>
      <c r="Y1171" s="834">
        <f>+AJ1171-V1171</f>
        <v>0</v>
      </c>
      <c r="Z1171" s="75"/>
      <c r="AA1171" s="75"/>
      <c r="AB1171" s="75"/>
      <c r="AC1171" s="97"/>
      <c r="AD1171" s="97"/>
      <c r="AE1171" s="591"/>
      <c r="AF1171" s="259" t="s">
        <v>1435</v>
      </c>
      <c r="AG1171" s="510">
        <v>0</v>
      </c>
      <c r="AH1171" s="370">
        <v>0</v>
      </c>
      <c r="AI1171" s="75"/>
      <c r="AJ1171" s="75">
        <v>0</v>
      </c>
      <c r="AK1171" s="75"/>
      <c r="AL1171" s="75"/>
      <c r="AM1171" s="75"/>
      <c r="AN1171" s="64" t="s">
        <v>181</v>
      </c>
      <c r="AO1171" s="64"/>
      <c r="AP1171" s="64"/>
      <c r="AQ1171" s="189"/>
      <c r="AR1171" s="64"/>
      <c r="AS1171" s="476"/>
      <c r="AT1171" s="64"/>
      <c r="AU1171" s="646"/>
      <c r="AV1171" s="185"/>
    </row>
    <row r="1172" spans="1:48" s="153" customFormat="1" ht="15" customHeight="1" outlineLevel="1" x14ac:dyDescent="0.25">
      <c r="A1172" s="148" t="str">
        <f t="shared" si="225"/>
        <v>3.14.0.4.0.0</v>
      </c>
      <c r="B1172" s="82">
        <v>3</v>
      </c>
      <c r="C1172" s="82">
        <v>14</v>
      </c>
      <c r="D1172" s="82">
        <v>0</v>
      </c>
      <c r="E1172" s="82">
        <v>4</v>
      </c>
      <c r="F1172" s="82">
        <v>0</v>
      </c>
      <c r="G1172" s="82">
        <v>0</v>
      </c>
      <c r="H1172" s="149"/>
      <c r="I1172" s="149"/>
      <c r="J1172" s="1260" t="s">
        <v>1436</v>
      </c>
      <c r="K1172" s="1259"/>
      <c r="L1172" s="82" t="s">
        <v>1410</v>
      </c>
      <c r="M1172" s="82" t="s">
        <v>299</v>
      </c>
      <c r="N1172" s="82" t="s">
        <v>1437</v>
      </c>
      <c r="O1172" s="83" t="s">
        <v>1438</v>
      </c>
      <c r="P1172" s="84"/>
      <c r="Q1172" s="84"/>
      <c r="R1172" s="82"/>
      <c r="S1172" s="149"/>
      <c r="T1172" s="82"/>
      <c r="U1172" s="379">
        <f>SUM(U1173:U1174)</f>
        <v>0</v>
      </c>
      <c r="V1172" s="682">
        <f>SUM(V1173:V1174)</f>
        <v>0</v>
      </c>
      <c r="W1172" s="379">
        <f t="shared" ref="W1172:AG1172" si="244">SUM(W1173:W1174)</f>
        <v>1</v>
      </c>
      <c r="X1172" s="379">
        <f t="shared" si="244"/>
        <v>0</v>
      </c>
      <c r="Y1172" s="845">
        <f t="shared" si="244"/>
        <v>0</v>
      </c>
      <c r="Z1172" s="379">
        <f t="shared" si="244"/>
        <v>0</v>
      </c>
      <c r="AA1172" s="379">
        <f t="shared" si="244"/>
        <v>0</v>
      </c>
      <c r="AB1172" s="379">
        <f t="shared" si="244"/>
        <v>0</v>
      </c>
      <c r="AC1172" s="379">
        <f t="shared" si="244"/>
        <v>0</v>
      </c>
      <c r="AD1172" s="379">
        <f t="shared" si="244"/>
        <v>0</v>
      </c>
      <c r="AE1172" s="379">
        <f t="shared" si="244"/>
        <v>0</v>
      </c>
      <c r="AF1172" s="379">
        <f t="shared" si="244"/>
        <v>0</v>
      </c>
      <c r="AG1172" s="379">
        <f t="shared" si="244"/>
        <v>0</v>
      </c>
      <c r="AH1172" s="379">
        <f>SUM(AH1173:AH1174)</f>
        <v>0</v>
      </c>
      <c r="AI1172" s="512">
        <f>SUM(AI1173:AI1174)</f>
        <v>0</v>
      </c>
      <c r="AJ1172" s="512">
        <f>SUM(AJ1173:AJ1174)</f>
        <v>0</v>
      </c>
      <c r="AK1172" s="152"/>
      <c r="AL1172" s="152"/>
      <c r="AM1172" s="152"/>
      <c r="AN1172" s="82" t="s">
        <v>181</v>
      </c>
      <c r="AO1172" s="82"/>
      <c r="AP1172" s="82"/>
      <c r="AQ1172" s="365"/>
      <c r="AR1172" s="82"/>
      <c r="AS1172" s="483"/>
      <c r="AT1172" s="82"/>
      <c r="AU1172" s="666"/>
      <c r="AV1172" s="444"/>
    </row>
    <row r="1173" spans="1:48" ht="15" customHeight="1" outlineLevel="2" x14ac:dyDescent="0.25">
      <c r="A1173" s="63" t="str">
        <f t="shared" si="225"/>
        <v>3.14.0.4.1.58-64</v>
      </c>
      <c r="B1173" s="64">
        <v>3</v>
      </c>
      <c r="C1173" s="64">
        <v>14</v>
      </c>
      <c r="D1173" s="64">
        <v>0</v>
      </c>
      <c r="E1173" s="64">
        <v>4</v>
      </c>
      <c r="F1173" s="64">
        <v>1</v>
      </c>
      <c r="G1173" s="64" t="s">
        <v>64</v>
      </c>
      <c r="H1173" s="65"/>
      <c r="I1173" s="65"/>
      <c r="J1173" s="65"/>
      <c r="K1173" s="65" t="s">
        <v>1439</v>
      </c>
      <c r="L1173" s="64" t="s">
        <v>1410</v>
      </c>
      <c r="M1173" s="64" t="s">
        <v>299</v>
      </c>
      <c r="N1173" s="64" t="s">
        <v>1437</v>
      </c>
      <c r="O1173" s="64" t="s">
        <v>38</v>
      </c>
      <c r="P1173" s="69">
        <v>44197</v>
      </c>
      <c r="Q1173" s="69">
        <v>44561</v>
      </c>
      <c r="R1173" s="170" t="s">
        <v>887</v>
      </c>
      <c r="S1173" s="170" t="s">
        <v>299</v>
      </c>
      <c r="T1173" s="170" t="s">
        <v>887</v>
      </c>
      <c r="U1173" s="97">
        <v>0</v>
      </c>
      <c r="V1173" s="674">
        <v>0</v>
      </c>
      <c r="W1173" s="97"/>
      <c r="X1173" s="97"/>
      <c r="Y1173" s="834">
        <f>+AJ1173-V1173</f>
        <v>0</v>
      </c>
      <c r="Z1173" s="97"/>
      <c r="AA1173" s="97"/>
      <c r="AB1173" s="97"/>
      <c r="AC1173" s="97"/>
      <c r="AD1173" s="97"/>
      <c r="AE1173" s="591"/>
      <c r="AF1173" s="353"/>
      <c r="AG1173" s="510">
        <v>0</v>
      </c>
      <c r="AH1173" s="510">
        <v>0</v>
      </c>
      <c r="AI1173" s="258"/>
      <c r="AJ1173" s="258">
        <v>0</v>
      </c>
      <c r="AK1173" s="258"/>
      <c r="AL1173" s="258"/>
      <c r="AM1173" s="258"/>
      <c r="AN1173" s="171" t="s">
        <v>181</v>
      </c>
      <c r="AO1173" s="171"/>
      <c r="AP1173" s="171"/>
      <c r="AQ1173" s="418"/>
      <c r="AS1173" s="484"/>
      <c r="AV1173" s="185"/>
    </row>
    <row r="1174" spans="1:48" ht="15" customHeight="1" outlineLevel="2" x14ac:dyDescent="0.25">
      <c r="A1174" s="63" t="str">
        <f t="shared" si="225"/>
        <v>3.14.0.4.2.58-64</v>
      </c>
      <c r="B1174" s="64">
        <v>3</v>
      </c>
      <c r="C1174" s="64">
        <v>14</v>
      </c>
      <c r="D1174" s="64">
        <v>0</v>
      </c>
      <c r="E1174" s="64">
        <v>4</v>
      </c>
      <c r="F1174" s="64">
        <v>2</v>
      </c>
      <c r="G1174" s="64" t="s">
        <v>64</v>
      </c>
      <c r="H1174" s="65"/>
      <c r="I1174" s="65"/>
      <c r="J1174" s="65"/>
      <c r="K1174" s="65" t="s">
        <v>1440</v>
      </c>
      <c r="L1174" s="64" t="s">
        <v>72</v>
      </c>
      <c r="M1174" s="64" t="s">
        <v>76</v>
      </c>
      <c r="N1174" s="64" t="s">
        <v>74</v>
      </c>
      <c r="O1174" s="64" t="s">
        <v>1438</v>
      </c>
      <c r="P1174" s="69">
        <v>44287</v>
      </c>
      <c r="Q1174" s="69" t="s">
        <v>1441</v>
      </c>
      <c r="R1174" s="170">
        <v>1</v>
      </c>
      <c r="S1174" s="170" t="s">
        <v>73</v>
      </c>
      <c r="T1174" s="170">
        <v>0</v>
      </c>
      <c r="U1174" s="97">
        <v>0</v>
      </c>
      <c r="V1174" s="674">
        <v>0</v>
      </c>
      <c r="W1174" s="97">
        <v>1</v>
      </c>
      <c r="X1174" s="97"/>
      <c r="Y1174" s="834">
        <f>+AJ1174-V1174</f>
        <v>0</v>
      </c>
      <c r="Z1174" s="97"/>
      <c r="AA1174" s="97"/>
      <c r="AB1174" s="97"/>
      <c r="AC1174" s="97"/>
      <c r="AD1174" s="97"/>
      <c r="AE1174" s="591"/>
      <c r="AF1174" s="353"/>
      <c r="AG1174" s="510">
        <v>0</v>
      </c>
      <c r="AH1174" s="370">
        <v>0</v>
      </c>
      <c r="AI1174" s="75"/>
      <c r="AJ1174" s="75">
        <v>0</v>
      </c>
      <c r="AK1174" s="75"/>
      <c r="AL1174" s="75"/>
      <c r="AM1174" s="75"/>
      <c r="AN1174" s="171" t="s">
        <v>181</v>
      </c>
      <c r="AO1174" s="171"/>
      <c r="AP1174" s="171"/>
      <c r="AQ1174" s="418"/>
      <c r="AS1174" s="484"/>
      <c r="AV1174" s="185"/>
    </row>
    <row r="1175" spans="1:48" s="153" customFormat="1" ht="15" customHeight="1" x14ac:dyDescent="0.25">
      <c r="A1175" s="246" t="str">
        <f t="shared" si="225"/>
        <v>4.0.0.0.0.0</v>
      </c>
      <c r="B1175" s="44">
        <v>4</v>
      </c>
      <c r="C1175" s="44">
        <v>0</v>
      </c>
      <c r="D1175" s="44">
        <v>0</v>
      </c>
      <c r="E1175" s="44">
        <v>0</v>
      </c>
      <c r="F1175" s="44">
        <v>0</v>
      </c>
      <c r="G1175" s="44">
        <v>0</v>
      </c>
      <c r="H1175" s="1269" t="s">
        <v>1442</v>
      </c>
      <c r="I1175" s="1270"/>
      <c r="J1175" s="1270"/>
      <c r="K1175" s="1271"/>
      <c r="L1175" s="44" t="s">
        <v>1443</v>
      </c>
      <c r="M1175" s="44">
        <v>0</v>
      </c>
      <c r="N1175" s="44" t="s">
        <v>1444</v>
      </c>
      <c r="O1175" s="44" t="s">
        <v>1445</v>
      </c>
      <c r="P1175" s="44"/>
      <c r="Q1175" s="44"/>
      <c r="R1175" s="44"/>
      <c r="S1175" s="247"/>
      <c r="T1175" s="44"/>
      <c r="U1175" s="248">
        <f>+U1176+U1321+U1363</f>
        <v>41822370.683666669</v>
      </c>
      <c r="V1175" s="248">
        <f>+V1176+V1321+V1363</f>
        <v>29391615.100000001</v>
      </c>
      <c r="W1175" s="391">
        <f t="shared" ref="W1175:AH1175" si="245">+W1176+W1321+W1363</f>
        <v>38752874</v>
      </c>
      <c r="X1175" s="391">
        <f t="shared" si="245"/>
        <v>8563420.6816666666</v>
      </c>
      <c r="Y1175" s="391">
        <f t="shared" si="245"/>
        <v>14874831.76</v>
      </c>
      <c r="Z1175" s="391">
        <f t="shared" si="245"/>
        <v>25366888</v>
      </c>
      <c r="AA1175" s="391">
        <f t="shared" si="245"/>
        <v>2925020.6816666666</v>
      </c>
      <c r="AB1175" s="391">
        <f t="shared" si="245"/>
        <v>0</v>
      </c>
      <c r="AC1175" s="391">
        <f t="shared" si="245"/>
        <v>29678829</v>
      </c>
      <c r="AD1175" s="391">
        <f t="shared" si="245"/>
        <v>7587279.0150000006</v>
      </c>
      <c r="AE1175" s="391">
        <f t="shared" si="245"/>
        <v>0</v>
      </c>
      <c r="AF1175" s="391">
        <f t="shared" si="245"/>
        <v>0</v>
      </c>
      <c r="AG1175" s="391">
        <f t="shared" si="245"/>
        <v>134469249.99999997</v>
      </c>
      <c r="AH1175" s="391">
        <f t="shared" si="245"/>
        <v>32970416.060000002</v>
      </c>
      <c r="AI1175" s="527">
        <f>+AI1176+AI1321+AI1363</f>
        <v>0</v>
      </c>
      <c r="AJ1175" s="527">
        <f>+AJ1176+AJ1321+AJ1363</f>
        <v>44266446.859999999</v>
      </c>
      <c r="AK1175" s="273"/>
      <c r="AL1175" s="273"/>
      <c r="AM1175" s="273"/>
      <c r="AN1175" s="44" t="s">
        <v>181</v>
      </c>
      <c r="AO1175" s="44"/>
      <c r="AP1175" s="44"/>
      <c r="AQ1175" s="420"/>
      <c r="AR1175" s="44"/>
      <c r="AS1175" s="486"/>
      <c r="AT1175" s="44"/>
      <c r="AU1175" s="658"/>
      <c r="AV1175" s="426"/>
    </row>
    <row r="1176" spans="1:48" s="153" customFormat="1" ht="32.25" customHeight="1" outlineLevel="2" x14ac:dyDescent="0.25">
      <c r="A1176" s="108" t="str">
        <f t="shared" si="225"/>
        <v>4.14.3.0.0.0</v>
      </c>
      <c r="B1176" s="109">
        <v>4</v>
      </c>
      <c r="C1176" s="109">
        <v>14</v>
      </c>
      <c r="D1176" s="109">
        <v>3</v>
      </c>
      <c r="E1176" s="109">
        <v>0</v>
      </c>
      <c r="F1176" s="109">
        <v>0</v>
      </c>
      <c r="G1176" s="109">
        <v>0</v>
      </c>
      <c r="H1176" s="110"/>
      <c r="I1176" s="1265" t="s">
        <v>1446</v>
      </c>
      <c r="J1176" s="1266"/>
      <c r="K1176" s="1267"/>
      <c r="L1176" s="109" t="s">
        <v>612</v>
      </c>
      <c r="M1176" s="109">
        <v>0</v>
      </c>
      <c r="N1176" s="109" t="s">
        <v>1444</v>
      </c>
      <c r="O1176" s="109">
        <v>0</v>
      </c>
      <c r="P1176" s="109"/>
      <c r="Q1176" s="109"/>
      <c r="R1176" s="109"/>
      <c r="S1176" s="110"/>
      <c r="T1176" s="109"/>
      <c r="U1176" s="112">
        <f>+U1177+U1186+U1195+U1204+U1213+U1222+U1231+U1240+U1290+U1295+U1301+U1306+U1311+U1316</f>
        <v>39894804.017000005</v>
      </c>
      <c r="V1176" s="680">
        <f>+V1177+V1186+V1195+V1204+V1213+V1222+V1231+V1240+V1290+V1295+V1301+V1306+V1311+V1316</f>
        <v>28409415.100000001</v>
      </c>
      <c r="W1176" s="392">
        <f t="shared" ref="W1176:AG1176" si="246">+W1177+W1186+W1195+W1204+W1213+W1222+W1231+W1240+W1290+W1295+W1301+W1306+W1311+W1316</f>
        <v>38752750</v>
      </c>
      <c r="X1176" s="392">
        <f t="shared" si="246"/>
        <v>6838854.0150000006</v>
      </c>
      <c r="Y1176" s="856">
        <f t="shared" si="246"/>
        <v>13652631.76</v>
      </c>
      <c r="Z1176" s="392">
        <f t="shared" si="246"/>
        <v>25366750</v>
      </c>
      <c r="AA1176" s="392">
        <f t="shared" si="246"/>
        <v>2369354.0150000001</v>
      </c>
      <c r="AB1176" s="392">
        <f t="shared" si="246"/>
        <v>0</v>
      </c>
      <c r="AC1176" s="392">
        <f t="shared" si="246"/>
        <v>29678750</v>
      </c>
      <c r="AD1176" s="392">
        <f t="shared" si="246"/>
        <v>7512279.0150000006</v>
      </c>
      <c r="AE1176" s="392">
        <f t="shared" si="246"/>
        <v>0</v>
      </c>
      <c r="AF1176" s="392">
        <f t="shared" si="246"/>
        <v>0</v>
      </c>
      <c r="AG1176" s="392">
        <f t="shared" si="246"/>
        <v>130186449.99999997</v>
      </c>
      <c r="AH1176" s="392">
        <f>+AH1177+AH1186+AH1195+AH1204+AH1213+AH1222+AH1231+AH1240+AH1290+AH1295+AH1301+AH1306+AH1311+AH1316</f>
        <v>28687616.060000002</v>
      </c>
      <c r="AI1176" s="528">
        <f>+AI1177+AI1186+AI1195+AI1204+AI1213+AI1222+AI1231+AI1240+AI1290+AI1295+AI1301+AI1306+AI1311+AI1316</f>
        <v>0</v>
      </c>
      <c r="AJ1176" s="528">
        <f>+AJ1177+AJ1186+AJ1195+AJ1204+AJ1213+AJ1222+AJ1231+AJ1240+AJ1290+AJ1295+AJ1301+AJ1306+AJ1311+AJ1316</f>
        <v>42062046.859999999</v>
      </c>
      <c r="AK1176" s="274"/>
      <c r="AL1176" s="274"/>
      <c r="AM1176" s="274"/>
      <c r="AN1176" s="109" t="s">
        <v>181</v>
      </c>
      <c r="AO1176" s="109"/>
      <c r="AP1176" s="109"/>
      <c r="AQ1176" s="411"/>
      <c r="AR1176" s="109"/>
      <c r="AS1176" s="473"/>
      <c r="AT1176" s="109"/>
      <c r="AU1176" s="659"/>
      <c r="AV1176" s="445"/>
    </row>
    <row r="1177" spans="1:48" ht="48.75" customHeight="1" outlineLevel="2" x14ac:dyDescent="0.25">
      <c r="A1177" s="148" t="str">
        <f t="shared" si="225"/>
        <v>4.14.3.1.0.0</v>
      </c>
      <c r="B1177" s="82">
        <v>4</v>
      </c>
      <c r="C1177" s="82">
        <v>14</v>
      </c>
      <c r="D1177" s="82">
        <v>3</v>
      </c>
      <c r="E1177" s="82">
        <v>1</v>
      </c>
      <c r="F1177" s="82">
        <v>0</v>
      </c>
      <c r="G1177" s="82">
        <v>0</v>
      </c>
      <c r="H1177" s="148"/>
      <c r="I1177" s="148"/>
      <c r="J1177" s="1260" t="s">
        <v>1447</v>
      </c>
      <c r="K1177" s="1259"/>
      <c r="L1177" s="251" t="s">
        <v>1448</v>
      </c>
      <c r="M1177" s="251" t="s">
        <v>1449</v>
      </c>
      <c r="N1177" s="251" t="s">
        <v>1444</v>
      </c>
      <c r="O1177" s="251" t="s">
        <v>1445</v>
      </c>
      <c r="P1177" s="275"/>
      <c r="Q1177" s="275"/>
      <c r="R1177" s="275"/>
      <c r="S1177" s="275"/>
      <c r="T1177" s="275"/>
      <c r="U1177" s="178">
        <f>SUM(U1178:U1185)</f>
        <v>8342127</v>
      </c>
      <c r="V1177" s="678">
        <f>SUM(V1178:V1185)</f>
        <v>7398616.4400000004</v>
      </c>
      <c r="W1177" s="380">
        <f t="shared" ref="W1177:AG1177" si="247">+SUM(W1178:W1185)</f>
        <v>20421250</v>
      </c>
      <c r="X1177" s="380">
        <f t="shared" si="247"/>
        <v>1028350</v>
      </c>
      <c r="Y1177" s="845">
        <f t="shared" si="247"/>
        <v>3020947.37</v>
      </c>
      <c r="Z1177" s="380">
        <f t="shared" si="247"/>
        <v>4459600</v>
      </c>
      <c r="AA1177" s="380">
        <f t="shared" si="247"/>
        <v>960350</v>
      </c>
      <c r="AB1177" s="380">
        <f t="shared" si="247"/>
        <v>0</v>
      </c>
      <c r="AC1177" s="380">
        <f t="shared" si="247"/>
        <v>5260450</v>
      </c>
      <c r="AD1177" s="380">
        <f t="shared" si="247"/>
        <v>2515850</v>
      </c>
      <c r="AE1177" s="380">
        <f t="shared" si="247"/>
        <v>0</v>
      </c>
      <c r="AF1177" s="380">
        <f t="shared" si="247"/>
        <v>0</v>
      </c>
      <c r="AG1177" s="380">
        <f t="shared" si="247"/>
        <v>17647566.666666664</v>
      </c>
      <c r="AH1177" s="380">
        <f>+SUM(AH1178:AH1185)</f>
        <v>5296900</v>
      </c>
      <c r="AI1177" s="513">
        <f>+SUM(AI1178:AI1185)</f>
        <v>0</v>
      </c>
      <c r="AJ1177" s="513">
        <f>+SUM(AJ1178:AJ1185)</f>
        <v>10419563.810000001</v>
      </c>
      <c r="AK1177" s="198"/>
      <c r="AL1177" s="198"/>
      <c r="AM1177" s="198"/>
      <c r="AN1177" s="82" t="s">
        <v>181</v>
      </c>
      <c r="AO1177" s="82"/>
      <c r="AP1177" s="82"/>
      <c r="AQ1177" s="365"/>
      <c r="AR1177" s="82"/>
      <c r="AS1177" s="483"/>
      <c r="AT1177" s="82"/>
      <c r="AU1177" s="666"/>
      <c r="AV1177" s="449" t="s">
        <v>1450</v>
      </c>
    </row>
    <row r="1178" spans="1:48" ht="15" customHeight="1" outlineLevel="3" x14ac:dyDescent="0.25">
      <c r="A1178" s="63" t="str">
        <f t="shared" si="225"/>
        <v>4.14.3.1.1.58</v>
      </c>
      <c r="B1178" s="64">
        <v>4</v>
      </c>
      <c r="C1178" s="64">
        <v>14</v>
      </c>
      <c r="D1178" s="64">
        <v>3</v>
      </c>
      <c r="E1178" s="64">
        <v>1</v>
      </c>
      <c r="F1178" s="64">
        <v>1</v>
      </c>
      <c r="G1178" s="64">
        <v>58</v>
      </c>
      <c r="H1178" s="65"/>
      <c r="I1178" s="65"/>
      <c r="J1178" s="66"/>
      <c r="K1178" s="65" t="s">
        <v>1451</v>
      </c>
      <c r="L1178" s="64" t="s">
        <v>1452</v>
      </c>
      <c r="M1178" s="64" t="s">
        <v>1453</v>
      </c>
      <c r="N1178" s="64" t="s">
        <v>1444</v>
      </c>
      <c r="O1178" s="64" t="s">
        <v>1204</v>
      </c>
      <c r="P1178" s="69">
        <v>44571</v>
      </c>
      <c r="Q1178" s="69">
        <v>44925</v>
      </c>
      <c r="R1178" s="124">
        <v>13000</v>
      </c>
      <c r="S1178" s="65" t="s">
        <v>1454</v>
      </c>
      <c r="T1178" s="64"/>
      <c r="U1178" s="75"/>
      <c r="V1178" s="674">
        <v>0</v>
      </c>
      <c r="W1178" s="75">
        <v>7150</v>
      </c>
      <c r="X1178" s="75"/>
      <c r="Y1178" s="834">
        <f t="shared" ref="Y1178:Y1185" si="248">+AJ1178-V1178</f>
        <v>0</v>
      </c>
      <c r="Z1178" s="75"/>
      <c r="AA1178" s="75"/>
      <c r="AB1178" s="75"/>
      <c r="AC1178" s="97">
        <v>5850</v>
      </c>
      <c r="AD1178" s="97"/>
      <c r="AE1178" s="591"/>
      <c r="AF1178" s="259"/>
      <c r="AG1178" s="510">
        <v>0</v>
      </c>
      <c r="AH1178" s="370">
        <v>0</v>
      </c>
      <c r="AI1178" s="75"/>
      <c r="AJ1178" s="75"/>
      <c r="AK1178" s="75"/>
      <c r="AL1178" s="75"/>
      <c r="AM1178" s="75"/>
      <c r="AN1178" s="98" t="s">
        <v>181</v>
      </c>
      <c r="AO1178" s="98"/>
      <c r="AP1178" s="98"/>
      <c r="AQ1178" s="184"/>
      <c r="AR1178" s="98"/>
      <c r="AS1178" s="481"/>
      <c r="AT1178" s="98"/>
      <c r="AU1178" s="646"/>
      <c r="AV1178" s="441"/>
    </row>
    <row r="1179" spans="1:48" ht="15" customHeight="1" outlineLevel="3" x14ac:dyDescent="0.25">
      <c r="A1179" s="63" t="str">
        <f t="shared" si="225"/>
        <v>4.14.3.1.2.58</v>
      </c>
      <c r="B1179" s="64">
        <v>4</v>
      </c>
      <c r="C1179" s="64">
        <v>14</v>
      </c>
      <c r="D1179" s="64">
        <v>3</v>
      </c>
      <c r="E1179" s="64">
        <v>1</v>
      </c>
      <c r="F1179" s="64">
        <v>2</v>
      </c>
      <c r="G1179" s="100">
        <v>58</v>
      </c>
      <c r="H1179" s="65"/>
      <c r="I1179" s="65"/>
      <c r="J1179" s="66"/>
      <c r="K1179" s="65" t="s">
        <v>1455</v>
      </c>
      <c r="L1179" s="64" t="s">
        <v>1452</v>
      </c>
      <c r="M1179" s="64" t="s">
        <v>535</v>
      </c>
      <c r="N1179" s="64" t="s">
        <v>1444</v>
      </c>
      <c r="O1179" s="64" t="s">
        <v>1335</v>
      </c>
      <c r="P1179" s="69">
        <v>44571</v>
      </c>
      <c r="Q1179" s="69">
        <v>44925</v>
      </c>
      <c r="R1179" s="124">
        <f>676000/2</f>
        <v>338000</v>
      </c>
      <c r="S1179" s="65" t="s">
        <v>1456</v>
      </c>
      <c r="T1179" s="64"/>
      <c r="U1179" s="75"/>
      <c r="V1179" s="674">
        <v>0</v>
      </c>
      <c r="W1179" s="75">
        <f>+($R1179/2)*4.5</f>
        <v>760500</v>
      </c>
      <c r="X1179" s="157"/>
      <c r="Y1179" s="834">
        <f t="shared" si="248"/>
        <v>0</v>
      </c>
      <c r="Z1179" s="157">
        <f>+(R1179/2)*4.5</f>
        <v>760500</v>
      </c>
      <c r="AA1179" s="157"/>
      <c r="AB1179" s="157"/>
      <c r="AC1179" s="97"/>
      <c r="AD1179" s="97"/>
      <c r="AE1179" s="591"/>
      <c r="AF1179" s="259" t="s">
        <v>535</v>
      </c>
      <c r="AG1179" s="510">
        <v>1521000</v>
      </c>
      <c r="AH1179" s="370">
        <v>0</v>
      </c>
      <c r="AI1179" s="75"/>
      <c r="AJ1179" s="75"/>
      <c r="AK1179" s="75"/>
      <c r="AL1179" s="75"/>
      <c r="AM1179" s="75"/>
      <c r="AN1179" s="64" t="s">
        <v>181</v>
      </c>
      <c r="AO1179" s="64"/>
      <c r="AP1179" s="64"/>
      <c r="AQ1179" s="64"/>
      <c r="AR1179" s="64"/>
      <c r="AS1179" s="64"/>
      <c r="AT1179" s="64"/>
      <c r="AU1179" s="646"/>
      <c r="AV1179" s="493"/>
    </row>
    <row r="1180" spans="1:48" ht="90" outlineLevel="3" x14ac:dyDescent="0.25">
      <c r="A1180" s="63" t="str">
        <f t="shared" si="225"/>
        <v>4.14.3.1.3.58</v>
      </c>
      <c r="B1180" s="64">
        <v>4</v>
      </c>
      <c r="C1180" s="64">
        <v>14</v>
      </c>
      <c r="D1180" s="64">
        <v>3</v>
      </c>
      <c r="E1180" s="64">
        <v>1</v>
      </c>
      <c r="F1180" s="64">
        <v>3</v>
      </c>
      <c r="G1180" s="100">
        <v>58</v>
      </c>
      <c r="H1180" s="65"/>
      <c r="I1180" s="65"/>
      <c r="J1180" s="66"/>
      <c r="K1180" s="65" t="s">
        <v>1457</v>
      </c>
      <c r="L1180" s="64" t="s">
        <v>72</v>
      </c>
      <c r="M1180" s="64" t="s">
        <v>1458</v>
      </c>
      <c r="N1180" s="64" t="s">
        <v>1444</v>
      </c>
      <c r="O1180" s="64" t="s">
        <v>1445</v>
      </c>
      <c r="P1180" s="69">
        <v>44571</v>
      </c>
      <c r="Q1180" s="69">
        <v>44925</v>
      </c>
      <c r="R1180" s="124">
        <v>420</v>
      </c>
      <c r="S1180" s="65" t="s">
        <v>1459</v>
      </c>
      <c r="T1180" s="124">
        <f>420*125*22*12/4</f>
        <v>3465000</v>
      </c>
      <c r="U1180" s="75">
        <f>$AH1180/4</f>
        <v>726250</v>
      </c>
      <c r="V1180" s="674">
        <v>0</v>
      </c>
      <c r="W1180" s="75">
        <f>420*125*22*12/4</f>
        <v>3465000</v>
      </c>
      <c r="X1180" s="75">
        <f>$AH1180/4</f>
        <v>726250</v>
      </c>
      <c r="Y1180" s="834">
        <f t="shared" si="248"/>
        <v>1064897.3699999999</v>
      </c>
      <c r="Z1180" s="75">
        <f>420*125*22*12/4</f>
        <v>3465000</v>
      </c>
      <c r="AA1180" s="75">
        <f>$AH1180/4</f>
        <v>726250</v>
      </c>
      <c r="AB1180" s="75"/>
      <c r="AC1180" s="75">
        <f>420*125*22*12/4</f>
        <v>3465000</v>
      </c>
      <c r="AD1180" s="75">
        <f>$AH1180/4</f>
        <v>726250</v>
      </c>
      <c r="AE1180" s="592"/>
      <c r="AF1180" s="259" t="s">
        <v>1457</v>
      </c>
      <c r="AG1180" s="510">
        <v>1155000</v>
      </c>
      <c r="AH1180" s="370">
        <v>2905000</v>
      </c>
      <c r="AI1180" s="75"/>
      <c r="AJ1180" s="75">
        <f>173563.43+891333.94</f>
        <v>1064897.3699999999</v>
      </c>
      <c r="AK1180" s="75"/>
      <c r="AL1180" s="75"/>
      <c r="AM1180" s="75"/>
      <c r="AN1180" s="64" t="s">
        <v>181</v>
      </c>
      <c r="AO1180" s="64" t="s">
        <v>1819</v>
      </c>
      <c r="AP1180" s="64" t="s">
        <v>2175</v>
      </c>
      <c r="AQ1180" s="64" t="s">
        <v>2176</v>
      </c>
      <c r="AR1180" s="69">
        <v>44648</v>
      </c>
      <c r="AS1180" s="69">
        <v>44832</v>
      </c>
      <c r="AT1180" s="64" t="s">
        <v>2029</v>
      </c>
      <c r="AU1180" s="879" t="s">
        <v>2174</v>
      </c>
      <c r="AV1180" s="67" t="s">
        <v>2177</v>
      </c>
    </row>
    <row r="1181" spans="1:48" ht="14.45" customHeight="1" outlineLevel="3" x14ac:dyDescent="0.25">
      <c r="A1181" s="63" t="str">
        <f t="shared" si="225"/>
        <v>4.14.3.1.4.58</v>
      </c>
      <c r="B1181" s="64">
        <v>4</v>
      </c>
      <c r="C1181" s="64">
        <v>14</v>
      </c>
      <c r="D1181" s="64">
        <v>3</v>
      </c>
      <c r="E1181" s="64">
        <v>1</v>
      </c>
      <c r="F1181" s="64">
        <v>4</v>
      </c>
      <c r="G1181" s="64">
        <v>58</v>
      </c>
      <c r="H1181" s="65"/>
      <c r="I1181" s="65"/>
      <c r="J1181" s="66"/>
      <c r="K1181" s="67" t="s">
        <v>1460</v>
      </c>
      <c r="L1181" s="64" t="s">
        <v>72</v>
      </c>
      <c r="M1181" s="64" t="s">
        <v>76</v>
      </c>
      <c r="N1181" s="64" t="s">
        <v>1444</v>
      </c>
      <c r="O1181" s="64" t="s">
        <v>1445</v>
      </c>
      <c r="P1181" s="69">
        <v>44571</v>
      </c>
      <c r="Q1181" s="69">
        <v>44925</v>
      </c>
      <c r="R1181" s="124">
        <v>2</v>
      </c>
      <c r="S1181" s="65" t="s">
        <v>1461</v>
      </c>
      <c r="T1181" s="124">
        <f>+AH1181/2</f>
        <v>100000</v>
      </c>
      <c r="U1181" s="75">
        <f>$AH1181/2</f>
        <v>100000</v>
      </c>
      <c r="V1181" s="702">
        <v>15966.44</v>
      </c>
      <c r="W1181" s="75"/>
      <c r="X1181" s="75"/>
      <c r="Y1181" s="834">
        <f t="shared" si="248"/>
        <v>0</v>
      </c>
      <c r="Z1181" s="75">
        <f>+AH1181/2</f>
        <v>100000</v>
      </c>
      <c r="AA1181" s="75">
        <f>$AH1181/2</f>
        <v>100000</v>
      </c>
      <c r="AB1181" s="75"/>
      <c r="AC1181" s="97"/>
      <c r="AD1181" s="97"/>
      <c r="AE1181" s="591"/>
      <c r="AF1181" s="259" t="s">
        <v>1462</v>
      </c>
      <c r="AG1181" s="510">
        <v>536666.66666666663</v>
      </c>
      <c r="AH1181" s="370">
        <v>200000</v>
      </c>
      <c r="AI1181" s="75"/>
      <c r="AJ1181" s="75">
        <v>15966.44</v>
      </c>
      <c r="AK1181" s="75"/>
      <c r="AL1181" s="75"/>
      <c r="AM1181" s="75"/>
      <c r="AN1181" s="64" t="s">
        <v>181</v>
      </c>
      <c r="AO1181" s="64" t="s">
        <v>1819</v>
      </c>
      <c r="AP1181" s="68" t="s">
        <v>1824</v>
      </c>
      <c r="AQ1181" s="68" t="s">
        <v>1825</v>
      </c>
      <c r="AR1181" s="189" t="s">
        <v>1826</v>
      </c>
      <c r="AS1181" s="69">
        <v>44509</v>
      </c>
      <c r="AT1181" s="553">
        <v>44441</v>
      </c>
      <c r="AU1181" s="646">
        <v>124</v>
      </c>
      <c r="AV1181" s="495"/>
    </row>
    <row r="1182" spans="1:48" s="212" customFormat="1" ht="17.25" customHeight="1" outlineLevel="3" x14ac:dyDescent="0.25">
      <c r="A1182" s="210" t="str">
        <f t="shared" si="225"/>
        <v>4.14.3.1.5.58</v>
      </c>
      <c r="B1182" s="136">
        <v>4</v>
      </c>
      <c r="C1182" s="136">
        <v>14</v>
      </c>
      <c r="D1182" s="136">
        <v>3</v>
      </c>
      <c r="E1182" s="136">
        <v>1</v>
      </c>
      <c r="F1182" s="136">
        <v>5</v>
      </c>
      <c r="G1182" s="136">
        <v>58</v>
      </c>
      <c r="H1182" s="125"/>
      <c r="I1182" s="125"/>
      <c r="J1182" s="213"/>
      <c r="K1182" s="125" t="s">
        <v>1463</v>
      </c>
      <c r="L1182" s="136" t="s">
        <v>1452</v>
      </c>
      <c r="M1182" s="136" t="s">
        <v>1464</v>
      </c>
      <c r="N1182" s="136" t="s">
        <v>1444</v>
      </c>
      <c r="O1182" s="136" t="s">
        <v>1204</v>
      </c>
      <c r="P1182" s="214">
        <v>44571</v>
      </c>
      <c r="Q1182" s="214">
        <v>44925</v>
      </c>
      <c r="R1182" s="136">
        <v>12</v>
      </c>
      <c r="S1182" s="125" t="s">
        <v>1465</v>
      </c>
      <c r="T1182" s="124">
        <f>+$AH1182/4</f>
        <v>134100</v>
      </c>
      <c r="U1182" s="75">
        <f>$AH1182/4</f>
        <v>134100</v>
      </c>
      <c r="V1182" s="674">
        <v>0</v>
      </c>
      <c r="W1182" s="75">
        <f>+$AH1182/4</f>
        <v>134100</v>
      </c>
      <c r="X1182" s="75">
        <f>$AH1182/4</f>
        <v>134100</v>
      </c>
      <c r="Y1182" s="834">
        <f t="shared" si="248"/>
        <v>0</v>
      </c>
      <c r="Z1182" s="75">
        <f>+$AH1182/4</f>
        <v>134100</v>
      </c>
      <c r="AA1182" s="75">
        <f>$AH1182/4</f>
        <v>134100</v>
      </c>
      <c r="AB1182" s="75"/>
      <c r="AC1182" s="75">
        <f>+$AH1182/4</f>
        <v>134100</v>
      </c>
      <c r="AD1182" s="75">
        <f>$AH1182/4</f>
        <v>134100</v>
      </c>
      <c r="AE1182" s="592"/>
      <c r="AF1182" s="349" t="s">
        <v>1466</v>
      </c>
      <c r="AG1182" s="510">
        <v>536400</v>
      </c>
      <c r="AH1182" s="370">
        <v>536400</v>
      </c>
      <c r="AI1182" s="75"/>
      <c r="AJ1182" s="75"/>
      <c r="AK1182" s="75"/>
      <c r="AL1182" s="75"/>
      <c r="AM1182" s="75"/>
      <c r="AN1182" s="64" t="s">
        <v>181</v>
      </c>
      <c r="AO1182" s="64"/>
      <c r="AP1182" s="64"/>
      <c r="AQ1182" s="64"/>
      <c r="AR1182" s="64"/>
      <c r="AS1182" s="64"/>
      <c r="AT1182" s="64"/>
      <c r="AU1182" s="646"/>
      <c r="AV1182" s="491"/>
    </row>
    <row r="1183" spans="1:48" ht="15" customHeight="1" outlineLevel="3" x14ac:dyDescent="0.25">
      <c r="A1183" s="63" t="str">
        <f t="shared" si="225"/>
        <v>4.14.3.1.6.58</v>
      </c>
      <c r="B1183" s="64">
        <v>4</v>
      </c>
      <c r="C1183" s="64">
        <v>14</v>
      </c>
      <c r="D1183" s="64">
        <v>3</v>
      </c>
      <c r="E1183" s="64">
        <v>1</v>
      </c>
      <c r="F1183" s="64">
        <v>6</v>
      </c>
      <c r="G1183" s="64">
        <v>58</v>
      </c>
      <c r="H1183" s="65"/>
      <c r="I1183" s="65"/>
      <c r="J1183" s="66"/>
      <c r="K1183" s="65" t="s">
        <v>1467</v>
      </c>
      <c r="L1183" s="64" t="s">
        <v>264</v>
      </c>
      <c r="M1183" s="64" t="s">
        <v>144</v>
      </c>
      <c r="N1183" s="64" t="s">
        <v>265</v>
      </c>
      <c r="O1183" s="64" t="s">
        <v>668</v>
      </c>
      <c r="P1183" s="69">
        <v>44571</v>
      </c>
      <c r="Q1183" s="69">
        <v>44925</v>
      </c>
      <c r="R1183" s="64">
        <v>385</v>
      </c>
      <c r="S1183" s="65" t="s">
        <v>1468</v>
      </c>
      <c r="T1183" s="64"/>
      <c r="U1183" s="75"/>
      <c r="V1183" s="674">
        <v>0</v>
      </c>
      <c r="W1183" s="75"/>
      <c r="X1183" s="75"/>
      <c r="Y1183" s="834">
        <f t="shared" si="248"/>
        <v>0</v>
      </c>
      <c r="Z1183" s="75"/>
      <c r="AA1183" s="75"/>
      <c r="AB1183" s="75"/>
      <c r="AC1183" s="97">
        <f>+AH1183</f>
        <v>1655500</v>
      </c>
      <c r="AD1183" s="97">
        <f>+AH1183</f>
        <v>1655500</v>
      </c>
      <c r="AE1183" s="591"/>
      <c r="AF1183" s="259" t="s">
        <v>1469</v>
      </c>
      <c r="AG1183" s="510">
        <v>1655500</v>
      </c>
      <c r="AH1183" s="370">
        <v>1655500</v>
      </c>
      <c r="AI1183" s="75"/>
      <c r="AJ1183" s="75"/>
      <c r="AK1183" s="75"/>
      <c r="AL1183" s="75"/>
      <c r="AM1183" s="75"/>
      <c r="AN1183" s="64" t="s">
        <v>181</v>
      </c>
      <c r="AO1183" s="64"/>
      <c r="AP1183" s="64"/>
      <c r="AQ1183" s="64"/>
      <c r="AR1183" s="64"/>
      <c r="AS1183" s="64"/>
      <c r="AT1183" s="64"/>
      <c r="AU1183" s="646"/>
      <c r="AV1183" s="491"/>
    </row>
    <row r="1184" spans="1:48" ht="14.45" customHeight="1" outlineLevel="3" x14ac:dyDescent="0.25">
      <c r="A1184" s="63" t="str">
        <f t="shared" si="225"/>
        <v>4.14.3.1.7.58</v>
      </c>
      <c r="B1184" s="64">
        <v>4</v>
      </c>
      <c r="C1184" s="64">
        <v>14</v>
      </c>
      <c r="D1184" s="64">
        <v>3</v>
      </c>
      <c r="E1184" s="64">
        <v>1</v>
      </c>
      <c r="F1184" s="64">
        <v>7</v>
      </c>
      <c r="G1184" s="64">
        <v>58</v>
      </c>
      <c r="H1184" s="65"/>
      <c r="I1184" s="65"/>
      <c r="J1184" s="65"/>
      <c r="K1184" s="65" t="s">
        <v>1883</v>
      </c>
      <c r="L1184" s="64" t="s">
        <v>264</v>
      </c>
      <c r="M1184" s="64" t="s">
        <v>144</v>
      </c>
      <c r="N1184" s="64" t="s">
        <v>265</v>
      </c>
      <c r="O1184" s="64" t="s">
        <v>668</v>
      </c>
      <c r="P1184" s="69">
        <v>44571</v>
      </c>
      <c r="Q1184" s="69">
        <v>44925</v>
      </c>
      <c r="R1184" s="124">
        <v>385</v>
      </c>
      <c r="S1184" s="65" t="s">
        <v>1470</v>
      </c>
      <c r="T1184" s="124">
        <f>+(35*500*22*12)+(385*450*22*12)/4</f>
        <v>16054500</v>
      </c>
      <c r="U1184" s="78">
        <v>7381777</v>
      </c>
      <c r="V1184" s="702">
        <v>7382650</v>
      </c>
      <c r="W1184" s="75">
        <f>+(35*500*22*12)+(385*450*22*12)/4</f>
        <v>16054500</v>
      </c>
      <c r="X1184" s="78">
        <f>(8*20*350)*3</f>
        <v>168000</v>
      </c>
      <c r="Y1184" s="834">
        <f t="shared" si="248"/>
        <v>1956050</v>
      </c>
      <c r="Z1184" s="75"/>
      <c r="AA1184" s="75">
        <v>0</v>
      </c>
      <c r="AB1184" s="75"/>
      <c r="AC1184" s="75"/>
      <c r="AD1184" s="75">
        <v>0</v>
      </c>
      <c r="AE1184" s="592"/>
      <c r="AF1184" s="259" t="s">
        <v>1471</v>
      </c>
      <c r="AG1184" s="510">
        <v>12243000</v>
      </c>
      <c r="AH1184" s="370">
        <v>0</v>
      </c>
      <c r="AI1184" s="78"/>
      <c r="AJ1184" s="78">
        <f>2550500+2117800+1271300+1443050+563000+654850+738200</f>
        <v>9338700</v>
      </c>
      <c r="AK1184" s="276"/>
      <c r="AL1184" s="276"/>
      <c r="AM1184" s="276"/>
      <c r="AN1184" s="64" t="s">
        <v>181</v>
      </c>
      <c r="AO1184" s="533" t="s">
        <v>1839</v>
      </c>
      <c r="AP1184" s="533" t="s">
        <v>649</v>
      </c>
      <c r="AQ1184" s="533" t="s">
        <v>649</v>
      </c>
      <c r="AR1184" s="554">
        <v>44562</v>
      </c>
      <c r="AS1184" s="554">
        <v>44561</v>
      </c>
      <c r="AT1184" s="64" t="s">
        <v>1814</v>
      </c>
      <c r="AU1184" s="877" t="s">
        <v>2079</v>
      </c>
      <c r="AV1184" s="638" t="s">
        <v>2080</v>
      </c>
    </row>
    <row r="1185" spans="1:48" ht="23.45" customHeight="1" outlineLevel="3" x14ac:dyDescent="0.25">
      <c r="A1185" s="63" t="str">
        <f t="shared" si="225"/>
        <v>4.14.3.1.8.58</v>
      </c>
      <c r="B1185" s="64">
        <v>4</v>
      </c>
      <c r="C1185" s="64">
        <v>14</v>
      </c>
      <c r="D1185" s="64">
        <v>3</v>
      </c>
      <c r="E1185" s="64">
        <v>1</v>
      </c>
      <c r="F1185" s="64">
        <v>8</v>
      </c>
      <c r="G1185" s="64">
        <v>58</v>
      </c>
      <c r="H1185" s="65"/>
      <c r="I1185" s="65"/>
      <c r="J1185" s="65"/>
      <c r="K1185" s="125" t="s">
        <v>1472</v>
      </c>
      <c r="L1185" s="64" t="s">
        <v>72</v>
      </c>
      <c r="M1185" s="64" t="s">
        <v>1473</v>
      </c>
      <c r="N1185" s="64" t="s">
        <v>1249</v>
      </c>
      <c r="O1185" s="64" t="s">
        <v>72</v>
      </c>
      <c r="P1185" s="69">
        <v>44571</v>
      </c>
      <c r="Q1185" s="69">
        <v>44925</v>
      </c>
      <c r="R1185" s="124"/>
      <c r="S1185" s="65"/>
      <c r="T1185" s="124"/>
      <c r="U1185" s="75"/>
      <c r="V1185" s="674">
        <v>0</v>
      </c>
      <c r="W1185" s="75"/>
      <c r="X1185" s="75"/>
      <c r="Y1185" s="834">
        <f t="shared" si="248"/>
        <v>0</v>
      </c>
      <c r="Z1185" s="75"/>
      <c r="AA1185" s="75"/>
      <c r="AB1185" s="75"/>
      <c r="AC1185" s="97"/>
      <c r="AD1185" s="97"/>
      <c r="AE1185" s="591"/>
      <c r="AF1185" s="259"/>
      <c r="AG1185" s="510">
        <v>0</v>
      </c>
      <c r="AH1185" s="370">
        <v>0</v>
      </c>
      <c r="AI1185" s="75"/>
      <c r="AJ1185" s="75"/>
      <c r="AK1185" s="75"/>
      <c r="AL1185" s="75"/>
      <c r="AM1185" s="75"/>
      <c r="AN1185" s="64" t="s">
        <v>181</v>
      </c>
      <c r="AO1185" s="64"/>
      <c r="AP1185" s="64"/>
      <c r="AQ1185" s="64"/>
      <c r="AR1185" s="64"/>
      <c r="AS1185" s="64"/>
      <c r="AT1185" s="64"/>
      <c r="AU1185" s="646"/>
      <c r="AV1185" s="491"/>
    </row>
    <row r="1186" spans="1:48" s="153" customFormat="1" ht="74.25" customHeight="1" outlineLevel="2" x14ac:dyDescent="0.25">
      <c r="A1186" s="148" t="str">
        <f t="shared" si="225"/>
        <v>4.14.3.2.0.0</v>
      </c>
      <c r="B1186" s="82">
        <v>4</v>
      </c>
      <c r="C1186" s="82">
        <v>14</v>
      </c>
      <c r="D1186" s="82">
        <v>3</v>
      </c>
      <c r="E1186" s="82">
        <v>2</v>
      </c>
      <c r="F1186" s="82">
        <v>0</v>
      </c>
      <c r="G1186" s="82">
        <v>0</v>
      </c>
      <c r="H1186" s="149"/>
      <c r="I1186" s="149"/>
      <c r="J1186" s="1260" t="s">
        <v>1474</v>
      </c>
      <c r="K1186" s="1259"/>
      <c r="L1186" s="82" t="s">
        <v>1475</v>
      </c>
      <c r="M1186" s="83" t="s">
        <v>1449</v>
      </c>
      <c r="N1186" s="83" t="s">
        <v>1444</v>
      </c>
      <c r="O1186" s="82" t="s">
        <v>1445</v>
      </c>
      <c r="P1186" s="82"/>
      <c r="Q1186" s="82"/>
      <c r="R1186" s="82"/>
      <c r="S1186" s="149"/>
      <c r="T1186" s="82"/>
      <c r="U1186" s="209">
        <f>SUM(U1187:U1194)</f>
        <v>5036691.0149999997</v>
      </c>
      <c r="V1186" s="683">
        <f>SUM(V1187:V1194)</f>
        <v>3191866.44</v>
      </c>
      <c r="W1186" s="380">
        <f t="shared" ref="W1186:AG1186" si="249">+SUM(W1187:W1194)</f>
        <v>11769125</v>
      </c>
      <c r="X1186" s="380">
        <f t="shared" si="249"/>
        <v>599754.01500000001</v>
      </c>
      <c r="Y1186" s="845">
        <f t="shared" si="249"/>
        <v>1336897.3999999999</v>
      </c>
      <c r="Z1186" s="380">
        <f t="shared" si="249"/>
        <v>11863900</v>
      </c>
      <c r="AA1186" s="380">
        <f t="shared" si="249"/>
        <v>699754.01500000001</v>
      </c>
      <c r="AB1186" s="380">
        <f t="shared" si="249"/>
        <v>0</v>
      </c>
      <c r="AC1186" s="380">
        <f t="shared" si="249"/>
        <v>14286075</v>
      </c>
      <c r="AD1186" s="380">
        <f t="shared" si="249"/>
        <v>599754.01500000001</v>
      </c>
      <c r="AE1186" s="380">
        <f t="shared" si="249"/>
        <v>0</v>
      </c>
      <c r="AF1186" s="380">
        <f t="shared" si="249"/>
        <v>0</v>
      </c>
      <c r="AG1186" s="380">
        <f t="shared" si="249"/>
        <v>20203150</v>
      </c>
      <c r="AH1186" s="380">
        <f>+SUM(AH1187:AH1194)</f>
        <v>2599016.06</v>
      </c>
      <c r="AI1186" s="198"/>
      <c r="AJ1186" s="198">
        <f>SUM(AJ1187:AJ1194)</f>
        <v>4528763.84</v>
      </c>
      <c r="AK1186" s="198"/>
      <c r="AL1186" s="198"/>
      <c r="AM1186" s="198"/>
      <c r="AN1186" s="82" t="s">
        <v>181</v>
      </c>
      <c r="AO1186" s="320"/>
      <c r="AP1186" s="320"/>
      <c r="AQ1186" s="423"/>
      <c r="AR1186" s="82"/>
      <c r="AS1186" s="489"/>
      <c r="AT1186" s="82"/>
      <c r="AU1186" s="666"/>
      <c r="AV1186" s="491"/>
    </row>
    <row r="1187" spans="1:48" ht="15" customHeight="1" outlineLevel="3" x14ac:dyDescent="0.25">
      <c r="A1187" s="63" t="str">
        <f t="shared" si="225"/>
        <v>4.14.3.2.1.59</v>
      </c>
      <c r="B1187" s="64">
        <v>4</v>
      </c>
      <c r="C1187" s="64">
        <v>14</v>
      </c>
      <c r="D1187" s="64">
        <v>3</v>
      </c>
      <c r="E1187" s="64">
        <v>2</v>
      </c>
      <c r="F1187" s="64">
        <v>1</v>
      </c>
      <c r="G1187" s="64">
        <v>59</v>
      </c>
      <c r="H1187" s="65"/>
      <c r="I1187" s="65"/>
      <c r="J1187" s="66"/>
      <c r="K1187" s="65" t="s">
        <v>1451</v>
      </c>
      <c r="L1187" s="64" t="s">
        <v>1452</v>
      </c>
      <c r="M1187" s="64" t="s">
        <v>1453</v>
      </c>
      <c r="N1187" s="64" t="s">
        <v>1444</v>
      </c>
      <c r="O1187" s="64" t="s">
        <v>1204</v>
      </c>
      <c r="P1187" s="69">
        <v>44571</v>
      </c>
      <c r="Q1187" s="69">
        <v>44925</v>
      </c>
      <c r="R1187" s="277">
        <v>95000</v>
      </c>
      <c r="S1187" s="170" t="s">
        <v>1454</v>
      </c>
      <c r="T1187" s="98"/>
      <c r="U1187" s="154"/>
      <c r="V1187" s="674">
        <v>0</v>
      </c>
      <c r="W1187" s="97">
        <v>5225</v>
      </c>
      <c r="X1187" s="97"/>
      <c r="Y1187" s="834">
        <f t="shared" ref="Y1187:Y1194" si="250">+AJ1187-V1187</f>
        <v>0</v>
      </c>
      <c r="Z1187" s="97"/>
      <c r="AA1187" s="97"/>
      <c r="AB1187" s="97"/>
      <c r="AC1187" s="97">
        <v>4275</v>
      </c>
      <c r="AD1187" s="97"/>
      <c r="AE1187" s="591"/>
      <c r="AF1187" s="353"/>
      <c r="AG1187" s="518">
        <v>0</v>
      </c>
      <c r="AH1187" s="377">
        <v>0</v>
      </c>
      <c r="AI1187" s="132"/>
      <c r="AJ1187" s="132"/>
      <c r="AK1187" s="132"/>
      <c r="AL1187" s="132"/>
      <c r="AM1187" s="132"/>
      <c r="AN1187" s="64" t="s">
        <v>181</v>
      </c>
      <c r="AO1187" s="64"/>
      <c r="AP1187" s="64"/>
      <c r="AQ1187" s="64"/>
      <c r="AR1187" s="64"/>
      <c r="AS1187" s="64"/>
      <c r="AT1187" s="64"/>
      <c r="AU1187" s="646"/>
      <c r="AV1187" s="491"/>
    </row>
    <row r="1188" spans="1:48" ht="15" customHeight="1" outlineLevel="3" x14ac:dyDescent="0.25">
      <c r="A1188" s="63" t="str">
        <f t="shared" si="225"/>
        <v>4.14.3.2.2.59</v>
      </c>
      <c r="B1188" s="64">
        <v>4</v>
      </c>
      <c r="C1188" s="64">
        <v>14</v>
      </c>
      <c r="D1188" s="64">
        <v>3</v>
      </c>
      <c r="E1188" s="64">
        <v>2</v>
      </c>
      <c r="F1188" s="64">
        <v>2</v>
      </c>
      <c r="G1188" s="100">
        <v>59</v>
      </c>
      <c r="H1188" s="65"/>
      <c r="I1188" s="65"/>
      <c r="J1188" s="66"/>
      <c r="K1188" s="65" t="s">
        <v>1455</v>
      </c>
      <c r="L1188" s="64" t="s">
        <v>1452</v>
      </c>
      <c r="M1188" s="64" t="s">
        <v>535</v>
      </c>
      <c r="N1188" s="64" t="s">
        <v>1444</v>
      </c>
      <c r="O1188" s="64" t="s">
        <v>1335</v>
      </c>
      <c r="P1188" s="69">
        <v>44571</v>
      </c>
      <c r="Q1188" s="69">
        <v>44925</v>
      </c>
      <c r="R1188" s="124">
        <f>494000/2</f>
        <v>247000</v>
      </c>
      <c r="S1188" s="65" t="s">
        <v>1456</v>
      </c>
      <c r="T1188" s="64"/>
      <c r="U1188" s="75"/>
      <c r="V1188" s="674">
        <v>0</v>
      </c>
      <c r="W1188" s="75">
        <f>+AH1188/2</f>
        <v>0</v>
      </c>
      <c r="X1188" s="75"/>
      <c r="Y1188" s="834">
        <f t="shared" si="250"/>
        <v>0</v>
      </c>
      <c r="Z1188" s="75">
        <f>+AH1188/2</f>
        <v>0</v>
      </c>
      <c r="AA1188" s="75"/>
      <c r="AB1188" s="75"/>
      <c r="AC1188" s="97"/>
      <c r="AD1188" s="97"/>
      <c r="AE1188" s="591"/>
      <c r="AF1188" s="259" t="s">
        <v>535</v>
      </c>
      <c r="AG1188" s="518">
        <v>1111500</v>
      </c>
      <c r="AH1188" s="377">
        <v>0</v>
      </c>
      <c r="AI1188" s="132"/>
      <c r="AJ1188" s="132"/>
      <c r="AK1188" s="132"/>
      <c r="AL1188" s="132"/>
      <c r="AM1188" s="132"/>
      <c r="AN1188" s="64" t="s">
        <v>181</v>
      </c>
      <c r="AO1188" s="64"/>
      <c r="AP1188" s="64"/>
      <c r="AQ1188" s="64"/>
      <c r="AR1188" s="64"/>
      <c r="AS1188" s="64"/>
      <c r="AT1188" s="64"/>
      <c r="AU1188" s="646"/>
      <c r="AV1188" s="491"/>
    </row>
    <row r="1189" spans="1:48" ht="90" outlineLevel="3" x14ac:dyDescent="0.25">
      <c r="A1189" s="63" t="str">
        <f t="shared" si="225"/>
        <v>4.14.3.2.3.59</v>
      </c>
      <c r="B1189" s="64">
        <v>4</v>
      </c>
      <c r="C1189" s="64">
        <v>14</v>
      </c>
      <c r="D1189" s="64">
        <v>3</v>
      </c>
      <c r="E1189" s="64">
        <v>2</v>
      </c>
      <c r="F1189" s="64">
        <v>3</v>
      </c>
      <c r="G1189" s="100">
        <v>59</v>
      </c>
      <c r="H1189" s="65"/>
      <c r="I1189" s="65"/>
      <c r="J1189" s="66"/>
      <c r="K1189" s="65" t="s">
        <v>1457</v>
      </c>
      <c r="L1189" s="64" t="s">
        <v>72</v>
      </c>
      <c r="M1189" s="64" t="s">
        <v>1458</v>
      </c>
      <c r="N1189" s="64" t="s">
        <v>1444</v>
      </c>
      <c r="O1189" s="64" t="s">
        <v>1445</v>
      </c>
      <c r="P1189" s="69">
        <v>44571</v>
      </c>
      <c r="Q1189" s="69">
        <v>44925</v>
      </c>
      <c r="R1189" s="124">
        <v>252</v>
      </c>
      <c r="S1189" s="65" t="s">
        <v>1459</v>
      </c>
      <c r="T1189" s="278">
        <f>252*125*22*12/4</f>
        <v>2079000</v>
      </c>
      <c r="U1189" s="97">
        <f>$AH1189/4</f>
        <v>547554.01500000001</v>
      </c>
      <c r="V1189" s="674">
        <v>0</v>
      </c>
      <c r="W1189" s="97">
        <f>252*125*22*12/4</f>
        <v>2079000</v>
      </c>
      <c r="X1189" s="97">
        <f>$AH1189/4</f>
        <v>547554.01500000001</v>
      </c>
      <c r="Y1189" s="834">
        <f t="shared" si="250"/>
        <v>1064897.3999999999</v>
      </c>
      <c r="Z1189" s="97">
        <f>252*125*22*12/4</f>
        <v>2079000</v>
      </c>
      <c r="AA1189" s="97">
        <f>$AH1189/4</f>
        <v>547554.01500000001</v>
      </c>
      <c r="AB1189" s="97"/>
      <c r="AC1189" s="97">
        <f>252*125*22*12/4</f>
        <v>2079000</v>
      </c>
      <c r="AD1189" s="97">
        <f>$AH1189/4</f>
        <v>547554.01500000001</v>
      </c>
      <c r="AE1189" s="591"/>
      <c r="AF1189" s="259" t="s">
        <v>1457</v>
      </c>
      <c r="AG1189" s="518">
        <v>693000</v>
      </c>
      <c r="AH1189" s="377">
        <v>2190216.06</v>
      </c>
      <c r="AI1189" s="132"/>
      <c r="AJ1189" s="75">
        <f>173563.43+891333.97</f>
        <v>1064897.3999999999</v>
      </c>
      <c r="AK1189" s="132"/>
      <c r="AL1189" s="132"/>
      <c r="AM1189" s="132"/>
      <c r="AN1189" s="64" t="s">
        <v>181</v>
      </c>
      <c r="AO1189" s="64" t="s">
        <v>1819</v>
      </c>
      <c r="AP1189" s="64" t="s">
        <v>2175</v>
      </c>
      <c r="AQ1189" s="64" t="s">
        <v>2176</v>
      </c>
      <c r="AR1189" s="69">
        <v>44648</v>
      </c>
      <c r="AS1189" s="69">
        <v>44832</v>
      </c>
      <c r="AT1189" s="64" t="s">
        <v>2029</v>
      </c>
      <c r="AU1189" s="879" t="s">
        <v>2174</v>
      </c>
      <c r="AV1189" s="67" t="s">
        <v>2177</v>
      </c>
    </row>
    <row r="1190" spans="1:48" ht="14.45" customHeight="1" outlineLevel="3" x14ac:dyDescent="0.25">
      <c r="A1190" s="63" t="str">
        <f t="shared" si="225"/>
        <v>4.14.3.2.4.59</v>
      </c>
      <c r="B1190" s="64">
        <v>4</v>
      </c>
      <c r="C1190" s="64">
        <v>14</v>
      </c>
      <c r="D1190" s="64">
        <v>3</v>
      </c>
      <c r="E1190" s="64">
        <v>2</v>
      </c>
      <c r="F1190" s="64">
        <v>4</v>
      </c>
      <c r="G1190" s="64">
        <v>59</v>
      </c>
      <c r="H1190" s="65"/>
      <c r="I1190" s="65"/>
      <c r="J1190" s="66"/>
      <c r="K1190" s="67" t="s">
        <v>1460</v>
      </c>
      <c r="L1190" s="64" t="s">
        <v>72</v>
      </c>
      <c r="M1190" s="64" t="s">
        <v>76</v>
      </c>
      <c r="N1190" s="64" t="s">
        <v>1444</v>
      </c>
      <c r="O1190" s="64" t="s">
        <v>1445</v>
      </c>
      <c r="P1190" s="69">
        <v>44571</v>
      </c>
      <c r="Q1190" s="69">
        <v>44925</v>
      </c>
      <c r="R1190" s="124">
        <v>2</v>
      </c>
      <c r="S1190" s="65" t="s">
        <v>1461</v>
      </c>
      <c r="T1190" s="279">
        <f>+AH1190/2</f>
        <v>100000</v>
      </c>
      <c r="U1190" s="97">
        <f>$AH1190/2</f>
        <v>100000</v>
      </c>
      <c r="V1190" s="702">
        <v>15966.44</v>
      </c>
      <c r="W1190" s="75"/>
      <c r="X1190" s="75"/>
      <c r="Y1190" s="834">
        <f t="shared" si="250"/>
        <v>0</v>
      </c>
      <c r="Z1190" s="75">
        <f>+AH1190/2</f>
        <v>100000</v>
      </c>
      <c r="AA1190" s="75">
        <f>+AH1190/2</f>
        <v>100000</v>
      </c>
      <c r="AB1190" s="75"/>
      <c r="AC1190" s="97"/>
      <c r="AD1190" s="97"/>
      <c r="AE1190" s="591"/>
      <c r="AF1190" s="259" t="s">
        <v>1462</v>
      </c>
      <c r="AG1190" s="518">
        <v>322000</v>
      </c>
      <c r="AH1190" s="370">
        <v>200000</v>
      </c>
      <c r="AI1190" s="132"/>
      <c r="AJ1190" s="552">
        <v>15966.44</v>
      </c>
      <c r="AK1190" s="555"/>
      <c r="AL1190" s="555"/>
      <c r="AM1190" s="555"/>
      <c r="AN1190" s="533" t="s">
        <v>181</v>
      </c>
      <c r="AO1190" s="533" t="s">
        <v>1819</v>
      </c>
      <c r="AP1190" s="538" t="s">
        <v>1824</v>
      </c>
      <c r="AQ1190" s="538" t="s">
        <v>1825</v>
      </c>
      <c r="AR1190" s="189" t="s">
        <v>1826</v>
      </c>
      <c r="AS1190" s="554">
        <v>44509</v>
      </c>
      <c r="AT1190" s="554">
        <v>44441</v>
      </c>
      <c r="AU1190" s="646">
        <v>124</v>
      </c>
      <c r="AV1190" s="495"/>
    </row>
    <row r="1191" spans="1:48" s="212" customFormat="1" ht="17.25" customHeight="1" outlineLevel="3" x14ac:dyDescent="0.25">
      <c r="A1191" s="210" t="str">
        <f t="shared" si="225"/>
        <v>4.14.3.2.5.59</v>
      </c>
      <c r="B1191" s="136">
        <v>4</v>
      </c>
      <c r="C1191" s="136">
        <v>14</v>
      </c>
      <c r="D1191" s="136">
        <v>3</v>
      </c>
      <c r="E1191" s="136">
        <v>2</v>
      </c>
      <c r="F1191" s="136">
        <v>5</v>
      </c>
      <c r="G1191" s="136">
        <v>59</v>
      </c>
      <c r="H1191" s="125"/>
      <c r="I1191" s="125"/>
      <c r="J1191" s="213"/>
      <c r="K1191" s="125" t="s">
        <v>1463</v>
      </c>
      <c r="L1191" s="136" t="s">
        <v>1452</v>
      </c>
      <c r="M1191" s="136" t="s">
        <v>1464</v>
      </c>
      <c r="N1191" s="136" t="s">
        <v>1444</v>
      </c>
      <c r="O1191" s="136" t="s">
        <v>1204</v>
      </c>
      <c r="P1191" s="214">
        <v>44571</v>
      </c>
      <c r="Q1191" s="214">
        <v>44925</v>
      </c>
      <c r="R1191" s="136">
        <v>12</v>
      </c>
      <c r="S1191" s="125" t="s">
        <v>1465</v>
      </c>
      <c r="T1191" s="124">
        <f>+$AH1191/4</f>
        <v>52200</v>
      </c>
      <c r="U1191" s="97">
        <f>$AH1191/4</f>
        <v>52200</v>
      </c>
      <c r="V1191" s="674">
        <v>0</v>
      </c>
      <c r="W1191" s="75">
        <f>+$AH1191/4</f>
        <v>52200</v>
      </c>
      <c r="X1191" s="97">
        <f>$AH1191/4</f>
        <v>52200</v>
      </c>
      <c r="Y1191" s="834">
        <f t="shared" si="250"/>
        <v>0</v>
      </c>
      <c r="Z1191" s="75">
        <f>+$AH1191/4</f>
        <v>52200</v>
      </c>
      <c r="AA1191" s="97">
        <f>$AH1191/4</f>
        <v>52200</v>
      </c>
      <c r="AB1191" s="97"/>
      <c r="AC1191" s="75">
        <f>+$AH1191/4</f>
        <v>52200</v>
      </c>
      <c r="AD1191" s="97">
        <f>$AH1191/4</f>
        <v>52200</v>
      </c>
      <c r="AE1191" s="591"/>
      <c r="AF1191" s="349" t="s">
        <v>1466</v>
      </c>
      <c r="AG1191" s="518">
        <v>208800</v>
      </c>
      <c r="AH1191" s="377">
        <v>208800</v>
      </c>
      <c r="AI1191" s="132"/>
      <c r="AJ1191" s="132"/>
      <c r="AK1191" s="132"/>
      <c r="AL1191" s="132"/>
      <c r="AM1191" s="132"/>
      <c r="AN1191" s="136" t="s">
        <v>181</v>
      </c>
      <c r="AO1191" s="136"/>
      <c r="AP1191" s="136"/>
      <c r="AQ1191" s="136"/>
      <c r="AR1191" s="136"/>
      <c r="AS1191" s="136"/>
      <c r="AT1191" s="136"/>
      <c r="AU1191" s="646"/>
      <c r="AV1191" s="491"/>
    </row>
    <row r="1192" spans="1:48" ht="15" customHeight="1" outlineLevel="3" x14ac:dyDescent="0.25">
      <c r="A1192" s="63" t="str">
        <f t="shared" si="225"/>
        <v>4.14.3.2.6.59</v>
      </c>
      <c r="B1192" s="64">
        <v>4</v>
      </c>
      <c r="C1192" s="64">
        <v>14</v>
      </c>
      <c r="D1192" s="64">
        <v>3</v>
      </c>
      <c r="E1192" s="64">
        <v>2</v>
      </c>
      <c r="F1192" s="64">
        <v>6</v>
      </c>
      <c r="G1192" s="64">
        <v>59</v>
      </c>
      <c r="H1192" s="65"/>
      <c r="I1192" s="65"/>
      <c r="J1192" s="66"/>
      <c r="K1192" s="65" t="s">
        <v>1467</v>
      </c>
      <c r="L1192" s="64" t="s">
        <v>264</v>
      </c>
      <c r="M1192" s="64" t="s">
        <v>144</v>
      </c>
      <c r="N1192" s="64" t="s">
        <v>1476</v>
      </c>
      <c r="O1192" s="64" t="s">
        <v>668</v>
      </c>
      <c r="P1192" s="69">
        <v>44571</v>
      </c>
      <c r="Q1192" s="69">
        <v>44925</v>
      </c>
      <c r="R1192" s="64">
        <v>252</v>
      </c>
      <c r="S1192" s="65" t="s">
        <v>1468</v>
      </c>
      <c r="T1192" s="64"/>
      <c r="U1192" s="97"/>
      <c r="V1192" s="674">
        <v>0</v>
      </c>
      <c r="W1192" s="75"/>
      <c r="X1192" s="75"/>
      <c r="Y1192" s="834">
        <f t="shared" si="250"/>
        <v>0</v>
      </c>
      <c r="Z1192" s="75"/>
      <c r="AA1192" s="75"/>
      <c r="AB1192" s="75"/>
      <c r="AC1192" s="132">
        <f>+(21*500*22)+(231*450*22)</f>
        <v>2517900</v>
      </c>
      <c r="AD1192" s="132"/>
      <c r="AE1192" s="598"/>
      <c r="AF1192" s="259"/>
      <c r="AG1192" s="518">
        <v>1374450</v>
      </c>
      <c r="AH1192" s="377">
        <v>0</v>
      </c>
      <c r="AI1192" s="132"/>
      <c r="AJ1192" s="132"/>
      <c r="AK1192" s="132"/>
      <c r="AL1192" s="132"/>
      <c r="AM1192" s="132"/>
      <c r="AN1192" s="64" t="s">
        <v>181</v>
      </c>
      <c r="AO1192" s="64"/>
      <c r="AP1192" s="64"/>
      <c r="AQ1192" s="64"/>
      <c r="AR1192" s="64"/>
      <c r="AS1192" s="64"/>
      <c r="AT1192" s="64"/>
      <c r="AU1192" s="646"/>
      <c r="AV1192" s="491"/>
    </row>
    <row r="1193" spans="1:48" ht="20.100000000000001" customHeight="1" outlineLevel="3" x14ac:dyDescent="0.25">
      <c r="A1193" s="63" t="str">
        <f t="shared" si="225"/>
        <v>4.14.3.2.7.59</v>
      </c>
      <c r="B1193" s="64">
        <v>4</v>
      </c>
      <c r="C1193" s="64">
        <v>14</v>
      </c>
      <c r="D1193" s="64">
        <v>3</v>
      </c>
      <c r="E1193" s="64">
        <v>2</v>
      </c>
      <c r="F1193" s="64">
        <v>7</v>
      </c>
      <c r="G1193" s="64">
        <v>59</v>
      </c>
      <c r="H1193" s="65"/>
      <c r="I1193" s="65"/>
      <c r="J1193" s="65"/>
      <c r="K1193" s="65" t="s">
        <v>1884</v>
      </c>
      <c r="L1193" s="64" t="s">
        <v>264</v>
      </c>
      <c r="M1193" s="64" t="s">
        <v>144</v>
      </c>
      <c r="N1193" s="64" t="s">
        <v>265</v>
      </c>
      <c r="O1193" s="64" t="s">
        <v>668</v>
      </c>
      <c r="P1193" s="69">
        <v>44571</v>
      </c>
      <c r="Q1193" s="69">
        <v>44925</v>
      </c>
      <c r="R1193" s="124">
        <v>231</v>
      </c>
      <c r="S1193" s="65" t="s">
        <v>1470</v>
      </c>
      <c r="T1193" s="225">
        <f>+(21*500*22*12)+(231*450*22*12)/4</f>
        <v>9632700</v>
      </c>
      <c r="U1193" s="78">
        <v>4336937</v>
      </c>
      <c r="V1193" s="702">
        <v>3175900</v>
      </c>
      <c r="W1193" s="132">
        <f>+(21*500*22*12)+(231*450*22*12)/4</f>
        <v>9632700</v>
      </c>
      <c r="X1193" s="78"/>
      <c r="Y1193" s="834">
        <f t="shared" si="250"/>
        <v>272000</v>
      </c>
      <c r="Z1193" s="132">
        <f>+(21*500*22*12)+(231*450*22*12)/4</f>
        <v>9632700</v>
      </c>
      <c r="AA1193" s="97">
        <v>0</v>
      </c>
      <c r="AB1193" s="97"/>
      <c r="AC1193" s="132">
        <f>+(21*500*22*12)+(231*450*22*12)/4</f>
        <v>9632700</v>
      </c>
      <c r="AD1193" s="97">
        <v>0</v>
      </c>
      <c r="AE1193" s="591"/>
      <c r="AF1193" s="259" t="s">
        <v>1477</v>
      </c>
      <c r="AG1193" s="518">
        <v>16493400</v>
      </c>
      <c r="AH1193" s="370">
        <v>0</v>
      </c>
      <c r="AI1193" s="565"/>
      <c r="AJ1193" s="565">
        <f>1188450+1019650+967800+93500+80750+97750</f>
        <v>3447900</v>
      </c>
      <c r="AK1193" s="281"/>
      <c r="AL1193" s="281"/>
      <c r="AM1193" s="281"/>
      <c r="AN1193" s="64" t="s">
        <v>181</v>
      </c>
      <c r="AO1193" s="533" t="s">
        <v>1839</v>
      </c>
      <c r="AP1193" s="533" t="s">
        <v>649</v>
      </c>
      <c r="AQ1193" s="533" t="s">
        <v>649</v>
      </c>
      <c r="AR1193" s="554">
        <v>44562</v>
      </c>
      <c r="AS1193" s="554">
        <v>44561</v>
      </c>
      <c r="AT1193" s="64" t="s">
        <v>1814</v>
      </c>
      <c r="AU1193" s="877" t="s">
        <v>2081</v>
      </c>
      <c r="AV1193" s="638" t="s">
        <v>2082</v>
      </c>
    </row>
    <row r="1194" spans="1:48" s="284" customFormat="1" ht="27.6" customHeight="1" outlineLevel="3" x14ac:dyDescent="0.25">
      <c r="A1194" s="210" t="str">
        <f t="shared" si="225"/>
        <v>4.14.3.2.8.59</v>
      </c>
      <c r="B1194" s="136">
        <v>4</v>
      </c>
      <c r="C1194" s="136">
        <v>14</v>
      </c>
      <c r="D1194" s="136">
        <v>3</v>
      </c>
      <c r="E1194" s="136">
        <v>2</v>
      </c>
      <c r="F1194" s="136">
        <v>8</v>
      </c>
      <c r="G1194" s="136">
        <v>59</v>
      </c>
      <c r="H1194" s="133"/>
      <c r="I1194" s="133"/>
      <c r="J1194" s="133"/>
      <c r="K1194" s="125" t="s">
        <v>1472</v>
      </c>
      <c r="L1194" s="136" t="s">
        <v>72</v>
      </c>
      <c r="M1194" s="136" t="s">
        <v>1473</v>
      </c>
      <c r="N1194" s="136" t="s">
        <v>1249</v>
      </c>
      <c r="O1194" s="136" t="s">
        <v>72</v>
      </c>
      <c r="P1194" s="214">
        <v>44571</v>
      </c>
      <c r="Q1194" s="214">
        <v>44925</v>
      </c>
      <c r="R1194" s="282"/>
      <c r="S1194" s="133"/>
      <c r="T1194" s="282"/>
      <c r="U1194" s="127"/>
      <c r="V1194" s="674">
        <v>0</v>
      </c>
      <c r="W1194" s="127"/>
      <c r="X1194" s="127"/>
      <c r="Y1194" s="834">
        <f t="shared" si="250"/>
        <v>0</v>
      </c>
      <c r="Z1194" s="127"/>
      <c r="AA1194" s="127"/>
      <c r="AB1194" s="127"/>
      <c r="AC1194" s="283"/>
      <c r="AD1194" s="283"/>
      <c r="AE1194" s="615"/>
      <c r="AF1194" s="366"/>
      <c r="AG1194" s="518">
        <v>0</v>
      </c>
      <c r="AH1194" s="377">
        <v>0</v>
      </c>
      <c r="AI1194" s="132"/>
      <c r="AJ1194" s="132"/>
      <c r="AK1194" s="132"/>
      <c r="AL1194" s="132"/>
      <c r="AM1194" s="132"/>
      <c r="AN1194" s="136" t="s">
        <v>181</v>
      </c>
      <c r="AO1194" s="321"/>
      <c r="AP1194" s="321"/>
      <c r="AQ1194" s="317"/>
      <c r="AR1194" s="571"/>
      <c r="AS1194" s="478"/>
      <c r="AT1194" s="136"/>
      <c r="AU1194" s="646"/>
      <c r="AV1194" s="491"/>
    </row>
    <row r="1195" spans="1:48" s="153" customFormat="1" ht="51.75" customHeight="1" outlineLevel="2" x14ac:dyDescent="0.25">
      <c r="A1195" s="148" t="str">
        <f t="shared" si="225"/>
        <v>4.14.3.3.0.0</v>
      </c>
      <c r="B1195" s="82">
        <v>4</v>
      </c>
      <c r="C1195" s="82">
        <v>14</v>
      </c>
      <c r="D1195" s="82">
        <v>3</v>
      </c>
      <c r="E1195" s="82">
        <v>3</v>
      </c>
      <c r="F1195" s="82">
        <v>0</v>
      </c>
      <c r="G1195" s="82">
        <v>0</v>
      </c>
      <c r="H1195" s="149"/>
      <c r="I1195" s="149"/>
      <c r="J1195" s="1260" t="s">
        <v>1478</v>
      </c>
      <c r="K1195" s="1259"/>
      <c r="L1195" s="82" t="s">
        <v>1475</v>
      </c>
      <c r="M1195" s="83" t="s">
        <v>1449</v>
      </c>
      <c r="N1195" s="82" t="s">
        <v>1444</v>
      </c>
      <c r="O1195" s="82" t="s">
        <v>1445</v>
      </c>
      <c r="P1195" s="82"/>
      <c r="Q1195" s="82"/>
      <c r="R1195" s="82"/>
      <c r="S1195" s="149"/>
      <c r="T1195" s="82"/>
      <c r="U1195" s="209">
        <f>SUM(U1196:U1203)</f>
        <v>5302955</v>
      </c>
      <c r="V1195" s="683">
        <f>SUM(V1196:V1203)</f>
        <v>2112366.44</v>
      </c>
      <c r="W1195" s="380">
        <f t="shared" ref="W1195:AG1195" si="251">+SUM(W1196:W1203)</f>
        <v>160600</v>
      </c>
      <c r="X1195" s="380">
        <f>+SUM(X1196:X1203)</f>
        <v>52200</v>
      </c>
      <c r="Y1195" s="845">
        <f t="shared" si="251"/>
        <v>1350297.39</v>
      </c>
      <c r="Z1195" s="380">
        <f t="shared" si="251"/>
        <v>570200</v>
      </c>
      <c r="AA1195" s="380">
        <f t="shared" si="251"/>
        <v>152200</v>
      </c>
      <c r="AB1195" s="380">
        <f t="shared" si="251"/>
        <v>0</v>
      </c>
      <c r="AC1195" s="380">
        <f t="shared" si="251"/>
        <v>1233900</v>
      </c>
      <c r="AD1195" s="380">
        <f t="shared" si="251"/>
        <v>641250</v>
      </c>
      <c r="AE1195" s="380">
        <f t="shared" si="251"/>
        <v>0</v>
      </c>
      <c r="AF1195" s="380">
        <f t="shared" si="251"/>
        <v>0</v>
      </c>
      <c r="AG1195" s="380">
        <f t="shared" si="251"/>
        <v>17330100</v>
      </c>
      <c r="AH1195" s="380">
        <f>+SUM(AH1196:AH1203)</f>
        <v>3930900</v>
      </c>
      <c r="AI1195" s="513">
        <f>+SUM(AI1196:AI1203)</f>
        <v>0</v>
      </c>
      <c r="AJ1195" s="513">
        <f>+SUM(AJ1196:AJ1203)</f>
        <v>3462663.83</v>
      </c>
      <c r="AK1195" s="198"/>
      <c r="AL1195" s="198"/>
      <c r="AM1195" s="198"/>
      <c r="AN1195" s="82" t="s">
        <v>181</v>
      </c>
      <c r="AO1195" s="82"/>
      <c r="AP1195" s="82"/>
      <c r="AQ1195" s="82"/>
      <c r="AR1195" s="82"/>
      <c r="AS1195" s="82"/>
      <c r="AT1195" s="82"/>
      <c r="AU1195" s="666"/>
      <c r="AV1195" s="491"/>
    </row>
    <row r="1196" spans="1:48" ht="15" customHeight="1" outlineLevel="3" x14ac:dyDescent="0.25">
      <c r="A1196" s="63" t="str">
        <f t="shared" si="225"/>
        <v>4.14.3.3.1.63</v>
      </c>
      <c r="B1196" s="64">
        <v>4</v>
      </c>
      <c r="C1196" s="64">
        <v>14</v>
      </c>
      <c r="D1196" s="64">
        <v>3</v>
      </c>
      <c r="E1196" s="64">
        <v>3</v>
      </c>
      <c r="F1196" s="64">
        <v>1</v>
      </c>
      <c r="G1196" s="64">
        <v>63</v>
      </c>
      <c r="H1196" s="65"/>
      <c r="I1196" s="65"/>
      <c r="J1196" s="66"/>
      <c r="K1196" s="65" t="s">
        <v>1451</v>
      </c>
      <c r="L1196" s="64" t="s">
        <v>1452</v>
      </c>
      <c r="M1196" s="64" t="s">
        <v>1453</v>
      </c>
      <c r="N1196" s="64" t="s">
        <v>1444</v>
      </c>
      <c r="O1196" s="64" t="s">
        <v>1204</v>
      </c>
      <c r="P1196" s="69">
        <v>44571</v>
      </c>
      <c r="Q1196" s="69">
        <v>44925</v>
      </c>
      <c r="R1196" s="170">
        <v>8000</v>
      </c>
      <c r="S1196" s="170" t="s">
        <v>1454</v>
      </c>
      <c r="T1196" s="98">
        <v>0</v>
      </c>
      <c r="U1196" s="75">
        <f>$AH1196/4</f>
        <v>0</v>
      </c>
      <c r="V1196" s="674">
        <v>0</v>
      </c>
      <c r="W1196" s="97">
        <v>4400</v>
      </c>
      <c r="X1196" s="97"/>
      <c r="Y1196" s="834">
        <f t="shared" ref="Y1196:Y1203" si="252">+AJ1196-V1196</f>
        <v>0</v>
      </c>
      <c r="Z1196" s="97"/>
      <c r="AA1196" s="97"/>
      <c r="AB1196" s="97"/>
      <c r="AC1196" s="97">
        <v>3600</v>
      </c>
      <c r="AD1196" s="97"/>
      <c r="AE1196" s="591"/>
      <c r="AF1196" s="259"/>
      <c r="AG1196" s="518">
        <v>0</v>
      </c>
      <c r="AH1196" s="377">
        <v>0</v>
      </c>
      <c r="AI1196" s="132"/>
      <c r="AJ1196" s="132"/>
      <c r="AK1196" s="132"/>
      <c r="AL1196" s="132"/>
      <c r="AM1196" s="132"/>
      <c r="AN1196" s="64" t="s">
        <v>181</v>
      </c>
      <c r="AO1196" s="319"/>
      <c r="AP1196" s="319"/>
      <c r="AQ1196" s="316"/>
      <c r="AR1196" s="245"/>
      <c r="AS1196" s="272"/>
      <c r="AT1196" s="64"/>
      <c r="AU1196" s="646"/>
      <c r="AV1196" s="491"/>
    </row>
    <row r="1197" spans="1:48" ht="15" customHeight="1" outlineLevel="3" x14ac:dyDescent="0.25">
      <c r="A1197" s="63" t="str">
        <f t="shared" si="225"/>
        <v>4.14.3.3.2.63</v>
      </c>
      <c r="B1197" s="64">
        <v>4</v>
      </c>
      <c r="C1197" s="64">
        <v>14</v>
      </c>
      <c r="D1197" s="64">
        <v>3</v>
      </c>
      <c r="E1197" s="64">
        <v>3</v>
      </c>
      <c r="F1197" s="64">
        <v>2</v>
      </c>
      <c r="G1197" s="100">
        <v>63</v>
      </c>
      <c r="H1197" s="65"/>
      <c r="I1197" s="65"/>
      <c r="J1197" s="66"/>
      <c r="K1197" s="65" t="s">
        <v>1455</v>
      </c>
      <c r="L1197" s="64" t="s">
        <v>1452</v>
      </c>
      <c r="M1197" s="64" t="s">
        <v>535</v>
      </c>
      <c r="N1197" s="64" t="s">
        <v>1444</v>
      </c>
      <c r="O1197" s="64" t="s">
        <v>1335</v>
      </c>
      <c r="P1197" s="69">
        <v>44571</v>
      </c>
      <c r="Q1197" s="69">
        <v>44925</v>
      </c>
      <c r="R1197" s="124">
        <f>416000/2</f>
        <v>208000</v>
      </c>
      <c r="S1197" s="65" t="s">
        <v>1456</v>
      </c>
      <c r="T1197" s="285"/>
      <c r="U1197" s="75"/>
      <c r="V1197" s="674">
        <v>0</v>
      </c>
      <c r="W1197" s="286">
        <f>+R1197/2</f>
        <v>104000</v>
      </c>
      <c r="X1197" s="179">
        <f>$AH1197/2</f>
        <v>0</v>
      </c>
      <c r="Y1197" s="834">
        <f t="shared" si="252"/>
        <v>0</v>
      </c>
      <c r="Z1197" s="286">
        <f>+R1197/2</f>
        <v>104000</v>
      </c>
      <c r="AA1197" s="179">
        <f>$AH1197/2</f>
        <v>0</v>
      </c>
      <c r="AB1197" s="179"/>
      <c r="AC1197" s="97"/>
      <c r="AD1197" s="97"/>
      <c r="AE1197" s="591"/>
      <c r="AF1197" s="259" t="s">
        <v>535</v>
      </c>
      <c r="AG1197" s="518">
        <v>936000</v>
      </c>
      <c r="AH1197" s="377">
        <v>0</v>
      </c>
      <c r="AI1197" s="132"/>
      <c r="AJ1197" s="132"/>
      <c r="AK1197" s="132"/>
      <c r="AL1197" s="132"/>
      <c r="AM1197" s="132"/>
      <c r="AN1197" s="64" t="s">
        <v>181</v>
      </c>
      <c r="AO1197" s="319"/>
      <c r="AP1197" s="319"/>
      <c r="AQ1197" s="316"/>
      <c r="AR1197" s="64"/>
      <c r="AS1197" s="272"/>
      <c r="AT1197" s="64"/>
      <c r="AU1197" s="646"/>
      <c r="AV1197" s="491"/>
    </row>
    <row r="1198" spans="1:48" ht="14.45" customHeight="1" outlineLevel="3" x14ac:dyDescent="0.25">
      <c r="A1198" s="63" t="str">
        <f t="shared" si="225"/>
        <v>4.14.3.3.3.63</v>
      </c>
      <c r="B1198" s="64">
        <v>4</v>
      </c>
      <c r="C1198" s="64">
        <v>14</v>
      </c>
      <c r="D1198" s="64">
        <v>3</v>
      </c>
      <c r="E1198" s="64">
        <v>3</v>
      </c>
      <c r="F1198" s="64">
        <v>3</v>
      </c>
      <c r="G1198" s="100">
        <v>63</v>
      </c>
      <c r="H1198" s="65"/>
      <c r="I1198" s="65"/>
      <c r="J1198" s="66"/>
      <c r="K1198" s="65" t="s">
        <v>1457</v>
      </c>
      <c r="L1198" s="64" t="s">
        <v>72</v>
      </c>
      <c r="M1198" s="64" t="s">
        <v>1458</v>
      </c>
      <c r="N1198" s="64" t="s">
        <v>1444</v>
      </c>
      <c r="O1198" s="64" t="s">
        <v>1445</v>
      </c>
      <c r="P1198" s="69">
        <v>44571</v>
      </c>
      <c r="Q1198" s="69">
        <v>44925</v>
      </c>
      <c r="R1198" s="124">
        <v>216</v>
      </c>
      <c r="S1198" s="65" t="s">
        <v>1459</v>
      </c>
      <c r="T1198" s="124"/>
      <c r="U1198" s="75">
        <f>+AH1198</f>
        <v>2344000</v>
      </c>
      <c r="V1198" s="674">
        <v>0</v>
      </c>
      <c r="W1198" s="75"/>
      <c r="X1198" s="75"/>
      <c r="Y1198" s="834">
        <f t="shared" si="252"/>
        <v>1064897.3899999999</v>
      </c>
      <c r="Z1198" s="75"/>
      <c r="AA1198" s="75"/>
      <c r="AB1198" s="75"/>
      <c r="AC1198" s="97"/>
      <c r="AD1198" s="75"/>
      <c r="AE1198" s="592"/>
      <c r="AF1198" s="259" t="s">
        <v>1457</v>
      </c>
      <c r="AG1198" s="518">
        <v>594000</v>
      </c>
      <c r="AH1198" s="377">
        <v>2344000</v>
      </c>
      <c r="AI1198" s="132"/>
      <c r="AJ1198" s="75">
        <f>173563.42+891333.97</f>
        <v>1064897.3899999999</v>
      </c>
      <c r="AK1198" s="132"/>
      <c r="AL1198" s="132"/>
      <c r="AM1198" s="132"/>
      <c r="AN1198" s="64" t="s">
        <v>181</v>
      </c>
      <c r="AO1198" s="64" t="s">
        <v>1819</v>
      </c>
      <c r="AP1198" s="64" t="s">
        <v>2175</v>
      </c>
      <c r="AQ1198" s="64" t="s">
        <v>2176</v>
      </c>
      <c r="AR1198" s="69">
        <v>44648</v>
      </c>
      <c r="AS1198" s="69">
        <v>44832</v>
      </c>
      <c r="AT1198" s="64" t="s">
        <v>2029</v>
      </c>
      <c r="AU1198" s="879" t="s">
        <v>2174</v>
      </c>
      <c r="AV1198" s="67" t="s">
        <v>2177</v>
      </c>
    </row>
    <row r="1199" spans="1:48" ht="14.45" customHeight="1" outlineLevel="3" x14ac:dyDescent="0.25">
      <c r="A1199" s="63" t="str">
        <f t="shared" si="225"/>
        <v>4.14.3.3.4.63</v>
      </c>
      <c r="B1199" s="64">
        <v>4</v>
      </c>
      <c r="C1199" s="64">
        <v>14</v>
      </c>
      <c r="D1199" s="64">
        <v>3</v>
      </c>
      <c r="E1199" s="64">
        <v>3</v>
      </c>
      <c r="F1199" s="64">
        <v>4</v>
      </c>
      <c r="G1199" s="64">
        <v>63</v>
      </c>
      <c r="H1199" s="65"/>
      <c r="I1199" s="65"/>
      <c r="J1199" s="66"/>
      <c r="K1199" s="67" t="s">
        <v>1460</v>
      </c>
      <c r="L1199" s="64" t="s">
        <v>72</v>
      </c>
      <c r="M1199" s="64" t="s">
        <v>76</v>
      </c>
      <c r="N1199" s="64" t="s">
        <v>1444</v>
      </c>
      <c r="O1199" s="64" t="s">
        <v>1445</v>
      </c>
      <c r="P1199" s="69">
        <v>44571</v>
      </c>
      <c r="Q1199" s="69">
        <v>44925</v>
      </c>
      <c r="R1199" s="124">
        <v>2</v>
      </c>
      <c r="S1199" s="65" t="s">
        <v>1461</v>
      </c>
      <c r="T1199" s="225">
        <f>18*23000</f>
        <v>414000</v>
      </c>
      <c r="U1199" s="75">
        <f>$AH1199/2</f>
        <v>100000</v>
      </c>
      <c r="V1199" s="702">
        <v>15966.44</v>
      </c>
      <c r="W1199" s="75"/>
      <c r="X1199" s="75"/>
      <c r="Y1199" s="834">
        <f t="shared" si="252"/>
        <v>0</v>
      </c>
      <c r="Z1199" s="132">
        <f>18*23000</f>
        <v>414000</v>
      </c>
      <c r="AA1199" s="75">
        <f>$AH1199/2</f>
        <v>100000</v>
      </c>
      <c r="AB1199" s="75"/>
      <c r="AC1199" s="97"/>
      <c r="AD1199" s="97"/>
      <c r="AE1199" s="591"/>
      <c r="AF1199" s="259" t="s">
        <v>1462</v>
      </c>
      <c r="AG1199" s="518">
        <v>276000</v>
      </c>
      <c r="AH1199" s="370">
        <v>200000</v>
      </c>
      <c r="AI1199" s="132"/>
      <c r="AJ1199" s="552">
        <v>15966.44</v>
      </c>
      <c r="AK1199" s="132"/>
      <c r="AL1199" s="132"/>
      <c r="AM1199" s="132"/>
      <c r="AN1199" s="64" t="s">
        <v>181</v>
      </c>
      <c r="AO1199" s="319" t="s">
        <v>1819</v>
      </c>
      <c r="AP1199" s="319" t="s">
        <v>1824</v>
      </c>
      <c r="AQ1199" s="316" t="s">
        <v>1825</v>
      </c>
      <c r="AR1199" s="189" t="s">
        <v>1826</v>
      </c>
      <c r="AS1199" s="554">
        <v>44509</v>
      </c>
      <c r="AT1199" s="554">
        <v>44441</v>
      </c>
      <c r="AU1199" s="646">
        <v>124</v>
      </c>
      <c r="AV1199" s="495"/>
    </row>
    <row r="1200" spans="1:48" s="212" customFormat="1" ht="17.25" customHeight="1" outlineLevel="3" x14ac:dyDescent="0.25">
      <c r="A1200" s="210" t="str">
        <f t="shared" si="225"/>
        <v>4.14.3.3.5.63</v>
      </c>
      <c r="B1200" s="136">
        <v>4</v>
      </c>
      <c r="C1200" s="136">
        <v>14</v>
      </c>
      <c r="D1200" s="136">
        <v>3</v>
      </c>
      <c r="E1200" s="136">
        <v>3</v>
      </c>
      <c r="F1200" s="136">
        <v>5</v>
      </c>
      <c r="G1200" s="136">
        <v>63</v>
      </c>
      <c r="H1200" s="125"/>
      <c r="I1200" s="125"/>
      <c r="J1200" s="213"/>
      <c r="K1200" s="125" t="s">
        <v>1463</v>
      </c>
      <c r="L1200" s="136" t="s">
        <v>1452</v>
      </c>
      <c r="M1200" s="136" t="s">
        <v>1464</v>
      </c>
      <c r="N1200" s="136" t="s">
        <v>1444</v>
      </c>
      <c r="O1200" s="136" t="s">
        <v>1204</v>
      </c>
      <c r="P1200" s="214">
        <v>44571</v>
      </c>
      <c r="Q1200" s="214">
        <v>44925</v>
      </c>
      <c r="R1200" s="136">
        <v>12</v>
      </c>
      <c r="S1200" s="125" t="s">
        <v>1465</v>
      </c>
      <c r="T1200" s="124">
        <f>+$AH1200/4</f>
        <v>52200</v>
      </c>
      <c r="U1200" s="75">
        <f>$AH1200/4</f>
        <v>52200</v>
      </c>
      <c r="V1200" s="674">
        <v>0</v>
      </c>
      <c r="W1200" s="75">
        <f>+$AH1200/4</f>
        <v>52200</v>
      </c>
      <c r="X1200" s="75">
        <f>$AH1200/4</f>
        <v>52200</v>
      </c>
      <c r="Y1200" s="834">
        <f t="shared" si="252"/>
        <v>0</v>
      </c>
      <c r="Z1200" s="75">
        <f>+$AH1200/4</f>
        <v>52200</v>
      </c>
      <c r="AA1200" s="75">
        <f>$AH1200/4</f>
        <v>52200</v>
      </c>
      <c r="AB1200" s="75"/>
      <c r="AC1200" s="75">
        <f>+$AH1200/4</f>
        <v>52200</v>
      </c>
      <c r="AD1200" s="75">
        <f>$AH1200/4</f>
        <v>52200</v>
      </c>
      <c r="AE1200" s="592"/>
      <c r="AF1200" s="349" t="s">
        <v>1466</v>
      </c>
      <c r="AG1200" s="518">
        <v>208800</v>
      </c>
      <c r="AH1200" s="377">
        <v>208800</v>
      </c>
      <c r="AI1200" s="132"/>
      <c r="AJ1200" s="132"/>
      <c r="AK1200" s="132"/>
      <c r="AL1200" s="132"/>
      <c r="AM1200" s="132"/>
      <c r="AN1200" s="136" t="s">
        <v>181</v>
      </c>
      <c r="AO1200" s="321"/>
      <c r="AP1200" s="321"/>
      <c r="AQ1200" s="317"/>
      <c r="AR1200" s="136"/>
      <c r="AS1200" s="478"/>
      <c r="AT1200" s="136"/>
      <c r="AU1200" s="646"/>
      <c r="AV1200" s="491"/>
    </row>
    <row r="1201" spans="1:48" ht="15" customHeight="1" outlineLevel="3" x14ac:dyDescent="0.25">
      <c r="A1201" s="63" t="str">
        <f t="shared" si="225"/>
        <v>4.14.3.3.6.63</v>
      </c>
      <c r="B1201" s="64">
        <v>4</v>
      </c>
      <c r="C1201" s="64">
        <v>14</v>
      </c>
      <c r="D1201" s="64">
        <v>3</v>
      </c>
      <c r="E1201" s="64">
        <v>3</v>
      </c>
      <c r="F1201" s="64">
        <v>6</v>
      </c>
      <c r="G1201" s="64">
        <v>63</v>
      </c>
      <c r="H1201" s="65"/>
      <c r="I1201" s="65"/>
      <c r="J1201" s="66"/>
      <c r="K1201" s="65" t="s">
        <v>1467</v>
      </c>
      <c r="L1201" s="64" t="s">
        <v>264</v>
      </c>
      <c r="M1201" s="64" t="s">
        <v>144</v>
      </c>
      <c r="N1201" s="64" t="s">
        <v>265</v>
      </c>
      <c r="O1201" s="64" t="s">
        <v>668</v>
      </c>
      <c r="P1201" s="69">
        <v>44571</v>
      </c>
      <c r="Q1201" s="69">
        <v>44925</v>
      </c>
      <c r="R1201" s="64">
        <v>216</v>
      </c>
      <c r="S1201" s="65" t="s">
        <v>1468</v>
      </c>
      <c r="T1201" s="64"/>
      <c r="U1201" s="75"/>
      <c r="V1201" s="674">
        <v>0</v>
      </c>
      <c r="W1201" s="75"/>
      <c r="X1201" s="75"/>
      <c r="Y1201" s="834">
        <f t="shared" si="252"/>
        <v>0</v>
      </c>
      <c r="Z1201" s="75"/>
      <c r="AA1201" s="75"/>
      <c r="AB1201" s="75"/>
      <c r="AC1201" s="97">
        <f>+AH1201</f>
        <v>1178100</v>
      </c>
      <c r="AD1201" s="97">
        <f>+AH1201/2</f>
        <v>589050</v>
      </c>
      <c r="AE1201" s="591"/>
      <c r="AF1201" s="259" t="s">
        <v>1469</v>
      </c>
      <c r="AG1201" s="518">
        <v>1178100</v>
      </c>
      <c r="AH1201" s="377">
        <v>1178100</v>
      </c>
      <c r="AI1201" s="132"/>
      <c r="AJ1201" s="132"/>
      <c r="AK1201" s="132"/>
      <c r="AL1201" s="132"/>
      <c r="AM1201" s="132"/>
      <c r="AN1201" s="64" t="s">
        <v>181</v>
      </c>
      <c r="AO1201" s="319"/>
      <c r="AP1201" s="319"/>
      <c r="AQ1201" s="316"/>
      <c r="AR1201" s="64"/>
      <c r="AS1201" s="272"/>
      <c r="AT1201" s="64"/>
      <c r="AU1201" s="646"/>
      <c r="AV1201" s="491"/>
    </row>
    <row r="1202" spans="1:48" ht="14.45" customHeight="1" outlineLevel="3" x14ac:dyDescent="0.25">
      <c r="A1202" s="63" t="str">
        <f t="shared" si="225"/>
        <v>4.14.3.3.7.63</v>
      </c>
      <c r="B1202" s="64">
        <v>4</v>
      </c>
      <c r="C1202" s="64">
        <v>14</v>
      </c>
      <c r="D1202" s="64">
        <v>3</v>
      </c>
      <c r="E1202" s="64">
        <v>3</v>
      </c>
      <c r="F1202" s="64">
        <v>7</v>
      </c>
      <c r="G1202" s="64">
        <v>63</v>
      </c>
      <c r="H1202" s="65"/>
      <c r="I1202" s="65"/>
      <c r="J1202" s="65"/>
      <c r="K1202" s="65" t="s">
        <v>1882</v>
      </c>
      <c r="L1202" s="64" t="s">
        <v>264</v>
      </c>
      <c r="M1202" s="64" t="s">
        <v>144</v>
      </c>
      <c r="N1202" s="64" t="s">
        <v>265</v>
      </c>
      <c r="O1202" s="64" t="s">
        <v>668</v>
      </c>
      <c r="P1202" s="69">
        <v>44571</v>
      </c>
      <c r="Q1202" s="69">
        <v>44925</v>
      </c>
      <c r="R1202" s="124">
        <v>198</v>
      </c>
      <c r="S1202" s="65" t="s">
        <v>1470</v>
      </c>
      <c r="T1202" s="124">
        <f>+$AH1202/4</f>
        <v>0</v>
      </c>
      <c r="U1202" s="78">
        <v>2806755</v>
      </c>
      <c r="V1202" s="702">
        <v>2096400</v>
      </c>
      <c r="W1202" s="75">
        <f>+$AH1202/4</f>
        <v>0</v>
      </c>
      <c r="X1202" s="78"/>
      <c r="Y1202" s="834">
        <f t="shared" si="252"/>
        <v>285400</v>
      </c>
      <c r="Z1202" s="75">
        <f>+$AH1202/4</f>
        <v>0</v>
      </c>
      <c r="AA1202" s="155">
        <v>0</v>
      </c>
      <c r="AB1202" s="155"/>
      <c r="AC1202" s="75">
        <f>+$AH1202/4</f>
        <v>0</v>
      </c>
      <c r="AD1202" s="155">
        <v>0</v>
      </c>
      <c r="AE1202" s="599"/>
      <c r="AF1202" s="259" t="s">
        <v>1479</v>
      </c>
      <c r="AG1202" s="518">
        <v>14137200</v>
      </c>
      <c r="AH1202" s="370">
        <v>0</v>
      </c>
      <c r="AI1202" s="565"/>
      <c r="AJ1202" s="565">
        <f>990200+590850+515350+42500+110750+132150</f>
        <v>2381800</v>
      </c>
      <c r="AK1202" s="281"/>
      <c r="AL1202" s="281"/>
      <c r="AM1202" s="281"/>
      <c r="AN1202" s="64" t="s">
        <v>181</v>
      </c>
      <c r="AO1202" s="533" t="s">
        <v>1839</v>
      </c>
      <c r="AP1202" s="533" t="s">
        <v>649</v>
      </c>
      <c r="AQ1202" s="533" t="s">
        <v>649</v>
      </c>
      <c r="AR1202" s="554">
        <v>44562</v>
      </c>
      <c r="AS1202" s="554">
        <v>44926</v>
      </c>
      <c r="AT1202" s="64" t="s">
        <v>1814</v>
      </c>
      <c r="AU1202" s="877" t="s">
        <v>2084</v>
      </c>
      <c r="AV1202" s="67" t="s">
        <v>2083</v>
      </c>
    </row>
    <row r="1203" spans="1:48" s="284" customFormat="1" ht="32.1" customHeight="1" outlineLevel="3" x14ac:dyDescent="0.25">
      <c r="A1203" s="210" t="str">
        <f t="shared" si="225"/>
        <v>4.14.3.3.8.63</v>
      </c>
      <c r="B1203" s="136">
        <v>4</v>
      </c>
      <c r="C1203" s="136">
        <v>14</v>
      </c>
      <c r="D1203" s="136">
        <v>3</v>
      </c>
      <c r="E1203" s="136">
        <v>3</v>
      </c>
      <c r="F1203" s="136">
        <v>8</v>
      </c>
      <c r="G1203" s="136">
        <v>63</v>
      </c>
      <c r="H1203" s="133"/>
      <c r="I1203" s="133"/>
      <c r="J1203" s="133"/>
      <c r="K1203" s="125" t="s">
        <v>1472</v>
      </c>
      <c r="L1203" s="136" t="s">
        <v>72</v>
      </c>
      <c r="M1203" s="136" t="s">
        <v>1473</v>
      </c>
      <c r="N1203" s="136" t="s">
        <v>1249</v>
      </c>
      <c r="O1203" s="136" t="s">
        <v>72</v>
      </c>
      <c r="P1203" s="214">
        <v>44571</v>
      </c>
      <c r="Q1203" s="214">
        <v>44925</v>
      </c>
      <c r="R1203" s="282"/>
      <c r="S1203" s="133"/>
      <c r="T1203" s="282"/>
      <c r="U1203" s="75">
        <f>$AH1203/4</f>
        <v>0</v>
      </c>
      <c r="V1203" s="674">
        <v>0</v>
      </c>
      <c r="W1203" s="127"/>
      <c r="X1203" s="127"/>
      <c r="Y1203" s="834">
        <f t="shared" si="252"/>
        <v>0</v>
      </c>
      <c r="Z1203" s="127"/>
      <c r="AA1203" s="127"/>
      <c r="AB1203" s="127"/>
      <c r="AC1203" s="283"/>
      <c r="AD1203" s="283"/>
      <c r="AE1203" s="615"/>
      <c r="AF1203" s="366"/>
      <c r="AG1203" s="518">
        <v>0</v>
      </c>
      <c r="AH1203" s="377">
        <v>0</v>
      </c>
      <c r="AI1203" s="132"/>
      <c r="AJ1203" s="132"/>
      <c r="AK1203" s="132"/>
      <c r="AL1203" s="132"/>
      <c r="AM1203" s="132"/>
      <c r="AN1203" s="136" t="s">
        <v>181</v>
      </c>
      <c r="AO1203" s="136"/>
      <c r="AP1203" s="136"/>
      <c r="AQ1203" s="136"/>
      <c r="AR1203" s="136"/>
      <c r="AS1203" s="136"/>
      <c r="AT1203" s="136"/>
      <c r="AU1203" s="646"/>
      <c r="AV1203" s="491"/>
    </row>
    <row r="1204" spans="1:48" s="153" customFormat="1" ht="50.25" customHeight="1" outlineLevel="2" x14ac:dyDescent="0.25">
      <c r="A1204" s="148" t="str">
        <f t="shared" si="225"/>
        <v>4.14.3.4.0.0</v>
      </c>
      <c r="B1204" s="82">
        <v>4</v>
      </c>
      <c r="C1204" s="82">
        <v>14</v>
      </c>
      <c r="D1204" s="82">
        <v>3</v>
      </c>
      <c r="E1204" s="82">
        <v>4</v>
      </c>
      <c r="F1204" s="82">
        <v>0</v>
      </c>
      <c r="G1204" s="82">
        <v>0</v>
      </c>
      <c r="H1204" s="149"/>
      <c r="I1204" s="149"/>
      <c r="J1204" s="1260" t="s">
        <v>1480</v>
      </c>
      <c r="K1204" s="1259"/>
      <c r="L1204" s="82" t="s">
        <v>1475</v>
      </c>
      <c r="M1204" s="83" t="s">
        <v>1449</v>
      </c>
      <c r="N1204" s="82" t="s">
        <v>1444</v>
      </c>
      <c r="O1204" s="82" t="s">
        <v>1445</v>
      </c>
      <c r="P1204" s="82"/>
      <c r="Q1204" s="82"/>
      <c r="R1204" s="82"/>
      <c r="S1204" s="149"/>
      <c r="T1204" s="82"/>
      <c r="U1204" s="513">
        <f t="shared" ref="U1204:AI1204" si="253">+SUM(U1205:U1212)</f>
        <v>4578610.0010000002</v>
      </c>
      <c r="V1204" s="693">
        <f t="shared" si="253"/>
        <v>1960116.44</v>
      </c>
      <c r="W1204" s="513">
        <f t="shared" si="253"/>
        <v>4039675</v>
      </c>
      <c r="X1204" s="513">
        <f t="shared" si="253"/>
        <v>1335350</v>
      </c>
      <c r="Y1204" s="857">
        <f t="shared" si="253"/>
        <v>2184947.4</v>
      </c>
      <c r="Z1204" s="513">
        <f t="shared" si="253"/>
        <v>4654350</v>
      </c>
      <c r="AA1204" s="513">
        <f t="shared" si="253"/>
        <v>114850</v>
      </c>
      <c r="AB1204" s="513">
        <f t="shared" si="253"/>
        <v>0</v>
      </c>
      <c r="AC1204" s="513">
        <f t="shared" si="253"/>
        <v>1787175</v>
      </c>
      <c r="AD1204" s="513">
        <f t="shared" si="253"/>
        <v>1782000</v>
      </c>
      <c r="AE1204" s="513">
        <f t="shared" si="253"/>
        <v>0</v>
      </c>
      <c r="AF1204" s="513">
        <f t="shared" si="253"/>
        <v>0</v>
      </c>
      <c r="AG1204" s="513">
        <f t="shared" si="253"/>
        <v>19802250</v>
      </c>
      <c r="AH1204" s="513">
        <f>+SUM(AH1205:AH1212)</f>
        <v>4667550</v>
      </c>
      <c r="AI1204" s="513">
        <f t="shared" si="253"/>
        <v>0</v>
      </c>
      <c r="AJ1204" s="513">
        <f>+SUM(AJ1205:AJ1212)</f>
        <v>4145063.84</v>
      </c>
      <c r="AK1204" s="513">
        <f t="shared" ref="AK1204:AM1204" si="254">+SUM(AK1205:AK1212)</f>
        <v>0</v>
      </c>
      <c r="AL1204" s="513">
        <f t="shared" si="254"/>
        <v>0</v>
      </c>
      <c r="AM1204" s="513">
        <f t="shared" si="254"/>
        <v>0</v>
      </c>
      <c r="AN1204" s="82" t="s">
        <v>181</v>
      </c>
      <c r="AO1204" s="82"/>
      <c r="AP1204" s="82"/>
      <c r="AQ1204" s="82"/>
      <c r="AR1204" s="82"/>
      <c r="AS1204" s="82"/>
      <c r="AT1204" s="82"/>
      <c r="AU1204" s="666"/>
      <c r="AV1204" s="491"/>
    </row>
    <row r="1205" spans="1:48" ht="15" customHeight="1" outlineLevel="4" x14ac:dyDescent="0.25">
      <c r="A1205" s="63" t="str">
        <f t="shared" si="225"/>
        <v>4.14.3.4.1.64</v>
      </c>
      <c r="B1205" s="64">
        <v>4</v>
      </c>
      <c r="C1205" s="64">
        <v>14</v>
      </c>
      <c r="D1205" s="64">
        <v>3</v>
      </c>
      <c r="E1205" s="64">
        <v>4</v>
      </c>
      <c r="F1205" s="64">
        <v>1</v>
      </c>
      <c r="G1205" s="64">
        <v>64</v>
      </c>
      <c r="H1205" s="65"/>
      <c r="I1205" s="65"/>
      <c r="J1205" s="66"/>
      <c r="K1205" s="65" t="s">
        <v>1451</v>
      </c>
      <c r="L1205" s="64" t="s">
        <v>1452</v>
      </c>
      <c r="M1205" s="64" t="s">
        <v>1453</v>
      </c>
      <c r="N1205" s="64" t="s">
        <v>1444</v>
      </c>
      <c r="O1205" s="64" t="s">
        <v>1204</v>
      </c>
      <c r="P1205" s="69">
        <v>44571</v>
      </c>
      <c r="Q1205" s="69">
        <v>44925</v>
      </c>
      <c r="R1205" s="170">
        <v>11500</v>
      </c>
      <c r="S1205" s="170" t="s">
        <v>1454</v>
      </c>
      <c r="T1205" s="98">
        <v>0</v>
      </c>
      <c r="U1205" s="179">
        <f>+$AH1205/4</f>
        <v>0</v>
      </c>
      <c r="V1205" s="674">
        <v>0</v>
      </c>
      <c r="W1205" s="97">
        <v>6325</v>
      </c>
      <c r="X1205" s="97"/>
      <c r="Y1205" s="834">
        <f t="shared" ref="Y1205:Y1212" si="255">+AJ1205-V1205</f>
        <v>0</v>
      </c>
      <c r="Z1205" s="97"/>
      <c r="AA1205" s="97"/>
      <c r="AB1205" s="97"/>
      <c r="AC1205" s="97">
        <v>5175</v>
      </c>
      <c r="AD1205" s="97"/>
      <c r="AE1205" s="591"/>
      <c r="AF1205" s="259"/>
      <c r="AG1205" s="518">
        <v>0</v>
      </c>
      <c r="AH1205" s="370">
        <v>0</v>
      </c>
      <c r="AI1205" s="75"/>
      <c r="AJ1205" s="75"/>
      <c r="AK1205" s="75"/>
      <c r="AL1205" s="75"/>
      <c r="AM1205" s="75"/>
      <c r="AN1205" s="64" t="s">
        <v>181</v>
      </c>
      <c r="AO1205" s="64"/>
      <c r="AP1205" s="64"/>
      <c r="AQ1205" s="64"/>
      <c r="AR1205" s="64"/>
      <c r="AS1205" s="64"/>
      <c r="AT1205" s="64"/>
      <c r="AU1205" s="646"/>
      <c r="AV1205" s="491"/>
    </row>
    <row r="1206" spans="1:48" ht="15" customHeight="1" outlineLevel="4" x14ac:dyDescent="0.25">
      <c r="A1206" s="63" t="str">
        <f t="shared" si="225"/>
        <v>4.14.3.4.2.64</v>
      </c>
      <c r="B1206" s="64">
        <v>4</v>
      </c>
      <c r="C1206" s="64">
        <v>14</v>
      </c>
      <c r="D1206" s="64">
        <v>3</v>
      </c>
      <c r="E1206" s="64">
        <v>4</v>
      </c>
      <c r="F1206" s="64">
        <v>2</v>
      </c>
      <c r="G1206" s="100">
        <v>64</v>
      </c>
      <c r="H1206" s="65"/>
      <c r="I1206" s="65"/>
      <c r="J1206" s="65"/>
      <c r="K1206" s="65" t="s">
        <v>1455</v>
      </c>
      <c r="L1206" s="64" t="s">
        <v>1452</v>
      </c>
      <c r="M1206" s="64" t="s">
        <v>535</v>
      </c>
      <c r="N1206" s="64" t="s">
        <v>1444</v>
      </c>
      <c r="O1206" s="64" t="s">
        <v>1335</v>
      </c>
      <c r="P1206" s="69">
        <v>44571</v>
      </c>
      <c r="Q1206" s="69">
        <v>44925</v>
      </c>
      <c r="R1206" s="170">
        <f>598000/2</f>
        <v>299000</v>
      </c>
      <c r="S1206" s="170" t="s">
        <v>1456</v>
      </c>
      <c r="U1206" s="179"/>
      <c r="V1206" s="674">
        <v>0</v>
      </c>
      <c r="W1206" s="75">
        <f>+$R1206*4.5</f>
        <v>1345500</v>
      </c>
      <c r="X1206" s="179">
        <f>+$AH1206/2</f>
        <v>0</v>
      </c>
      <c r="Y1206" s="834">
        <f t="shared" si="255"/>
        <v>0</v>
      </c>
      <c r="Z1206" s="75">
        <f>+$R1206*4.5</f>
        <v>1345500</v>
      </c>
      <c r="AA1206" s="179">
        <f>+$AH1206/2</f>
        <v>0</v>
      </c>
      <c r="AB1206" s="179"/>
      <c r="AC1206" s="97"/>
      <c r="AD1206" s="97"/>
      <c r="AE1206" s="591"/>
      <c r="AF1206" s="353" t="s">
        <v>535</v>
      </c>
      <c r="AG1206" s="518">
        <v>1345500</v>
      </c>
      <c r="AH1206" s="370">
        <v>0</v>
      </c>
      <c r="AI1206" s="75"/>
      <c r="AJ1206" s="75"/>
      <c r="AK1206" s="75"/>
      <c r="AL1206" s="75"/>
      <c r="AM1206" s="75"/>
      <c r="AN1206" s="171" t="s">
        <v>181</v>
      </c>
      <c r="AO1206" s="171"/>
      <c r="AP1206" s="171"/>
      <c r="AQ1206" s="171"/>
      <c r="AS1206" s="171"/>
      <c r="AV1206" s="491"/>
    </row>
    <row r="1207" spans="1:48" ht="14.45" customHeight="1" outlineLevel="4" x14ac:dyDescent="0.25">
      <c r="A1207" s="63" t="str">
        <f t="shared" si="225"/>
        <v>4.14.3.4.3.64</v>
      </c>
      <c r="B1207" s="64">
        <v>4</v>
      </c>
      <c r="C1207" s="64">
        <v>14</v>
      </c>
      <c r="D1207" s="64">
        <v>3</v>
      </c>
      <c r="E1207" s="64">
        <v>4</v>
      </c>
      <c r="F1207" s="64">
        <v>3</v>
      </c>
      <c r="G1207" s="100">
        <v>64</v>
      </c>
      <c r="H1207" s="65"/>
      <c r="I1207" s="65"/>
      <c r="J1207" s="66"/>
      <c r="K1207" s="65" t="s">
        <v>1457</v>
      </c>
      <c r="L1207" s="64" t="s">
        <v>72</v>
      </c>
      <c r="M1207" s="64" t="s">
        <v>1458</v>
      </c>
      <c r="N1207" s="64" t="s">
        <v>1444</v>
      </c>
      <c r="O1207" s="64" t="s">
        <v>1445</v>
      </c>
      <c r="P1207" s="69">
        <v>44571</v>
      </c>
      <c r="Q1207" s="69">
        <v>44925</v>
      </c>
      <c r="R1207" s="124">
        <v>324</v>
      </c>
      <c r="S1207" s="65" t="s">
        <v>1459</v>
      </c>
      <c r="T1207" s="225">
        <f>324*125*22*12/4</f>
        <v>2673000</v>
      </c>
      <c r="U1207" s="179">
        <f>+$AH1207/2</f>
        <v>1320500</v>
      </c>
      <c r="V1207" s="674">
        <v>0</v>
      </c>
      <c r="W1207" s="132">
        <f>324*125*22*12/4</f>
        <v>2673000</v>
      </c>
      <c r="X1207" s="179">
        <f>+$AH1207/2</f>
        <v>1320500</v>
      </c>
      <c r="Y1207" s="834">
        <f t="shared" si="255"/>
        <v>1064897.3999999999</v>
      </c>
      <c r="Z1207" s="132">
        <f>324*125*22*12/4</f>
        <v>2673000</v>
      </c>
      <c r="AA1207" s="179"/>
      <c r="AB1207" s="179"/>
      <c r="AC1207" s="132"/>
      <c r="AD1207" s="179"/>
      <c r="AE1207" s="616"/>
      <c r="AF1207" s="259" t="s">
        <v>1457</v>
      </c>
      <c r="AG1207" s="518">
        <v>891000</v>
      </c>
      <c r="AH1207" s="377">
        <v>2641000</v>
      </c>
      <c r="AI1207" s="132"/>
      <c r="AJ1207" s="75">
        <f>173563.43+891333.97</f>
        <v>1064897.3999999999</v>
      </c>
      <c r="AK1207" s="132"/>
      <c r="AL1207" s="132"/>
      <c r="AM1207" s="132"/>
      <c r="AN1207" s="64" t="s">
        <v>181</v>
      </c>
      <c r="AO1207" s="64" t="s">
        <v>1819</v>
      </c>
      <c r="AP1207" s="64" t="s">
        <v>2175</v>
      </c>
      <c r="AQ1207" s="64" t="s">
        <v>2176</v>
      </c>
      <c r="AR1207" s="69">
        <v>44648</v>
      </c>
      <c r="AS1207" s="69">
        <v>44832</v>
      </c>
      <c r="AT1207" s="64" t="s">
        <v>2029</v>
      </c>
      <c r="AU1207" s="879" t="s">
        <v>2174</v>
      </c>
      <c r="AV1207" s="67" t="s">
        <v>2177</v>
      </c>
    </row>
    <row r="1208" spans="1:48" ht="14.45" customHeight="1" outlineLevel="4" x14ac:dyDescent="0.25">
      <c r="A1208" s="63" t="str">
        <f t="shared" si="225"/>
        <v>4.14.3.4.4.64</v>
      </c>
      <c r="B1208" s="64">
        <v>4</v>
      </c>
      <c r="C1208" s="64">
        <v>14</v>
      </c>
      <c r="D1208" s="64">
        <v>3</v>
      </c>
      <c r="E1208" s="64">
        <v>4</v>
      </c>
      <c r="F1208" s="64">
        <v>4</v>
      </c>
      <c r="G1208" s="64">
        <v>64</v>
      </c>
      <c r="H1208" s="65"/>
      <c r="I1208" s="65"/>
      <c r="J1208" s="66"/>
      <c r="K1208" s="67" t="s">
        <v>1460</v>
      </c>
      <c r="L1208" s="64" t="s">
        <v>72</v>
      </c>
      <c r="M1208" s="64" t="s">
        <v>76</v>
      </c>
      <c r="N1208" s="64" t="s">
        <v>1444</v>
      </c>
      <c r="O1208" s="64" t="s">
        <v>1445</v>
      </c>
      <c r="P1208" s="69">
        <v>44571</v>
      </c>
      <c r="Q1208" s="69">
        <v>44925</v>
      </c>
      <c r="R1208" s="124">
        <v>2</v>
      </c>
      <c r="S1208" s="65" t="s">
        <v>1461</v>
      </c>
      <c r="T1208" s="225">
        <f>27*23000</f>
        <v>621000</v>
      </c>
      <c r="U1208" s="179">
        <f>+$AH1208/2</f>
        <v>100000</v>
      </c>
      <c r="V1208" s="702">
        <v>15966.44</v>
      </c>
      <c r="W1208" s="75"/>
      <c r="X1208" s="75"/>
      <c r="Y1208" s="834">
        <f t="shared" si="255"/>
        <v>0</v>
      </c>
      <c r="Z1208" s="132">
        <f>27*23000</f>
        <v>621000</v>
      </c>
      <c r="AA1208" s="179">
        <f>+$AH1208/2</f>
        <v>100000</v>
      </c>
      <c r="AB1208" s="179"/>
      <c r="AC1208" s="97"/>
      <c r="AD1208" s="97"/>
      <c r="AE1208" s="591"/>
      <c r="AF1208" s="259" t="s">
        <v>1462</v>
      </c>
      <c r="AG1208" s="518">
        <v>414000</v>
      </c>
      <c r="AH1208" s="370">
        <v>200000</v>
      </c>
      <c r="AI1208" s="132"/>
      <c r="AJ1208" s="552">
        <v>15966.44</v>
      </c>
      <c r="AK1208" s="132"/>
      <c r="AL1208" s="132"/>
      <c r="AM1208" s="132"/>
      <c r="AN1208" s="64" t="s">
        <v>181</v>
      </c>
      <c r="AO1208" s="64" t="s">
        <v>1819</v>
      </c>
      <c r="AP1208" s="64" t="s">
        <v>1824</v>
      </c>
      <c r="AQ1208" s="64" t="s">
        <v>1825</v>
      </c>
      <c r="AR1208" s="189" t="s">
        <v>1826</v>
      </c>
      <c r="AS1208" s="554">
        <v>44509</v>
      </c>
      <c r="AT1208" s="554">
        <v>44441</v>
      </c>
      <c r="AU1208" s="646">
        <v>124</v>
      </c>
      <c r="AV1208" s="495"/>
    </row>
    <row r="1209" spans="1:48" s="212" customFormat="1" ht="17.25" customHeight="1" outlineLevel="3" x14ac:dyDescent="0.25">
      <c r="A1209" s="210" t="str">
        <f t="shared" si="225"/>
        <v>4.14.3.4.5.64</v>
      </c>
      <c r="B1209" s="136">
        <v>4</v>
      </c>
      <c r="C1209" s="136">
        <v>14</v>
      </c>
      <c r="D1209" s="136">
        <v>3</v>
      </c>
      <c r="E1209" s="136">
        <v>4</v>
      </c>
      <c r="F1209" s="136">
        <v>5</v>
      </c>
      <c r="G1209" s="136">
        <v>64</v>
      </c>
      <c r="H1209" s="125"/>
      <c r="I1209" s="125"/>
      <c r="J1209" s="213"/>
      <c r="K1209" s="125" t="s">
        <v>1463</v>
      </c>
      <c r="L1209" s="136" t="s">
        <v>1452</v>
      </c>
      <c r="M1209" s="136" t="s">
        <v>1464</v>
      </c>
      <c r="N1209" s="136" t="s">
        <v>1444</v>
      </c>
      <c r="O1209" s="136" t="s">
        <v>1204</v>
      </c>
      <c r="P1209" s="214">
        <v>44571</v>
      </c>
      <c r="Q1209" s="214">
        <v>44925</v>
      </c>
      <c r="R1209" s="136">
        <v>12</v>
      </c>
      <c r="S1209" s="125" t="s">
        <v>1465</v>
      </c>
      <c r="T1209" s="124">
        <f>+$AH1209/4</f>
        <v>14850</v>
      </c>
      <c r="U1209" s="179">
        <f>+$AH1209/4</f>
        <v>14850</v>
      </c>
      <c r="V1209" s="674">
        <v>0</v>
      </c>
      <c r="W1209" s="75">
        <f>+$AH1209/4</f>
        <v>14850</v>
      </c>
      <c r="X1209" s="179">
        <f>+$AH1209/4</f>
        <v>14850</v>
      </c>
      <c r="Y1209" s="834">
        <f t="shared" si="255"/>
        <v>0</v>
      </c>
      <c r="Z1209" s="75">
        <f>+$AH1209/4</f>
        <v>14850</v>
      </c>
      <c r="AA1209" s="179">
        <f>+$AH1209/4</f>
        <v>14850</v>
      </c>
      <c r="AB1209" s="179"/>
      <c r="AC1209" s="75">
        <f>+$AH1209/4</f>
        <v>14850</v>
      </c>
      <c r="AD1209" s="179">
        <f>+$AH1209/4</f>
        <v>14850</v>
      </c>
      <c r="AE1209" s="616"/>
      <c r="AF1209" s="349" t="s">
        <v>1466</v>
      </c>
      <c r="AG1209" s="518">
        <v>59400</v>
      </c>
      <c r="AH1209" s="377">
        <v>59400</v>
      </c>
      <c r="AI1209" s="132"/>
      <c r="AJ1209" s="132"/>
      <c r="AK1209" s="132"/>
      <c r="AL1209" s="132"/>
      <c r="AM1209" s="132"/>
      <c r="AN1209" s="136" t="s">
        <v>181</v>
      </c>
      <c r="AO1209" s="136"/>
      <c r="AP1209" s="136"/>
      <c r="AQ1209" s="136"/>
      <c r="AR1209" s="136"/>
      <c r="AS1209" s="136"/>
      <c r="AT1209" s="136"/>
      <c r="AU1209" s="646"/>
      <c r="AV1209" s="491"/>
    </row>
    <row r="1210" spans="1:48" ht="15" customHeight="1" outlineLevel="4" x14ac:dyDescent="0.25">
      <c r="A1210" s="63" t="str">
        <f t="shared" si="225"/>
        <v>4.14.3.4.6.64</v>
      </c>
      <c r="B1210" s="64">
        <v>4</v>
      </c>
      <c r="C1210" s="64">
        <v>14</v>
      </c>
      <c r="D1210" s="64">
        <v>3</v>
      </c>
      <c r="E1210" s="64">
        <v>4</v>
      </c>
      <c r="F1210" s="64">
        <v>6</v>
      </c>
      <c r="G1210" s="64">
        <v>64</v>
      </c>
      <c r="H1210" s="65"/>
      <c r="I1210" s="65"/>
      <c r="J1210" s="66"/>
      <c r="K1210" s="65" t="s">
        <v>1467</v>
      </c>
      <c r="L1210" s="64" t="s">
        <v>264</v>
      </c>
      <c r="M1210" s="64" t="s">
        <v>144</v>
      </c>
      <c r="N1210" s="64" t="s">
        <v>265</v>
      </c>
      <c r="O1210" s="64" t="s">
        <v>668</v>
      </c>
      <c r="P1210" s="69">
        <v>44571</v>
      </c>
      <c r="Q1210" s="69">
        <v>44925</v>
      </c>
      <c r="R1210" s="64">
        <v>324</v>
      </c>
      <c r="S1210" s="65" t="s">
        <v>1468</v>
      </c>
      <c r="T1210" s="64"/>
      <c r="U1210" s="179"/>
      <c r="V1210" s="674">
        <v>0</v>
      </c>
      <c r="W1210" s="75"/>
      <c r="X1210" s="75"/>
      <c r="Y1210" s="834">
        <f t="shared" si="255"/>
        <v>0</v>
      </c>
      <c r="Z1210" s="75"/>
      <c r="AA1210" s="75"/>
      <c r="AB1210" s="75"/>
      <c r="AC1210" s="97">
        <f>+AH1210</f>
        <v>1767150</v>
      </c>
      <c r="AD1210" s="97">
        <f>+AH1210</f>
        <v>1767150</v>
      </c>
      <c r="AE1210" s="591"/>
      <c r="AF1210" s="259" t="s">
        <v>1469</v>
      </c>
      <c r="AG1210" s="518">
        <v>1767150</v>
      </c>
      <c r="AH1210" s="377">
        <v>1767150</v>
      </c>
      <c r="AI1210" s="132"/>
      <c r="AJ1210" s="132"/>
      <c r="AK1210" s="132"/>
      <c r="AL1210" s="132"/>
      <c r="AM1210" s="132"/>
      <c r="AN1210" s="64" t="s">
        <v>181</v>
      </c>
      <c r="AO1210" s="64"/>
      <c r="AP1210" s="64"/>
      <c r="AQ1210" s="64"/>
      <c r="AR1210" s="64"/>
      <c r="AS1210" s="64"/>
      <c r="AT1210" s="64"/>
      <c r="AU1210" s="646"/>
      <c r="AV1210" s="491"/>
    </row>
    <row r="1211" spans="1:48" ht="14.45" customHeight="1" outlineLevel="4" x14ac:dyDescent="0.25">
      <c r="A1211" s="63" t="str">
        <f t="shared" si="225"/>
        <v>4.14.3.4.7.64</v>
      </c>
      <c r="B1211" s="64">
        <v>4</v>
      </c>
      <c r="C1211" s="64">
        <v>14</v>
      </c>
      <c r="D1211" s="64">
        <v>3</v>
      </c>
      <c r="E1211" s="64">
        <v>4</v>
      </c>
      <c r="F1211" s="64">
        <v>7</v>
      </c>
      <c r="G1211" s="64">
        <v>64</v>
      </c>
      <c r="H1211" s="65"/>
      <c r="I1211" s="65"/>
      <c r="J1211" s="65"/>
      <c r="K1211" s="65" t="s">
        <v>1885</v>
      </c>
      <c r="L1211" s="64" t="s">
        <v>264</v>
      </c>
      <c r="M1211" s="64" t="s">
        <v>144</v>
      </c>
      <c r="N1211" s="64" t="s">
        <v>1476</v>
      </c>
      <c r="O1211" s="64" t="s">
        <v>668</v>
      </c>
      <c r="P1211" s="69">
        <v>44571</v>
      </c>
      <c r="Q1211" s="69">
        <v>44925</v>
      </c>
      <c r="R1211" s="124">
        <v>297</v>
      </c>
      <c r="S1211" s="65" t="s">
        <v>1470</v>
      </c>
      <c r="T1211" s="225">
        <f>+$AH1211/4</f>
        <v>0</v>
      </c>
      <c r="U1211" s="78">
        <v>3143260.0009999997</v>
      </c>
      <c r="V1211" s="674">
        <v>1944150</v>
      </c>
      <c r="W1211" s="132">
        <f>+$AH1211/4</f>
        <v>0</v>
      </c>
      <c r="X1211" s="78"/>
      <c r="Y1211" s="834">
        <f t="shared" si="255"/>
        <v>1120050</v>
      </c>
      <c r="Z1211" s="132">
        <f>+$AH1211/4</f>
        <v>0</v>
      </c>
      <c r="AA1211" s="155">
        <v>0</v>
      </c>
      <c r="AB1211" s="155"/>
      <c r="AC1211" s="132">
        <f>+$AH1211/4</f>
        <v>0</v>
      </c>
      <c r="AD1211" s="155">
        <v>0</v>
      </c>
      <c r="AE1211" s="599"/>
      <c r="AF1211" s="259" t="s">
        <v>672</v>
      </c>
      <c r="AG1211" s="518">
        <v>15325200</v>
      </c>
      <c r="AH1211" s="370">
        <v>0</v>
      </c>
      <c r="AI1211" s="565"/>
      <c r="AJ1211" s="565">
        <f>486250+848950+608950+308250+377100+434700</f>
        <v>3064200</v>
      </c>
      <c r="AK1211" s="281"/>
      <c r="AL1211" s="281"/>
      <c r="AM1211" s="281"/>
      <c r="AN1211" s="64" t="s">
        <v>181</v>
      </c>
      <c r="AO1211" s="543" t="s">
        <v>1839</v>
      </c>
      <c r="AP1211" s="543" t="s">
        <v>649</v>
      </c>
      <c r="AQ1211" s="543" t="s">
        <v>649</v>
      </c>
      <c r="AR1211" s="554">
        <v>44562</v>
      </c>
      <c r="AS1211" s="554">
        <v>44926</v>
      </c>
      <c r="AT1211" s="64" t="s">
        <v>1814</v>
      </c>
      <c r="AU1211" s="877" t="s">
        <v>2085</v>
      </c>
      <c r="AV1211" s="67" t="s">
        <v>2086</v>
      </c>
    </row>
    <row r="1212" spans="1:48" ht="32.1" customHeight="1" outlineLevel="3" x14ac:dyDescent="0.25">
      <c r="A1212" s="63" t="str">
        <f t="shared" si="225"/>
        <v>4.14.3.4.8.64</v>
      </c>
      <c r="B1212" s="64">
        <v>4</v>
      </c>
      <c r="C1212" s="64">
        <v>14</v>
      </c>
      <c r="D1212" s="64">
        <v>3</v>
      </c>
      <c r="E1212" s="64">
        <v>4</v>
      </c>
      <c r="F1212" s="64">
        <v>8</v>
      </c>
      <c r="G1212" s="64">
        <v>64</v>
      </c>
      <c r="H1212" s="65"/>
      <c r="I1212" s="65"/>
      <c r="J1212" s="65"/>
      <c r="K1212" s="125" t="s">
        <v>1472</v>
      </c>
      <c r="L1212" s="64" t="s">
        <v>72</v>
      </c>
      <c r="M1212" s="64" t="s">
        <v>1473</v>
      </c>
      <c r="N1212" s="64" t="s">
        <v>1249</v>
      </c>
      <c r="O1212" s="64" t="s">
        <v>72</v>
      </c>
      <c r="P1212" s="69">
        <v>44571</v>
      </c>
      <c r="Q1212" s="69">
        <v>44925</v>
      </c>
      <c r="R1212" s="124"/>
      <c r="S1212" s="65"/>
      <c r="T1212" s="124"/>
      <c r="U1212" s="179">
        <f>+$AH1212/4</f>
        <v>0</v>
      </c>
      <c r="V1212" s="674">
        <v>0</v>
      </c>
      <c r="W1212" s="75"/>
      <c r="X1212" s="75"/>
      <c r="Y1212" s="834">
        <f t="shared" si="255"/>
        <v>0</v>
      </c>
      <c r="Z1212" s="75"/>
      <c r="AA1212" s="75"/>
      <c r="AB1212" s="75"/>
      <c r="AC1212" s="97"/>
      <c r="AD1212" s="97"/>
      <c r="AE1212" s="591"/>
      <c r="AF1212" s="259"/>
      <c r="AG1212" s="518">
        <v>0</v>
      </c>
      <c r="AH1212" s="370">
        <v>0</v>
      </c>
      <c r="AI1212" s="75"/>
      <c r="AJ1212" s="75"/>
      <c r="AK1212" s="75"/>
      <c r="AL1212" s="75"/>
      <c r="AM1212" s="75"/>
      <c r="AN1212" s="64" t="s">
        <v>181</v>
      </c>
      <c r="AO1212" s="64"/>
      <c r="AP1212" s="64"/>
      <c r="AQ1212" s="64"/>
      <c r="AR1212" s="64"/>
      <c r="AS1212" s="64"/>
      <c r="AT1212" s="64"/>
      <c r="AU1212" s="646"/>
      <c r="AV1212" s="491"/>
    </row>
    <row r="1213" spans="1:48" s="153" customFormat="1" ht="46.5" customHeight="1" outlineLevel="2" x14ac:dyDescent="0.25">
      <c r="A1213" s="148" t="str">
        <f t="shared" si="225"/>
        <v>4.14.3.5.0.0</v>
      </c>
      <c r="B1213" s="82">
        <v>4</v>
      </c>
      <c r="C1213" s="82">
        <v>14</v>
      </c>
      <c r="D1213" s="82">
        <v>3</v>
      </c>
      <c r="E1213" s="82">
        <v>5</v>
      </c>
      <c r="F1213" s="82">
        <v>0</v>
      </c>
      <c r="G1213" s="82">
        <v>0</v>
      </c>
      <c r="H1213" s="149"/>
      <c r="I1213" s="149"/>
      <c r="J1213" s="1260" t="s">
        <v>1481</v>
      </c>
      <c r="K1213" s="1259"/>
      <c r="L1213" s="82" t="s">
        <v>1475</v>
      </c>
      <c r="M1213" s="83" t="s">
        <v>1449</v>
      </c>
      <c r="N1213" s="82" t="s">
        <v>1444</v>
      </c>
      <c r="O1213" s="82" t="s">
        <v>1445</v>
      </c>
      <c r="P1213" s="82"/>
      <c r="Q1213" s="82"/>
      <c r="R1213" s="82"/>
      <c r="S1213" s="149"/>
      <c r="T1213" s="82"/>
      <c r="U1213" s="513">
        <f t="shared" ref="U1213:AI1213" si="256">+SUM(U1214:U1221)</f>
        <v>5637805.0010000002</v>
      </c>
      <c r="V1213" s="693">
        <f t="shared" si="256"/>
        <v>4346116.4400000004</v>
      </c>
      <c r="W1213" s="513">
        <f t="shared" si="256"/>
        <v>869510</v>
      </c>
      <c r="X1213" s="513">
        <f t="shared" si="256"/>
        <v>1356200</v>
      </c>
      <c r="Y1213" s="857">
        <f t="shared" si="256"/>
        <v>3093747.4</v>
      </c>
      <c r="Z1213" s="513">
        <f t="shared" si="256"/>
        <v>1460800</v>
      </c>
      <c r="AA1213" s="513">
        <f t="shared" si="256"/>
        <v>152200</v>
      </c>
      <c r="AB1213" s="513">
        <f t="shared" si="256"/>
        <v>0</v>
      </c>
      <c r="AC1213" s="513">
        <f t="shared" si="256"/>
        <v>1759390</v>
      </c>
      <c r="AD1213" s="513">
        <f t="shared" si="256"/>
        <v>903050</v>
      </c>
      <c r="AE1213" s="513">
        <f t="shared" si="256"/>
        <v>0</v>
      </c>
      <c r="AF1213" s="513">
        <f t="shared" si="256"/>
        <v>0</v>
      </c>
      <c r="AG1213" s="513">
        <f t="shared" si="256"/>
        <v>19352166.666666664</v>
      </c>
      <c r="AH1213" s="513">
        <f>+SUM(AH1214:AH1221)</f>
        <v>4718500</v>
      </c>
      <c r="AI1213" s="513">
        <f t="shared" si="256"/>
        <v>0</v>
      </c>
      <c r="AJ1213" s="513">
        <f>+SUM(AJ1214:AJ1221)</f>
        <v>7439863.8399999999</v>
      </c>
      <c r="AK1213" s="198"/>
      <c r="AL1213" s="198"/>
      <c r="AM1213" s="198"/>
      <c r="AN1213" s="82" t="s">
        <v>181</v>
      </c>
      <c r="AO1213" s="82"/>
      <c r="AP1213" s="82"/>
      <c r="AQ1213" s="82"/>
      <c r="AR1213" s="82"/>
      <c r="AS1213" s="489"/>
      <c r="AT1213" s="82"/>
      <c r="AU1213" s="666"/>
      <c r="AV1213" s="491"/>
    </row>
    <row r="1214" spans="1:48" ht="15" customHeight="1" outlineLevel="3" x14ac:dyDescent="0.25">
      <c r="A1214" s="63" t="str">
        <f t="shared" si="225"/>
        <v>4.14.3.5.1.61</v>
      </c>
      <c r="B1214" s="64">
        <v>4</v>
      </c>
      <c r="C1214" s="64">
        <v>14</v>
      </c>
      <c r="D1214" s="64">
        <v>3</v>
      </c>
      <c r="E1214" s="64">
        <v>5</v>
      </c>
      <c r="F1214" s="64">
        <v>1</v>
      </c>
      <c r="G1214" s="64">
        <v>61</v>
      </c>
      <c r="H1214" s="65"/>
      <c r="I1214" s="65"/>
      <c r="J1214" s="66"/>
      <c r="K1214" s="65" t="s">
        <v>1451</v>
      </c>
      <c r="L1214" s="64" t="s">
        <v>1452</v>
      </c>
      <c r="M1214" s="64" t="s">
        <v>1453</v>
      </c>
      <c r="N1214" s="64" t="s">
        <v>1444</v>
      </c>
      <c r="O1214" s="64" t="s">
        <v>1204</v>
      </c>
      <c r="P1214" s="69">
        <v>44571</v>
      </c>
      <c r="Q1214" s="69">
        <v>44925</v>
      </c>
      <c r="R1214" s="124">
        <v>12200</v>
      </c>
      <c r="S1214" s="170" t="s">
        <v>1454</v>
      </c>
      <c r="T1214" s="98">
        <v>0</v>
      </c>
      <c r="U1214" s="179">
        <f>$AH1214/4</f>
        <v>0</v>
      </c>
      <c r="V1214" s="674">
        <v>0</v>
      </c>
      <c r="W1214" s="97">
        <v>6710</v>
      </c>
      <c r="X1214" s="97"/>
      <c r="Y1214" s="834">
        <f t="shared" ref="Y1214:Y1221" si="257">+AJ1214-V1214</f>
        <v>0</v>
      </c>
      <c r="Z1214" s="97"/>
      <c r="AA1214" s="97"/>
      <c r="AB1214" s="97"/>
      <c r="AC1214" s="97">
        <v>5490</v>
      </c>
      <c r="AD1214" s="97"/>
      <c r="AE1214" s="591"/>
      <c r="AF1214" s="259"/>
      <c r="AG1214" s="518">
        <v>0</v>
      </c>
      <c r="AH1214" s="370">
        <v>0</v>
      </c>
      <c r="AI1214" s="75"/>
      <c r="AJ1214" s="75"/>
      <c r="AK1214" s="75"/>
      <c r="AL1214" s="75"/>
      <c r="AM1214" s="75"/>
      <c r="AN1214" s="64" t="s">
        <v>181</v>
      </c>
      <c r="AO1214" s="64"/>
      <c r="AP1214" s="64"/>
      <c r="AQ1214" s="64"/>
      <c r="AR1214" s="64"/>
      <c r="AS1214" s="64"/>
      <c r="AT1214" s="64"/>
      <c r="AU1214" s="646"/>
      <c r="AV1214" s="491"/>
    </row>
    <row r="1215" spans="1:48" ht="14.45" customHeight="1" outlineLevel="3" x14ac:dyDescent="0.25">
      <c r="A1215" s="63" t="str">
        <f t="shared" si="225"/>
        <v>4.14.3.5.2.61</v>
      </c>
      <c r="B1215" s="64">
        <v>4</v>
      </c>
      <c r="C1215" s="64">
        <v>14</v>
      </c>
      <c r="D1215" s="64">
        <v>3</v>
      </c>
      <c r="E1215" s="64">
        <v>5</v>
      </c>
      <c r="F1215" s="64">
        <v>2</v>
      </c>
      <c r="G1215" s="100">
        <v>61</v>
      </c>
      <c r="H1215" s="65"/>
      <c r="I1215" s="65"/>
      <c r="J1215" s="66"/>
      <c r="K1215" s="65" t="s">
        <v>1455</v>
      </c>
      <c r="L1215" s="64" t="s">
        <v>1452</v>
      </c>
      <c r="M1215" s="64" t="s">
        <v>535</v>
      </c>
      <c r="N1215" s="64" t="s">
        <v>1444</v>
      </c>
      <c r="O1215" s="64" t="s">
        <v>1335</v>
      </c>
      <c r="P1215" s="69">
        <v>44571</v>
      </c>
      <c r="Q1215" s="69">
        <v>44925</v>
      </c>
      <c r="R1215" s="124">
        <f>634400/2</f>
        <v>317200</v>
      </c>
      <c r="S1215" s="65" t="s">
        <v>1456</v>
      </c>
      <c r="T1215" s="64"/>
      <c r="U1215" s="179"/>
      <c r="V1215" s="674">
        <v>0</v>
      </c>
      <c r="W1215" s="75">
        <f>+R1215/2</f>
        <v>158600</v>
      </c>
      <c r="X1215" s="179">
        <f>$AH1215/2</f>
        <v>0</v>
      </c>
      <c r="Y1215" s="834">
        <f t="shared" si="257"/>
        <v>0</v>
      </c>
      <c r="Z1215" s="75">
        <f>+R1215/2</f>
        <v>158600</v>
      </c>
      <c r="AA1215" s="179">
        <f>$AH1215/2</f>
        <v>0</v>
      </c>
      <c r="AB1215" s="179"/>
      <c r="AC1215" s="97"/>
      <c r="AD1215" s="97"/>
      <c r="AE1215" s="591"/>
      <c r="AF1215" s="259" t="s">
        <v>535</v>
      </c>
      <c r="AG1215" s="518">
        <v>1427400</v>
      </c>
      <c r="AH1215" s="377">
        <v>0</v>
      </c>
      <c r="AI1215" s="132"/>
      <c r="AJ1215" s="132"/>
      <c r="AK1215" s="132"/>
      <c r="AL1215" s="132"/>
      <c r="AM1215" s="132"/>
      <c r="AN1215" s="64" t="s">
        <v>181</v>
      </c>
      <c r="AO1215" s="64"/>
      <c r="AP1215" s="64"/>
      <c r="AQ1215" s="64"/>
      <c r="AR1215" s="64"/>
      <c r="AS1215" s="64"/>
      <c r="AT1215" s="64"/>
      <c r="AU1215" s="646"/>
      <c r="AV1215" s="491"/>
    </row>
    <row r="1216" spans="1:48" ht="14.45" customHeight="1" outlineLevel="3" x14ac:dyDescent="0.25">
      <c r="A1216" s="63" t="str">
        <f t="shared" si="225"/>
        <v>4.14.3.5.3.61</v>
      </c>
      <c r="B1216" s="64">
        <v>4</v>
      </c>
      <c r="C1216" s="64">
        <v>14</v>
      </c>
      <c r="D1216" s="64">
        <v>3</v>
      </c>
      <c r="E1216" s="64">
        <v>5</v>
      </c>
      <c r="F1216" s="64">
        <v>3</v>
      </c>
      <c r="G1216" s="100">
        <v>61</v>
      </c>
      <c r="H1216" s="65"/>
      <c r="I1216" s="65"/>
      <c r="J1216" s="66"/>
      <c r="K1216" s="65" t="s">
        <v>1457</v>
      </c>
      <c r="L1216" s="64" t="s">
        <v>72</v>
      </c>
      <c r="M1216" s="64" t="s">
        <v>1458</v>
      </c>
      <c r="N1216" s="64" t="s">
        <v>1444</v>
      </c>
      <c r="O1216" s="64" t="s">
        <v>1445</v>
      </c>
      <c r="P1216" s="69">
        <v>44571</v>
      </c>
      <c r="Q1216" s="69">
        <v>44925</v>
      </c>
      <c r="R1216" s="124">
        <v>312</v>
      </c>
      <c r="S1216" s="65" t="s">
        <v>1459</v>
      </c>
      <c r="T1216" s="225">
        <f>+$AH1216/4</f>
        <v>652000</v>
      </c>
      <c r="U1216" s="179">
        <f>$AH1216/2</f>
        <v>1304000</v>
      </c>
      <c r="V1216" s="674">
        <v>0</v>
      </c>
      <c r="W1216" s="132">
        <f>+$AH1216/4</f>
        <v>652000</v>
      </c>
      <c r="X1216" s="179">
        <f>$AH1216/2</f>
        <v>1304000</v>
      </c>
      <c r="Y1216" s="834">
        <f t="shared" si="257"/>
        <v>1064897.3999999999</v>
      </c>
      <c r="Z1216" s="132">
        <f>+$AH1216/4</f>
        <v>652000</v>
      </c>
      <c r="AA1216" s="179"/>
      <c r="AB1216" s="179"/>
      <c r="AC1216" s="132"/>
      <c r="AD1216" s="179"/>
      <c r="AE1216" s="616"/>
      <c r="AF1216" s="259" t="s">
        <v>1457</v>
      </c>
      <c r="AG1216" s="518">
        <v>858000</v>
      </c>
      <c r="AH1216" s="377">
        <v>2608000</v>
      </c>
      <c r="AI1216" s="132"/>
      <c r="AJ1216" s="75">
        <f>173563.43+891333.97</f>
        <v>1064897.3999999999</v>
      </c>
      <c r="AK1216" s="132"/>
      <c r="AL1216" s="132"/>
      <c r="AM1216" s="132"/>
      <c r="AN1216" s="64" t="s">
        <v>181</v>
      </c>
      <c r="AO1216" s="64" t="s">
        <v>1819</v>
      </c>
      <c r="AP1216" s="64" t="s">
        <v>2175</v>
      </c>
      <c r="AQ1216" s="64" t="s">
        <v>2176</v>
      </c>
      <c r="AR1216" s="69">
        <v>44648</v>
      </c>
      <c r="AS1216" s="69">
        <v>44832</v>
      </c>
      <c r="AT1216" s="64" t="s">
        <v>2029</v>
      </c>
      <c r="AU1216" s="879" t="s">
        <v>2174</v>
      </c>
      <c r="AV1216" s="67" t="s">
        <v>2177</v>
      </c>
    </row>
    <row r="1217" spans="1:48" ht="14.45" customHeight="1" outlineLevel="3" x14ac:dyDescent="0.25">
      <c r="A1217" s="63" t="str">
        <f t="shared" si="225"/>
        <v>4.14.3.5.4.61</v>
      </c>
      <c r="B1217" s="64">
        <v>4</v>
      </c>
      <c r="C1217" s="64">
        <v>14</v>
      </c>
      <c r="D1217" s="64">
        <v>3</v>
      </c>
      <c r="E1217" s="64">
        <v>5</v>
      </c>
      <c r="F1217" s="64">
        <v>4</v>
      </c>
      <c r="G1217" s="64">
        <v>61</v>
      </c>
      <c r="H1217" s="65"/>
      <c r="I1217" s="65"/>
      <c r="J1217" s="66"/>
      <c r="K1217" s="67" t="s">
        <v>1460</v>
      </c>
      <c r="L1217" s="64" t="s">
        <v>72</v>
      </c>
      <c r="M1217" s="64" t="s">
        <v>76</v>
      </c>
      <c r="N1217" s="64" t="s">
        <v>1444</v>
      </c>
      <c r="O1217" s="64" t="s">
        <v>1445</v>
      </c>
      <c r="P1217" s="69">
        <v>44571</v>
      </c>
      <c r="Q1217" s="69">
        <v>44925</v>
      </c>
      <c r="R1217" s="124">
        <v>2</v>
      </c>
      <c r="S1217" s="65" t="s">
        <v>1461</v>
      </c>
      <c r="T1217" s="124">
        <f>26*23000</f>
        <v>598000</v>
      </c>
      <c r="U1217" s="179">
        <f>$AH1217/2</f>
        <v>100000</v>
      </c>
      <c r="V1217" s="702">
        <v>15966.44</v>
      </c>
      <c r="W1217" s="75"/>
      <c r="X1217" s="75"/>
      <c r="Y1217" s="834">
        <f t="shared" si="257"/>
        <v>0</v>
      </c>
      <c r="Z1217" s="75">
        <f>26*23000</f>
        <v>598000</v>
      </c>
      <c r="AA1217" s="179">
        <f>$AH1217/2</f>
        <v>100000</v>
      </c>
      <c r="AB1217" s="179"/>
      <c r="AC1217" s="97"/>
      <c r="AD1217" s="97"/>
      <c r="AE1217" s="591"/>
      <c r="AF1217" s="259" t="s">
        <v>1462</v>
      </c>
      <c r="AG1217" s="518">
        <v>398666.66666666669</v>
      </c>
      <c r="AH1217" s="370">
        <v>200000</v>
      </c>
      <c r="AI1217" s="132"/>
      <c r="AJ1217" s="552">
        <v>15966.44</v>
      </c>
      <c r="AK1217" s="132"/>
      <c r="AL1217" s="132"/>
      <c r="AM1217" s="132"/>
      <c r="AN1217" s="64" t="s">
        <v>181</v>
      </c>
      <c r="AO1217" s="64" t="s">
        <v>1819</v>
      </c>
      <c r="AP1217" s="64" t="s">
        <v>1824</v>
      </c>
      <c r="AQ1217" s="64" t="s">
        <v>1825</v>
      </c>
      <c r="AR1217" s="189" t="s">
        <v>1826</v>
      </c>
      <c r="AS1217" s="554">
        <v>44509</v>
      </c>
      <c r="AT1217" s="554">
        <v>44441</v>
      </c>
      <c r="AU1217" s="646">
        <v>124</v>
      </c>
      <c r="AV1217" s="495"/>
    </row>
    <row r="1218" spans="1:48" s="212" customFormat="1" ht="17.25" customHeight="1" outlineLevel="3" x14ac:dyDescent="0.25">
      <c r="A1218" s="210" t="str">
        <f t="shared" si="225"/>
        <v>4.14.3.5.5.61</v>
      </c>
      <c r="B1218" s="136">
        <v>4</v>
      </c>
      <c r="C1218" s="136">
        <v>14</v>
      </c>
      <c r="D1218" s="136">
        <v>3</v>
      </c>
      <c r="E1218" s="136">
        <v>5</v>
      </c>
      <c r="F1218" s="136">
        <v>5</v>
      </c>
      <c r="G1218" s="136">
        <v>61</v>
      </c>
      <c r="H1218" s="125"/>
      <c r="I1218" s="125"/>
      <c r="J1218" s="213"/>
      <c r="K1218" s="125" t="s">
        <v>1463</v>
      </c>
      <c r="L1218" s="136" t="s">
        <v>1452</v>
      </c>
      <c r="M1218" s="136" t="s">
        <v>1464</v>
      </c>
      <c r="N1218" s="136" t="s">
        <v>1444</v>
      </c>
      <c r="O1218" s="136" t="s">
        <v>1204</v>
      </c>
      <c r="P1218" s="214">
        <v>44571</v>
      </c>
      <c r="Q1218" s="214">
        <v>44925</v>
      </c>
      <c r="R1218" s="136">
        <v>12</v>
      </c>
      <c r="S1218" s="125" t="s">
        <v>1465</v>
      </c>
      <c r="T1218" s="124">
        <f>+$AH1218/4</f>
        <v>52200</v>
      </c>
      <c r="U1218" s="179">
        <f>$AH1218/4</f>
        <v>52200</v>
      </c>
      <c r="V1218" s="674">
        <v>0</v>
      </c>
      <c r="W1218" s="75">
        <f>+$AH1218/4</f>
        <v>52200</v>
      </c>
      <c r="X1218" s="179">
        <f>$AH1218/4</f>
        <v>52200</v>
      </c>
      <c r="Y1218" s="834">
        <f t="shared" si="257"/>
        <v>0</v>
      </c>
      <c r="Z1218" s="75">
        <f>+$AH1218/4</f>
        <v>52200</v>
      </c>
      <c r="AA1218" s="179">
        <f>$AH1218/4</f>
        <v>52200</v>
      </c>
      <c r="AB1218" s="179"/>
      <c r="AC1218" s="75">
        <f>+$AH1218/4</f>
        <v>52200</v>
      </c>
      <c r="AD1218" s="179">
        <f>$AH1218/4</f>
        <v>52200</v>
      </c>
      <c r="AE1218" s="616"/>
      <c r="AF1218" s="349" t="s">
        <v>1466</v>
      </c>
      <c r="AG1218" s="518">
        <v>208800</v>
      </c>
      <c r="AH1218" s="377">
        <v>208800</v>
      </c>
      <c r="AI1218" s="132"/>
      <c r="AJ1218" s="132"/>
      <c r="AK1218" s="132"/>
      <c r="AL1218" s="132"/>
      <c r="AM1218" s="132"/>
      <c r="AN1218" s="136" t="s">
        <v>181</v>
      </c>
      <c r="AO1218" s="136"/>
      <c r="AP1218" s="136"/>
      <c r="AQ1218" s="136"/>
      <c r="AR1218" s="136"/>
      <c r="AS1218" s="136"/>
      <c r="AT1218" s="136"/>
      <c r="AU1218" s="646"/>
      <c r="AV1218" s="491"/>
    </row>
    <row r="1219" spans="1:48" ht="14.45" customHeight="1" outlineLevel="3" x14ac:dyDescent="0.25">
      <c r="A1219" s="63" t="str">
        <f t="shared" si="225"/>
        <v>4.14.3.5.6.61</v>
      </c>
      <c r="B1219" s="64">
        <v>4</v>
      </c>
      <c r="C1219" s="64">
        <v>14</v>
      </c>
      <c r="D1219" s="64">
        <v>3</v>
      </c>
      <c r="E1219" s="64">
        <v>5</v>
      </c>
      <c r="F1219" s="64">
        <v>6</v>
      </c>
      <c r="G1219" s="64">
        <v>61</v>
      </c>
      <c r="H1219" s="65"/>
      <c r="I1219" s="65"/>
      <c r="J1219" s="66"/>
      <c r="K1219" s="65" t="s">
        <v>1467</v>
      </c>
      <c r="L1219" s="64" t="s">
        <v>264</v>
      </c>
      <c r="M1219" s="64" t="s">
        <v>144</v>
      </c>
      <c r="N1219" s="64" t="s">
        <v>265</v>
      </c>
      <c r="O1219" s="64" t="s">
        <v>668</v>
      </c>
      <c r="P1219" s="69">
        <v>44571</v>
      </c>
      <c r="Q1219" s="69">
        <v>44925</v>
      </c>
      <c r="R1219" s="64">
        <v>312</v>
      </c>
      <c r="S1219" s="65" t="s">
        <v>1468</v>
      </c>
      <c r="T1219" s="64"/>
      <c r="U1219" s="179"/>
      <c r="V1219" s="674">
        <v>0</v>
      </c>
      <c r="W1219" s="75"/>
      <c r="X1219" s="75"/>
      <c r="Y1219" s="834">
        <f t="shared" si="257"/>
        <v>0</v>
      </c>
      <c r="Z1219" s="75"/>
      <c r="AA1219" s="75"/>
      <c r="AB1219" s="75"/>
      <c r="AC1219" s="97">
        <f>+AH1219</f>
        <v>1701700</v>
      </c>
      <c r="AD1219" s="97">
        <f>+AH1219/2</f>
        <v>850850</v>
      </c>
      <c r="AE1219" s="591"/>
      <c r="AF1219" s="259" t="s">
        <v>1469</v>
      </c>
      <c r="AG1219" s="518">
        <v>1701700</v>
      </c>
      <c r="AH1219" s="377">
        <v>1701700</v>
      </c>
      <c r="AI1219" s="132"/>
      <c r="AJ1219" s="132"/>
      <c r="AK1219" s="132"/>
      <c r="AL1219" s="132"/>
      <c r="AM1219" s="132"/>
      <c r="AN1219" s="64" t="s">
        <v>181</v>
      </c>
      <c r="AO1219" s="64"/>
      <c r="AP1219" s="64"/>
      <c r="AQ1219" s="64"/>
      <c r="AR1219" s="64"/>
      <c r="AS1219" s="64"/>
      <c r="AT1219" s="64"/>
      <c r="AU1219" s="646"/>
      <c r="AV1219" s="491"/>
    </row>
    <row r="1220" spans="1:48" ht="14.45" customHeight="1" outlineLevel="3" x14ac:dyDescent="0.25">
      <c r="A1220" s="63" t="str">
        <f t="shared" si="225"/>
        <v>4.14.3.5.7.61</v>
      </c>
      <c r="B1220" s="64">
        <v>4</v>
      </c>
      <c r="C1220" s="64">
        <v>14</v>
      </c>
      <c r="D1220" s="64">
        <v>3</v>
      </c>
      <c r="E1220" s="64">
        <v>5</v>
      </c>
      <c r="F1220" s="64">
        <v>7</v>
      </c>
      <c r="G1220" s="64">
        <v>61</v>
      </c>
      <c r="H1220" s="65"/>
      <c r="I1220" s="65"/>
      <c r="J1220" s="65"/>
      <c r="K1220" s="125" t="s">
        <v>1886</v>
      </c>
      <c r="L1220" s="64" t="s">
        <v>264</v>
      </c>
      <c r="M1220" s="64" t="s">
        <v>144</v>
      </c>
      <c r="N1220" s="64" t="s">
        <v>265</v>
      </c>
      <c r="O1220" s="64" t="s">
        <v>668</v>
      </c>
      <c r="P1220" s="69">
        <v>44571</v>
      </c>
      <c r="Q1220" s="69">
        <v>44925</v>
      </c>
      <c r="R1220" s="124">
        <v>286</v>
      </c>
      <c r="S1220" s="65" t="s">
        <v>1470</v>
      </c>
      <c r="T1220" s="124" t="e">
        <f>+#REF!/4</f>
        <v>#REF!</v>
      </c>
      <c r="U1220" s="78">
        <v>4181605.0009999997</v>
      </c>
      <c r="V1220" s="702">
        <v>4330150</v>
      </c>
      <c r="W1220" s="75">
        <v>0</v>
      </c>
      <c r="X1220" s="78"/>
      <c r="Y1220" s="834">
        <f t="shared" si="257"/>
        <v>2028850</v>
      </c>
      <c r="Z1220" s="75"/>
      <c r="AA1220" s="155">
        <v>0</v>
      </c>
      <c r="AB1220" s="155"/>
      <c r="AC1220" s="75">
        <v>0</v>
      </c>
      <c r="AD1220" s="155">
        <v>0</v>
      </c>
      <c r="AE1220" s="599"/>
      <c r="AF1220" s="259" t="s">
        <v>672</v>
      </c>
      <c r="AG1220" s="518">
        <v>14757600</v>
      </c>
      <c r="AH1220" s="370">
        <v>0</v>
      </c>
      <c r="AI1220" s="565"/>
      <c r="AJ1220" s="565">
        <f>1592000+782350+743750+1212050+610000+660600+758250</f>
        <v>6359000</v>
      </c>
      <c r="AK1220" s="281"/>
      <c r="AL1220" s="281"/>
      <c r="AM1220" s="281"/>
      <c r="AN1220" s="64" t="s">
        <v>181</v>
      </c>
      <c r="AO1220" s="533" t="s">
        <v>1839</v>
      </c>
      <c r="AP1220" s="533" t="s">
        <v>649</v>
      </c>
      <c r="AQ1220" s="533" t="s">
        <v>649</v>
      </c>
      <c r="AR1220" s="554">
        <v>44562</v>
      </c>
      <c r="AS1220" s="554">
        <v>44926</v>
      </c>
      <c r="AT1220" s="64" t="s">
        <v>1814</v>
      </c>
      <c r="AU1220" s="877" t="s">
        <v>2087</v>
      </c>
      <c r="AV1220" s="336" t="s">
        <v>2088</v>
      </c>
    </row>
    <row r="1221" spans="1:48" s="284" customFormat="1" ht="35.450000000000003" customHeight="1" outlineLevel="3" x14ac:dyDescent="0.25">
      <c r="A1221" s="210" t="str">
        <f t="shared" si="225"/>
        <v>4.14.3.5.8.61</v>
      </c>
      <c r="B1221" s="136">
        <v>4</v>
      </c>
      <c r="C1221" s="136">
        <v>14</v>
      </c>
      <c r="D1221" s="136">
        <v>3</v>
      </c>
      <c r="E1221" s="136">
        <v>5</v>
      </c>
      <c r="F1221" s="136">
        <v>8</v>
      </c>
      <c r="G1221" s="136">
        <v>61</v>
      </c>
      <c r="H1221" s="133"/>
      <c r="I1221" s="133"/>
      <c r="J1221" s="133"/>
      <c r="K1221" s="125" t="s">
        <v>1472</v>
      </c>
      <c r="L1221" s="136" t="s">
        <v>72</v>
      </c>
      <c r="M1221" s="136" t="s">
        <v>1473</v>
      </c>
      <c r="N1221" s="136" t="s">
        <v>1249</v>
      </c>
      <c r="O1221" s="136" t="s">
        <v>72</v>
      </c>
      <c r="P1221" s="214">
        <v>44571</v>
      </c>
      <c r="Q1221" s="214">
        <v>44925</v>
      </c>
      <c r="R1221" s="282"/>
      <c r="S1221" s="133"/>
      <c r="T1221" s="282"/>
      <c r="U1221" s="179">
        <f>$AH1221/4</f>
        <v>0</v>
      </c>
      <c r="V1221" s="674">
        <v>0</v>
      </c>
      <c r="W1221" s="127"/>
      <c r="X1221" s="127"/>
      <c r="Y1221" s="859">
        <f t="shared" si="257"/>
        <v>0</v>
      </c>
      <c r="Z1221" s="127"/>
      <c r="AA1221" s="127"/>
      <c r="AB1221" s="127"/>
      <c r="AC1221" s="283"/>
      <c r="AD1221" s="283"/>
      <c r="AE1221" s="615"/>
      <c r="AF1221" s="366"/>
      <c r="AG1221" s="518">
        <v>0</v>
      </c>
      <c r="AH1221" s="377">
        <v>0</v>
      </c>
      <c r="AI1221" s="132"/>
      <c r="AJ1221" s="132"/>
      <c r="AK1221" s="132"/>
      <c r="AL1221" s="132"/>
      <c r="AM1221" s="132"/>
      <c r="AN1221" s="136" t="s">
        <v>181</v>
      </c>
      <c r="AO1221" s="136"/>
      <c r="AP1221" s="136"/>
      <c r="AQ1221" s="136"/>
      <c r="AR1221" s="136"/>
      <c r="AS1221" s="136"/>
      <c r="AT1221" s="136"/>
      <c r="AU1221" s="646"/>
      <c r="AV1221" s="491"/>
    </row>
    <row r="1222" spans="1:48" s="153" customFormat="1" ht="54.75" customHeight="1" outlineLevel="2" x14ac:dyDescent="0.25">
      <c r="A1222" s="148" t="str">
        <f t="shared" si="225"/>
        <v>4.14.3.6.0.0</v>
      </c>
      <c r="B1222" s="82">
        <v>4</v>
      </c>
      <c r="C1222" s="82">
        <v>14</v>
      </c>
      <c r="D1222" s="82">
        <v>3</v>
      </c>
      <c r="E1222" s="82">
        <v>6</v>
      </c>
      <c r="F1222" s="82">
        <v>0</v>
      </c>
      <c r="G1222" s="82">
        <v>0</v>
      </c>
      <c r="H1222" s="149"/>
      <c r="I1222" s="149"/>
      <c r="J1222" s="1260" t="s">
        <v>1482</v>
      </c>
      <c r="K1222" s="1259"/>
      <c r="L1222" s="82" t="s">
        <v>1475</v>
      </c>
      <c r="M1222" s="83" t="s">
        <v>1449</v>
      </c>
      <c r="N1222" s="83" t="s">
        <v>1444</v>
      </c>
      <c r="O1222" s="82" t="s">
        <v>1445</v>
      </c>
      <c r="P1222" s="82"/>
      <c r="Q1222" s="82"/>
      <c r="R1222" s="82"/>
      <c r="S1222" s="149"/>
      <c r="T1222" s="82"/>
      <c r="U1222" s="152">
        <f>SUM(U1223:U1230)</f>
        <v>8205116</v>
      </c>
      <c r="V1222" s="681">
        <f>SUM(V1223:V1230)</f>
        <v>7638616.4400000004</v>
      </c>
      <c r="W1222" s="513">
        <f t="shared" ref="W1222:AI1222" si="258">+SUM(W1223:W1230)</f>
        <v>888415</v>
      </c>
      <c r="X1222" s="513">
        <f t="shared" si="258"/>
        <v>1398500</v>
      </c>
      <c r="Y1222" s="862">
        <f t="shared" si="258"/>
        <v>1316547.3999999999</v>
      </c>
      <c r="Z1222" s="513">
        <f t="shared" si="258"/>
        <v>1548650</v>
      </c>
      <c r="AA1222" s="513">
        <f t="shared" si="258"/>
        <v>145000</v>
      </c>
      <c r="AB1222" s="513">
        <f t="shared" si="258"/>
        <v>0</v>
      </c>
      <c r="AC1222" s="513">
        <f t="shared" si="258"/>
        <v>4204385</v>
      </c>
      <c r="AD1222" s="513">
        <f t="shared" si="258"/>
        <v>730850</v>
      </c>
      <c r="AE1222" s="513">
        <f t="shared" si="258"/>
        <v>0</v>
      </c>
      <c r="AF1222" s="513">
        <f t="shared" si="258"/>
        <v>0</v>
      </c>
      <c r="AG1222" s="513">
        <f t="shared" si="258"/>
        <v>27169066.666666664</v>
      </c>
      <c r="AH1222" s="513">
        <f>+SUM(AH1223:AH1230)</f>
        <v>4458700</v>
      </c>
      <c r="AI1222" s="513">
        <f t="shared" si="258"/>
        <v>0</v>
      </c>
      <c r="AJ1222" s="513">
        <f>+SUM(AJ1223:AJ1230)</f>
        <v>8955163.8399999999</v>
      </c>
      <c r="AK1222" s="198"/>
      <c r="AL1222" s="198"/>
      <c r="AM1222" s="198"/>
      <c r="AN1222" s="82" t="s">
        <v>181</v>
      </c>
      <c r="AO1222" s="82"/>
      <c r="AP1222" s="82"/>
      <c r="AQ1222" s="82"/>
      <c r="AR1222" s="82"/>
      <c r="AS1222" s="82"/>
      <c r="AT1222" s="82"/>
      <c r="AU1222" s="666"/>
      <c r="AV1222" s="491"/>
    </row>
    <row r="1223" spans="1:48" ht="14.45" customHeight="1" outlineLevel="3" x14ac:dyDescent="0.25">
      <c r="A1223" s="63" t="str">
        <f t="shared" si="225"/>
        <v>4.14.3.6.1.62</v>
      </c>
      <c r="B1223" s="64">
        <v>4</v>
      </c>
      <c r="C1223" s="64">
        <v>14</v>
      </c>
      <c r="D1223" s="64">
        <v>3</v>
      </c>
      <c r="E1223" s="64">
        <v>6</v>
      </c>
      <c r="F1223" s="64">
        <v>1</v>
      </c>
      <c r="G1223" s="64">
        <v>62</v>
      </c>
      <c r="H1223" s="65"/>
      <c r="I1223" s="65"/>
      <c r="J1223" s="66"/>
      <c r="K1223" s="65" t="s">
        <v>1451</v>
      </c>
      <c r="L1223" s="64" t="s">
        <v>1452</v>
      </c>
      <c r="M1223" s="64" t="s">
        <v>1453</v>
      </c>
      <c r="N1223" s="64" t="s">
        <v>1444</v>
      </c>
      <c r="O1223" s="64" t="s">
        <v>1204</v>
      </c>
      <c r="P1223" s="69">
        <v>44571</v>
      </c>
      <c r="Q1223" s="69">
        <v>44925</v>
      </c>
      <c r="R1223" s="124">
        <v>12300</v>
      </c>
      <c r="S1223" s="170" t="s">
        <v>1454</v>
      </c>
      <c r="T1223" s="98">
        <v>0</v>
      </c>
      <c r="U1223" s="155">
        <f>$AH1223/4</f>
        <v>0</v>
      </c>
      <c r="V1223" s="674">
        <v>0</v>
      </c>
      <c r="W1223" s="97">
        <v>6765</v>
      </c>
      <c r="X1223" s="97"/>
      <c r="Y1223" s="834">
        <f t="shared" ref="Y1223:Y1230" si="259">+AJ1223-V1223</f>
        <v>0</v>
      </c>
      <c r="Z1223" s="97"/>
      <c r="AA1223" s="97"/>
      <c r="AB1223" s="97"/>
      <c r="AC1223" s="97">
        <v>5535</v>
      </c>
      <c r="AD1223" s="97"/>
      <c r="AE1223" s="591"/>
      <c r="AF1223" s="259"/>
      <c r="AG1223" s="518">
        <v>0</v>
      </c>
      <c r="AH1223" s="370">
        <v>0</v>
      </c>
      <c r="AI1223" s="75"/>
      <c r="AJ1223" s="75"/>
      <c r="AK1223" s="75"/>
      <c r="AL1223" s="75"/>
      <c r="AM1223" s="75"/>
      <c r="AN1223" s="64" t="s">
        <v>181</v>
      </c>
      <c r="AO1223" s="64"/>
      <c r="AP1223" s="64"/>
      <c r="AQ1223" s="64"/>
      <c r="AR1223" s="64"/>
      <c r="AS1223" s="64"/>
      <c r="AT1223" s="64"/>
      <c r="AU1223" s="646"/>
      <c r="AV1223" s="491"/>
    </row>
    <row r="1224" spans="1:48" ht="14.45" customHeight="1" outlineLevel="3" x14ac:dyDescent="0.25">
      <c r="A1224" s="63" t="str">
        <f t="shared" si="225"/>
        <v>4.14.3.6.2.62</v>
      </c>
      <c r="B1224" s="64">
        <v>4</v>
      </c>
      <c r="C1224" s="64">
        <v>14</v>
      </c>
      <c r="D1224" s="64">
        <v>3</v>
      </c>
      <c r="E1224" s="64">
        <v>6</v>
      </c>
      <c r="F1224" s="64">
        <v>2</v>
      </c>
      <c r="G1224" s="100">
        <v>62</v>
      </c>
      <c r="H1224" s="65"/>
      <c r="I1224" s="65"/>
      <c r="J1224" s="66"/>
      <c r="K1224" s="65" t="s">
        <v>1455</v>
      </c>
      <c r="L1224" s="64" t="s">
        <v>1452</v>
      </c>
      <c r="M1224" s="64" t="s">
        <v>535</v>
      </c>
      <c r="N1224" s="64" t="s">
        <v>1444</v>
      </c>
      <c r="O1224" s="64" t="s">
        <v>1335</v>
      </c>
      <c r="P1224" s="69">
        <v>44571</v>
      </c>
      <c r="Q1224" s="69">
        <v>44925</v>
      </c>
      <c r="R1224" s="124">
        <f>639600/2</f>
        <v>319800</v>
      </c>
      <c r="S1224" s="65" t="s">
        <v>1456</v>
      </c>
      <c r="T1224" s="64"/>
      <c r="U1224" s="155"/>
      <c r="V1224" s="674">
        <v>0</v>
      </c>
      <c r="W1224" s="75">
        <f>+R1224/2</f>
        <v>159900</v>
      </c>
      <c r="X1224" s="155">
        <f>$AH1224/2</f>
        <v>0</v>
      </c>
      <c r="Y1224" s="834">
        <f t="shared" si="259"/>
        <v>0</v>
      </c>
      <c r="Z1224" s="75">
        <f>+R1224/2</f>
        <v>159900</v>
      </c>
      <c r="AA1224" s="155">
        <f>$AH1224/2</f>
        <v>0</v>
      </c>
      <c r="AB1224" s="155"/>
      <c r="AC1224" s="97"/>
      <c r="AD1224" s="97"/>
      <c r="AE1224" s="591"/>
      <c r="AF1224" s="259" t="s">
        <v>535</v>
      </c>
      <c r="AG1224" s="518">
        <v>1439100</v>
      </c>
      <c r="AH1224" s="377">
        <v>0</v>
      </c>
      <c r="AI1224" s="132"/>
      <c r="AJ1224" s="132"/>
      <c r="AK1224" s="132"/>
      <c r="AL1224" s="132"/>
      <c r="AM1224" s="132"/>
      <c r="AN1224" s="64" t="s">
        <v>181</v>
      </c>
      <c r="AO1224" s="64"/>
      <c r="AP1224" s="64"/>
      <c r="AQ1224" s="64"/>
      <c r="AR1224" s="64"/>
      <c r="AS1224" s="64"/>
      <c r="AT1224" s="64"/>
      <c r="AU1224" s="646"/>
      <c r="AV1224" s="491"/>
    </row>
    <row r="1225" spans="1:48" ht="14.45" customHeight="1" outlineLevel="3" x14ac:dyDescent="0.25">
      <c r="A1225" s="63" t="str">
        <f t="shared" si="225"/>
        <v>4.14.3.6.3.62</v>
      </c>
      <c r="B1225" s="64">
        <v>4</v>
      </c>
      <c r="C1225" s="64">
        <v>14</v>
      </c>
      <c r="D1225" s="64">
        <v>3</v>
      </c>
      <c r="E1225" s="64">
        <v>6</v>
      </c>
      <c r="F1225" s="64">
        <v>3</v>
      </c>
      <c r="G1225" s="100">
        <v>62</v>
      </c>
      <c r="H1225" s="65"/>
      <c r="I1225" s="65"/>
      <c r="J1225" s="66"/>
      <c r="K1225" s="65" t="s">
        <v>1457</v>
      </c>
      <c r="L1225" s="64" t="s">
        <v>72</v>
      </c>
      <c r="M1225" s="64" t="s">
        <v>1458</v>
      </c>
      <c r="N1225" s="64" t="s">
        <v>1444</v>
      </c>
      <c r="O1225" s="64" t="s">
        <v>1445</v>
      </c>
      <c r="P1225" s="69">
        <v>44571</v>
      </c>
      <c r="Q1225" s="69">
        <v>44925</v>
      </c>
      <c r="R1225" s="124">
        <v>348</v>
      </c>
      <c r="S1225" s="65" t="s">
        <v>1459</v>
      </c>
      <c r="T1225" s="277">
        <f>+$AH1225/4</f>
        <v>676750</v>
      </c>
      <c r="U1225" s="155">
        <f>$AH1225/2</f>
        <v>1353500</v>
      </c>
      <c r="V1225" s="674">
        <v>0</v>
      </c>
      <c r="W1225" s="97">
        <f>+$AH1225/4</f>
        <v>676750</v>
      </c>
      <c r="X1225" s="155">
        <f>$AH1225/2</f>
        <v>1353500</v>
      </c>
      <c r="Y1225" s="834">
        <f t="shared" si="259"/>
        <v>1064897.3999999999</v>
      </c>
      <c r="Z1225" s="97">
        <f>+$AH1225/4</f>
        <v>676750</v>
      </c>
      <c r="AA1225" s="155"/>
      <c r="AB1225" s="155"/>
      <c r="AC1225" s="97">
        <f>+$AH1225/4</f>
        <v>676750</v>
      </c>
      <c r="AD1225" s="155"/>
      <c r="AE1225" s="599"/>
      <c r="AF1225" s="259" t="s">
        <v>1457</v>
      </c>
      <c r="AG1225" s="518">
        <v>957000</v>
      </c>
      <c r="AH1225" s="377">
        <v>2707000</v>
      </c>
      <c r="AI1225" s="132"/>
      <c r="AJ1225" s="75">
        <f>173563.43+891333.97</f>
        <v>1064897.3999999999</v>
      </c>
      <c r="AK1225" s="132"/>
      <c r="AL1225" s="132"/>
      <c r="AM1225" s="132"/>
      <c r="AN1225" s="64" t="s">
        <v>181</v>
      </c>
      <c r="AO1225" s="64" t="s">
        <v>1819</v>
      </c>
      <c r="AP1225" s="64" t="s">
        <v>2175</v>
      </c>
      <c r="AQ1225" s="64" t="s">
        <v>2176</v>
      </c>
      <c r="AR1225" s="69">
        <v>44648</v>
      </c>
      <c r="AS1225" s="69">
        <v>44832</v>
      </c>
      <c r="AT1225" s="64" t="s">
        <v>2029</v>
      </c>
      <c r="AU1225" s="879" t="s">
        <v>2174</v>
      </c>
      <c r="AV1225" s="67" t="s">
        <v>2177</v>
      </c>
    </row>
    <row r="1226" spans="1:48" ht="14.45" customHeight="1" outlineLevel="3" x14ac:dyDescent="0.25">
      <c r="A1226" s="63" t="str">
        <f t="shared" si="225"/>
        <v>4.14.3.6.4.62</v>
      </c>
      <c r="B1226" s="64">
        <v>4</v>
      </c>
      <c r="C1226" s="64">
        <v>14</v>
      </c>
      <c r="D1226" s="64">
        <v>3</v>
      </c>
      <c r="E1226" s="64">
        <v>6</v>
      </c>
      <c r="F1226" s="64">
        <v>4</v>
      </c>
      <c r="G1226" s="64">
        <v>62</v>
      </c>
      <c r="H1226" s="65"/>
      <c r="I1226" s="65"/>
      <c r="J1226" s="66"/>
      <c r="K1226" s="67" t="s">
        <v>1460</v>
      </c>
      <c r="L1226" s="64" t="s">
        <v>72</v>
      </c>
      <c r="M1226" s="64" t="s">
        <v>76</v>
      </c>
      <c r="N1226" s="64" t="s">
        <v>1444</v>
      </c>
      <c r="O1226" s="64" t="s">
        <v>1445</v>
      </c>
      <c r="P1226" s="69">
        <v>44571</v>
      </c>
      <c r="Q1226" s="69">
        <v>44925</v>
      </c>
      <c r="R1226" s="124">
        <v>2</v>
      </c>
      <c r="S1226" s="65" t="s">
        <v>1461</v>
      </c>
      <c r="T1226" s="64">
        <f>29*23000</f>
        <v>667000</v>
      </c>
      <c r="U1226" s="155">
        <f>$AH1226/2</f>
        <v>100000</v>
      </c>
      <c r="V1226" s="702">
        <v>15966.44</v>
      </c>
      <c r="W1226" s="75"/>
      <c r="X1226" s="75"/>
      <c r="Y1226" s="834">
        <f t="shared" si="259"/>
        <v>0</v>
      </c>
      <c r="Z1226" s="75">
        <f>29*23000</f>
        <v>667000</v>
      </c>
      <c r="AA1226" s="155">
        <f>$AH1226/2</f>
        <v>100000</v>
      </c>
      <c r="AB1226" s="155"/>
      <c r="AC1226" s="97"/>
      <c r="AD1226" s="97"/>
      <c r="AE1226" s="591"/>
      <c r="AF1226" s="259" t="s">
        <v>1462</v>
      </c>
      <c r="AG1226" s="518">
        <v>444666.66666666669</v>
      </c>
      <c r="AH1226" s="370">
        <v>200000</v>
      </c>
      <c r="AI1226" s="132"/>
      <c r="AJ1226" s="552">
        <v>15966.44</v>
      </c>
      <c r="AK1226" s="132"/>
      <c r="AL1226" s="132"/>
      <c r="AM1226" s="132"/>
      <c r="AN1226" s="64" t="s">
        <v>181</v>
      </c>
      <c r="AO1226" s="64" t="s">
        <v>1819</v>
      </c>
      <c r="AP1226" s="64" t="s">
        <v>1824</v>
      </c>
      <c r="AQ1226" s="64" t="s">
        <v>1825</v>
      </c>
      <c r="AR1226" s="64" t="s">
        <v>1826</v>
      </c>
      <c r="AS1226" s="554">
        <v>44509</v>
      </c>
      <c r="AT1226" s="554">
        <v>44441</v>
      </c>
      <c r="AU1226" s="646">
        <v>124</v>
      </c>
      <c r="AV1226" s="495"/>
    </row>
    <row r="1227" spans="1:48" s="212" customFormat="1" ht="17.25" customHeight="1" outlineLevel="3" x14ac:dyDescent="0.25">
      <c r="A1227" s="210" t="str">
        <f t="shared" si="225"/>
        <v>4.14.3.6.5.62</v>
      </c>
      <c r="B1227" s="136">
        <v>4</v>
      </c>
      <c r="C1227" s="136">
        <v>14</v>
      </c>
      <c r="D1227" s="136">
        <v>3</v>
      </c>
      <c r="E1227" s="136">
        <v>6</v>
      </c>
      <c r="F1227" s="136">
        <v>5</v>
      </c>
      <c r="G1227" s="136">
        <v>62</v>
      </c>
      <c r="H1227" s="125"/>
      <c r="I1227" s="125"/>
      <c r="J1227" s="213"/>
      <c r="K1227" s="125" t="s">
        <v>1463</v>
      </c>
      <c r="L1227" s="136" t="s">
        <v>1452</v>
      </c>
      <c r="M1227" s="136" t="s">
        <v>1464</v>
      </c>
      <c r="N1227" s="136" t="s">
        <v>1444</v>
      </c>
      <c r="O1227" s="136" t="s">
        <v>1204</v>
      </c>
      <c r="P1227" s="214">
        <v>44571</v>
      </c>
      <c r="Q1227" s="214">
        <v>44925</v>
      </c>
      <c r="R1227" s="136">
        <v>12</v>
      </c>
      <c r="S1227" s="125" t="s">
        <v>1465</v>
      </c>
      <c r="T1227" s="124">
        <f>+$AH1227/4</f>
        <v>45000</v>
      </c>
      <c r="U1227" s="155">
        <f>$AH1227/4</f>
        <v>45000</v>
      </c>
      <c r="V1227" s="674">
        <v>0</v>
      </c>
      <c r="W1227" s="75">
        <f>+$AH1227/4</f>
        <v>45000</v>
      </c>
      <c r="X1227" s="155">
        <f>$AH1227/4</f>
        <v>45000</v>
      </c>
      <c r="Y1227" s="834">
        <f t="shared" si="259"/>
        <v>0</v>
      </c>
      <c r="Z1227" s="75">
        <f>+$AH1227/4</f>
        <v>45000</v>
      </c>
      <c r="AA1227" s="155">
        <f>$AH1227/4</f>
        <v>45000</v>
      </c>
      <c r="AB1227" s="155"/>
      <c r="AC1227" s="75">
        <f>+$AH1227/4</f>
        <v>45000</v>
      </c>
      <c r="AD1227" s="155">
        <f>$AH1227/4</f>
        <v>45000</v>
      </c>
      <c r="AE1227" s="599"/>
      <c r="AF1227" s="349" t="s">
        <v>1466</v>
      </c>
      <c r="AG1227" s="518">
        <v>180000</v>
      </c>
      <c r="AH1227" s="377">
        <v>180000</v>
      </c>
      <c r="AI1227" s="132"/>
      <c r="AJ1227" s="132"/>
      <c r="AK1227" s="132"/>
      <c r="AL1227" s="132"/>
      <c r="AM1227" s="132"/>
      <c r="AN1227" s="136" t="s">
        <v>181</v>
      </c>
      <c r="AO1227" s="136"/>
      <c r="AP1227" s="136"/>
      <c r="AQ1227" s="136"/>
      <c r="AR1227" s="136"/>
      <c r="AS1227" s="136"/>
      <c r="AT1227" s="136"/>
      <c r="AU1227" s="646"/>
      <c r="AV1227" s="491"/>
    </row>
    <row r="1228" spans="1:48" ht="14.45" customHeight="1" outlineLevel="3" x14ac:dyDescent="0.25">
      <c r="A1228" s="63" t="str">
        <f t="shared" si="225"/>
        <v>4.14.3.6.6.62</v>
      </c>
      <c r="B1228" s="64">
        <v>4</v>
      </c>
      <c r="C1228" s="64">
        <v>14</v>
      </c>
      <c r="D1228" s="64">
        <v>3</v>
      </c>
      <c r="E1228" s="64">
        <v>6</v>
      </c>
      <c r="F1228" s="64">
        <v>6</v>
      </c>
      <c r="G1228" s="64">
        <v>62</v>
      </c>
      <c r="H1228" s="65"/>
      <c r="I1228" s="65"/>
      <c r="J1228" s="66"/>
      <c r="K1228" s="65" t="s">
        <v>1467</v>
      </c>
      <c r="L1228" s="64" t="s">
        <v>264</v>
      </c>
      <c r="M1228" s="64" t="s">
        <v>144</v>
      </c>
      <c r="N1228" s="64" t="s">
        <v>265</v>
      </c>
      <c r="O1228" s="64" t="s">
        <v>668</v>
      </c>
      <c r="P1228" s="69">
        <v>44571</v>
      </c>
      <c r="Q1228" s="69">
        <v>44925</v>
      </c>
      <c r="R1228" s="64">
        <v>348</v>
      </c>
      <c r="S1228" s="65" t="s">
        <v>1468</v>
      </c>
      <c r="T1228" s="64"/>
      <c r="U1228" s="155"/>
      <c r="V1228" s="674">
        <v>0</v>
      </c>
      <c r="W1228" s="75"/>
      <c r="X1228" s="75"/>
      <c r="Y1228" s="834">
        <f t="shared" si="259"/>
        <v>0</v>
      </c>
      <c r="Z1228" s="75"/>
      <c r="AA1228" s="75"/>
      <c r="AB1228" s="75"/>
      <c r="AC1228" s="132">
        <f>+(29*500*22)+(319*450*22)</f>
        <v>3477100</v>
      </c>
      <c r="AD1228" s="132">
        <f>+AH1228/2</f>
        <v>685850</v>
      </c>
      <c r="AE1228" s="598"/>
      <c r="AF1228" s="259" t="s">
        <v>1469</v>
      </c>
      <c r="AG1228" s="518">
        <v>1371700</v>
      </c>
      <c r="AH1228" s="377">
        <v>1371700</v>
      </c>
      <c r="AI1228" s="132"/>
      <c r="AJ1228" s="132"/>
      <c r="AK1228" s="132"/>
      <c r="AL1228" s="132"/>
      <c r="AM1228" s="132"/>
      <c r="AN1228" s="64" t="s">
        <v>181</v>
      </c>
      <c r="AO1228" s="64"/>
      <c r="AP1228" s="64"/>
      <c r="AQ1228" s="64"/>
      <c r="AR1228" s="64"/>
      <c r="AS1228" s="64"/>
      <c r="AT1228" s="64"/>
      <c r="AU1228" s="646"/>
      <c r="AV1228" s="491"/>
    </row>
    <row r="1229" spans="1:48" ht="18" customHeight="1" outlineLevel="3" x14ac:dyDescent="0.25">
      <c r="A1229" s="63" t="str">
        <f t="shared" si="225"/>
        <v>4.14.3.6.7.62</v>
      </c>
      <c r="B1229" s="64">
        <v>4</v>
      </c>
      <c r="C1229" s="64">
        <v>14</v>
      </c>
      <c r="D1229" s="64">
        <v>3</v>
      </c>
      <c r="E1229" s="64">
        <v>6</v>
      </c>
      <c r="F1229" s="64">
        <v>7</v>
      </c>
      <c r="G1229" s="64">
        <v>62</v>
      </c>
      <c r="H1229" s="65"/>
      <c r="I1229" s="65"/>
      <c r="J1229" s="65"/>
      <c r="K1229" s="65" t="s">
        <v>1887</v>
      </c>
      <c r="L1229" s="64" t="s">
        <v>264</v>
      </c>
      <c r="M1229" s="64" t="s">
        <v>144</v>
      </c>
      <c r="N1229" s="64" t="s">
        <v>265</v>
      </c>
      <c r="O1229" s="64" t="s">
        <v>668</v>
      </c>
      <c r="P1229" s="69">
        <v>44571</v>
      </c>
      <c r="Q1229" s="69">
        <v>44925</v>
      </c>
      <c r="R1229" s="124">
        <v>319</v>
      </c>
      <c r="S1229" s="65" t="s">
        <v>1470</v>
      </c>
      <c r="T1229" s="225">
        <f>+$AH1229/4</f>
        <v>0</v>
      </c>
      <c r="U1229" s="78">
        <v>6706616</v>
      </c>
      <c r="V1229" s="702">
        <v>7622650</v>
      </c>
      <c r="W1229" s="132">
        <f>+$AH1229/4</f>
        <v>0</v>
      </c>
      <c r="X1229" s="78"/>
      <c r="Y1229" s="834">
        <f t="shared" si="259"/>
        <v>251650</v>
      </c>
      <c r="Z1229" s="132">
        <f>+$AH1229/4</f>
        <v>0</v>
      </c>
      <c r="AA1229" s="155">
        <v>0</v>
      </c>
      <c r="AB1229" s="155"/>
      <c r="AC1229" s="132">
        <f>+$AH1229/4</f>
        <v>0</v>
      </c>
      <c r="AD1229" s="155">
        <v>0</v>
      </c>
      <c r="AE1229" s="599"/>
      <c r="AF1229" s="259" t="s">
        <v>672</v>
      </c>
      <c r="AG1229" s="518">
        <v>22776600</v>
      </c>
      <c r="AH1229" s="370">
        <v>0</v>
      </c>
      <c r="AI1229" s="565"/>
      <c r="AJ1229" s="565">
        <f>2424950+2324100+981000+986500+906100+74850+83600+93200</f>
        <v>7874300</v>
      </c>
      <c r="AK1229" s="281"/>
      <c r="AL1229" s="281"/>
      <c r="AM1229" s="281"/>
      <c r="AN1229" s="64" t="s">
        <v>181</v>
      </c>
      <c r="AO1229" s="533" t="s">
        <v>1839</v>
      </c>
      <c r="AP1229" s="533" t="s">
        <v>649</v>
      </c>
      <c r="AQ1229" s="533" t="s">
        <v>649</v>
      </c>
      <c r="AR1229" s="554">
        <v>44562</v>
      </c>
      <c r="AS1229" s="554">
        <v>44926</v>
      </c>
      <c r="AT1229" s="64" t="s">
        <v>1814</v>
      </c>
      <c r="AU1229" s="877" t="s">
        <v>2089</v>
      </c>
      <c r="AV1229" s="336" t="s">
        <v>2090</v>
      </c>
    </row>
    <row r="1230" spans="1:48" s="284" customFormat="1" ht="26.1" customHeight="1" outlineLevel="3" x14ac:dyDescent="0.25">
      <c r="A1230" s="210" t="str">
        <f t="shared" si="225"/>
        <v>4.14.3.6.8.62</v>
      </c>
      <c r="B1230" s="136">
        <v>4</v>
      </c>
      <c r="C1230" s="136">
        <v>14</v>
      </c>
      <c r="D1230" s="136">
        <v>3</v>
      </c>
      <c r="E1230" s="136">
        <v>6</v>
      </c>
      <c r="F1230" s="136">
        <v>8</v>
      </c>
      <c r="G1230" s="136">
        <v>62</v>
      </c>
      <c r="H1230" s="133"/>
      <c r="I1230" s="133"/>
      <c r="J1230" s="133"/>
      <c r="K1230" s="125" t="s">
        <v>1472</v>
      </c>
      <c r="L1230" s="136" t="s">
        <v>72</v>
      </c>
      <c r="M1230" s="136" t="s">
        <v>1473</v>
      </c>
      <c r="N1230" s="136" t="s">
        <v>1249</v>
      </c>
      <c r="O1230" s="136" t="s">
        <v>72</v>
      </c>
      <c r="P1230" s="214">
        <v>44571</v>
      </c>
      <c r="Q1230" s="214">
        <v>44925</v>
      </c>
      <c r="R1230" s="126">
        <v>1</v>
      </c>
      <c r="S1230" s="133"/>
      <c r="T1230" s="282"/>
      <c r="U1230" s="155">
        <f>$AH1230/4</f>
        <v>0</v>
      </c>
      <c r="V1230" s="674">
        <v>0</v>
      </c>
      <c r="W1230" s="127"/>
      <c r="X1230" s="127"/>
      <c r="Y1230" s="859">
        <f t="shared" si="259"/>
        <v>0</v>
      </c>
      <c r="Z1230" s="127"/>
      <c r="AA1230" s="127"/>
      <c r="AB1230" s="127"/>
      <c r="AC1230" s="283"/>
      <c r="AD1230" s="283"/>
      <c r="AE1230" s="615"/>
      <c r="AF1230" s="366"/>
      <c r="AG1230" s="518">
        <v>0</v>
      </c>
      <c r="AH1230" s="377">
        <v>0</v>
      </c>
      <c r="AI1230" s="127"/>
      <c r="AJ1230" s="127"/>
      <c r="AK1230" s="127"/>
      <c r="AL1230" s="127"/>
      <c r="AM1230" s="127"/>
      <c r="AN1230" s="136" t="s">
        <v>181</v>
      </c>
      <c r="AO1230" s="136"/>
      <c r="AP1230" s="136"/>
      <c r="AQ1230" s="136"/>
      <c r="AR1230" s="136"/>
      <c r="AS1230" s="136"/>
      <c r="AT1230" s="136"/>
      <c r="AU1230" s="646"/>
      <c r="AV1230" s="491"/>
    </row>
    <row r="1231" spans="1:48" s="153" customFormat="1" ht="56.25" customHeight="1" outlineLevel="2" x14ac:dyDescent="0.25">
      <c r="A1231" s="148" t="str">
        <f t="shared" si="225"/>
        <v>4.14.3.7.0.0</v>
      </c>
      <c r="B1231" s="82">
        <v>4</v>
      </c>
      <c r="C1231" s="82">
        <v>14</v>
      </c>
      <c r="D1231" s="82">
        <v>3</v>
      </c>
      <c r="E1231" s="82">
        <v>7</v>
      </c>
      <c r="F1231" s="82">
        <v>0</v>
      </c>
      <c r="G1231" s="82">
        <v>0</v>
      </c>
      <c r="H1231" s="149"/>
      <c r="I1231" s="149"/>
      <c r="J1231" s="1260" t="s">
        <v>1483</v>
      </c>
      <c r="K1231" s="1259"/>
      <c r="L1231" s="82" t="s">
        <v>1475</v>
      </c>
      <c r="M1231" s="83" t="s">
        <v>1449</v>
      </c>
      <c r="N1231" s="83" t="s">
        <v>1444</v>
      </c>
      <c r="O1231" s="82" t="s">
        <v>1445</v>
      </c>
      <c r="P1231" s="82"/>
      <c r="Q1231" s="82"/>
      <c r="R1231" s="82"/>
      <c r="S1231" s="149"/>
      <c r="T1231" s="82"/>
      <c r="U1231" s="152">
        <f>SUM(U1232:U1239)</f>
        <v>2791500</v>
      </c>
      <c r="V1231" s="681">
        <f>SUM(V1232:V1239)</f>
        <v>1761716.46</v>
      </c>
      <c r="W1231" s="513">
        <f t="shared" ref="W1231:AI1231" si="260">+SUM(W1232:W1239)</f>
        <v>604175</v>
      </c>
      <c r="X1231" s="513">
        <f t="shared" si="260"/>
        <v>1068500</v>
      </c>
      <c r="Y1231" s="862">
        <f t="shared" si="260"/>
        <v>1349247.4</v>
      </c>
      <c r="Z1231" s="513">
        <f t="shared" si="260"/>
        <v>809250</v>
      </c>
      <c r="AA1231" s="513">
        <f t="shared" si="260"/>
        <v>145000</v>
      </c>
      <c r="AB1231" s="513">
        <f t="shared" si="260"/>
        <v>0</v>
      </c>
      <c r="AC1231" s="513">
        <f t="shared" si="260"/>
        <v>1147375</v>
      </c>
      <c r="AD1231" s="513">
        <f t="shared" si="260"/>
        <v>339525</v>
      </c>
      <c r="AE1231" s="513">
        <f t="shared" si="260"/>
        <v>0</v>
      </c>
      <c r="AF1231" s="513">
        <f t="shared" si="260"/>
        <v>0</v>
      </c>
      <c r="AG1231" s="513">
        <f t="shared" si="260"/>
        <v>8682150</v>
      </c>
      <c r="AH1231" s="513">
        <f>+SUM(AH1232:AH1239)</f>
        <v>3016050</v>
      </c>
      <c r="AI1231" s="513">
        <f t="shared" si="260"/>
        <v>0</v>
      </c>
      <c r="AJ1231" s="513">
        <f>+SUM(AJ1232:AJ1239)</f>
        <v>3110963.86</v>
      </c>
      <c r="AK1231" s="198"/>
      <c r="AL1231" s="198"/>
      <c r="AM1231" s="198"/>
      <c r="AN1231" s="82" t="s">
        <v>181</v>
      </c>
      <c r="AO1231" s="82"/>
      <c r="AP1231" s="82"/>
      <c r="AQ1231" s="82"/>
      <c r="AR1231" s="82"/>
      <c r="AS1231" s="82"/>
      <c r="AT1231" s="82"/>
      <c r="AU1231" s="666"/>
      <c r="AV1231" s="491"/>
    </row>
    <row r="1232" spans="1:48" ht="15" customHeight="1" outlineLevel="3" x14ac:dyDescent="0.25">
      <c r="A1232" s="63" t="str">
        <f t="shared" si="225"/>
        <v>4.14.3.7.1.60</v>
      </c>
      <c r="B1232" s="64">
        <v>4</v>
      </c>
      <c r="C1232" s="64">
        <v>14</v>
      </c>
      <c r="D1232" s="64">
        <v>3</v>
      </c>
      <c r="E1232" s="64">
        <v>7</v>
      </c>
      <c r="F1232" s="64">
        <v>1</v>
      </c>
      <c r="G1232" s="64">
        <v>60</v>
      </c>
      <c r="H1232" s="65"/>
      <c r="I1232" s="65"/>
      <c r="J1232" s="66"/>
      <c r="K1232" s="65" t="s">
        <v>1451</v>
      </c>
      <c r="L1232" s="64" t="s">
        <v>1452</v>
      </c>
      <c r="M1232" s="64" t="s">
        <v>1453</v>
      </c>
      <c r="N1232" s="64" t="s">
        <v>1444</v>
      </c>
      <c r="O1232" s="64" t="s">
        <v>1204</v>
      </c>
      <c r="P1232" s="69">
        <v>44571</v>
      </c>
      <c r="Q1232" s="69">
        <v>44925</v>
      </c>
      <c r="R1232" s="170">
        <v>3500</v>
      </c>
      <c r="S1232" s="170" t="s">
        <v>1454</v>
      </c>
      <c r="T1232" s="98"/>
      <c r="U1232" s="155">
        <f>$AH1232/4</f>
        <v>0</v>
      </c>
      <c r="V1232" s="674">
        <v>0</v>
      </c>
      <c r="W1232" s="97">
        <v>1925</v>
      </c>
      <c r="X1232" s="97"/>
      <c r="Y1232" s="834">
        <f t="shared" ref="Y1232:Y1239" si="261">+AJ1232-V1232</f>
        <v>0</v>
      </c>
      <c r="Z1232" s="97"/>
      <c r="AA1232" s="97"/>
      <c r="AB1232" s="97"/>
      <c r="AC1232" s="97">
        <v>1575</v>
      </c>
      <c r="AD1232" s="97"/>
      <c r="AE1232" s="591"/>
      <c r="AF1232" s="259"/>
      <c r="AG1232" s="518">
        <v>0</v>
      </c>
      <c r="AH1232" s="370">
        <v>0</v>
      </c>
      <c r="AI1232" s="75"/>
      <c r="AJ1232" s="75"/>
      <c r="AK1232" s="75"/>
      <c r="AL1232" s="75"/>
      <c r="AM1232" s="75"/>
      <c r="AN1232" s="64" t="s">
        <v>181</v>
      </c>
      <c r="AO1232" s="64"/>
      <c r="AP1232" s="64"/>
      <c r="AQ1232" s="64"/>
      <c r="AR1232" s="64"/>
      <c r="AS1232" s="64"/>
      <c r="AT1232" s="64"/>
      <c r="AU1232" s="646"/>
      <c r="AV1232" s="491"/>
    </row>
    <row r="1233" spans="1:48" ht="15" customHeight="1" outlineLevel="3" x14ac:dyDescent="0.25">
      <c r="A1233" s="63" t="str">
        <f t="shared" si="225"/>
        <v>4.14.3.7.2.60</v>
      </c>
      <c r="B1233" s="64">
        <v>4</v>
      </c>
      <c r="C1233" s="64">
        <v>14</v>
      </c>
      <c r="D1233" s="64">
        <v>3</v>
      </c>
      <c r="E1233" s="64">
        <v>7</v>
      </c>
      <c r="F1233" s="64">
        <v>2</v>
      </c>
      <c r="G1233" s="100">
        <v>60</v>
      </c>
      <c r="H1233" s="65"/>
      <c r="I1233" s="65"/>
      <c r="J1233" s="66"/>
      <c r="K1233" s="65" t="s">
        <v>1455</v>
      </c>
      <c r="L1233" s="64" t="s">
        <v>1452</v>
      </c>
      <c r="M1233" s="64" t="s">
        <v>535</v>
      </c>
      <c r="N1233" s="64" t="s">
        <v>1444</v>
      </c>
      <c r="O1233" s="64" t="s">
        <v>1335</v>
      </c>
      <c r="P1233" s="69">
        <v>44571</v>
      </c>
      <c r="Q1233" s="69">
        <v>44925</v>
      </c>
      <c r="R1233" s="124">
        <f>182000/2</f>
        <v>91000</v>
      </c>
      <c r="S1233" s="65" t="s">
        <v>1456</v>
      </c>
      <c r="T1233" s="64"/>
      <c r="U1233" s="155"/>
      <c r="V1233" s="674">
        <v>0</v>
      </c>
      <c r="W1233" s="75">
        <f>+R1233/2</f>
        <v>45500</v>
      </c>
      <c r="X1233" s="155">
        <f>$AH1233/2</f>
        <v>0</v>
      </c>
      <c r="Y1233" s="834">
        <f t="shared" si="261"/>
        <v>0</v>
      </c>
      <c r="Z1233" s="75">
        <f>+R1233/2</f>
        <v>45500</v>
      </c>
      <c r="AA1233" s="155">
        <f>$AH1233/2</f>
        <v>0</v>
      </c>
      <c r="AB1233" s="155"/>
      <c r="AC1233" s="97"/>
      <c r="AD1233" s="97"/>
      <c r="AE1233" s="591"/>
      <c r="AF1233" s="259" t="s">
        <v>535</v>
      </c>
      <c r="AG1233" s="518">
        <v>409500</v>
      </c>
      <c r="AH1233" s="370">
        <v>0</v>
      </c>
      <c r="AI1233" s="75"/>
      <c r="AJ1233" s="75"/>
      <c r="AK1233" s="75"/>
      <c r="AL1233" s="75"/>
      <c r="AM1233" s="75"/>
      <c r="AN1233" s="64" t="s">
        <v>181</v>
      </c>
      <c r="AO1233" s="64"/>
      <c r="AP1233" s="64"/>
      <c r="AQ1233" s="64"/>
      <c r="AR1233" s="64"/>
      <c r="AS1233" s="64"/>
      <c r="AT1233" s="64"/>
      <c r="AU1233" s="646"/>
      <c r="AV1233" s="491"/>
    </row>
    <row r="1234" spans="1:48" ht="90" outlineLevel="3" x14ac:dyDescent="0.25">
      <c r="A1234" s="63" t="str">
        <f t="shared" si="225"/>
        <v>4.14.3.7.3.60</v>
      </c>
      <c r="B1234" s="64">
        <v>4</v>
      </c>
      <c r="C1234" s="64">
        <v>14</v>
      </c>
      <c r="D1234" s="64">
        <v>3</v>
      </c>
      <c r="E1234" s="64">
        <v>7</v>
      </c>
      <c r="F1234" s="64">
        <v>3</v>
      </c>
      <c r="G1234" s="100">
        <v>60</v>
      </c>
      <c r="H1234" s="65"/>
      <c r="I1234" s="65"/>
      <c r="J1234" s="66"/>
      <c r="K1234" s="65" t="s">
        <v>1457</v>
      </c>
      <c r="L1234" s="64" t="s">
        <v>72</v>
      </c>
      <c r="M1234" s="64" t="s">
        <v>1458</v>
      </c>
      <c r="N1234" s="64" t="s">
        <v>1444</v>
      </c>
      <c r="O1234" s="64" t="s">
        <v>1445</v>
      </c>
      <c r="P1234" s="69">
        <v>44571</v>
      </c>
      <c r="Q1234" s="69">
        <v>44925</v>
      </c>
      <c r="R1234" s="124">
        <v>108</v>
      </c>
      <c r="S1234" s="65" t="s">
        <v>1459</v>
      </c>
      <c r="T1234" s="277">
        <f>+$AH1234/4</f>
        <v>511750</v>
      </c>
      <c r="U1234" s="155">
        <f>$AH1234/2</f>
        <v>1023500</v>
      </c>
      <c r="V1234" s="674">
        <v>0</v>
      </c>
      <c r="W1234" s="97">
        <f>+$AH1234/4</f>
        <v>511750</v>
      </c>
      <c r="X1234" s="155">
        <f>$AH1234/2</f>
        <v>1023500</v>
      </c>
      <c r="Y1234" s="834">
        <f t="shared" si="261"/>
        <v>1064897.3999999999</v>
      </c>
      <c r="Z1234" s="97">
        <f>+$AH1234/4</f>
        <v>511750</v>
      </c>
      <c r="AA1234" s="155"/>
      <c r="AB1234" s="155"/>
      <c r="AC1234" s="97">
        <f>+$AH1234/4</f>
        <v>511750</v>
      </c>
      <c r="AD1234" s="155"/>
      <c r="AE1234" s="599"/>
      <c r="AF1234" s="259" t="s">
        <v>1457</v>
      </c>
      <c r="AG1234" s="518">
        <v>297000</v>
      </c>
      <c r="AH1234" s="377">
        <v>2047000</v>
      </c>
      <c r="AI1234" s="132"/>
      <c r="AJ1234" s="75">
        <f>173563.43+891333.97</f>
        <v>1064897.3999999999</v>
      </c>
      <c r="AK1234" s="132"/>
      <c r="AL1234" s="132"/>
      <c r="AM1234" s="132"/>
      <c r="AN1234" s="64" t="s">
        <v>181</v>
      </c>
      <c r="AO1234" s="64" t="s">
        <v>1819</v>
      </c>
      <c r="AP1234" s="64" t="s">
        <v>2175</v>
      </c>
      <c r="AQ1234" s="64" t="s">
        <v>2176</v>
      </c>
      <c r="AR1234" s="69">
        <v>44648</v>
      </c>
      <c r="AS1234" s="69">
        <v>44832</v>
      </c>
      <c r="AT1234" s="64" t="s">
        <v>2029</v>
      </c>
      <c r="AU1234" s="879" t="s">
        <v>2174</v>
      </c>
      <c r="AV1234" s="67" t="s">
        <v>2177</v>
      </c>
    </row>
    <row r="1235" spans="1:48" ht="30" outlineLevel="3" x14ac:dyDescent="0.25">
      <c r="A1235" s="63" t="str">
        <f t="shared" si="225"/>
        <v>4.14.3.7.4.60</v>
      </c>
      <c r="B1235" s="64">
        <v>4</v>
      </c>
      <c r="C1235" s="64">
        <v>14</v>
      </c>
      <c r="D1235" s="64">
        <v>3</v>
      </c>
      <c r="E1235" s="64">
        <v>7</v>
      </c>
      <c r="F1235" s="64">
        <v>4</v>
      </c>
      <c r="G1235" s="64">
        <v>60</v>
      </c>
      <c r="H1235" s="65"/>
      <c r="I1235" s="65"/>
      <c r="J1235" s="66"/>
      <c r="K1235" s="67" t="s">
        <v>1460</v>
      </c>
      <c r="L1235" s="64" t="s">
        <v>72</v>
      </c>
      <c r="M1235" s="64" t="s">
        <v>76</v>
      </c>
      <c r="N1235" s="64" t="s">
        <v>1444</v>
      </c>
      <c r="O1235" s="64" t="s">
        <v>1445</v>
      </c>
      <c r="P1235" s="69">
        <v>44571</v>
      </c>
      <c r="Q1235" s="69">
        <v>44925</v>
      </c>
      <c r="R1235" s="124">
        <v>2</v>
      </c>
      <c r="S1235" s="65" t="s">
        <v>1461</v>
      </c>
      <c r="T1235" s="64">
        <f>9*23000</f>
        <v>207000</v>
      </c>
      <c r="U1235" s="155">
        <f>$AH1235/2</f>
        <v>100000</v>
      </c>
      <c r="V1235" s="702">
        <v>15966.46</v>
      </c>
      <c r="W1235" s="75"/>
      <c r="X1235" s="75"/>
      <c r="Y1235" s="834">
        <f t="shared" si="261"/>
        <v>0</v>
      </c>
      <c r="Z1235" s="75">
        <f>9*23000</f>
        <v>207000</v>
      </c>
      <c r="AA1235" s="155">
        <f>$AH1235/2</f>
        <v>100000</v>
      </c>
      <c r="AB1235" s="155"/>
      <c r="AC1235" s="97"/>
      <c r="AD1235" s="97"/>
      <c r="AE1235" s="591"/>
      <c r="AF1235" s="259" t="s">
        <v>1462</v>
      </c>
      <c r="AG1235" s="518">
        <v>138000</v>
      </c>
      <c r="AH1235" s="370">
        <v>200000</v>
      </c>
      <c r="AI1235" s="132"/>
      <c r="AJ1235" s="552">
        <v>15966.46</v>
      </c>
      <c r="AK1235" s="132"/>
      <c r="AL1235" s="132"/>
      <c r="AM1235" s="132"/>
      <c r="AN1235" s="64" t="s">
        <v>181</v>
      </c>
      <c r="AO1235" s="533" t="s">
        <v>1819</v>
      </c>
      <c r="AP1235" s="533" t="s">
        <v>1824</v>
      </c>
      <c r="AQ1235" s="533" t="s">
        <v>1825</v>
      </c>
      <c r="AR1235" s="64" t="s">
        <v>1826</v>
      </c>
      <c r="AS1235" s="554">
        <v>44509</v>
      </c>
      <c r="AT1235" s="554">
        <v>44441</v>
      </c>
      <c r="AU1235" s="646">
        <v>124</v>
      </c>
      <c r="AV1235" s="492"/>
    </row>
    <row r="1236" spans="1:48" s="212" customFormat="1" ht="17.25" customHeight="1" outlineLevel="3" x14ac:dyDescent="0.25">
      <c r="A1236" s="210" t="str">
        <f t="shared" si="225"/>
        <v>4.14.3.7.5.60</v>
      </c>
      <c r="B1236" s="136">
        <v>4</v>
      </c>
      <c r="C1236" s="136">
        <v>14</v>
      </c>
      <c r="D1236" s="136">
        <v>3</v>
      </c>
      <c r="E1236" s="136">
        <v>7</v>
      </c>
      <c r="F1236" s="136">
        <v>5</v>
      </c>
      <c r="G1236" s="136">
        <v>60</v>
      </c>
      <c r="H1236" s="125"/>
      <c r="I1236" s="125"/>
      <c r="J1236" s="213"/>
      <c r="K1236" s="125" t="s">
        <v>1463</v>
      </c>
      <c r="L1236" s="136" t="s">
        <v>1452</v>
      </c>
      <c r="M1236" s="136" t="s">
        <v>1464</v>
      </c>
      <c r="N1236" s="136" t="s">
        <v>1444</v>
      </c>
      <c r="O1236" s="136" t="s">
        <v>1204</v>
      </c>
      <c r="P1236" s="214">
        <v>44571</v>
      </c>
      <c r="Q1236" s="214">
        <v>44925</v>
      </c>
      <c r="R1236" s="136">
        <v>12</v>
      </c>
      <c r="S1236" s="125" t="s">
        <v>1465</v>
      </c>
      <c r="T1236" s="124">
        <f>+$AH1236/4</f>
        <v>45000</v>
      </c>
      <c r="U1236" s="155">
        <f>$AH1236/4</f>
        <v>45000</v>
      </c>
      <c r="V1236" s="674">
        <v>0</v>
      </c>
      <c r="W1236" s="75">
        <f>+$AH1236/4</f>
        <v>45000</v>
      </c>
      <c r="X1236" s="155">
        <f>$AH1236/4</f>
        <v>45000</v>
      </c>
      <c r="Y1236" s="834">
        <f t="shared" si="261"/>
        <v>0</v>
      </c>
      <c r="Z1236" s="75">
        <f>+$AH1236/4</f>
        <v>45000</v>
      </c>
      <c r="AA1236" s="155">
        <f>$AH1236/4</f>
        <v>45000</v>
      </c>
      <c r="AB1236" s="155"/>
      <c r="AC1236" s="75">
        <f>+$AH1236/4</f>
        <v>45000</v>
      </c>
      <c r="AD1236" s="155">
        <f>$AH1236/4</f>
        <v>45000</v>
      </c>
      <c r="AE1236" s="599"/>
      <c r="AF1236" s="349" t="s">
        <v>1466</v>
      </c>
      <c r="AG1236" s="518">
        <v>180000</v>
      </c>
      <c r="AH1236" s="377">
        <v>180000</v>
      </c>
      <c r="AI1236" s="132"/>
      <c r="AJ1236" s="132"/>
      <c r="AK1236" s="132"/>
      <c r="AL1236" s="132"/>
      <c r="AM1236" s="132"/>
      <c r="AN1236" s="136" t="s">
        <v>181</v>
      </c>
      <c r="AO1236" s="136"/>
      <c r="AP1236" s="136"/>
      <c r="AQ1236" s="136"/>
      <c r="AR1236" s="136"/>
      <c r="AS1236" s="136"/>
      <c r="AT1236" s="136"/>
      <c r="AU1236" s="646"/>
      <c r="AV1236" s="448"/>
    </row>
    <row r="1237" spans="1:48" ht="15" customHeight="1" outlineLevel="3" x14ac:dyDescent="0.25">
      <c r="A1237" s="63" t="str">
        <f t="shared" si="225"/>
        <v>4.14.3.7.6.60</v>
      </c>
      <c r="B1237" s="64">
        <v>4</v>
      </c>
      <c r="C1237" s="64">
        <v>14</v>
      </c>
      <c r="D1237" s="64">
        <v>3</v>
      </c>
      <c r="E1237" s="64">
        <v>7</v>
      </c>
      <c r="F1237" s="64">
        <v>6</v>
      </c>
      <c r="G1237" s="64">
        <v>60</v>
      </c>
      <c r="H1237" s="65"/>
      <c r="I1237" s="65"/>
      <c r="J1237" s="66"/>
      <c r="K1237" s="65" t="s">
        <v>1467</v>
      </c>
      <c r="L1237" s="64" t="s">
        <v>264</v>
      </c>
      <c r="M1237" s="64" t="s">
        <v>144</v>
      </c>
      <c r="N1237" s="64" t="s">
        <v>265</v>
      </c>
      <c r="O1237" s="64" t="s">
        <v>668</v>
      </c>
      <c r="P1237" s="69">
        <v>44571</v>
      </c>
      <c r="Q1237" s="69">
        <v>44925</v>
      </c>
      <c r="R1237" s="64">
        <v>108</v>
      </c>
      <c r="S1237" s="65" t="s">
        <v>1468</v>
      </c>
      <c r="T1237" s="64"/>
      <c r="U1237" s="155"/>
      <c r="V1237" s="674">
        <v>0</v>
      </c>
      <c r="W1237" s="75"/>
      <c r="X1237" s="75"/>
      <c r="Y1237" s="834">
        <f t="shared" si="261"/>
        <v>0</v>
      </c>
      <c r="Z1237" s="75"/>
      <c r="AA1237" s="75"/>
      <c r="AB1237" s="75"/>
      <c r="AC1237" s="97">
        <f>+AH1237</f>
        <v>589050</v>
      </c>
      <c r="AD1237" s="97">
        <f>+AH1237/2</f>
        <v>294525</v>
      </c>
      <c r="AE1237" s="591"/>
      <c r="AF1237" s="259" t="s">
        <v>1469</v>
      </c>
      <c r="AG1237" s="518">
        <v>589050</v>
      </c>
      <c r="AH1237" s="377">
        <v>589050</v>
      </c>
      <c r="AI1237" s="132"/>
      <c r="AJ1237" s="132"/>
      <c r="AK1237" s="132"/>
      <c r="AL1237" s="132"/>
      <c r="AM1237" s="132"/>
      <c r="AN1237" s="64" t="s">
        <v>181</v>
      </c>
      <c r="AO1237" s="64"/>
      <c r="AP1237" s="64"/>
      <c r="AQ1237" s="64"/>
      <c r="AR1237" s="64"/>
      <c r="AS1237" s="64"/>
      <c r="AT1237" s="64"/>
      <c r="AU1237" s="646"/>
      <c r="AV1237" s="335" t="s">
        <v>1484</v>
      </c>
    </row>
    <row r="1238" spans="1:48" ht="30" outlineLevel="3" x14ac:dyDescent="0.25">
      <c r="A1238" s="63" t="str">
        <f t="shared" si="225"/>
        <v>4.14.3.7.7.60</v>
      </c>
      <c r="B1238" s="64">
        <v>4</v>
      </c>
      <c r="C1238" s="64">
        <v>14</v>
      </c>
      <c r="D1238" s="64">
        <v>3</v>
      </c>
      <c r="E1238" s="64">
        <v>7</v>
      </c>
      <c r="F1238" s="64">
        <v>7</v>
      </c>
      <c r="G1238" s="64">
        <v>60</v>
      </c>
      <c r="H1238" s="65"/>
      <c r="I1238" s="65"/>
      <c r="J1238" s="66"/>
      <c r="K1238" s="65" t="s">
        <v>1888</v>
      </c>
      <c r="L1238" s="64" t="s">
        <v>264</v>
      </c>
      <c r="M1238" s="64" t="s">
        <v>144</v>
      </c>
      <c r="N1238" s="64" t="s">
        <v>265</v>
      </c>
      <c r="O1238" s="64" t="s">
        <v>668</v>
      </c>
      <c r="P1238" s="69">
        <v>44571</v>
      </c>
      <c r="Q1238" s="69">
        <v>44925</v>
      </c>
      <c r="R1238" s="124">
        <v>99</v>
      </c>
      <c r="S1238" s="65" t="s">
        <v>1470</v>
      </c>
      <c r="T1238" s="277">
        <f>+$AH1220/4</f>
        <v>0</v>
      </c>
      <c r="U1238" s="78">
        <v>1623000</v>
      </c>
      <c r="V1238" s="702">
        <v>1745750</v>
      </c>
      <c r="W1238" s="97">
        <f>+$AH1220/4</f>
        <v>0</v>
      </c>
      <c r="X1238" s="78"/>
      <c r="Y1238" s="834">
        <f t="shared" si="261"/>
        <v>284350</v>
      </c>
      <c r="Z1238" s="97">
        <f>+$AH1220/4</f>
        <v>0</v>
      </c>
      <c r="AA1238" s="155">
        <v>0</v>
      </c>
      <c r="AB1238" s="155"/>
      <c r="AC1238" s="97">
        <f>+$AH1220/4</f>
        <v>0</v>
      </c>
      <c r="AD1238" s="155">
        <v>0</v>
      </c>
      <c r="AE1238" s="599"/>
      <c r="AF1238" s="259" t="s">
        <v>672</v>
      </c>
      <c r="AG1238" s="518">
        <v>7068600</v>
      </c>
      <c r="AH1238" s="370">
        <v>0</v>
      </c>
      <c r="AI1238" s="565"/>
      <c r="AJ1238" s="565">
        <f>644200+511400+298650+291500+89250+93500+101600</f>
        <v>2030100</v>
      </c>
      <c r="AK1238" s="281"/>
      <c r="AL1238" s="281"/>
      <c r="AM1238" s="281"/>
      <c r="AN1238" s="64" t="s">
        <v>181</v>
      </c>
      <c r="AO1238" s="64" t="s">
        <v>1839</v>
      </c>
      <c r="AP1238" s="64" t="s">
        <v>649</v>
      </c>
      <c r="AQ1238" s="533" t="s">
        <v>649</v>
      </c>
      <c r="AR1238" s="554">
        <v>44562</v>
      </c>
      <c r="AS1238" s="554">
        <v>44926</v>
      </c>
      <c r="AT1238" s="64" t="s">
        <v>1814</v>
      </c>
      <c r="AU1238" s="877" t="s">
        <v>2091</v>
      </c>
      <c r="AV1238" s="335" t="s">
        <v>2092</v>
      </c>
    </row>
    <row r="1239" spans="1:48" ht="17.45" customHeight="1" outlineLevel="3" x14ac:dyDescent="0.25">
      <c r="A1239" s="63" t="str">
        <f t="shared" si="225"/>
        <v>4.14.3.7.8.60</v>
      </c>
      <c r="B1239" s="64">
        <v>4</v>
      </c>
      <c r="C1239" s="64">
        <v>14</v>
      </c>
      <c r="D1239" s="64">
        <v>3</v>
      </c>
      <c r="E1239" s="64">
        <v>7</v>
      </c>
      <c r="F1239" s="64">
        <v>8</v>
      </c>
      <c r="G1239" s="64">
        <v>60</v>
      </c>
      <c r="H1239" s="65"/>
      <c r="I1239" s="65"/>
      <c r="J1239" s="65"/>
      <c r="K1239" s="125" t="s">
        <v>1472</v>
      </c>
      <c r="L1239" s="64" t="s">
        <v>72</v>
      </c>
      <c r="M1239" s="64" t="s">
        <v>1473</v>
      </c>
      <c r="N1239" s="64" t="s">
        <v>1249</v>
      </c>
      <c r="O1239" s="64" t="s">
        <v>72</v>
      </c>
      <c r="P1239" s="69">
        <v>44571</v>
      </c>
      <c r="Q1239" s="69">
        <v>44925</v>
      </c>
      <c r="R1239" s="124">
        <v>0</v>
      </c>
      <c r="S1239" s="65"/>
      <c r="T1239" s="124"/>
      <c r="U1239" s="155">
        <f>$AH1239/4</f>
        <v>0</v>
      </c>
      <c r="V1239" s="674">
        <v>0</v>
      </c>
      <c r="W1239" s="75"/>
      <c r="X1239" s="75"/>
      <c r="Y1239" s="859">
        <f t="shared" si="261"/>
        <v>0</v>
      </c>
      <c r="Z1239" s="75"/>
      <c r="AA1239" s="75"/>
      <c r="AB1239" s="75"/>
      <c r="AC1239" s="97"/>
      <c r="AD1239" s="97"/>
      <c r="AE1239" s="591"/>
      <c r="AF1239" s="259"/>
      <c r="AG1239" s="518">
        <v>0</v>
      </c>
      <c r="AH1239" s="370">
        <v>0</v>
      </c>
      <c r="AI1239" s="75"/>
      <c r="AJ1239" s="75"/>
      <c r="AK1239" s="75"/>
      <c r="AL1239" s="75"/>
      <c r="AM1239" s="75"/>
      <c r="AN1239" s="64" t="s">
        <v>181</v>
      </c>
      <c r="AO1239" s="64"/>
      <c r="AP1239" s="64"/>
      <c r="AQ1239" s="64"/>
      <c r="AR1239" s="64"/>
      <c r="AS1239" s="64"/>
      <c r="AT1239" s="64"/>
      <c r="AU1239" s="646"/>
      <c r="AV1239" s="335"/>
    </row>
    <row r="1240" spans="1:48" s="153" customFormat="1" outlineLevel="2" x14ac:dyDescent="0.25">
      <c r="A1240" s="148" t="str">
        <f t="shared" si="225"/>
        <v>4.14.3.8.0.0</v>
      </c>
      <c r="B1240" s="82">
        <v>4</v>
      </c>
      <c r="C1240" s="82">
        <v>14</v>
      </c>
      <c r="D1240" s="82">
        <v>3</v>
      </c>
      <c r="E1240" s="82">
        <v>8</v>
      </c>
      <c r="F1240" s="82">
        <v>0</v>
      </c>
      <c r="G1240" s="82">
        <v>0</v>
      </c>
      <c r="H1240" s="149"/>
      <c r="I1240" s="149"/>
      <c r="J1240" s="1260" t="s">
        <v>366</v>
      </c>
      <c r="K1240" s="1259"/>
      <c r="L1240" s="82" t="s">
        <v>1475</v>
      </c>
      <c r="M1240" s="83" t="s">
        <v>1449</v>
      </c>
      <c r="N1240" s="83" t="s">
        <v>1444</v>
      </c>
      <c r="O1240" s="82" t="s">
        <v>1445</v>
      </c>
      <c r="P1240" s="82"/>
      <c r="Q1240" s="82"/>
      <c r="R1240" s="82"/>
      <c r="S1240" s="149"/>
      <c r="T1240" s="82"/>
      <c r="U1240" s="513">
        <f t="shared" ref="U1240:AI1240" si="262">+SUM(U1241:U1282)</f>
        <v>0</v>
      </c>
      <c r="V1240" s="693">
        <f t="shared" si="262"/>
        <v>0</v>
      </c>
      <c r="W1240" s="513">
        <f t="shared" si="262"/>
        <v>0</v>
      </c>
      <c r="X1240" s="513">
        <f t="shared" si="262"/>
        <v>0</v>
      </c>
      <c r="Y1240" s="862">
        <f t="shared" si="262"/>
        <v>0</v>
      </c>
      <c r="Z1240" s="513">
        <f t="shared" si="262"/>
        <v>0</v>
      </c>
      <c r="AA1240" s="513">
        <f t="shared" si="262"/>
        <v>0</v>
      </c>
      <c r="AB1240" s="513">
        <f t="shared" si="262"/>
        <v>0</v>
      </c>
      <c r="AC1240" s="513">
        <f t="shared" si="262"/>
        <v>0</v>
      </c>
      <c r="AD1240" s="513">
        <f t="shared" si="262"/>
        <v>0</v>
      </c>
      <c r="AE1240" s="513">
        <f t="shared" si="262"/>
        <v>0</v>
      </c>
      <c r="AF1240" s="513">
        <f t="shared" si="262"/>
        <v>0</v>
      </c>
      <c r="AG1240" s="513">
        <f t="shared" si="262"/>
        <v>0</v>
      </c>
      <c r="AH1240" s="513">
        <f t="shared" si="262"/>
        <v>0</v>
      </c>
      <c r="AI1240" s="513">
        <f t="shared" si="262"/>
        <v>0</v>
      </c>
      <c r="AJ1240" s="513">
        <f>+SUM(AJ1241:AJ1282)</f>
        <v>0</v>
      </c>
      <c r="AK1240" s="198"/>
      <c r="AL1240" s="198"/>
      <c r="AM1240" s="198"/>
      <c r="AN1240" s="82" t="s">
        <v>181</v>
      </c>
      <c r="AO1240" s="82"/>
      <c r="AP1240" s="82"/>
      <c r="AQ1240" s="365"/>
      <c r="AR1240" s="82"/>
      <c r="AS1240" s="483"/>
      <c r="AT1240" s="82"/>
      <c r="AU1240" s="666"/>
      <c r="AV1240" s="444" t="s">
        <v>1485</v>
      </c>
    </row>
    <row r="1241" spans="1:48" ht="15" customHeight="1" outlineLevel="3" x14ac:dyDescent="0.25">
      <c r="A1241" s="63" t="str">
        <f t="shared" si="225"/>
        <v>4.14.3.8.1.58</v>
      </c>
      <c r="B1241" s="64">
        <v>4</v>
      </c>
      <c r="C1241" s="64">
        <v>14</v>
      </c>
      <c r="D1241" s="64">
        <v>3</v>
      </c>
      <c r="E1241" s="64">
        <v>8</v>
      </c>
      <c r="F1241" s="64">
        <v>1</v>
      </c>
      <c r="G1241" s="64">
        <v>58</v>
      </c>
      <c r="H1241" s="65"/>
      <c r="I1241" s="65"/>
      <c r="J1241" s="65"/>
      <c r="K1241" s="65" t="s">
        <v>1486</v>
      </c>
      <c r="L1241" s="64" t="s">
        <v>72</v>
      </c>
      <c r="M1241" s="64" t="s">
        <v>73</v>
      </c>
      <c r="N1241" s="64" t="s">
        <v>74</v>
      </c>
      <c r="O1241" s="64" t="s">
        <v>1487</v>
      </c>
      <c r="P1241" s="64">
        <v>30464717</v>
      </c>
      <c r="Q1241" s="170">
        <f>+P1241/7</f>
        <v>4352102.4285714282</v>
      </c>
      <c r="R1241" s="64"/>
      <c r="S1241" s="65"/>
      <c r="T1241" s="64"/>
      <c r="U1241" s="370">
        <v>0</v>
      </c>
      <c r="V1241" s="687">
        <v>0</v>
      </c>
      <c r="W1241" s="75"/>
      <c r="X1241" s="75"/>
      <c r="Y1241" s="834">
        <f t="shared" ref="Y1241:Y1272" si="263">+AJ1241-V1241</f>
        <v>0</v>
      </c>
      <c r="Z1241" s="75"/>
      <c r="AA1241" s="75"/>
      <c r="AB1241" s="75"/>
      <c r="AC1241" s="97"/>
      <c r="AD1241" s="97"/>
      <c r="AE1241" s="591"/>
      <c r="AF1241" s="259"/>
      <c r="AG1241" s="510">
        <v>0</v>
      </c>
      <c r="AH1241" s="370">
        <v>0</v>
      </c>
      <c r="AI1241" s="75"/>
      <c r="AJ1241" s="75"/>
      <c r="AK1241" s="75"/>
      <c r="AL1241" s="75"/>
      <c r="AM1241" s="75"/>
      <c r="AN1241" s="64" t="s">
        <v>181</v>
      </c>
      <c r="AO1241" s="64"/>
      <c r="AP1241" s="64"/>
      <c r="AQ1241" s="189"/>
      <c r="AR1241" s="64"/>
      <c r="AS1241" s="476"/>
      <c r="AT1241" s="64"/>
      <c r="AU1241" s="646"/>
      <c r="AV1241" s="185"/>
    </row>
    <row r="1242" spans="1:48" ht="15" customHeight="1" outlineLevel="3" x14ac:dyDescent="0.25">
      <c r="A1242" s="63" t="str">
        <f t="shared" si="225"/>
        <v>4.14.3.8.1.59</v>
      </c>
      <c r="B1242" s="64">
        <v>4</v>
      </c>
      <c r="C1242" s="64">
        <v>14</v>
      </c>
      <c r="D1242" s="64">
        <v>3</v>
      </c>
      <c r="E1242" s="64">
        <v>8</v>
      </c>
      <c r="F1242" s="64">
        <v>1</v>
      </c>
      <c r="G1242" s="64">
        <v>59</v>
      </c>
      <c r="H1242" s="65"/>
      <c r="I1242" s="65"/>
      <c r="J1242" s="65"/>
      <c r="K1242" s="65" t="s">
        <v>1488</v>
      </c>
      <c r="L1242" s="64"/>
      <c r="M1242" s="64"/>
      <c r="N1242" s="64"/>
      <c r="O1242" s="64"/>
      <c r="P1242" s="64"/>
      <c r="Q1242" s="170"/>
      <c r="R1242" s="64"/>
      <c r="S1242" s="65"/>
      <c r="T1242" s="64"/>
      <c r="U1242" s="370">
        <v>0</v>
      </c>
      <c r="V1242" s="687">
        <v>0</v>
      </c>
      <c r="W1242" s="75"/>
      <c r="X1242" s="75"/>
      <c r="Y1242" s="834">
        <f t="shared" si="263"/>
        <v>0</v>
      </c>
      <c r="Z1242" s="75"/>
      <c r="AA1242" s="75"/>
      <c r="AB1242" s="75"/>
      <c r="AC1242" s="97"/>
      <c r="AD1242" s="97"/>
      <c r="AE1242" s="591"/>
      <c r="AF1242" s="259"/>
      <c r="AG1242" s="510">
        <v>0</v>
      </c>
      <c r="AH1242" s="370">
        <v>0</v>
      </c>
      <c r="AI1242" s="75"/>
      <c r="AJ1242" s="75"/>
      <c r="AK1242" s="75"/>
      <c r="AL1242" s="75"/>
      <c r="AM1242" s="75"/>
      <c r="AN1242" s="64" t="s">
        <v>181</v>
      </c>
      <c r="AO1242" s="64"/>
      <c r="AP1242" s="64"/>
      <c r="AQ1242" s="189"/>
      <c r="AR1242" s="64"/>
      <c r="AS1242" s="476"/>
      <c r="AT1242" s="64"/>
      <c r="AU1242" s="646"/>
      <c r="AV1242" s="185"/>
    </row>
    <row r="1243" spans="1:48" ht="15" customHeight="1" outlineLevel="3" x14ac:dyDescent="0.25">
      <c r="A1243" s="63" t="str">
        <f t="shared" si="225"/>
        <v>4.14.3.8.1.60</v>
      </c>
      <c r="B1243" s="64">
        <v>4</v>
      </c>
      <c r="C1243" s="64">
        <v>14</v>
      </c>
      <c r="D1243" s="64">
        <v>3</v>
      </c>
      <c r="E1243" s="64">
        <v>8</v>
      </c>
      <c r="F1243" s="64">
        <v>1</v>
      </c>
      <c r="G1243" s="64">
        <v>60</v>
      </c>
      <c r="H1243" s="65"/>
      <c r="I1243" s="65"/>
      <c r="J1243" s="65"/>
      <c r="K1243" s="65" t="s">
        <v>1489</v>
      </c>
      <c r="L1243" s="64"/>
      <c r="M1243" s="64"/>
      <c r="N1243" s="64"/>
      <c r="O1243" s="64"/>
      <c r="P1243" s="64"/>
      <c r="Q1243" s="170"/>
      <c r="R1243" s="64"/>
      <c r="S1243" s="65"/>
      <c r="T1243" s="64"/>
      <c r="U1243" s="370">
        <v>0</v>
      </c>
      <c r="V1243" s="687">
        <v>0</v>
      </c>
      <c r="W1243" s="75"/>
      <c r="X1243" s="75"/>
      <c r="Y1243" s="834">
        <f t="shared" si="263"/>
        <v>0</v>
      </c>
      <c r="Z1243" s="75"/>
      <c r="AA1243" s="75"/>
      <c r="AB1243" s="75"/>
      <c r="AC1243" s="97"/>
      <c r="AD1243" s="97"/>
      <c r="AE1243" s="591"/>
      <c r="AF1243" s="259"/>
      <c r="AG1243" s="510">
        <v>0</v>
      </c>
      <c r="AH1243" s="370">
        <v>0</v>
      </c>
      <c r="AI1243" s="75"/>
      <c r="AJ1243" s="75"/>
      <c r="AK1243" s="75"/>
      <c r="AL1243" s="75"/>
      <c r="AM1243" s="75"/>
      <c r="AN1243" s="64" t="s">
        <v>181</v>
      </c>
      <c r="AO1243" s="64"/>
      <c r="AP1243" s="64"/>
      <c r="AQ1243" s="189"/>
      <c r="AR1243" s="64"/>
      <c r="AS1243" s="476"/>
      <c r="AT1243" s="64"/>
      <c r="AU1243" s="646"/>
      <c r="AV1243" s="185"/>
    </row>
    <row r="1244" spans="1:48" ht="15" customHeight="1" outlineLevel="3" x14ac:dyDescent="0.25">
      <c r="A1244" s="63" t="str">
        <f t="shared" si="225"/>
        <v>4.14.3.8.1.61</v>
      </c>
      <c r="B1244" s="64">
        <v>4</v>
      </c>
      <c r="C1244" s="64">
        <v>14</v>
      </c>
      <c r="D1244" s="64">
        <v>3</v>
      </c>
      <c r="E1244" s="64">
        <v>8</v>
      </c>
      <c r="F1244" s="64">
        <v>1</v>
      </c>
      <c r="G1244" s="64">
        <v>61</v>
      </c>
      <c r="H1244" s="65"/>
      <c r="I1244" s="65"/>
      <c r="J1244" s="65"/>
      <c r="K1244" s="65" t="s">
        <v>1490</v>
      </c>
      <c r="L1244" s="64"/>
      <c r="M1244" s="64"/>
      <c r="N1244" s="64"/>
      <c r="O1244" s="64"/>
      <c r="P1244" s="64"/>
      <c r="Q1244" s="170"/>
      <c r="R1244" s="64"/>
      <c r="S1244" s="65"/>
      <c r="T1244" s="64"/>
      <c r="U1244" s="370">
        <v>0</v>
      </c>
      <c r="V1244" s="687">
        <v>0</v>
      </c>
      <c r="W1244" s="75"/>
      <c r="X1244" s="75"/>
      <c r="Y1244" s="834">
        <f t="shared" si="263"/>
        <v>0</v>
      </c>
      <c r="Z1244" s="75"/>
      <c r="AA1244" s="75"/>
      <c r="AB1244" s="75"/>
      <c r="AC1244" s="97"/>
      <c r="AD1244" s="97"/>
      <c r="AE1244" s="591"/>
      <c r="AF1244" s="259"/>
      <c r="AG1244" s="510">
        <v>0</v>
      </c>
      <c r="AH1244" s="370">
        <v>0</v>
      </c>
      <c r="AI1244" s="75"/>
      <c r="AJ1244" s="75"/>
      <c r="AK1244" s="75"/>
      <c r="AL1244" s="75"/>
      <c r="AM1244" s="75"/>
      <c r="AN1244" s="64" t="s">
        <v>181</v>
      </c>
      <c r="AO1244" s="64"/>
      <c r="AP1244" s="64"/>
      <c r="AQ1244" s="189"/>
      <c r="AR1244" s="64"/>
      <c r="AS1244" s="476"/>
      <c r="AT1244" s="64"/>
      <c r="AU1244" s="646"/>
      <c r="AV1244" s="185"/>
    </row>
    <row r="1245" spans="1:48" ht="15" customHeight="1" outlineLevel="3" x14ac:dyDescent="0.25">
      <c r="A1245" s="63" t="str">
        <f t="shared" si="225"/>
        <v>4.14.3.8.1.62</v>
      </c>
      <c r="B1245" s="64">
        <v>4</v>
      </c>
      <c r="C1245" s="64">
        <v>14</v>
      </c>
      <c r="D1245" s="64">
        <v>3</v>
      </c>
      <c r="E1245" s="64">
        <v>8</v>
      </c>
      <c r="F1245" s="64">
        <v>1</v>
      </c>
      <c r="G1245" s="64">
        <v>62</v>
      </c>
      <c r="H1245" s="65"/>
      <c r="I1245" s="65"/>
      <c r="J1245" s="65"/>
      <c r="K1245" s="65" t="s">
        <v>1491</v>
      </c>
      <c r="L1245" s="64"/>
      <c r="M1245" s="64"/>
      <c r="N1245" s="64"/>
      <c r="O1245" s="64"/>
      <c r="P1245" s="64"/>
      <c r="Q1245" s="170"/>
      <c r="R1245" s="64"/>
      <c r="S1245" s="65"/>
      <c r="T1245" s="64"/>
      <c r="U1245" s="370">
        <v>0</v>
      </c>
      <c r="V1245" s="687">
        <v>0</v>
      </c>
      <c r="W1245" s="75"/>
      <c r="X1245" s="75"/>
      <c r="Y1245" s="834">
        <f t="shared" si="263"/>
        <v>0</v>
      </c>
      <c r="Z1245" s="75"/>
      <c r="AA1245" s="75"/>
      <c r="AB1245" s="75"/>
      <c r="AC1245" s="97"/>
      <c r="AD1245" s="97"/>
      <c r="AE1245" s="591"/>
      <c r="AF1245" s="259"/>
      <c r="AG1245" s="510">
        <v>0</v>
      </c>
      <c r="AH1245" s="370">
        <v>0</v>
      </c>
      <c r="AI1245" s="75"/>
      <c r="AJ1245" s="75"/>
      <c r="AK1245" s="75"/>
      <c r="AL1245" s="75"/>
      <c r="AM1245" s="75"/>
      <c r="AN1245" s="64" t="s">
        <v>181</v>
      </c>
      <c r="AO1245" s="64"/>
      <c r="AP1245" s="64"/>
      <c r="AQ1245" s="189"/>
      <c r="AR1245" s="64"/>
      <c r="AS1245" s="476"/>
      <c r="AT1245" s="64"/>
      <c r="AU1245" s="646"/>
      <c r="AV1245" s="185"/>
    </row>
    <row r="1246" spans="1:48" ht="15" customHeight="1" outlineLevel="3" x14ac:dyDescent="0.25">
      <c r="A1246" s="63" t="str">
        <f t="shared" si="225"/>
        <v>4.14.3.8.1.63</v>
      </c>
      <c r="B1246" s="64">
        <v>4</v>
      </c>
      <c r="C1246" s="64">
        <v>14</v>
      </c>
      <c r="D1246" s="64">
        <v>3</v>
      </c>
      <c r="E1246" s="64">
        <v>8</v>
      </c>
      <c r="F1246" s="64">
        <v>1</v>
      </c>
      <c r="G1246" s="64">
        <v>63</v>
      </c>
      <c r="H1246" s="65"/>
      <c r="I1246" s="65"/>
      <c r="J1246" s="65"/>
      <c r="K1246" s="65" t="s">
        <v>1775</v>
      </c>
      <c r="L1246" s="64"/>
      <c r="M1246" s="64"/>
      <c r="N1246" s="64"/>
      <c r="O1246" s="64"/>
      <c r="P1246" s="64"/>
      <c r="Q1246" s="170"/>
      <c r="R1246" s="64"/>
      <c r="S1246" s="65"/>
      <c r="T1246" s="64"/>
      <c r="U1246" s="370">
        <v>0</v>
      </c>
      <c r="V1246" s="687">
        <v>0</v>
      </c>
      <c r="W1246" s="75"/>
      <c r="X1246" s="75"/>
      <c r="Y1246" s="834">
        <f t="shared" si="263"/>
        <v>0</v>
      </c>
      <c r="Z1246" s="75"/>
      <c r="AA1246" s="75"/>
      <c r="AB1246" s="75"/>
      <c r="AC1246" s="97"/>
      <c r="AD1246" s="97"/>
      <c r="AE1246" s="591"/>
      <c r="AF1246" s="259"/>
      <c r="AG1246" s="510">
        <v>0</v>
      </c>
      <c r="AH1246" s="370">
        <v>0</v>
      </c>
      <c r="AI1246" s="75"/>
      <c r="AJ1246" s="75"/>
      <c r="AK1246" s="75"/>
      <c r="AL1246" s="75"/>
      <c r="AM1246" s="75"/>
      <c r="AN1246" s="64" t="s">
        <v>181</v>
      </c>
      <c r="AO1246" s="64"/>
      <c r="AP1246" s="64"/>
      <c r="AQ1246" s="189"/>
      <c r="AR1246" s="64"/>
      <c r="AS1246" s="476"/>
      <c r="AT1246" s="64"/>
      <c r="AU1246" s="646"/>
      <c r="AV1246" s="185"/>
    </row>
    <row r="1247" spans="1:48" ht="15" customHeight="1" outlineLevel="3" x14ac:dyDescent="0.25">
      <c r="A1247" s="63" t="str">
        <f t="shared" si="225"/>
        <v>4.14.3.8.1.64</v>
      </c>
      <c r="B1247" s="64">
        <v>4</v>
      </c>
      <c r="C1247" s="64">
        <v>14</v>
      </c>
      <c r="D1247" s="64">
        <v>3</v>
      </c>
      <c r="E1247" s="64">
        <v>8</v>
      </c>
      <c r="F1247" s="64">
        <v>1</v>
      </c>
      <c r="G1247" s="64">
        <v>64</v>
      </c>
      <c r="H1247" s="65"/>
      <c r="I1247" s="65"/>
      <c r="J1247" s="65"/>
      <c r="K1247" s="65" t="s">
        <v>1492</v>
      </c>
      <c r="L1247" s="64"/>
      <c r="M1247" s="64"/>
      <c r="N1247" s="64"/>
      <c r="O1247" s="64"/>
      <c r="P1247" s="64"/>
      <c r="Q1247" s="170"/>
      <c r="R1247" s="64"/>
      <c r="S1247" s="65"/>
      <c r="T1247" s="64"/>
      <c r="U1247" s="370">
        <v>0</v>
      </c>
      <c r="V1247" s="687">
        <v>0</v>
      </c>
      <c r="W1247" s="75"/>
      <c r="X1247" s="75"/>
      <c r="Y1247" s="834">
        <f t="shared" si="263"/>
        <v>0</v>
      </c>
      <c r="Z1247" s="75"/>
      <c r="AA1247" s="75"/>
      <c r="AB1247" s="75"/>
      <c r="AC1247" s="97"/>
      <c r="AD1247" s="97"/>
      <c r="AE1247" s="591"/>
      <c r="AF1247" s="259"/>
      <c r="AG1247" s="510">
        <v>0</v>
      </c>
      <c r="AH1247" s="370">
        <v>0</v>
      </c>
      <c r="AI1247" s="75"/>
      <c r="AJ1247" s="75"/>
      <c r="AK1247" s="75"/>
      <c r="AL1247" s="75"/>
      <c r="AM1247" s="75"/>
      <c r="AN1247" s="64" t="s">
        <v>181</v>
      </c>
      <c r="AO1247" s="64"/>
      <c r="AP1247" s="64"/>
      <c r="AQ1247" s="189"/>
      <c r="AR1247" s="64"/>
      <c r="AS1247" s="476"/>
      <c r="AT1247" s="64"/>
      <c r="AU1247" s="646"/>
      <c r="AV1247" s="185"/>
    </row>
    <row r="1248" spans="1:48" ht="15" customHeight="1" outlineLevel="3" x14ac:dyDescent="0.25">
      <c r="A1248" s="63" t="str">
        <f t="shared" si="225"/>
        <v>4.14.3.8.2.58</v>
      </c>
      <c r="B1248" s="64">
        <v>4</v>
      </c>
      <c r="C1248" s="64">
        <v>14</v>
      </c>
      <c r="D1248" s="64">
        <v>3</v>
      </c>
      <c r="E1248" s="64">
        <v>8</v>
      </c>
      <c r="F1248" s="64">
        <v>2</v>
      </c>
      <c r="G1248" s="64">
        <v>58</v>
      </c>
      <c r="H1248" s="65"/>
      <c r="I1248" s="65"/>
      <c r="J1248" s="66"/>
      <c r="K1248" s="65" t="s">
        <v>1493</v>
      </c>
      <c r="L1248" s="64" t="s">
        <v>72</v>
      </c>
      <c r="M1248" s="64" t="s">
        <v>73</v>
      </c>
      <c r="N1248" s="64" t="s">
        <v>74</v>
      </c>
      <c r="O1248" s="64" t="s">
        <v>1487</v>
      </c>
      <c r="P1248" s="64"/>
      <c r="Q1248" s="64"/>
      <c r="R1248" s="64"/>
      <c r="S1248" s="65"/>
      <c r="T1248" s="64"/>
      <c r="U1248" s="370">
        <v>0</v>
      </c>
      <c r="V1248" s="687">
        <v>0</v>
      </c>
      <c r="W1248" s="75"/>
      <c r="X1248" s="75"/>
      <c r="Y1248" s="834">
        <f t="shared" si="263"/>
        <v>0</v>
      </c>
      <c r="Z1248" s="75"/>
      <c r="AA1248" s="75"/>
      <c r="AB1248" s="75"/>
      <c r="AC1248" s="97"/>
      <c r="AD1248" s="97"/>
      <c r="AE1248" s="591"/>
      <c r="AF1248" s="259"/>
      <c r="AG1248" s="510">
        <v>0</v>
      </c>
      <c r="AH1248" s="370">
        <v>0</v>
      </c>
      <c r="AI1248" s="75"/>
      <c r="AJ1248" s="75"/>
      <c r="AK1248" s="75"/>
      <c r="AL1248" s="75"/>
      <c r="AM1248" s="75"/>
      <c r="AN1248" s="64" t="s">
        <v>181</v>
      </c>
      <c r="AO1248" s="64"/>
      <c r="AP1248" s="64"/>
      <c r="AQ1248" s="189"/>
      <c r="AR1248" s="64"/>
      <c r="AS1248" s="476"/>
      <c r="AT1248" s="64"/>
      <c r="AU1248" s="646"/>
      <c r="AV1248" s="185"/>
    </row>
    <row r="1249" spans="1:48" ht="15" customHeight="1" outlineLevel="3" x14ac:dyDescent="0.25">
      <c r="A1249" s="63" t="str">
        <f t="shared" si="225"/>
        <v>4.14.3.8.2.59</v>
      </c>
      <c r="B1249" s="64">
        <v>4</v>
      </c>
      <c r="C1249" s="64">
        <v>14</v>
      </c>
      <c r="D1249" s="64">
        <v>3</v>
      </c>
      <c r="E1249" s="64">
        <v>8</v>
      </c>
      <c r="F1249" s="64">
        <v>2</v>
      </c>
      <c r="G1249" s="64">
        <v>59</v>
      </c>
      <c r="H1249" s="65"/>
      <c r="I1249" s="65"/>
      <c r="J1249" s="66"/>
      <c r="K1249" s="65" t="s">
        <v>1494</v>
      </c>
      <c r="L1249" s="64"/>
      <c r="M1249" s="64"/>
      <c r="N1249" s="64"/>
      <c r="O1249" s="64"/>
      <c r="P1249" s="64"/>
      <c r="Q1249" s="64"/>
      <c r="R1249" s="64"/>
      <c r="S1249" s="65"/>
      <c r="T1249" s="64"/>
      <c r="U1249" s="370">
        <v>0</v>
      </c>
      <c r="V1249" s="687">
        <v>0</v>
      </c>
      <c r="W1249" s="75"/>
      <c r="X1249" s="75"/>
      <c r="Y1249" s="834">
        <f t="shared" si="263"/>
        <v>0</v>
      </c>
      <c r="Z1249" s="75"/>
      <c r="AA1249" s="75"/>
      <c r="AB1249" s="75"/>
      <c r="AC1249" s="97"/>
      <c r="AD1249" s="97"/>
      <c r="AE1249" s="591"/>
      <c r="AF1249" s="259"/>
      <c r="AG1249" s="510">
        <v>0</v>
      </c>
      <c r="AH1249" s="370">
        <v>0</v>
      </c>
      <c r="AI1249" s="75"/>
      <c r="AJ1249" s="75"/>
      <c r="AK1249" s="75"/>
      <c r="AL1249" s="75"/>
      <c r="AM1249" s="75"/>
      <c r="AN1249" s="64" t="s">
        <v>181</v>
      </c>
      <c r="AO1249" s="64"/>
      <c r="AP1249" s="64"/>
      <c r="AQ1249" s="189"/>
      <c r="AR1249" s="64"/>
      <c r="AS1249" s="476"/>
      <c r="AT1249" s="64"/>
      <c r="AU1249" s="646"/>
      <c r="AV1249" s="185"/>
    </row>
    <row r="1250" spans="1:48" ht="15" customHeight="1" outlineLevel="3" x14ac:dyDescent="0.25">
      <c r="A1250" s="63" t="str">
        <f t="shared" si="225"/>
        <v>4.14.3.8.2.60</v>
      </c>
      <c r="B1250" s="64">
        <v>4</v>
      </c>
      <c r="C1250" s="64">
        <v>14</v>
      </c>
      <c r="D1250" s="64">
        <v>3</v>
      </c>
      <c r="E1250" s="64">
        <v>8</v>
      </c>
      <c r="F1250" s="64">
        <v>2</v>
      </c>
      <c r="G1250" s="64">
        <v>60</v>
      </c>
      <c r="H1250" s="65"/>
      <c r="I1250" s="65"/>
      <c r="J1250" s="66"/>
      <c r="K1250" s="65" t="s">
        <v>1495</v>
      </c>
      <c r="L1250" s="64"/>
      <c r="M1250" s="64"/>
      <c r="N1250" s="64"/>
      <c r="O1250" s="64"/>
      <c r="P1250" s="64"/>
      <c r="Q1250" s="64"/>
      <c r="R1250" s="64"/>
      <c r="S1250" s="65"/>
      <c r="T1250" s="64"/>
      <c r="U1250" s="370">
        <v>0</v>
      </c>
      <c r="V1250" s="687">
        <v>0</v>
      </c>
      <c r="W1250" s="75"/>
      <c r="X1250" s="75"/>
      <c r="Y1250" s="834">
        <f t="shared" si="263"/>
        <v>0</v>
      </c>
      <c r="Z1250" s="75"/>
      <c r="AA1250" s="75"/>
      <c r="AB1250" s="75"/>
      <c r="AC1250" s="97"/>
      <c r="AD1250" s="97"/>
      <c r="AE1250" s="591"/>
      <c r="AF1250" s="259"/>
      <c r="AG1250" s="510">
        <v>0</v>
      </c>
      <c r="AH1250" s="370">
        <v>0</v>
      </c>
      <c r="AI1250" s="75"/>
      <c r="AJ1250" s="75"/>
      <c r="AK1250" s="75"/>
      <c r="AL1250" s="75"/>
      <c r="AM1250" s="75"/>
      <c r="AN1250" s="64" t="s">
        <v>181</v>
      </c>
      <c r="AO1250" s="64"/>
      <c r="AP1250" s="64"/>
      <c r="AQ1250" s="189"/>
      <c r="AR1250" s="64"/>
      <c r="AS1250" s="476"/>
      <c r="AT1250" s="64"/>
      <c r="AU1250" s="646"/>
      <c r="AV1250" s="185"/>
    </row>
    <row r="1251" spans="1:48" ht="15" customHeight="1" outlineLevel="3" x14ac:dyDescent="0.25">
      <c r="A1251" s="63" t="str">
        <f t="shared" si="225"/>
        <v>4.14.3.8.2.61</v>
      </c>
      <c r="B1251" s="64">
        <v>4</v>
      </c>
      <c r="C1251" s="64">
        <v>14</v>
      </c>
      <c r="D1251" s="64">
        <v>3</v>
      </c>
      <c r="E1251" s="64">
        <v>8</v>
      </c>
      <c r="F1251" s="64">
        <v>2</v>
      </c>
      <c r="G1251" s="64">
        <v>61</v>
      </c>
      <c r="H1251" s="65"/>
      <c r="I1251" s="65"/>
      <c r="J1251" s="66"/>
      <c r="K1251" s="65" t="s">
        <v>1496</v>
      </c>
      <c r="L1251" s="64"/>
      <c r="M1251" s="64"/>
      <c r="N1251" s="64"/>
      <c r="O1251" s="64"/>
      <c r="P1251" s="64"/>
      <c r="Q1251" s="64"/>
      <c r="R1251" s="64"/>
      <c r="S1251" s="65"/>
      <c r="T1251" s="64"/>
      <c r="U1251" s="370">
        <v>0</v>
      </c>
      <c r="V1251" s="687">
        <v>0</v>
      </c>
      <c r="W1251" s="75"/>
      <c r="X1251" s="75"/>
      <c r="Y1251" s="834">
        <f t="shared" si="263"/>
        <v>0</v>
      </c>
      <c r="Z1251" s="75"/>
      <c r="AA1251" s="75"/>
      <c r="AB1251" s="75"/>
      <c r="AC1251" s="97"/>
      <c r="AD1251" s="97"/>
      <c r="AE1251" s="591"/>
      <c r="AF1251" s="259"/>
      <c r="AG1251" s="510">
        <v>0</v>
      </c>
      <c r="AH1251" s="370">
        <v>0</v>
      </c>
      <c r="AI1251" s="75"/>
      <c r="AJ1251" s="75"/>
      <c r="AK1251" s="75"/>
      <c r="AL1251" s="75"/>
      <c r="AM1251" s="75"/>
      <c r="AN1251" s="64" t="s">
        <v>181</v>
      </c>
      <c r="AO1251" s="64"/>
      <c r="AP1251" s="64"/>
      <c r="AQ1251" s="189"/>
      <c r="AR1251" s="64"/>
      <c r="AS1251" s="476"/>
      <c r="AT1251" s="64"/>
      <c r="AU1251" s="646"/>
      <c r="AV1251" s="185"/>
    </row>
    <row r="1252" spans="1:48" ht="15" customHeight="1" outlineLevel="3" x14ac:dyDescent="0.25">
      <c r="A1252" s="63" t="str">
        <f t="shared" si="225"/>
        <v>4.14.3.8.2.62</v>
      </c>
      <c r="B1252" s="64">
        <v>4</v>
      </c>
      <c r="C1252" s="64">
        <v>14</v>
      </c>
      <c r="D1252" s="64">
        <v>3</v>
      </c>
      <c r="E1252" s="64">
        <v>8</v>
      </c>
      <c r="F1252" s="64">
        <v>2</v>
      </c>
      <c r="G1252" s="64">
        <v>62</v>
      </c>
      <c r="H1252" s="65"/>
      <c r="I1252" s="65"/>
      <c r="J1252" s="66"/>
      <c r="K1252" s="65" t="s">
        <v>1497</v>
      </c>
      <c r="L1252" s="64"/>
      <c r="M1252" s="64"/>
      <c r="N1252" s="64"/>
      <c r="O1252" s="64"/>
      <c r="P1252" s="64"/>
      <c r="Q1252" s="64"/>
      <c r="R1252" s="64"/>
      <c r="S1252" s="65"/>
      <c r="T1252" s="64"/>
      <c r="U1252" s="370">
        <v>0</v>
      </c>
      <c r="V1252" s="687">
        <v>0</v>
      </c>
      <c r="W1252" s="75"/>
      <c r="X1252" s="75"/>
      <c r="Y1252" s="834">
        <f t="shared" si="263"/>
        <v>0</v>
      </c>
      <c r="Z1252" s="75"/>
      <c r="AA1252" s="75"/>
      <c r="AB1252" s="75"/>
      <c r="AC1252" s="97"/>
      <c r="AD1252" s="97"/>
      <c r="AE1252" s="591"/>
      <c r="AF1252" s="259"/>
      <c r="AG1252" s="510">
        <v>0</v>
      </c>
      <c r="AH1252" s="370">
        <v>0</v>
      </c>
      <c r="AI1252" s="75"/>
      <c r="AJ1252" s="75"/>
      <c r="AK1252" s="75"/>
      <c r="AL1252" s="75"/>
      <c r="AM1252" s="75"/>
      <c r="AN1252" s="64" t="s">
        <v>181</v>
      </c>
      <c r="AO1252" s="64"/>
      <c r="AP1252" s="64"/>
      <c r="AQ1252" s="189"/>
      <c r="AR1252" s="64"/>
      <c r="AS1252" s="476"/>
      <c r="AT1252" s="64"/>
      <c r="AU1252" s="646"/>
      <c r="AV1252" s="185"/>
    </row>
    <row r="1253" spans="1:48" ht="15" customHeight="1" outlineLevel="3" x14ac:dyDescent="0.25">
      <c r="A1253" s="63" t="str">
        <f t="shared" si="225"/>
        <v>4.14.3.8.2.63</v>
      </c>
      <c r="B1253" s="64">
        <v>4</v>
      </c>
      <c r="C1253" s="64">
        <v>14</v>
      </c>
      <c r="D1253" s="64">
        <v>3</v>
      </c>
      <c r="E1253" s="64">
        <v>8</v>
      </c>
      <c r="F1253" s="64">
        <v>2</v>
      </c>
      <c r="G1253" s="64">
        <v>63</v>
      </c>
      <c r="H1253" s="65"/>
      <c r="I1253" s="65"/>
      <c r="J1253" s="66"/>
      <c r="K1253" s="65" t="s">
        <v>1776</v>
      </c>
      <c r="L1253" s="64"/>
      <c r="M1253" s="64"/>
      <c r="N1253" s="64"/>
      <c r="O1253" s="64"/>
      <c r="P1253" s="64"/>
      <c r="Q1253" s="64"/>
      <c r="R1253" s="64"/>
      <c r="S1253" s="65"/>
      <c r="T1253" s="64"/>
      <c r="U1253" s="370">
        <v>0</v>
      </c>
      <c r="V1253" s="687">
        <v>0</v>
      </c>
      <c r="W1253" s="75"/>
      <c r="X1253" s="75"/>
      <c r="Y1253" s="834">
        <f t="shared" si="263"/>
        <v>0</v>
      </c>
      <c r="Z1253" s="75"/>
      <c r="AA1253" s="75"/>
      <c r="AB1253" s="75"/>
      <c r="AC1253" s="97"/>
      <c r="AD1253" s="97"/>
      <c r="AE1253" s="591"/>
      <c r="AF1253" s="259"/>
      <c r="AG1253" s="510">
        <v>0</v>
      </c>
      <c r="AH1253" s="370">
        <v>0</v>
      </c>
      <c r="AI1253" s="75"/>
      <c r="AJ1253" s="75"/>
      <c r="AK1253" s="75"/>
      <c r="AL1253" s="75"/>
      <c r="AM1253" s="75"/>
      <c r="AN1253" s="64" t="s">
        <v>181</v>
      </c>
      <c r="AO1253" s="64"/>
      <c r="AP1253" s="64"/>
      <c r="AQ1253" s="189"/>
      <c r="AR1253" s="64"/>
      <c r="AS1253" s="476"/>
      <c r="AT1253" s="64"/>
      <c r="AU1253" s="646"/>
      <c r="AV1253" s="185"/>
    </row>
    <row r="1254" spans="1:48" ht="15" customHeight="1" outlineLevel="3" x14ac:dyDescent="0.25">
      <c r="A1254" s="63" t="str">
        <f t="shared" si="225"/>
        <v>4.14.3.8.2.64</v>
      </c>
      <c r="B1254" s="64">
        <v>4</v>
      </c>
      <c r="C1254" s="64">
        <v>14</v>
      </c>
      <c r="D1254" s="64">
        <v>3</v>
      </c>
      <c r="E1254" s="64">
        <v>8</v>
      </c>
      <c r="F1254" s="64">
        <v>2</v>
      </c>
      <c r="G1254" s="64">
        <v>64</v>
      </c>
      <c r="H1254" s="65"/>
      <c r="I1254" s="65"/>
      <c r="J1254" s="66"/>
      <c r="K1254" s="65" t="s">
        <v>1498</v>
      </c>
      <c r="L1254" s="64"/>
      <c r="M1254" s="64"/>
      <c r="N1254" s="64"/>
      <c r="O1254" s="64"/>
      <c r="P1254" s="64"/>
      <c r="Q1254" s="64"/>
      <c r="R1254" s="64"/>
      <c r="S1254" s="65"/>
      <c r="T1254" s="64"/>
      <c r="U1254" s="370">
        <v>0</v>
      </c>
      <c r="V1254" s="687">
        <v>0</v>
      </c>
      <c r="W1254" s="75"/>
      <c r="X1254" s="75"/>
      <c r="Y1254" s="834">
        <f t="shared" si="263"/>
        <v>0</v>
      </c>
      <c r="Z1254" s="75"/>
      <c r="AA1254" s="75"/>
      <c r="AB1254" s="75"/>
      <c r="AC1254" s="97"/>
      <c r="AD1254" s="97"/>
      <c r="AE1254" s="591"/>
      <c r="AF1254" s="259"/>
      <c r="AG1254" s="510">
        <v>0</v>
      </c>
      <c r="AH1254" s="370">
        <v>0</v>
      </c>
      <c r="AI1254" s="75"/>
      <c r="AJ1254" s="75"/>
      <c r="AK1254" s="75"/>
      <c r="AL1254" s="75"/>
      <c r="AM1254" s="75"/>
      <c r="AN1254" s="64" t="s">
        <v>181</v>
      </c>
      <c r="AO1254" s="64"/>
      <c r="AP1254" s="64"/>
      <c r="AQ1254" s="189"/>
      <c r="AR1254" s="64"/>
      <c r="AS1254" s="476"/>
      <c r="AT1254" s="64"/>
      <c r="AU1254" s="646"/>
      <c r="AV1254" s="185"/>
    </row>
    <row r="1255" spans="1:48" outlineLevel="3" x14ac:dyDescent="0.25">
      <c r="A1255" s="63" t="str">
        <f t="shared" si="225"/>
        <v>4.14.3.8.3.58</v>
      </c>
      <c r="B1255" s="64">
        <v>4</v>
      </c>
      <c r="C1255" s="64">
        <v>14</v>
      </c>
      <c r="D1255" s="64">
        <v>3</v>
      </c>
      <c r="E1255" s="64">
        <v>8</v>
      </c>
      <c r="F1255" s="64">
        <v>3</v>
      </c>
      <c r="G1255" s="64">
        <v>58</v>
      </c>
      <c r="H1255" s="65"/>
      <c r="I1255" s="65"/>
      <c r="J1255" s="66"/>
      <c r="K1255" s="67" t="s">
        <v>1499</v>
      </c>
      <c r="L1255" s="64" t="s">
        <v>72</v>
      </c>
      <c r="M1255" s="64" t="s">
        <v>73</v>
      </c>
      <c r="N1255" s="64" t="s">
        <v>74</v>
      </c>
      <c r="O1255" s="64" t="s">
        <v>1487</v>
      </c>
      <c r="P1255" s="64"/>
      <c r="Q1255" s="64"/>
      <c r="R1255" s="64"/>
      <c r="S1255" s="65"/>
      <c r="T1255" s="64"/>
      <c r="U1255" s="370">
        <v>0</v>
      </c>
      <c r="V1255" s="687">
        <v>0</v>
      </c>
      <c r="W1255" s="75"/>
      <c r="X1255" s="75"/>
      <c r="Y1255" s="834">
        <f t="shared" si="263"/>
        <v>0</v>
      </c>
      <c r="Z1255" s="75"/>
      <c r="AA1255" s="75"/>
      <c r="AB1255" s="75"/>
      <c r="AC1255" s="97"/>
      <c r="AD1255" s="97"/>
      <c r="AE1255" s="591"/>
      <c r="AF1255" s="259"/>
      <c r="AG1255" s="510">
        <v>0</v>
      </c>
      <c r="AH1255" s="370">
        <v>0</v>
      </c>
      <c r="AI1255" s="75"/>
      <c r="AJ1255" s="75"/>
      <c r="AK1255" s="75"/>
      <c r="AL1255" s="75"/>
      <c r="AM1255" s="75"/>
      <c r="AN1255" s="64" t="s">
        <v>181</v>
      </c>
      <c r="AO1255" s="64"/>
      <c r="AP1255" s="64"/>
      <c r="AQ1255" s="189"/>
      <c r="AR1255" s="64"/>
      <c r="AS1255" s="476"/>
      <c r="AT1255" s="64"/>
      <c r="AU1255" s="646"/>
      <c r="AV1255" s="185"/>
    </row>
    <row r="1256" spans="1:48" ht="15" customHeight="1" outlineLevel="3" x14ac:dyDescent="0.25">
      <c r="A1256" s="63" t="str">
        <f t="shared" si="225"/>
        <v>4.14.3.8.3.59</v>
      </c>
      <c r="B1256" s="64">
        <v>4</v>
      </c>
      <c r="C1256" s="64">
        <v>14</v>
      </c>
      <c r="D1256" s="64">
        <v>3</v>
      </c>
      <c r="E1256" s="64">
        <v>8</v>
      </c>
      <c r="F1256" s="64">
        <v>3</v>
      </c>
      <c r="G1256" s="64">
        <v>59</v>
      </c>
      <c r="H1256" s="65"/>
      <c r="I1256" s="65"/>
      <c r="J1256" s="66"/>
      <c r="K1256" s="65" t="s">
        <v>1500</v>
      </c>
      <c r="L1256" s="64" t="s">
        <v>72</v>
      </c>
      <c r="M1256" s="64" t="s">
        <v>73</v>
      </c>
      <c r="N1256" s="64" t="s">
        <v>74</v>
      </c>
      <c r="O1256" s="64" t="s">
        <v>1487</v>
      </c>
      <c r="P1256" s="64"/>
      <c r="Q1256" s="64"/>
      <c r="R1256" s="64"/>
      <c r="S1256" s="65"/>
      <c r="T1256" s="64"/>
      <c r="U1256" s="370">
        <v>0</v>
      </c>
      <c r="V1256" s="687">
        <v>0</v>
      </c>
      <c r="W1256" s="75"/>
      <c r="X1256" s="75"/>
      <c r="Y1256" s="834">
        <f t="shared" si="263"/>
        <v>0</v>
      </c>
      <c r="Z1256" s="75"/>
      <c r="AA1256" s="75"/>
      <c r="AB1256" s="75"/>
      <c r="AC1256" s="97"/>
      <c r="AD1256" s="97"/>
      <c r="AE1256" s="591"/>
      <c r="AF1256" s="259"/>
      <c r="AG1256" s="510">
        <v>0</v>
      </c>
      <c r="AH1256" s="370">
        <v>0</v>
      </c>
      <c r="AI1256" s="75"/>
      <c r="AJ1256" s="75"/>
      <c r="AK1256" s="75"/>
      <c r="AL1256" s="75"/>
      <c r="AM1256" s="75"/>
      <c r="AN1256" s="64" t="s">
        <v>181</v>
      </c>
      <c r="AO1256" s="64"/>
      <c r="AP1256" s="64"/>
      <c r="AQ1256" s="189"/>
      <c r="AR1256" s="64"/>
      <c r="AS1256" s="476"/>
      <c r="AT1256" s="64"/>
      <c r="AU1256" s="646"/>
      <c r="AV1256" s="185"/>
    </row>
    <row r="1257" spans="1:48" ht="15" customHeight="1" outlineLevel="3" x14ac:dyDescent="0.25">
      <c r="A1257" s="63" t="str">
        <f t="shared" si="225"/>
        <v>4.14.3.8.3.60</v>
      </c>
      <c r="B1257" s="64">
        <v>4</v>
      </c>
      <c r="C1257" s="64">
        <v>14</v>
      </c>
      <c r="D1257" s="64">
        <v>3</v>
      </c>
      <c r="E1257" s="64">
        <v>8</v>
      </c>
      <c r="F1257" s="64">
        <v>3</v>
      </c>
      <c r="G1257" s="64">
        <v>60</v>
      </c>
      <c r="H1257" s="65"/>
      <c r="I1257" s="65"/>
      <c r="J1257" s="66"/>
      <c r="K1257" s="65" t="s">
        <v>1501</v>
      </c>
      <c r="L1257" s="64" t="s">
        <v>72</v>
      </c>
      <c r="M1257" s="64" t="s">
        <v>73</v>
      </c>
      <c r="N1257" s="64" t="s">
        <v>74</v>
      </c>
      <c r="O1257" s="64" t="s">
        <v>1487</v>
      </c>
      <c r="P1257" s="64"/>
      <c r="Q1257" s="64"/>
      <c r="R1257" s="64"/>
      <c r="S1257" s="65"/>
      <c r="T1257" s="64"/>
      <c r="U1257" s="370">
        <v>0</v>
      </c>
      <c r="V1257" s="687">
        <v>0</v>
      </c>
      <c r="W1257" s="75"/>
      <c r="X1257" s="75"/>
      <c r="Y1257" s="834">
        <f t="shared" si="263"/>
        <v>0</v>
      </c>
      <c r="Z1257" s="75"/>
      <c r="AA1257" s="75"/>
      <c r="AB1257" s="75"/>
      <c r="AC1257" s="97"/>
      <c r="AD1257" s="97"/>
      <c r="AE1257" s="591"/>
      <c r="AF1257" s="259"/>
      <c r="AG1257" s="510">
        <v>0</v>
      </c>
      <c r="AH1257" s="370">
        <v>0</v>
      </c>
      <c r="AI1257" s="75"/>
      <c r="AJ1257" s="75"/>
      <c r="AK1257" s="75"/>
      <c r="AL1257" s="75"/>
      <c r="AM1257" s="75"/>
      <c r="AN1257" s="64" t="s">
        <v>181</v>
      </c>
      <c r="AO1257" s="64"/>
      <c r="AP1257" s="64"/>
      <c r="AQ1257" s="189"/>
      <c r="AR1257" s="64"/>
      <c r="AS1257" s="476"/>
      <c r="AT1257" s="64"/>
      <c r="AU1257" s="646"/>
      <c r="AV1257" s="185"/>
    </row>
    <row r="1258" spans="1:48" ht="15" customHeight="1" outlineLevel="3" x14ac:dyDescent="0.25">
      <c r="A1258" s="63" t="str">
        <f t="shared" si="225"/>
        <v>4.14.3.8.3.61</v>
      </c>
      <c r="B1258" s="64">
        <v>4</v>
      </c>
      <c r="C1258" s="64">
        <v>14</v>
      </c>
      <c r="D1258" s="64">
        <v>3</v>
      </c>
      <c r="E1258" s="64">
        <v>8</v>
      </c>
      <c r="F1258" s="64">
        <v>3</v>
      </c>
      <c r="G1258" s="64">
        <v>61</v>
      </c>
      <c r="H1258" s="65"/>
      <c r="I1258" s="65"/>
      <c r="J1258" s="66"/>
      <c r="K1258" s="65" t="s">
        <v>1502</v>
      </c>
      <c r="L1258" s="64" t="s">
        <v>72</v>
      </c>
      <c r="M1258" s="64" t="s">
        <v>73</v>
      </c>
      <c r="N1258" s="64" t="s">
        <v>74</v>
      </c>
      <c r="O1258" s="64" t="s">
        <v>1487</v>
      </c>
      <c r="P1258" s="64"/>
      <c r="Q1258" s="64"/>
      <c r="R1258" s="64"/>
      <c r="S1258" s="65"/>
      <c r="T1258" s="64"/>
      <c r="U1258" s="370">
        <v>0</v>
      </c>
      <c r="V1258" s="687">
        <v>0</v>
      </c>
      <c r="W1258" s="75"/>
      <c r="X1258" s="75"/>
      <c r="Y1258" s="834">
        <f t="shared" si="263"/>
        <v>0</v>
      </c>
      <c r="Z1258" s="75"/>
      <c r="AA1258" s="75"/>
      <c r="AB1258" s="75"/>
      <c r="AC1258" s="97"/>
      <c r="AD1258" s="97"/>
      <c r="AE1258" s="591"/>
      <c r="AF1258" s="259"/>
      <c r="AG1258" s="510">
        <v>0</v>
      </c>
      <c r="AH1258" s="370">
        <v>0</v>
      </c>
      <c r="AI1258" s="75"/>
      <c r="AJ1258" s="75"/>
      <c r="AK1258" s="75"/>
      <c r="AL1258" s="75"/>
      <c r="AM1258" s="75"/>
      <c r="AN1258" s="64" t="s">
        <v>181</v>
      </c>
      <c r="AO1258" s="64"/>
      <c r="AP1258" s="64"/>
      <c r="AQ1258" s="189"/>
      <c r="AR1258" s="64"/>
      <c r="AS1258" s="476"/>
      <c r="AT1258" s="64"/>
      <c r="AU1258" s="646"/>
      <c r="AV1258" s="185"/>
    </row>
    <row r="1259" spans="1:48" ht="15" customHeight="1" outlineLevel="3" x14ac:dyDescent="0.25">
      <c r="A1259" s="63" t="str">
        <f t="shared" si="225"/>
        <v>4.14.3.8.3.62</v>
      </c>
      <c r="B1259" s="64">
        <v>4</v>
      </c>
      <c r="C1259" s="64">
        <v>14</v>
      </c>
      <c r="D1259" s="64">
        <v>3</v>
      </c>
      <c r="E1259" s="64">
        <v>8</v>
      </c>
      <c r="F1259" s="64">
        <v>3</v>
      </c>
      <c r="G1259" s="64">
        <v>62</v>
      </c>
      <c r="H1259" s="65"/>
      <c r="I1259" s="65"/>
      <c r="J1259" s="66"/>
      <c r="K1259" s="65" t="s">
        <v>1503</v>
      </c>
      <c r="L1259" s="64" t="s">
        <v>72</v>
      </c>
      <c r="M1259" s="64" t="s">
        <v>73</v>
      </c>
      <c r="N1259" s="64" t="s">
        <v>74</v>
      </c>
      <c r="O1259" s="64" t="s">
        <v>1487</v>
      </c>
      <c r="P1259" s="64"/>
      <c r="Q1259" s="64"/>
      <c r="R1259" s="64"/>
      <c r="S1259" s="65"/>
      <c r="T1259" s="64"/>
      <c r="U1259" s="370">
        <v>0</v>
      </c>
      <c r="V1259" s="687">
        <v>0</v>
      </c>
      <c r="W1259" s="75"/>
      <c r="X1259" s="75"/>
      <c r="Y1259" s="834">
        <f t="shared" si="263"/>
        <v>0</v>
      </c>
      <c r="Z1259" s="75"/>
      <c r="AA1259" s="75"/>
      <c r="AB1259" s="75"/>
      <c r="AC1259" s="97"/>
      <c r="AD1259" s="97"/>
      <c r="AE1259" s="591"/>
      <c r="AF1259" s="259"/>
      <c r="AG1259" s="510">
        <v>0</v>
      </c>
      <c r="AH1259" s="370">
        <v>0</v>
      </c>
      <c r="AI1259" s="75"/>
      <c r="AJ1259" s="75"/>
      <c r="AK1259" s="75"/>
      <c r="AL1259" s="75"/>
      <c r="AM1259" s="75"/>
      <c r="AN1259" s="64" t="s">
        <v>181</v>
      </c>
      <c r="AO1259" s="64"/>
      <c r="AP1259" s="64"/>
      <c r="AQ1259" s="189"/>
      <c r="AR1259" s="64"/>
      <c r="AS1259" s="476"/>
      <c r="AT1259" s="64"/>
      <c r="AU1259" s="646"/>
      <c r="AV1259" s="185"/>
    </row>
    <row r="1260" spans="1:48" ht="15" customHeight="1" outlineLevel="3" x14ac:dyDescent="0.25">
      <c r="A1260" s="63" t="str">
        <f t="shared" si="225"/>
        <v>4.14.3.8.3.63</v>
      </c>
      <c r="B1260" s="64">
        <v>4</v>
      </c>
      <c r="C1260" s="64">
        <v>14</v>
      </c>
      <c r="D1260" s="64">
        <v>3</v>
      </c>
      <c r="E1260" s="64">
        <v>8</v>
      </c>
      <c r="F1260" s="64">
        <v>3</v>
      </c>
      <c r="G1260" s="64">
        <v>63</v>
      </c>
      <c r="H1260" s="65"/>
      <c r="I1260" s="65"/>
      <c r="J1260" s="66"/>
      <c r="K1260" s="65" t="s">
        <v>1777</v>
      </c>
      <c r="L1260" s="64" t="s">
        <v>72</v>
      </c>
      <c r="M1260" s="64" t="s">
        <v>73</v>
      </c>
      <c r="N1260" s="64" t="s">
        <v>74</v>
      </c>
      <c r="O1260" s="64" t="s">
        <v>1487</v>
      </c>
      <c r="P1260" s="64"/>
      <c r="Q1260" s="64"/>
      <c r="R1260" s="64"/>
      <c r="S1260" s="65"/>
      <c r="T1260" s="64"/>
      <c r="U1260" s="370">
        <v>0</v>
      </c>
      <c r="V1260" s="687">
        <v>0</v>
      </c>
      <c r="W1260" s="75"/>
      <c r="X1260" s="75"/>
      <c r="Y1260" s="834">
        <f t="shared" si="263"/>
        <v>0</v>
      </c>
      <c r="Z1260" s="75"/>
      <c r="AA1260" s="75"/>
      <c r="AB1260" s="75"/>
      <c r="AC1260" s="97"/>
      <c r="AD1260" s="97"/>
      <c r="AE1260" s="591"/>
      <c r="AF1260" s="259"/>
      <c r="AG1260" s="510">
        <v>0</v>
      </c>
      <c r="AH1260" s="370">
        <v>0</v>
      </c>
      <c r="AI1260" s="75"/>
      <c r="AJ1260" s="75"/>
      <c r="AK1260" s="75"/>
      <c r="AL1260" s="75"/>
      <c r="AM1260" s="75"/>
      <c r="AN1260" s="64" t="s">
        <v>181</v>
      </c>
      <c r="AO1260" s="64"/>
      <c r="AP1260" s="64"/>
      <c r="AQ1260" s="189"/>
      <c r="AR1260" s="64"/>
      <c r="AS1260" s="476"/>
      <c r="AT1260" s="64"/>
      <c r="AU1260" s="646"/>
      <c r="AV1260" s="185"/>
    </row>
    <row r="1261" spans="1:48" ht="15" customHeight="1" outlineLevel="3" x14ac:dyDescent="0.25">
      <c r="A1261" s="63" t="str">
        <f t="shared" si="225"/>
        <v>4.14.3.8.3.64</v>
      </c>
      <c r="B1261" s="64">
        <v>4</v>
      </c>
      <c r="C1261" s="64">
        <v>14</v>
      </c>
      <c r="D1261" s="64">
        <v>3</v>
      </c>
      <c r="E1261" s="64">
        <v>8</v>
      </c>
      <c r="F1261" s="64">
        <v>3</v>
      </c>
      <c r="G1261" s="64">
        <v>64</v>
      </c>
      <c r="H1261" s="65"/>
      <c r="I1261" s="65"/>
      <c r="J1261" s="66"/>
      <c r="K1261" s="65" t="s">
        <v>1504</v>
      </c>
      <c r="L1261" s="64" t="s">
        <v>72</v>
      </c>
      <c r="M1261" s="64" t="s">
        <v>73</v>
      </c>
      <c r="N1261" s="64" t="s">
        <v>74</v>
      </c>
      <c r="O1261" s="64" t="s">
        <v>1487</v>
      </c>
      <c r="P1261" s="64"/>
      <c r="Q1261" s="64"/>
      <c r="R1261" s="64"/>
      <c r="S1261" s="65"/>
      <c r="T1261" s="64"/>
      <c r="U1261" s="370">
        <v>0</v>
      </c>
      <c r="V1261" s="687">
        <v>0</v>
      </c>
      <c r="W1261" s="75"/>
      <c r="X1261" s="75"/>
      <c r="Y1261" s="834">
        <f t="shared" si="263"/>
        <v>0</v>
      </c>
      <c r="Z1261" s="75"/>
      <c r="AA1261" s="75"/>
      <c r="AB1261" s="75"/>
      <c r="AC1261" s="97"/>
      <c r="AD1261" s="97"/>
      <c r="AE1261" s="591"/>
      <c r="AF1261" s="259"/>
      <c r="AG1261" s="510">
        <v>0</v>
      </c>
      <c r="AH1261" s="370">
        <v>0</v>
      </c>
      <c r="AI1261" s="75"/>
      <c r="AJ1261" s="75"/>
      <c r="AK1261" s="75"/>
      <c r="AL1261" s="75"/>
      <c r="AM1261" s="75"/>
      <c r="AN1261" s="64" t="s">
        <v>181</v>
      </c>
      <c r="AO1261" s="64"/>
      <c r="AP1261" s="64"/>
      <c r="AQ1261" s="189"/>
      <c r="AR1261" s="64"/>
      <c r="AS1261" s="476"/>
      <c r="AT1261" s="64"/>
      <c r="AU1261" s="646"/>
      <c r="AV1261" s="185"/>
    </row>
    <row r="1262" spans="1:48" ht="30" outlineLevel="3" x14ac:dyDescent="0.25">
      <c r="A1262" s="63" t="str">
        <f t="shared" si="225"/>
        <v>4.14.3.8.4.58</v>
      </c>
      <c r="B1262" s="64">
        <v>4</v>
      </c>
      <c r="C1262" s="64">
        <v>14</v>
      </c>
      <c r="D1262" s="64">
        <v>3</v>
      </c>
      <c r="E1262" s="64">
        <v>8</v>
      </c>
      <c r="F1262" s="64">
        <v>4</v>
      </c>
      <c r="G1262" s="64">
        <v>58</v>
      </c>
      <c r="H1262" s="65"/>
      <c r="I1262" s="65"/>
      <c r="J1262" s="66"/>
      <c r="K1262" s="86" t="s">
        <v>1505</v>
      </c>
      <c r="L1262" s="64" t="s">
        <v>72</v>
      </c>
      <c r="M1262" s="64" t="s">
        <v>73</v>
      </c>
      <c r="N1262" s="64" t="s">
        <v>74</v>
      </c>
      <c r="O1262" s="64" t="s">
        <v>1487</v>
      </c>
      <c r="P1262" s="64"/>
      <c r="Q1262" s="64"/>
      <c r="R1262" s="64"/>
      <c r="S1262" s="65"/>
      <c r="T1262" s="64"/>
      <c r="U1262" s="370">
        <v>0</v>
      </c>
      <c r="V1262" s="687">
        <v>0</v>
      </c>
      <c r="W1262" s="75"/>
      <c r="X1262" s="75"/>
      <c r="Y1262" s="834">
        <f t="shared" si="263"/>
        <v>0</v>
      </c>
      <c r="Z1262" s="75"/>
      <c r="AA1262" s="75"/>
      <c r="AB1262" s="75"/>
      <c r="AC1262" s="97"/>
      <c r="AD1262" s="97"/>
      <c r="AE1262" s="591"/>
      <c r="AF1262" s="259"/>
      <c r="AG1262" s="510">
        <v>0</v>
      </c>
      <c r="AH1262" s="370">
        <v>0</v>
      </c>
      <c r="AI1262" s="75"/>
      <c r="AJ1262" s="75"/>
      <c r="AK1262" s="75"/>
      <c r="AL1262" s="75"/>
      <c r="AM1262" s="75"/>
      <c r="AN1262" s="64" t="s">
        <v>181</v>
      </c>
      <c r="AO1262" s="64"/>
      <c r="AP1262" s="64"/>
      <c r="AQ1262" s="189"/>
      <c r="AR1262" s="64"/>
      <c r="AS1262" s="476"/>
      <c r="AT1262" s="64"/>
      <c r="AU1262" s="646"/>
      <c r="AV1262" s="185"/>
    </row>
    <row r="1263" spans="1:48" ht="15" customHeight="1" outlineLevel="3" x14ac:dyDescent="0.25">
      <c r="A1263" s="63" t="str">
        <f t="shared" si="225"/>
        <v>4.14.3.8.4.59</v>
      </c>
      <c r="B1263" s="64">
        <v>4</v>
      </c>
      <c r="C1263" s="64">
        <v>14</v>
      </c>
      <c r="D1263" s="64">
        <v>3</v>
      </c>
      <c r="E1263" s="64">
        <v>8</v>
      </c>
      <c r="F1263" s="64">
        <v>4</v>
      </c>
      <c r="G1263" s="64">
        <v>59</v>
      </c>
      <c r="H1263" s="65"/>
      <c r="I1263" s="65"/>
      <c r="J1263" s="66"/>
      <c r="K1263" s="125" t="s">
        <v>1506</v>
      </c>
      <c r="L1263" s="64" t="s">
        <v>72</v>
      </c>
      <c r="M1263" s="64" t="s">
        <v>73</v>
      </c>
      <c r="N1263" s="64" t="s">
        <v>74</v>
      </c>
      <c r="O1263" s="64" t="s">
        <v>1487</v>
      </c>
      <c r="P1263" s="64"/>
      <c r="Q1263" s="64"/>
      <c r="R1263" s="64"/>
      <c r="S1263" s="65"/>
      <c r="T1263" s="64"/>
      <c r="U1263" s="370">
        <v>0</v>
      </c>
      <c r="V1263" s="687">
        <v>0</v>
      </c>
      <c r="W1263" s="75"/>
      <c r="X1263" s="75"/>
      <c r="Y1263" s="834">
        <f t="shared" si="263"/>
        <v>0</v>
      </c>
      <c r="Z1263" s="75"/>
      <c r="AA1263" s="75"/>
      <c r="AB1263" s="75"/>
      <c r="AC1263" s="97"/>
      <c r="AD1263" s="97"/>
      <c r="AE1263" s="591"/>
      <c r="AF1263" s="259"/>
      <c r="AG1263" s="510">
        <v>0</v>
      </c>
      <c r="AH1263" s="370">
        <v>0</v>
      </c>
      <c r="AI1263" s="75"/>
      <c r="AJ1263" s="75"/>
      <c r="AK1263" s="75"/>
      <c r="AL1263" s="75"/>
      <c r="AM1263" s="75"/>
      <c r="AN1263" s="64" t="s">
        <v>181</v>
      </c>
      <c r="AO1263" s="64"/>
      <c r="AP1263" s="64"/>
      <c r="AQ1263" s="189"/>
      <c r="AR1263" s="64"/>
      <c r="AS1263" s="476"/>
      <c r="AT1263" s="64"/>
      <c r="AU1263" s="646"/>
      <c r="AV1263" s="185"/>
    </row>
    <row r="1264" spans="1:48" ht="15" customHeight="1" outlineLevel="3" x14ac:dyDescent="0.25">
      <c r="A1264" s="63" t="str">
        <f t="shared" si="225"/>
        <v>4.14.3.8.4.60</v>
      </c>
      <c r="B1264" s="64">
        <v>4</v>
      </c>
      <c r="C1264" s="64">
        <v>14</v>
      </c>
      <c r="D1264" s="64">
        <v>3</v>
      </c>
      <c r="E1264" s="64">
        <v>8</v>
      </c>
      <c r="F1264" s="64">
        <v>4</v>
      </c>
      <c r="G1264" s="64">
        <v>60</v>
      </c>
      <c r="H1264" s="65"/>
      <c r="I1264" s="65"/>
      <c r="J1264" s="66"/>
      <c r="K1264" s="125" t="s">
        <v>1507</v>
      </c>
      <c r="L1264" s="64" t="s">
        <v>72</v>
      </c>
      <c r="M1264" s="64" t="s">
        <v>73</v>
      </c>
      <c r="N1264" s="64" t="s">
        <v>74</v>
      </c>
      <c r="O1264" s="64" t="s">
        <v>1487</v>
      </c>
      <c r="P1264" s="64"/>
      <c r="Q1264" s="64"/>
      <c r="R1264" s="64"/>
      <c r="S1264" s="65"/>
      <c r="T1264" s="64"/>
      <c r="U1264" s="370">
        <v>0</v>
      </c>
      <c r="V1264" s="687">
        <v>0</v>
      </c>
      <c r="W1264" s="75"/>
      <c r="X1264" s="75"/>
      <c r="Y1264" s="834">
        <f t="shared" si="263"/>
        <v>0</v>
      </c>
      <c r="Z1264" s="75"/>
      <c r="AA1264" s="75"/>
      <c r="AB1264" s="75"/>
      <c r="AC1264" s="97"/>
      <c r="AD1264" s="97"/>
      <c r="AE1264" s="591"/>
      <c r="AF1264" s="259"/>
      <c r="AG1264" s="510">
        <v>0</v>
      </c>
      <c r="AH1264" s="370">
        <v>0</v>
      </c>
      <c r="AI1264" s="75"/>
      <c r="AJ1264" s="75"/>
      <c r="AK1264" s="75"/>
      <c r="AL1264" s="75"/>
      <c r="AM1264" s="75"/>
      <c r="AN1264" s="64" t="s">
        <v>181</v>
      </c>
      <c r="AO1264" s="64"/>
      <c r="AP1264" s="64"/>
      <c r="AQ1264" s="189"/>
      <c r="AR1264" s="64"/>
      <c r="AS1264" s="476"/>
      <c r="AT1264" s="64"/>
      <c r="AU1264" s="646"/>
      <c r="AV1264" s="185"/>
    </row>
    <row r="1265" spans="1:48" ht="15" customHeight="1" outlineLevel="3" x14ac:dyDescent="0.25">
      <c r="A1265" s="63" t="str">
        <f t="shared" si="225"/>
        <v>4.14.3.8.4.61</v>
      </c>
      <c r="B1265" s="64">
        <v>4</v>
      </c>
      <c r="C1265" s="64">
        <v>14</v>
      </c>
      <c r="D1265" s="64">
        <v>3</v>
      </c>
      <c r="E1265" s="64">
        <v>8</v>
      </c>
      <c r="F1265" s="64">
        <v>4</v>
      </c>
      <c r="G1265" s="64">
        <v>61</v>
      </c>
      <c r="H1265" s="65"/>
      <c r="I1265" s="65"/>
      <c r="J1265" s="66"/>
      <c r="K1265" s="125" t="s">
        <v>1508</v>
      </c>
      <c r="L1265" s="64" t="s">
        <v>72</v>
      </c>
      <c r="M1265" s="64" t="s">
        <v>73</v>
      </c>
      <c r="N1265" s="64" t="s">
        <v>74</v>
      </c>
      <c r="O1265" s="64" t="s">
        <v>1487</v>
      </c>
      <c r="P1265" s="64"/>
      <c r="Q1265" s="64"/>
      <c r="R1265" s="64"/>
      <c r="S1265" s="65"/>
      <c r="T1265" s="64"/>
      <c r="U1265" s="370">
        <v>0</v>
      </c>
      <c r="V1265" s="687">
        <v>0</v>
      </c>
      <c r="W1265" s="75"/>
      <c r="X1265" s="75"/>
      <c r="Y1265" s="834">
        <f t="shared" si="263"/>
        <v>0</v>
      </c>
      <c r="Z1265" s="75"/>
      <c r="AA1265" s="75"/>
      <c r="AB1265" s="75"/>
      <c r="AC1265" s="97"/>
      <c r="AD1265" s="97"/>
      <c r="AE1265" s="591"/>
      <c r="AF1265" s="259"/>
      <c r="AG1265" s="510">
        <v>0</v>
      </c>
      <c r="AH1265" s="370">
        <v>0</v>
      </c>
      <c r="AI1265" s="75"/>
      <c r="AJ1265" s="75"/>
      <c r="AK1265" s="75"/>
      <c r="AL1265" s="75"/>
      <c r="AM1265" s="75"/>
      <c r="AN1265" s="64" t="s">
        <v>181</v>
      </c>
      <c r="AO1265" s="64"/>
      <c r="AP1265" s="64"/>
      <c r="AQ1265" s="189"/>
      <c r="AR1265" s="64"/>
      <c r="AS1265" s="476"/>
      <c r="AT1265" s="64"/>
      <c r="AU1265" s="646"/>
      <c r="AV1265" s="185"/>
    </row>
    <row r="1266" spans="1:48" ht="15" customHeight="1" outlineLevel="3" x14ac:dyDescent="0.25">
      <c r="A1266" s="63" t="str">
        <f t="shared" si="225"/>
        <v>4.14.3.8.4.62</v>
      </c>
      <c r="B1266" s="64">
        <v>4</v>
      </c>
      <c r="C1266" s="64">
        <v>14</v>
      </c>
      <c r="D1266" s="64">
        <v>3</v>
      </c>
      <c r="E1266" s="64">
        <v>8</v>
      </c>
      <c r="F1266" s="64">
        <v>4</v>
      </c>
      <c r="G1266" s="64">
        <v>62</v>
      </c>
      <c r="H1266" s="65"/>
      <c r="I1266" s="65"/>
      <c r="J1266" s="66"/>
      <c r="K1266" s="125" t="s">
        <v>1509</v>
      </c>
      <c r="L1266" s="64" t="s">
        <v>72</v>
      </c>
      <c r="M1266" s="64" t="s">
        <v>73</v>
      </c>
      <c r="N1266" s="64" t="s">
        <v>74</v>
      </c>
      <c r="O1266" s="64" t="s">
        <v>1487</v>
      </c>
      <c r="P1266" s="64"/>
      <c r="Q1266" s="64"/>
      <c r="R1266" s="64"/>
      <c r="S1266" s="65"/>
      <c r="T1266" s="64"/>
      <c r="U1266" s="370">
        <v>0</v>
      </c>
      <c r="V1266" s="687">
        <v>0</v>
      </c>
      <c r="W1266" s="75"/>
      <c r="X1266" s="75"/>
      <c r="Y1266" s="834">
        <f t="shared" si="263"/>
        <v>0</v>
      </c>
      <c r="Z1266" s="75"/>
      <c r="AA1266" s="75"/>
      <c r="AB1266" s="75"/>
      <c r="AC1266" s="97"/>
      <c r="AD1266" s="97"/>
      <c r="AE1266" s="591"/>
      <c r="AF1266" s="259"/>
      <c r="AG1266" s="510">
        <v>0</v>
      </c>
      <c r="AH1266" s="370">
        <v>0</v>
      </c>
      <c r="AI1266" s="75"/>
      <c r="AJ1266" s="75"/>
      <c r="AK1266" s="75"/>
      <c r="AL1266" s="75"/>
      <c r="AM1266" s="75"/>
      <c r="AN1266" s="64" t="s">
        <v>181</v>
      </c>
      <c r="AO1266" s="64"/>
      <c r="AP1266" s="64"/>
      <c r="AQ1266" s="189"/>
      <c r="AR1266" s="64"/>
      <c r="AS1266" s="476"/>
      <c r="AT1266" s="64"/>
      <c r="AU1266" s="646"/>
      <c r="AV1266" s="185"/>
    </row>
    <row r="1267" spans="1:48" ht="15" customHeight="1" outlineLevel="3" x14ac:dyDescent="0.25">
      <c r="A1267" s="63" t="str">
        <f t="shared" si="225"/>
        <v>4.14.3.8.4.63</v>
      </c>
      <c r="B1267" s="64">
        <v>4</v>
      </c>
      <c r="C1267" s="64">
        <v>14</v>
      </c>
      <c r="D1267" s="64">
        <v>3</v>
      </c>
      <c r="E1267" s="64">
        <v>8</v>
      </c>
      <c r="F1267" s="64">
        <v>4</v>
      </c>
      <c r="G1267" s="64">
        <v>63</v>
      </c>
      <c r="H1267" s="65"/>
      <c r="I1267" s="65"/>
      <c r="J1267" s="66"/>
      <c r="K1267" s="125" t="s">
        <v>1778</v>
      </c>
      <c r="L1267" s="64" t="s">
        <v>72</v>
      </c>
      <c r="M1267" s="64" t="s">
        <v>73</v>
      </c>
      <c r="N1267" s="64" t="s">
        <v>74</v>
      </c>
      <c r="O1267" s="64" t="s">
        <v>1487</v>
      </c>
      <c r="P1267" s="64"/>
      <c r="Q1267" s="64"/>
      <c r="R1267" s="64"/>
      <c r="S1267" s="65"/>
      <c r="T1267" s="64"/>
      <c r="U1267" s="370">
        <v>0</v>
      </c>
      <c r="V1267" s="687">
        <v>0</v>
      </c>
      <c r="W1267" s="75"/>
      <c r="X1267" s="75"/>
      <c r="Y1267" s="834">
        <f t="shared" si="263"/>
        <v>0</v>
      </c>
      <c r="Z1267" s="75"/>
      <c r="AA1267" s="75"/>
      <c r="AB1267" s="75"/>
      <c r="AC1267" s="97"/>
      <c r="AD1267" s="97"/>
      <c r="AE1267" s="591"/>
      <c r="AF1267" s="259"/>
      <c r="AG1267" s="510">
        <v>0</v>
      </c>
      <c r="AH1267" s="370">
        <v>0</v>
      </c>
      <c r="AI1267" s="75"/>
      <c r="AJ1267" s="75"/>
      <c r="AK1267" s="75"/>
      <c r="AL1267" s="75"/>
      <c r="AM1267" s="75"/>
      <c r="AN1267" s="64" t="s">
        <v>181</v>
      </c>
      <c r="AO1267" s="64"/>
      <c r="AP1267" s="64"/>
      <c r="AQ1267" s="189"/>
      <c r="AR1267" s="64"/>
      <c r="AS1267" s="476"/>
      <c r="AT1267" s="64"/>
      <c r="AU1267" s="646"/>
      <c r="AV1267" s="185"/>
    </row>
    <row r="1268" spans="1:48" ht="15" customHeight="1" outlineLevel="3" x14ac:dyDescent="0.25">
      <c r="A1268" s="63" t="str">
        <f t="shared" si="225"/>
        <v>4.14.3.8.4.64</v>
      </c>
      <c r="B1268" s="64">
        <v>4</v>
      </c>
      <c r="C1268" s="64">
        <v>14</v>
      </c>
      <c r="D1268" s="64">
        <v>3</v>
      </c>
      <c r="E1268" s="64">
        <v>8</v>
      </c>
      <c r="F1268" s="64">
        <v>4</v>
      </c>
      <c r="G1268" s="64">
        <v>64</v>
      </c>
      <c r="H1268" s="65"/>
      <c r="I1268" s="65"/>
      <c r="J1268" s="66"/>
      <c r="K1268" s="125" t="s">
        <v>1510</v>
      </c>
      <c r="L1268" s="64" t="s">
        <v>72</v>
      </c>
      <c r="M1268" s="64" t="s">
        <v>73</v>
      </c>
      <c r="N1268" s="64" t="s">
        <v>74</v>
      </c>
      <c r="O1268" s="64" t="s">
        <v>1487</v>
      </c>
      <c r="P1268" s="64"/>
      <c r="Q1268" s="64"/>
      <c r="R1268" s="64"/>
      <c r="S1268" s="65"/>
      <c r="T1268" s="64"/>
      <c r="U1268" s="370">
        <v>0</v>
      </c>
      <c r="V1268" s="687">
        <v>0</v>
      </c>
      <c r="W1268" s="75"/>
      <c r="X1268" s="75"/>
      <c r="Y1268" s="834">
        <f t="shared" si="263"/>
        <v>0</v>
      </c>
      <c r="Z1268" s="75"/>
      <c r="AA1268" s="75"/>
      <c r="AB1268" s="75"/>
      <c r="AC1268" s="97"/>
      <c r="AD1268" s="97"/>
      <c r="AE1268" s="591"/>
      <c r="AF1268" s="259"/>
      <c r="AG1268" s="510">
        <v>0</v>
      </c>
      <c r="AH1268" s="370">
        <v>0</v>
      </c>
      <c r="AI1268" s="75"/>
      <c r="AJ1268" s="75"/>
      <c r="AK1268" s="75"/>
      <c r="AL1268" s="75"/>
      <c r="AM1268" s="75"/>
      <c r="AN1268" s="64" t="s">
        <v>181</v>
      </c>
      <c r="AO1268" s="64"/>
      <c r="AP1268" s="64"/>
      <c r="AQ1268" s="189"/>
      <c r="AR1268" s="64"/>
      <c r="AS1268" s="476"/>
      <c r="AT1268" s="64"/>
      <c r="AU1268" s="646"/>
      <c r="AV1268" s="185"/>
    </row>
    <row r="1269" spans="1:48" outlineLevel="3" x14ac:dyDescent="0.25">
      <c r="A1269" s="63" t="str">
        <f t="shared" si="225"/>
        <v>4.14.3.8.5.58</v>
      </c>
      <c r="B1269" s="64">
        <v>4</v>
      </c>
      <c r="C1269" s="64">
        <v>14</v>
      </c>
      <c r="D1269" s="64">
        <v>3</v>
      </c>
      <c r="E1269" s="64">
        <v>8</v>
      </c>
      <c r="F1269" s="64">
        <v>5</v>
      </c>
      <c r="G1269" s="64">
        <v>58</v>
      </c>
      <c r="H1269" s="65"/>
      <c r="I1269" s="65"/>
      <c r="J1269" s="66"/>
      <c r="K1269" s="125" t="s">
        <v>1511</v>
      </c>
      <c r="L1269" s="64" t="s">
        <v>72</v>
      </c>
      <c r="M1269" s="64" t="s">
        <v>73</v>
      </c>
      <c r="N1269" s="64" t="s">
        <v>74</v>
      </c>
      <c r="O1269" s="64" t="s">
        <v>1487</v>
      </c>
      <c r="P1269" s="64"/>
      <c r="Q1269" s="64"/>
      <c r="R1269" s="64"/>
      <c r="S1269" s="65"/>
      <c r="T1269" s="64"/>
      <c r="U1269" s="370">
        <v>0</v>
      </c>
      <c r="V1269" s="687">
        <v>0</v>
      </c>
      <c r="W1269" s="75"/>
      <c r="X1269" s="75"/>
      <c r="Y1269" s="834">
        <f t="shared" si="263"/>
        <v>0</v>
      </c>
      <c r="Z1269" s="75"/>
      <c r="AA1269" s="75"/>
      <c r="AB1269" s="75"/>
      <c r="AC1269" s="97"/>
      <c r="AD1269" s="97"/>
      <c r="AE1269" s="591"/>
      <c r="AF1269" s="343"/>
      <c r="AG1269" s="510">
        <v>0</v>
      </c>
      <c r="AH1269" s="370">
        <v>0</v>
      </c>
      <c r="AI1269" s="75"/>
      <c r="AJ1269" s="75"/>
      <c r="AK1269" s="75"/>
      <c r="AL1269" s="75"/>
      <c r="AM1269" s="75"/>
      <c r="AN1269" s="64" t="s">
        <v>181</v>
      </c>
      <c r="AO1269" s="64"/>
      <c r="AP1269" s="64"/>
      <c r="AQ1269" s="189"/>
      <c r="AR1269" s="64"/>
      <c r="AS1269" s="476"/>
      <c r="AT1269" s="64"/>
      <c r="AU1269" s="646"/>
      <c r="AV1269" s="185"/>
    </row>
    <row r="1270" spans="1:48" outlineLevel="3" x14ac:dyDescent="0.25">
      <c r="A1270" s="63" t="str">
        <f t="shared" si="225"/>
        <v>4.14.3.8.5.59</v>
      </c>
      <c r="B1270" s="64">
        <v>4</v>
      </c>
      <c r="C1270" s="64">
        <v>14</v>
      </c>
      <c r="D1270" s="64">
        <v>3</v>
      </c>
      <c r="E1270" s="64">
        <v>8</v>
      </c>
      <c r="F1270" s="64">
        <v>5</v>
      </c>
      <c r="G1270" s="64">
        <v>59</v>
      </c>
      <c r="H1270" s="65"/>
      <c r="I1270" s="65"/>
      <c r="J1270" s="66"/>
      <c r="K1270" s="125" t="s">
        <v>1512</v>
      </c>
      <c r="L1270" s="64" t="s">
        <v>72</v>
      </c>
      <c r="M1270" s="64" t="s">
        <v>73</v>
      </c>
      <c r="N1270" s="64" t="s">
        <v>74</v>
      </c>
      <c r="O1270" s="64" t="s">
        <v>1487</v>
      </c>
      <c r="P1270" s="64"/>
      <c r="Q1270" s="64"/>
      <c r="R1270" s="64"/>
      <c r="S1270" s="65"/>
      <c r="T1270" s="64"/>
      <c r="U1270" s="370">
        <v>0</v>
      </c>
      <c r="V1270" s="687">
        <v>0</v>
      </c>
      <c r="W1270" s="75"/>
      <c r="X1270" s="75"/>
      <c r="Y1270" s="834">
        <f t="shared" si="263"/>
        <v>0</v>
      </c>
      <c r="Z1270" s="75"/>
      <c r="AA1270" s="75"/>
      <c r="AB1270" s="75"/>
      <c r="AC1270" s="97"/>
      <c r="AD1270" s="97"/>
      <c r="AE1270" s="591"/>
      <c r="AF1270" s="343"/>
      <c r="AG1270" s="510">
        <v>0</v>
      </c>
      <c r="AH1270" s="370">
        <v>0</v>
      </c>
      <c r="AI1270" s="75"/>
      <c r="AJ1270" s="75"/>
      <c r="AK1270" s="75"/>
      <c r="AL1270" s="75"/>
      <c r="AM1270" s="75"/>
      <c r="AN1270" s="64" t="s">
        <v>181</v>
      </c>
      <c r="AO1270" s="64"/>
      <c r="AP1270" s="64"/>
      <c r="AQ1270" s="189"/>
      <c r="AR1270" s="64"/>
      <c r="AS1270" s="476"/>
      <c r="AT1270" s="64"/>
      <c r="AU1270" s="646"/>
      <c r="AV1270" s="185"/>
    </row>
    <row r="1271" spans="1:48" outlineLevel="3" x14ac:dyDescent="0.25">
      <c r="A1271" s="63" t="str">
        <f t="shared" si="225"/>
        <v>4.14.3.8.5.60</v>
      </c>
      <c r="B1271" s="64">
        <v>4</v>
      </c>
      <c r="C1271" s="64">
        <v>14</v>
      </c>
      <c r="D1271" s="64">
        <v>3</v>
      </c>
      <c r="E1271" s="64">
        <v>8</v>
      </c>
      <c r="F1271" s="64">
        <v>5</v>
      </c>
      <c r="G1271" s="64">
        <v>60</v>
      </c>
      <c r="H1271" s="65"/>
      <c r="I1271" s="65"/>
      <c r="J1271" s="66"/>
      <c r="K1271" s="125" t="s">
        <v>1513</v>
      </c>
      <c r="L1271" s="64" t="s">
        <v>72</v>
      </c>
      <c r="M1271" s="64" t="s">
        <v>73</v>
      </c>
      <c r="N1271" s="64" t="s">
        <v>74</v>
      </c>
      <c r="O1271" s="64" t="s">
        <v>1487</v>
      </c>
      <c r="P1271" s="64"/>
      <c r="Q1271" s="64"/>
      <c r="R1271" s="64"/>
      <c r="S1271" s="65"/>
      <c r="T1271" s="64"/>
      <c r="U1271" s="370">
        <v>0</v>
      </c>
      <c r="V1271" s="687">
        <v>0</v>
      </c>
      <c r="W1271" s="75"/>
      <c r="X1271" s="75"/>
      <c r="Y1271" s="834">
        <f t="shared" si="263"/>
        <v>0</v>
      </c>
      <c r="Z1271" s="75"/>
      <c r="AA1271" s="75"/>
      <c r="AB1271" s="75"/>
      <c r="AC1271" s="97"/>
      <c r="AD1271" s="97"/>
      <c r="AE1271" s="591"/>
      <c r="AF1271" s="343"/>
      <c r="AG1271" s="510">
        <v>0</v>
      </c>
      <c r="AH1271" s="370">
        <v>0</v>
      </c>
      <c r="AI1271" s="75"/>
      <c r="AJ1271" s="75"/>
      <c r="AK1271" s="75"/>
      <c r="AL1271" s="75"/>
      <c r="AM1271" s="75"/>
      <c r="AN1271" s="64" t="s">
        <v>181</v>
      </c>
      <c r="AO1271" s="64"/>
      <c r="AP1271" s="64"/>
      <c r="AQ1271" s="189"/>
      <c r="AR1271" s="64"/>
      <c r="AS1271" s="476"/>
      <c r="AT1271" s="64"/>
      <c r="AU1271" s="646"/>
      <c r="AV1271" s="185"/>
    </row>
    <row r="1272" spans="1:48" outlineLevel="3" x14ac:dyDescent="0.25">
      <c r="A1272" s="63" t="str">
        <f t="shared" si="225"/>
        <v>4.14.3.8.5.61</v>
      </c>
      <c r="B1272" s="64">
        <v>4</v>
      </c>
      <c r="C1272" s="64">
        <v>14</v>
      </c>
      <c r="D1272" s="64">
        <v>3</v>
      </c>
      <c r="E1272" s="64">
        <v>8</v>
      </c>
      <c r="F1272" s="64">
        <v>5</v>
      </c>
      <c r="G1272" s="64">
        <v>61</v>
      </c>
      <c r="H1272" s="65"/>
      <c r="I1272" s="65"/>
      <c r="J1272" s="66"/>
      <c r="K1272" s="125" t="s">
        <v>1514</v>
      </c>
      <c r="L1272" s="64" t="s">
        <v>72</v>
      </c>
      <c r="M1272" s="64" t="s">
        <v>73</v>
      </c>
      <c r="N1272" s="64" t="s">
        <v>74</v>
      </c>
      <c r="O1272" s="64" t="s">
        <v>1487</v>
      </c>
      <c r="P1272" s="64"/>
      <c r="Q1272" s="64"/>
      <c r="R1272" s="64"/>
      <c r="S1272" s="65"/>
      <c r="T1272" s="64"/>
      <c r="U1272" s="370">
        <v>0</v>
      </c>
      <c r="V1272" s="687">
        <v>0</v>
      </c>
      <c r="W1272" s="75"/>
      <c r="X1272" s="75"/>
      <c r="Y1272" s="834">
        <f t="shared" si="263"/>
        <v>0</v>
      </c>
      <c r="Z1272" s="75"/>
      <c r="AA1272" s="75"/>
      <c r="AB1272" s="75"/>
      <c r="AC1272" s="97"/>
      <c r="AD1272" s="97"/>
      <c r="AE1272" s="591"/>
      <c r="AF1272" s="343"/>
      <c r="AG1272" s="510">
        <v>0</v>
      </c>
      <c r="AH1272" s="370">
        <v>0</v>
      </c>
      <c r="AI1272" s="75"/>
      <c r="AJ1272" s="75"/>
      <c r="AK1272" s="75"/>
      <c r="AL1272" s="75"/>
      <c r="AM1272" s="75"/>
      <c r="AN1272" s="64" t="s">
        <v>181</v>
      </c>
      <c r="AO1272" s="64"/>
      <c r="AP1272" s="64"/>
      <c r="AQ1272" s="189"/>
      <c r="AR1272" s="64"/>
      <c r="AS1272" s="476"/>
      <c r="AT1272" s="64"/>
      <c r="AU1272" s="646"/>
      <c r="AV1272" s="185"/>
    </row>
    <row r="1273" spans="1:48" outlineLevel="3" x14ac:dyDescent="0.25">
      <c r="A1273" s="63" t="str">
        <f t="shared" si="225"/>
        <v>4.14.3.8.5.62</v>
      </c>
      <c r="B1273" s="64">
        <v>4</v>
      </c>
      <c r="C1273" s="64">
        <v>14</v>
      </c>
      <c r="D1273" s="64">
        <v>3</v>
      </c>
      <c r="E1273" s="64">
        <v>8</v>
      </c>
      <c r="F1273" s="64">
        <v>5</v>
      </c>
      <c r="G1273" s="64">
        <v>62</v>
      </c>
      <c r="H1273" s="65"/>
      <c r="I1273" s="65"/>
      <c r="J1273" s="66"/>
      <c r="K1273" s="125" t="s">
        <v>1515</v>
      </c>
      <c r="L1273" s="64" t="s">
        <v>72</v>
      </c>
      <c r="M1273" s="64" t="s">
        <v>73</v>
      </c>
      <c r="N1273" s="64" t="s">
        <v>74</v>
      </c>
      <c r="O1273" s="64" t="s">
        <v>1487</v>
      </c>
      <c r="P1273" s="64"/>
      <c r="Q1273" s="64"/>
      <c r="R1273" s="64"/>
      <c r="S1273" s="65"/>
      <c r="T1273" s="64"/>
      <c r="U1273" s="370">
        <v>0</v>
      </c>
      <c r="V1273" s="687">
        <v>0</v>
      </c>
      <c r="W1273" s="75"/>
      <c r="X1273" s="75"/>
      <c r="Y1273" s="834">
        <f t="shared" ref="Y1273:Y1304" si="264">+AJ1273-V1273</f>
        <v>0</v>
      </c>
      <c r="Z1273" s="75"/>
      <c r="AA1273" s="75"/>
      <c r="AB1273" s="75"/>
      <c r="AC1273" s="97"/>
      <c r="AD1273" s="97"/>
      <c r="AE1273" s="591"/>
      <c r="AF1273" s="343"/>
      <c r="AG1273" s="510">
        <v>0</v>
      </c>
      <c r="AH1273" s="370">
        <v>0</v>
      </c>
      <c r="AI1273" s="75"/>
      <c r="AJ1273" s="75"/>
      <c r="AK1273" s="75"/>
      <c r="AL1273" s="75"/>
      <c r="AM1273" s="75"/>
      <c r="AN1273" s="64" t="s">
        <v>181</v>
      </c>
      <c r="AO1273" s="64"/>
      <c r="AP1273" s="64"/>
      <c r="AQ1273" s="189"/>
      <c r="AR1273" s="64"/>
      <c r="AS1273" s="476"/>
      <c r="AT1273" s="64"/>
      <c r="AU1273" s="646"/>
      <c r="AV1273" s="185"/>
    </row>
    <row r="1274" spans="1:48" outlineLevel="3" x14ac:dyDescent="0.25">
      <c r="A1274" s="63" t="str">
        <f t="shared" si="225"/>
        <v>4.14.3.8.5.63</v>
      </c>
      <c r="B1274" s="64">
        <v>4</v>
      </c>
      <c r="C1274" s="64">
        <v>14</v>
      </c>
      <c r="D1274" s="64">
        <v>3</v>
      </c>
      <c r="E1274" s="64">
        <v>8</v>
      </c>
      <c r="F1274" s="64">
        <v>5</v>
      </c>
      <c r="G1274" s="64">
        <v>63</v>
      </c>
      <c r="H1274" s="65"/>
      <c r="I1274" s="65"/>
      <c r="J1274" s="66"/>
      <c r="K1274" s="125" t="s">
        <v>1779</v>
      </c>
      <c r="L1274" s="64" t="s">
        <v>72</v>
      </c>
      <c r="M1274" s="64" t="s">
        <v>73</v>
      </c>
      <c r="N1274" s="64" t="s">
        <v>74</v>
      </c>
      <c r="O1274" s="64" t="s">
        <v>1487</v>
      </c>
      <c r="P1274" s="64"/>
      <c r="Q1274" s="64"/>
      <c r="R1274" s="64"/>
      <c r="S1274" s="65"/>
      <c r="T1274" s="64"/>
      <c r="U1274" s="370">
        <v>0</v>
      </c>
      <c r="V1274" s="687">
        <v>0</v>
      </c>
      <c r="W1274" s="75"/>
      <c r="X1274" s="75"/>
      <c r="Y1274" s="834">
        <f t="shared" si="264"/>
        <v>0</v>
      </c>
      <c r="Z1274" s="75"/>
      <c r="AA1274" s="75"/>
      <c r="AB1274" s="75"/>
      <c r="AC1274" s="97"/>
      <c r="AD1274" s="97"/>
      <c r="AE1274" s="591"/>
      <c r="AF1274" s="343"/>
      <c r="AG1274" s="510">
        <v>0</v>
      </c>
      <c r="AH1274" s="370">
        <v>0</v>
      </c>
      <c r="AI1274" s="75"/>
      <c r="AJ1274" s="75"/>
      <c r="AK1274" s="75"/>
      <c r="AL1274" s="75"/>
      <c r="AM1274" s="75"/>
      <c r="AN1274" s="64" t="s">
        <v>181</v>
      </c>
      <c r="AO1274" s="64"/>
      <c r="AP1274" s="64"/>
      <c r="AQ1274" s="189"/>
      <c r="AR1274" s="64"/>
      <c r="AS1274" s="476"/>
      <c r="AT1274" s="64"/>
      <c r="AU1274" s="646"/>
      <c r="AV1274" s="185"/>
    </row>
    <row r="1275" spans="1:48" outlineLevel="3" x14ac:dyDescent="0.25">
      <c r="A1275" s="63" t="str">
        <f t="shared" si="225"/>
        <v>4.14.3.8.5.64</v>
      </c>
      <c r="B1275" s="64">
        <v>4</v>
      </c>
      <c r="C1275" s="64">
        <v>14</v>
      </c>
      <c r="D1275" s="64">
        <v>3</v>
      </c>
      <c r="E1275" s="64">
        <v>8</v>
      </c>
      <c r="F1275" s="64">
        <v>5</v>
      </c>
      <c r="G1275" s="64">
        <v>64</v>
      </c>
      <c r="H1275" s="65"/>
      <c r="I1275" s="65"/>
      <c r="J1275" s="66"/>
      <c r="K1275" s="125" t="s">
        <v>1516</v>
      </c>
      <c r="L1275" s="64" t="s">
        <v>72</v>
      </c>
      <c r="M1275" s="64" t="s">
        <v>73</v>
      </c>
      <c r="N1275" s="64" t="s">
        <v>74</v>
      </c>
      <c r="O1275" s="64" t="s">
        <v>1487</v>
      </c>
      <c r="P1275" s="64"/>
      <c r="Q1275" s="64"/>
      <c r="R1275" s="64"/>
      <c r="S1275" s="65"/>
      <c r="T1275" s="64"/>
      <c r="U1275" s="370">
        <v>0</v>
      </c>
      <c r="V1275" s="687">
        <v>0</v>
      </c>
      <c r="W1275" s="75"/>
      <c r="X1275" s="75"/>
      <c r="Y1275" s="834">
        <f t="shared" si="264"/>
        <v>0</v>
      </c>
      <c r="Z1275" s="75"/>
      <c r="AA1275" s="75"/>
      <c r="AB1275" s="75"/>
      <c r="AC1275" s="97"/>
      <c r="AD1275" s="97"/>
      <c r="AE1275" s="591"/>
      <c r="AF1275" s="343"/>
      <c r="AG1275" s="510">
        <v>0</v>
      </c>
      <c r="AH1275" s="370">
        <v>0</v>
      </c>
      <c r="AI1275" s="75"/>
      <c r="AJ1275" s="75"/>
      <c r="AK1275" s="75"/>
      <c r="AL1275" s="75"/>
      <c r="AM1275" s="75"/>
      <c r="AN1275" s="64" t="s">
        <v>181</v>
      </c>
      <c r="AO1275" s="64"/>
      <c r="AP1275" s="64"/>
      <c r="AQ1275" s="189"/>
      <c r="AR1275" s="64"/>
      <c r="AS1275" s="476"/>
      <c r="AT1275" s="64"/>
      <c r="AU1275" s="646"/>
      <c r="AV1275" s="185"/>
    </row>
    <row r="1276" spans="1:48" ht="30" outlineLevel="3" x14ac:dyDescent="0.25">
      <c r="A1276" s="63" t="str">
        <f t="shared" si="225"/>
        <v>4.14.3.8.6.58</v>
      </c>
      <c r="B1276" s="64">
        <v>4</v>
      </c>
      <c r="C1276" s="64">
        <v>14</v>
      </c>
      <c r="D1276" s="64">
        <v>3</v>
      </c>
      <c r="E1276" s="64">
        <v>8</v>
      </c>
      <c r="F1276" s="64">
        <v>6</v>
      </c>
      <c r="G1276" s="64">
        <v>58</v>
      </c>
      <c r="H1276" s="65"/>
      <c r="I1276" s="65"/>
      <c r="J1276" s="65"/>
      <c r="K1276" s="67" t="s">
        <v>1517</v>
      </c>
      <c r="L1276" s="64" t="s">
        <v>72</v>
      </c>
      <c r="M1276" s="64" t="s">
        <v>73</v>
      </c>
      <c r="N1276" s="64" t="s">
        <v>74</v>
      </c>
      <c r="O1276" s="64" t="s">
        <v>1487</v>
      </c>
      <c r="P1276" s="64"/>
      <c r="Q1276" s="64"/>
      <c r="R1276" s="64"/>
      <c r="S1276" s="65"/>
      <c r="T1276" s="64"/>
      <c r="U1276" s="370">
        <v>0</v>
      </c>
      <c r="V1276" s="687">
        <v>0</v>
      </c>
      <c r="W1276" s="75"/>
      <c r="X1276" s="75">
        <v>0</v>
      </c>
      <c r="Y1276" s="834">
        <f t="shared" si="264"/>
        <v>0</v>
      </c>
      <c r="Z1276" s="75"/>
      <c r="AA1276" s="75">
        <v>0</v>
      </c>
      <c r="AB1276" s="75"/>
      <c r="AC1276" s="97"/>
      <c r="AD1276" s="97">
        <v>0</v>
      </c>
      <c r="AE1276" s="591"/>
      <c r="AF1276" s="259"/>
      <c r="AG1276" s="510">
        <v>0</v>
      </c>
      <c r="AH1276" s="370">
        <v>0</v>
      </c>
      <c r="AI1276" s="75"/>
      <c r="AJ1276" s="75"/>
      <c r="AK1276" s="75"/>
      <c r="AL1276" s="75"/>
      <c r="AM1276" s="75"/>
      <c r="AN1276" s="64" t="s">
        <v>181</v>
      </c>
      <c r="AO1276" s="64"/>
      <c r="AP1276" s="64"/>
      <c r="AQ1276" s="189"/>
      <c r="AR1276" s="64"/>
      <c r="AS1276" s="476"/>
      <c r="AT1276" s="64"/>
      <c r="AU1276" s="646"/>
      <c r="AV1276" s="185"/>
    </row>
    <row r="1277" spans="1:48" ht="15" customHeight="1" outlineLevel="3" x14ac:dyDescent="0.25">
      <c r="A1277" s="63" t="str">
        <f t="shared" si="225"/>
        <v>4.14.3.8.6.59</v>
      </c>
      <c r="B1277" s="64">
        <v>4</v>
      </c>
      <c r="C1277" s="64">
        <v>14</v>
      </c>
      <c r="D1277" s="64">
        <v>3</v>
      </c>
      <c r="E1277" s="64">
        <v>8</v>
      </c>
      <c r="F1277" s="64">
        <v>6</v>
      </c>
      <c r="G1277" s="64">
        <v>59</v>
      </c>
      <c r="H1277" s="65"/>
      <c r="I1277" s="65"/>
      <c r="J1277" s="259"/>
      <c r="K1277" s="65" t="s">
        <v>1518</v>
      </c>
      <c r="L1277" s="64" t="s">
        <v>72</v>
      </c>
      <c r="M1277" s="64" t="s">
        <v>73</v>
      </c>
      <c r="N1277" s="64" t="s">
        <v>74</v>
      </c>
      <c r="O1277" s="64" t="s">
        <v>1487</v>
      </c>
      <c r="P1277" s="64"/>
      <c r="Q1277" s="64"/>
      <c r="R1277" s="64"/>
      <c r="S1277" s="65"/>
      <c r="T1277" s="64"/>
      <c r="U1277" s="370">
        <v>0</v>
      </c>
      <c r="V1277" s="687">
        <v>0</v>
      </c>
      <c r="W1277" s="75"/>
      <c r="X1277" s="75">
        <v>0</v>
      </c>
      <c r="Y1277" s="834">
        <f t="shared" si="264"/>
        <v>0</v>
      </c>
      <c r="Z1277" s="75"/>
      <c r="AA1277" s="75">
        <v>0</v>
      </c>
      <c r="AB1277" s="75"/>
      <c r="AC1277" s="97"/>
      <c r="AD1277" s="97">
        <v>0</v>
      </c>
      <c r="AE1277" s="591"/>
      <c r="AF1277" s="259"/>
      <c r="AG1277" s="510">
        <v>0</v>
      </c>
      <c r="AH1277" s="370">
        <v>0</v>
      </c>
      <c r="AI1277" s="75"/>
      <c r="AJ1277" s="75"/>
      <c r="AK1277" s="75"/>
      <c r="AL1277" s="75"/>
      <c r="AM1277" s="75"/>
      <c r="AN1277" s="64" t="s">
        <v>181</v>
      </c>
      <c r="AO1277" s="64"/>
      <c r="AP1277" s="64"/>
      <c r="AQ1277" s="189"/>
      <c r="AR1277" s="64"/>
      <c r="AS1277" s="476"/>
      <c r="AT1277" s="64"/>
      <c r="AU1277" s="646"/>
      <c r="AV1277" s="185"/>
    </row>
    <row r="1278" spans="1:48" ht="15" customHeight="1" outlineLevel="3" x14ac:dyDescent="0.25">
      <c r="A1278" s="63" t="str">
        <f t="shared" si="225"/>
        <v>4.14.3.8.6.60</v>
      </c>
      <c r="B1278" s="64">
        <v>4</v>
      </c>
      <c r="C1278" s="64">
        <v>14</v>
      </c>
      <c r="D1278" s="64">
        <v>3</v>
      </c>
      <c r="E1278" s="64">
        <v>8</v>
      </c>
      <c r="F1278" s="64">
        <v>6</v>
      </c>
      <c r="G1278" s="64">
        <v>60</v>
      </c>
      <c r="H1278" s="65"/>
      <c r="I1278" s="65"/>
      <c r="J1278" s="259"/>
      <c r="K1278" s="65" t="s">
        <v>1519</v>
      </c>
      <c r="L1278" s="64" t="s">
        <v>72</v>
      </c>
      <c r="M1278" s="64" t="s">
        <v>73</v>
      </c>
      <c r="N1278" s="64" t="s">
        <v>74</v>
      </c>
      <c r="O1278" s="64" t="s">
        <v>1487</v>
      </c>
      <c r="P1278" s="64"/>
      <c r="Q1278" s="64"/>
      <c r="R1278" s="64"/>
      <c r="S1278" s="65"/>
      <c r="T1278" s="64"/>
      <c r="U1278" s="370">
        <v>0</v>
      </c>
      <c r="V1278" s="687">
        <v>0</v>
      </c>
      <c r="W1278" s="75"/>
      <c r="X1278" s="75">
        <v>0</v>
      </c>
      <c r="Y1278" s="834">
        <f t="shared" si="264"/>
        <v>0</v>
      </c>
      <c r="Z1278" s="75"/>
      <c r="AA1278" s="75">
        <v>0</v>
      </c>
      <c r="AB1278" s="75"/>
      <c r="AC1278" s="97"/>
      <c r="AD1278" s="97">
        <v>0</v>
      </c>
      <c r="AE1278" s="591"/>
      <c r="AF1278" s="259"/>
      <c r="AG1278" s="510">
        <v>0</v>
      </c>
      <c r="AH1278" s="370">
        <v>0</v>
      </c>
      <c r="AI1278" s="75"/>
      <c r="AJ1278" s="75"/>
      <c r="AK1278" s="75"/>
      <c r="AL1278" s="75"/>
      <c r="AM1278" s="75"/>
      <c r="AN1278" s="64" t="s">
        <v>181</v>
      </c>
      <c r="AO1278" s="64"/>
      <c r="AP1278" s="64"/>
      <c r="AQ1278" s="189"/>
      <c r="AR1278" s="64"/>
      <c r="AS1278" s="476"/>
      <c r="AT1278" s="64"/>
      <c r="AU1278" s="646"/>
      <c r="AV1278" s="185"/>
    </row>
    <row r="1279" spans="1:48" ht="15" customHeight="1" outlineLevel="3" x14ac:dyDescent="0.25">
      <c r="A1279" s="63" t="str">
        <f t="shared" si="225"/>
        <v>4.14.3.8.6.61</v>
      </c>
      <c r="B1279" s="64">
        <v>4</v>
      </c>
      <c r="C1279" s="64">
        <v>14</v>
      </c>
      <c r="D1279" s="64">
        <v>3</v>
      </c>
      <c r="E1279" s="64">
        <v>8</v>
      </c>
      <c r="F1279" s="64">
        <v>6</v>
      </c>
      <c r="G1279" s="64">
        <v>61</v>
      </c>
      <c r="H1279" s="65"/>
      <c r="I1279" s="65"/>
      <c r="J1279" s="259"/>
      <c r="K1279" s="65" t="s">
        <v>1520</v>
      </c>
      <c r="L1279" s="64" t="s">
        <v>72</v>
      </c>
      <c r="M1279" s="64" t="s">
        <v>73</v>
      </c>
      <c r="N1279" s="64" t="s">
        <v>74</v>
      </c>
      <c r="O1279" s="64" t="s">
        <v>1487</v>
      </c>
      <c r="P1279" s="64"/>
      <c r="Q1279" s="64"/>
      <c r="R1279" s="64"/>
      <c r="S1279" s="65"/>
      <c r="T1279" s="64"/>
      <c r="U1279" s="370">
        <v>0</v>
      </c>
      <c r="V1279" s="687">
        <v>0</v>
      </c>
      <c r="W1279" s="75"/>
      <c r="X1279" s="75">
        <v>0</v>
      </c>
      <c r="Y1279" s="834">
        <f t="shared" si="264"/>
        <v>0</v>
      </c>
      <c r="Z1279" s="75"/>
      <c r="AA1279" s="75">
        <v>0</v>
      </c>
      <c r="AB1279" s="75"/>
      <c r="AC1279" s="97"/>
      <c r="AD1279" s="97">
        <v>0</v>
      </c>
      <c r="AE1279" s="591"/>
      <c r="AF1279" s="259"/>
      <c r="AG1279" s="510">
        <v>0</v>
      </c>
      <c r="AH1279" s="370">
        <v>0</v>
      </c>
      <c r="AI1279" s="75"/>
      <c r="AJ1279" s="75"/>
      <c r="AK1279" s="75"/>
      <c r="AL1279" s="75"/>
      <c r="AM1279" s="75"/>
      <c r="AN1279" s="64" t="s">
        <v>181</v>
      </c>
      <c r="AO1279" s="64"/>
      <c r="AP1279" s="64"/>
      <c r="AQ1279" s="189"/>
      <c r="AR1279" s="64"/>
      <c r="AS1279" s="476"/>
      <c r="AT1279" s="64"/>
      <c r="AU1279" s="646"/>
      <c r="AV1279" s="185"/>
    </row>
    <row r="1280" spans="1:48" ht="15" customHeight="1" outlineLevel="3" x14ac:dyDescent="0.25">
      <c r="A1280" s="63" t="str">
        <f t="shared" si="225"/>
        <v>4.14.3.8.6.62</v>
      </c>
      <c r="B1280" s="64">
        <v>4</v>
      </c>
      <c r="C1280" s="64">
        <v>14</v>
      </c>
      <c r="D1280" s="64">
        <v>3</v>
      </c>
      <c r="E1280" s="64">
        <v>8</v>
      </c>
      <c r="F1280" s="64">
        <v>6</v>
      </c>
      <c r="G1280" s="64">
        <v>62</v>
      </c>
      <c r="H1280" s="65"/>
      <c r="I1280" s="65"/>
      <c r="J1280" s="259"/>
      <c r="K1280" s="287" t="s">
        <v>1521</v>
      </c>
      <c r="L1280" s="287" t="s">
        <v>72</v>
      </c>
      <c r="M1280" s="186" t="s">
        <v>73</v>
      </c>
      <c r="N1280" s="287" t="s">
        <v>74</v>
      </c>
      <c r="O1280" s="287" t="s">
        <v>1487</v>
      </c>
      <c r="P1280" s="287"/>
      <c r="Q1280" s="287"/>
      <c r="R1280" s="287"/>
      <c r="S1280" s="287"/>
      <c r="T1280" s="287"/>
      <c r="U1280" s="370">
        <v>0</v>
      </c>
      <c r="V1280" s="687">
        <v>0</v>
      </c>
      <c r="W1280" s="75"/>
      <c r="X1280" s="75">
        <v>0</v>
      </c>
      <c r="Y1280" s="834">
        <f t="shared" si="264"/>
        <v>0</v>
      </c>
      <c r="Z1280" s="75"/>
      <c r="AA1280" s="75">
        <v>0</v>
      </c>
      <c r="AB1280" s="75"/>
      <c r="AC1280" s="75"/>
      <c r="AD1280" s="75">
        <v>0</v>
      </c>
      <c r="AE1280" s="592"/>
      <c r="AF1280" s="367"/>
      <c r="AG1280" s="510">
        <v>0</v>
      </c>
      <c r="AH1280" s="370">
        <v>0</v>
      </c>
      <c r="AI1280" s="75"/>
      <c r="AJ1280" s="75"/>
      <c r="AK1280" s="75"/>
      <c r="AL1280" s="75"/>
      <c r="AM1280" s="75"/>
      <c r="AN1280" s="64" t="s">
        <v>181</v>
      </c>
      <c r="AO1280" s="64"/>
      <c r="AP1280" s="64"/>
      <c r="AQ1280" s="189"/>
      <c r="AR1280" s="64"/>
      <c r="AS1280" s="476"/>
      <c r="AT1280" s="64"/>
      <c r="AU1280" s="646"/>
      <c r="AV1280" s="185"/>
    </row>
    <row r="1281" spans="1:51" ht="15" customHeight="1" outlineLevel="3" x14ac:dyDescent="0.25">
      <c r="A1281" s="63" t="str">
        <f t="shared" si="225"/>
        <v>4.14.3.8.6.63</v>
      </c>
      <c r="B1281" s="64">
        <v>4</v>
      </c>
      <c r="C1281" s="64">
        <v>14</v>
      </c>
      <c r="D1281" s="64">
        <v>3</v>
      </c>
      <c r="E1281" s="64">
        <v>8</v>
      </c>
      <c r="F1281" s="64">
        <v>6</v>
      </c>
      <c r="G1281" s="64">
        <v>63</v>
      </c>
      <c r="H1281" s="65"/>
      <c r="I1281" s="65"/>
      <c r="J1281" s="259"/>
      <c r="K1281" s="287" t="s">
        <v>1780</v>
      </c>
      <c r="L1281" s="287" t="s">
        <v>72</v>
      </c>
      <c r="M1281" s="186" t="s">
        <v>73</v>
      </c>
      <c r="N1281" s="287" t="s">
        <v>74</v>
      </c>
      <c r="O1281" s="287" t="s">
        <v>1487</v>
      </c>
      <c r="P1281" s="287"/>
      <c r="Q1281" s="287"/>
      <c r="R1281" s="287"/>
      <c r="S1281" s="287"/>
      <c r="T1281" s="287"/>
      <c r="U1281" s="370">
        <v>0</v>
      </c>
      <c r="V1281" s="687">
        <v>0</v>
      </c>
      <c r="W1281" s="75"/>
      <c r="X1281" s="75">
        <v>0</v>
      </c>
      <c r="Y1281" s="834">
        <f t="shared" si="264"/>
        <v>0</v>
      </c>
      <c r="Z1281" s="75"/>
      <c r="AA1281" s="75">
        <v>0</v>
      </c>
      <c r="AB1281" s="75"/>
      <c r="AC1281" s="75"/>
      <c r="AD1281" s="75">
        <v>0</v>
      </c>
      <c r="AE1281" s="592"/>
      <c r="AF1281" s="367"/>
      <c r="AG1281" s="510">
        <v>0</v>
      </c>
      <c r="AH1281" s="370">
        <v>0</v>
      </c>
      <c r="AI1281" s="75"/>
      <c r="AJ1281" s="75"/>
      <c r="AK1281" s="75"/>
      <c r="AL1281" s="75"/>
      <c r="AM1281" s="75"/>
      <c r="AN1281" s="64" t="s">
        <v>181</v>
      </c>
      <c r="AO1281" s="64"/>
      <c r="AP1281" s="64"/>
      <c r="AQ1281" s="189"/>
      <c r="AR1281" s="64"/>
      <c r="AS1281" s="476"/>
      <c r="AT1281" s="64"/>
      <c r="AU1281" s="646"/>
      <c r="AV1281" s="185"/>
    </row>
    <row r="1282" spans="1:51" ht="15" customHeight="1" outlineLevel="3" x14ac:dyDescent="0.25">
      <c r="A1282" s="63" t="str">
        <f t="shared" si="225"/>
        <v>4.14.3.8.6.64</v>
      </c>
      <c r="B1282" s="64">
        <v>4</v>
      </c>
      <c r="C1282" s="64">
        <v>14</v>
      </c>
      <c r="D1282" s="64">
        <v>3</v>
      </c>
      <c r="E1282" s="64">
        <v>8</v>
      </c>
      <c r="F1282" s="64">
        <v>6</v>
      </c>
      <c r="G1282" s="64">
        <v>64</v>
      </c>
      <c r="H1282" s="65"/>
      <c r="I1282" s="65"/>
      <c r="J1282" s="259"/>
      <c r="K1282" s="287" t="s">
        <v>1522</v>
      </c>
      <c r="L1282" s="287" t="s">
        <v>72</v>
      </c>
      <c r="M1282" s="186" t="s">
        <v>73</v>
      </c>
      <c r="N1282" s="287" t="s">
        <v>74</v>
      </c>
      <c r="O1282" s="287" t="s">
        <v>1487</v>
      </c>
      <c r="P1282" s="287"/>
      <c r="Q1282" s="287"/>
      <c r="R1282" s="287"/>
      <c r="S1282" s="287"/>
      <c r="T1282" s="287"/>
      <c r="U1282" s="370">
        <v>0</v>
      </c>
      <c r="V1282" s="687">
        <v>0</v>
      </c>
      <c r="W1282" s="75"/>
      <c r="X1282" s="75">
        <v>0</v>
      </c>
      <c r="Y1282" s="834">
        <f t="shared" si="264"/>
        <v>0</v>
      </c>
      <c r="Z1282" s="75"/>
      <c r="AA1282" s="75">
        <v>0</v>
      </c>
      <c r="AB1282" s="75"/>
      <c r="AC1282" s="75"/>
      <c r="AD1282" s="75">
        <v>0</v>
      </c>
      <c r="AE1282" s="592"/>
      <c r="AF1282" s="367"/>
      <c r="AG1282" s="510">
        <v>0</v>
      </c>
      <c r="AH1282" s="370">
        <v>0</v>
      </c>
      <c r="AI1282" s="75"/>
      <c r="AJ1282" s="75"/>
      <c r="AK1282" s="75"/>
      <c r="AL1282" s="75"/>
      <c r="AM1282" s="75"/>
      <c r="AN1282" s="64" t="s">
        <v>181</v>
      </c>
      <c r="AO1282" s="64"/>
      <c r="AP1282" s="64"/>
      <c r="AQ1282" s="189"/>
      <c r="AR1282" s="64"/>
      <c r="AS1282" s="476"/>
      <c r="AT1282" s="64"/>
      <c r="AU1282" s="646"/>
      <c r="AV1282" s="185"/>
      <c r="AY1282" s="288">
        <f>+AH14-283990995</f>
        <v>716009004.99857116</v>
      </c>
    </row>
    <row r="1283" spans="1:51" ht="15" customHeight="1" outlineLevel="3" x14ac:dyDescent="0.25">
      <c r="A1283" s="63" t="str">
        <f t="shared" si="225"/>
        <v>4.14.3.8.7.58</v>
      </c>
      <c r="B1283" s="64">
        <v>4</v>
      </c>
      <c r="C1283" s="64">
        <v>14</v>
      </c>
      <c r="D1283" s="64">
        <v>3</v>
      </c>
      <c r="E1283" s="64">
        <v>8</v>
      </c>
      <c r="F1283" s="64">
        <v>7</v>
      </c>
      <c r="G1283" s="64">
        <v>58</v>
      </c>
      <c r="H1283" s="65"/>
      <c r="I1283" s="65"/>
      <c r="J1283" s="259"/>
      <c r="K1283" s="287" t="s">
        <v>1523</v>
      </c>
      <c r="L1283" s="287" t="s">
        <v>1475</v>
      </c>
      <c r="M1283" s="287" t="s">
        <v>1318</v>
      </c>
      <c r="N1283" s="287" t="s">
        <v>74</v>
      </c>
      <c r="O1283" s="287" t="s">
        <v>1524</v>
      </c>
      <c r="P1283" s="287">
        <v>44571</v>
      </c>
      <c r="Q1283" s="287">
        <v>44926</v>
      </c>
      <c r="R1283" s="287">
        <v>2</v>
      </c>
      <c r="S1283" s="287" t="s">
        <v>1525</v>
      </c>
      <c r="T1283" s="287">
        <v>1</v>
      </c>
      <c r="U1283" s="370">
        <v>0</v>
      </c>
      <c r="V1283" s="687">
        <v>0</v>
      </c>
      <c r="W1283" s="75"/>
      <c r="X1283" s="75"/>
      <c r="Y1283" s="834">
        <f t="shared" si="264"/>
        <v>0</v>
      </c>
      <c r="Z1283" s="75">
        <v>1</v>
      </c>
      <c r="AA1283" s="75"/>
      <c r="AB1283" s="75"/>
      <c r="AC1283" s="75"/>
      <c r="AD1283" s="75"/>
      <c r="AE1283" s="592"/>
      <c r="AF1283" s="367" t="s">
        <v>1526</v>
      </c>
      <c r="AG1283" s="510">
        <v>0</v>
      </c>
      <c r="AH1283" s="370">
        <v>0</v>
      </c>
      <c r="AI1283" s="75"/>
      <c r="AJ1283" s="75"/>
      <c r="AK1283" s="75"/>
      <c r="AL1283" s="75"/>
      <c r="AM1283" s="75"/>
      <c r="AN1283" s="64" t="s">
        <v>181</v>
      </c>
      <c r="AO1283" s="64"/>
      <c r="AP1283" s="64"/>
      <c r="AQ1283" s="189"/>
      <c r="AR1283" s="64"/>
      <c r="AS1283" s="476"/>
      <c r="AT1283" s="64"/>
      <c r="AU1283" s="646"/>
      <c r="AV1283" s="185"/>
    </row>
    <row r="1284" spans="1:51" ht="15" customHeight="1" outlineLevel="3" x14ac:dyDescent="0.25">
      <c r="A1284" s="63" t="str">
        <f t="shared" si="225"/>
        <v>4.14.3.8.7.59</v>
      </c>
      <c r="B1284" s="64">
        <v>4</v>
      </c>
      <c r="C1284" s="64">
        <v>14</v>
      </c>
      <c r="D1284" s="64">
        <v>3</v>
      </c>
      <c r="E1284" s="64">
        <v>8</v>
      </c>
      <c r="F1284" s="64">
        <v>7</v>
      </c>
      <c r="G1284" s="64">
        <v>59</v>
      </c>
      <c r="H1284" s="65"/>
      <c r="I1284" s="65"/>
      <c r="J1284" s="259"/>
      <c r="K1284" s="287" t="s">
        <v>1523</v>
      </c>
      <c r="L1284" s="287" t="s">
        <v>1475</v>
      </c>
      <c r="M1284" s="287" t="s">
        <v>1318</v>
      </c>
      <c r="N1284" s="287" t="s">
        <v>74</v>
      </c>
      <c r="O1284" s="287" t="s">
        <v>1524</v>
      </c>
      <c r="P1284" s="287">
        <v>44571</v>
      </c>
      <c r="Q1284" s="287">
        <v>44926</v>
      </c>
      <c r="R1284" s="287">
        <v>2</v>
      </c>
      <c r="S1284" s="287" t="s">
        <v>1525</v>
      </c>
      <c r="T1284" s="287">
        <v>1</v>
      </c>
      <c r="U1284" s="370">
        <v>0</v>
      </c>
      <c r="V1284" s="687">
        <v>0</v>
      </c>
      <c r="W1284" s="75"/>
      <c r="X1284" s="75"/>
      <c r="Y1284" s="834">
        <f t="shared" si="264"/>
        <v>0</v>
      </c>
      <c r="Z1284" s="75">
        <v>1</v>
      </c>
      <c r="AA1284" s="75"/>
      <c r="AB1284" s="75"/>
      <c r="AC1284" s="75"/>
      <c r="AD1284" s="75"/>
      <c r="AE1284" s="592"/>
      <c r="AF1284" s="367" t="s">
        <v>1526</v>
      </c>
      <c r="AG1284" s="510">
        <v>0</v>
      </c>
      <c r="AH1284" s="370">
        <v>0</v>
      </c>
      <c r="AI1284" s="75"/>
      <c r="AJ1284" s="75"/>
      <c r="AK1284" s="75"/>
      <c r="AL1284" s="75"/>
      <c r="AM1284" s="75"/>
      <c r="AN1284" s="64" t="s">
        <v>181</v>
      </c>
      <c r="AO1284" s="64"/>
      <c r="AP1284" s="64"/>
      <c r="AQ1284" s="189"/>
      <c r="AR1284" s="64"/>
      <c r="AS1284" s="476"/>
      <c r="AT1284" s="64"/>
      <c r="AU1284" s="646"/>
      <c r="AV1284" s="185"/>
    </row>
    <row r="1285" spans="1:51" ht="15" customHeight="1" outlineLevel="3" x14ac:dyDescent="0.25">
      <c r="A1285" s="63" t="str">
        <f t="shared" si="225"/>
        <v>4.14.3.8.7.60</v>
      </c>
      <c r="B1285" s="64">
        <v>4</v>
      </c>
      <c r="C1285" s="64">
        <v>14</v>
      </c>
      <c r="D1285" s="64">
        <v>3</v>
      </c>
      <c r="E1285" s="64">
        <v>8</v>
      </c>
      <c r="F1285" s="64">
        <v>7</v>
      </c>
      <c r="G1285" s="64">
        <v>60</v>
      </c>
      <c r="H1285" s="65"/>
      <c r="I1285" s="65"/>
      <c r="J1285" s="259"/>
      <c r="K1285" s="287" t="s">
        <v>1523</v>
      </c>
      <c r="L1285" s="287" t="s">
        <v>1475</v>
      </c>
      <c r="M1285" s="287" t="s">
        <v>1318</v>
      </c>
      <c r="N1285" s="287" t="s">
        <v>74</v>
      </c>
      <c r="O1285" s="287" t="s">
        <v>1524</v>
      </c>
      <c r="P1285" s="287">
        <v>44571</v>
      </c>
      <c r="Q1285" s="287">
        <v>44926</v>
      </c>
      <c r="R1285" s="287">
        <v>2</v>
      </c>
      <c r="S1285" s="287" t="s">
        <v>1525</v>
      </c>
      <c r="T1285" s="287">
        <v>1</v>
      </c>
      <c r="U1285" s="370">
        <v>0</v>
      </c>
      <c r="V1285" s="687">
        <v>0</v>
      </c>
      <c r="W1285" s="75"/>
      <c r="X1285" s="75"/>
      <c r="Y1285" s="834">
        <f t="shared" si="264"/>
        <v>0</v>
      </c>
      <c r="Z1285" s="75">
        <v>1</v>
      </c>
      <c r="AA1285" s="75"/>
      <c r="AB1285" s="75"/>
      <c r="AC1285" s="75"/>
      <c r="AD1285" s="75"/>
      <c r="AE1285" s="592"/>
      <c r="AF1285" s="367" t="s">
        <v>1526</v>
      </c>
      <c r="AG1285" s="510">
        <v>0</v>
      </c>
      <c r="AH1285" s="370">
        <v>0</v>
      </c>
      <c r="AI1285" s="75"/>
      <c r="AJ1285" s="75"/>
      <c r="AK1285" s="75"/>
      <c r="AL1285" s="75"/>
      <c r="AM1285" s="75"/>
      <c r="AN1285" s="64" t="s">
        <v>181</v>
      </c>
      <c r="AO1285" s="64"/>
      <c r="AP1285" s="64"/>
      <c r="AQ1285" s="189"/>
      <c r="AR1285" s="64"/>
      <c r="AS1285" s="476"/>
      <c r="AT1285" s="64"/>
      <c r="AU1285" s="646"/>
      <c r="AV1285" s="185"/>
    </row>
    <row r="1286" spans="1:51" ht="15" customHeight="1" outlineLevel="3" x14ac:dyDescent="0.25">
      <c r="A1286" s="63" t="str">
        <f t="shared" si="225"/>
        <v>4.14.3.8.7.61</v>
      </c>
      <c r="B1286" s="64">
        <v>4</v>
      </c>
      <c r="C1286" s="64">
        <v>14</v>
      </c>
      <c r="D1286" s="64">
        <v>3</v>
      </c>
      <c r="E1286" s="64">
        <v>8</v>
      </c>
      <c r="F1286" s="64">
        <v>7</v>
      </c>
      <c r="G1286" s="64">
        <v>61</v>
      </c>
      <c r="H1286" s="65"/>
      <c r="I1286" s="65"/>
      <c r="J1286" s="259"/>
      <c r="K1286" s="287" t="s">
        <v>1523</v>
      </c>
      <c r="L1286" s="287" t="s">
        <v>1475</v>
      </c>
      <c r="M1286" s="287" t="s">
        <v>1318</v>
      </c>
      <c r="N1286" s="287" t="s">
        <v>74</v>
      </c>
      <c r="O1286" s="287" t="s">
        <v>1524</v>
      </c>
      <c r="P1286" s="287">
        <v>44571</v>
      </c>
      <c r="Q1286" s="287">
        <v>44926</v>
      </c>
      <c r="R1286" s="287">
        <v>2</v>
      </c>
      <c r="S1286" s="287" t="s">
        <v>1525</v>
      </c>
      <c r="T1286" s="287">
        <v>1</v>
      </c>
      <c r="U1286" s="370">
        <v>0</v>
      </c>
      <c r="V1286" s="687">
        <v>0</v>
      </c>
      <c r="W1286" s="75"/>
      <c r="X1286" s="75"/>
      <c r="Y1286" s="834">
        <f t="shared" si="264"/>
        <v>0</v>
      </c>
      <c r="Z1286" s="75">
        <v>1</v>
      </c>
      <c r="AA1286" s="75"/>
      <c r="AB1286" s="75"/>
      <c r="AC1286" s="75"/>
      <c r="AD1286" s="75"/>
      <c r="AE1286" s="592"/>
      <c r="AF1286" s="367" t="s">
        <v>1526</v>
      </c>
      <c r="AG1286" s="510">
        <v>0</v>
      </c>
      <c r="AH1286" s="370">
        <v>0</v>
      </c>
      <c r="AI1286" s="75"/>
      <c r="AJ1286" s="75"/>
      <c r="AK1286" s="75"/>
      <c r="AL1286" s="75"/>
      <c r="AM1286" s="75"/>
      <c r="AN1286" s="64" t="s">
        <v>181</v>
      </c>
      <c r="AO1286" s="64"/>
      <c r="AP1286" s="64"/>
      <c r="AQ1286" s="189"/>
      <c r="AR1286" s="64"/>
      <c r="AS1286" s="476"/>
      <c r="AT1286" s="64"/>
      <c r="AU1286" s="646"/>
      <c r="AV1286" s="185"/>
    </row>
    <row r="1287" spans="1:51" ht="15" customHeight="1" outlineLevel="3" x14ac:dyDescent="0.25">
      <c r="A1287" s="63" t="str">
        <f t="shared" si="225"/>
        <v>4.14.3.8.7.62</v>
      </c>
      <c r="B1287" s="64">
        <v>4</v>
      </c>
      <c r="C1287" s="64">
        <v>14</v>
      </c>
      <c r="D1287" s="64">
        <v>3</v>
      </c>
      <c r="E1287" s="64">
        <v>8</v>
      </c>
      <c r="F1287" s="64">
        <v>7</v>
      </c>
      <c r="G1287" s="64">
        <v>62</v>
      </c>
      <c r="H1287" s="65"/>
      <c r="I1287" s="65"/>
      <c r="J1287" s="259"/>
      <c r="K1287" s="287" t="s">
        <v>1523</v>
      </c>
      <c r="L1287" s="287" t="s">
        <v>1475</v>
      </c>
      <c r="M1287" s="287" t="s">
        <v>1318</v>
      </c>
      <c r="N1287" s="287" t="s">
        <v>74</v>
      </c>
      <c r="O1287" s="287" t="s">
        <v>1524</v>
      </c>
      <c r="P1287" s="287">
        <v>44571</v>
      </c>
      <c r="Q1287" s="287">
        <v>44926</v>
      </c>
      <c r="R1287" s="287">
        <v>2</v>
      </c>
      <c r="S1287" s="287" t="s">
        <v>1525</v>
      </c>
      <c r="T1287" s="287">
        <v>1</v>
      </c>
      <c r="U1287" s="370">
        <v>0</v>
      </c>
      <c r="V1287" s="687">
        <v>0</v>
      </c>
      <c r="W1287" s="75"/>
      <c r="X1287" s="75"/>
      <c r="Y1287" s="834">
        <f t="shared" si="264"/>
        <v>0</v>
      </c>
      <c r="Z1287" s="75">
        <v>1</v>
      </c>
      <c r="AA1287" s="75"/>
      <c r="AB1287" s="75"/>
      <c r="AC1287" s="75"/>
      <c r="AD1287" s="75"/>
      <c r="AE1287" s="592"/>
      <c r="AF1287" s="367" t="s">
        <v>1526</v>
      </c>
      <c r="AG1287" s="510">
        <v>0</v>
      </c>
      <c r="AH1287" s="370">
        <v>0</v>
      </c>
      <c r="AI1287" s="75"/>
      <c r="AJ1287" s="75"/>
      <c r="AK1287" s="75"/>
      <c r="AL1287" s="75"/>
      <c r="AM1287" s="75"/>
      <c r="AN1287" s="64" t="s">
        <v>181</v>
      </c>
      <c r="AO1287" s="64"/>
      <c r="AP1287" s="64"/>
      <c r="AQ1287" s="189"/>
      <c r="AR1287" s="64"/>
      <c r="AS1287" s="476"/>
      <c r="AT1287" s="64"/>
      <c r="AU1287" s="646"/>
      <c r="AV1287" s="185"/>
    </row>
    <row r="1288" spans="1:51" ht="15" customHeight="1" outlineLevel="3" x14ac:dyDescent="0.25">
      <c r="A1288" s="63" t="str">
        <f t="shared" si="225"/>
        <v>4.14.3.8.7.63</v>
      </c>
      <c r="B1288" s="64">
        <v>4</v>
      </c>
      <c r="C1288" s="64">
        <v>14</v>
      </c>
      <c r="D1288" s="64">
        <v>3</v>
      </c>
      <c r="E1288" s="64">
        <v>8</v>
      </c>
      <c r="F1288" s="64">
        <v>7</v>
      </c>
      <c r="G1288" s="64">
        <v>63</v>
      </c>
      <c r="H1288" s="65"/>
      <c r="I1288" s="65"/>
      <c r="J1288" s="65"/>
      <c r="K1288" s="185" t="s">
        <v>1523</v>
      </c>
      <c r="L1288" s="64" t="s">
        <v>1475</v>
      </c>
      <c r="M1288" s="64" t="s">
        <v>1318</v>
      </c>
      <c r="N1288" s="64" t="s">
        <v>74</v>
      </c>
      <c r="O1288" s="64" t="s">
        <v>1524</v>
      </c>
      <c r="P1288" s="69">
        <v>44571</v>
      </c>
      <c r="Q1288" s="69">
        <v>44926</v>
      </c>
      <c r="R1288" s="64">
        <v>2</v>
      </c>
      <c r="S1288" s="65" t="s">
        <v>1525</v>
      </c>
      <c r="T1288" s="64">
        <v>1</v>
      </c>
      <c r="U1288" s="370">
        <v>0</v>
      </c>
      <c r="V1288" s="687">
        <v>0</v>
      </c>
      <c r="W1288" s="75"/>
      <c r="X1288" s="75"/>
      <c r="Y1288" s="834">
        <f t="shared" si="264"/>
        <v>0</v>
      </c>
      <c r="Z1288" s="75">
        <v>1</v>
      </c>
      <c r="AA1288" s="75"/>
      <c r="AB1288" s="75"/>
      <c r="AC1288" s="97"/>
      <c r="AD1288" s="97"/>
      <c r="AE1288" s="591"/>
      <c r="AF1288" s="259" t="s">
        <v>1526</v>
      </c>
      <c r="AG1288" s="510">
        <v>0</v>
      </c>
      <c r="AH1288" s="370">
        <v>0</v>
      </c>
      <c r="AI1288" s="75"/>
      <c r="AJ1288" s="75"/>
      <c r="AK1288" s="75"/>
      <c r="AL1288" s="75"/>
      <c r="AM1288" s="75"/>
      <c r="AN1288" s="64" t="s">
        <v>181</v>
      </c>
      <c r="AO1288" s="64"/>
      <c r="AP1288" s="64"/>
      <c r="AQ1288" s="189"/>
      <c r="AR1288" s="64"/>
      <c r="AS1288" s="476"/>
      <c r="AT1288" s="64"/>
      <c r="AU1288" s="646"/>
      <c r="AV1288" s="185"/>
    </row>
    <row r="1289" spans="1:51" ht="15" customHeight="1" outlineLevel="3" x14ac:dyDescent="0.25">
      <c r="A1289" s="63" t="str">
        <f t="shared" si="225"/>
        <v>4.14.3.8.7.64</v>
      </c>
      <c r="B1289" s="64">
        <v>4</v>
      </c>
      <c r="C1289" s="64">
        <v>14</v>
      </c>
      <c r="D1289" s="64">
        <v>3</v>
      </c>
      <c r="E1289" s="64">
        <v>8</v>
      </c>
      <c r="F1289" s="64">
        <v>7</v>
      </c>
      <c r="G1289" s="64">
        <v>64</v>
      </c>
      <c r="H1289" s="65"/>
      <c r="I1289" s="65"/>
      <c r="J1289" s="65"/>
      <c r="K1289" s="185" t="s">
        <v>1523</v>
      </c>
      <c r="L1289" s="64" t="s">
        <v>1475</v>
      </c>
      <c r="M1289" s="64" t="s">
        <v>1318</v>
      </c>
      <c r="N1289" s="64" t="s">
        <v>74</v>
      </c>
      <c r="O1289" s="64" t="s">
        <v>1524</v>
      </c>
      <c r="P1289" s="69">
        <v>44571</v>
      </c>
      <c r="Q1289" s="69">
        <v>44926</v>
      </c>
      <c r="R1289" s="64">
        <v>2</v>
      </c>
      <c r="S1289" s="65" t="s">
        <v>1525</v>
      </c>
      <c r="T1289" s="64">
        <v>1</v>
      </c>
      <c r="U1289" s="370">
        <v>0</v>
      </c>
      <c r="V1289" s="687">
        <v>0</v>
      </c>
      <c r="W1289" s="75"/>
      <c r="X1289" s="75"/>
      <c r="Y1289" s="834">
        <f t="shared" si="264"/>
        <v>0</v>
      </c>
      <c r="Z1289" s="75">
        <v>1</v>
      </c>
      <c r="AA1289" s="75"/>
      <c r="AB1289" s="75"/>
      <c r="AC1289" s="97"/>
      <c r="AD1289" s="97"/>
      <c r="AE1289" s="591"/>
      <c r="AF1289" s="259" t="s">
        <v>1526</v>
      </c>
      <c r="AG1289" s="510">
        <v>0</v>
      </c>
      <c r="AH1289" s="370">
        <v>0</v>
      </c>
      <c r="AI1289" s="75"/>
      <c r="AJ1289" s="75"/>
      <c r="AK1289" s="75"/>
      <c r="AL1289" s="75"/>
      <c r="AM1289" s="75"/>
      <c r="AN1289" s="64" t="s">
        <v>181</v>
      </c>
      <c r="AO1289" s="64"/>
      <c r="AP1289" s="64"/>
      <c r="AQ1289" s="189"/>
      <c r="AR1289" s="64"/>
      <c r="AS1289" s="476"/>
      <c r="AT1289" s="64"/>
      <c r="AU1289" s="646"/>
      <c r="AV1289" s="185"/>
    </row>
    <row r="1290" spans="1:51" s="153" customFormat="1" outlineLevel="2" x14ac:dyDescent="0.25">
      <c r="A1290" s="148" t="str">
        <f t="shared" si="225"/>
        <v>4.14.3.9.0.0</v>
      </c>
      <c r="B1290" s="82">
        <v>4</v>
      </c>
      <c r="C1290" s="82">
        <v>14</v>
      </c>
      <c r="D1290" s="82">
        <v>3</v>
      </c>
      <c r="E1290" s="82">
        <v>9</v>
      </c>
      <c r="F1290" s="82">
        <v>0</v>
      </c>
      <c r="G1290" s="82">
        <v>0</v>
      </c>
      <c r="H1290" s="149"/>
      <c r="I1290" s="149"/>
      <c r="J1290" s="1272" t="s">
        <v>1527</v>
      </c>
      <c r="K1290" s="1273"/>
      <c r="L1290" s="82" t="s">
        <v>1475</v>
      </c>
      <c r="M1290" s="83" t="s">
        <v>1449</v>
      </c>
      <c r="N1290" s="82" t="s">
        <v>1444</v>
      </c>
      <c r="O1290" s="82" t="s">
        <v>1445</v>
      </c>
      <c r="P1290" s="82"/>
      <c r="Q1290" s="82"/>
      <c r="R1290" s="82"/>
      <c r="S1290" s="149"/>
      <c r="T1290" s="82"/>
      <c r="U1290" s="380">
        <f>SUM(U1291:U1294)</f>
        <v>0</v>
      </c>
      <c r="V1290" s="682">
        <f>SUM(V1291:V1294)</f>
        <v>0</v>
      </c>
      <c r="W1290" s="152"/>
      <c r="X1290" s="152"/>
      <c r="Y1290" s="834">
        <f t="shared" si="264"/>
        <v>0</v>
      </c>
      <c r="Z1290" s="152"/>
      <c r="AA1290" s="152"/>
      <c r="AB1290" s="152"/>
      <c r="AC1290" s="257"/>
      <c r="AD1290" s="257"/>
      <c r="AE1290" s="611"/>
      <c r="AF1290" s="358"/>
      <c r="AG1290" s="513">
        <f>SUM(AG1291:AG1294)</f>
        <v>0</v>
      </c>
      <c r="AH1290" s="380">
        <f>SUM(AH1291:AH1294)</f>
        <v>0</v>
      </c>
      <c r="AI1290" s="198"/>
      <c r="AJ1290" s="198"/>
      <c r="AK1290" s="198"/>
      <c r="AL1290" s="198"/>
      <c r="AM1290" s="198"/>
      <c r="AN1290" s="82" t="s">
        <v>181</v>
      </c>
      <c r="AO1290" s="82"/>
      <c r="AP1290" s="82"/>
      <c r="AQ1290" s="365"/>
      <c r="AR1290" s="82"/>
      <c r="AS1290" s="483"/>
      <c r="AT1290" s="82"/>
      <c r="AU1290" s="666"/>
      <c r="AV1290" s="444"/>
    </row>
    <row r="1291" spans="1:51" ht="15" customHeight="1" outlineLevel="3" x14ac:dyDescent="0.25">
      <c r="A1291" s="63" t="str">
        <f t="shared" si="225"/>
        <v>4.14.3.9.1.0</v>
      </c>
      <c r="B1291" s="64">
        <v>4</v>
      </c>
      <c r="C1291" s="64">
        <v>14</v>
      </c>
      <c r="D1291" s="64">
        <v>3</v>
      </c>
      <c r="E1291" s="64">
        <v>9</v>
      </c>
      <c r="F1291" s="64">
        <v>1</v>
      </c>
      <c r="G1291" s="64">
        <v>0</v>
      </c>
      <c r="H1291" s="65"/>
      <c r="I1291" s="65"/>
      <c r="J1291" s="66"/>
      <c r="K1291" s="65" t="s">
        <v>1451</v>
      </c>
      <c r="L1291" s="64" t="s">
        <v>1452</v>
      </c>
      <c r="M1291" s="64" t="s">
        <v>1453</v>
      </c>
      <c r="N1291" s="64" t="s">
        <v>1444</v>
      </c>
      <c r="O1291" s="64" t="s">
        <v>1335</v>
      </c>
      <c r="P1291" s="64"/>
      <c r="Q1291" s="64"/>
      <c r="R1291" s="64"/>
      <c r="S1291" s="65"/>
      <c r="T1291" s="64"/>
      <c r="U1291" s="370">
        <v>0</v>
      </c>
      <c r="V1291" s="687">
        <v>0</v>
      </c>
      <c r="W1291" s="75"/>
      <c r="X1291" s="75"/>
      <c r="Y1291" s="834">
        <f t="shared" si="264"/>
        <v>0</v>
      </c>
      <c r="Z1291" s="75"/>
      <c r="AA1291" s="75"/>
      <c r="AB1291" s="75"/>
      <c r="AC1291" s="97"/>
      <c r="AD1291" s="97"/>
      <c r="AE1291" s="591"/>
      <c r="AF1291" s="259"/>
      <c r="AG1291" s="510">
        <v>0</v>
      </c>
      <c r="AH1291" s="370">
        <v>0</v>
      </c>
      <c r="AI1291" s="75"/>
      <c r="AJ1291" s="75"/>
      <c r="AK1291" s="75"/>
      <c r="AL1291" s="75"/>
      <c r="AM1291" s="75"/>
      <c r="AN1291" s="64" t="s">
        <v>181</v>
      </c>
      <c r="AO1291" s="64"/>
      <c r="AP1291" s="64"/>
      <c r="AQ1291" s="189"/>
      <c r="AR1291" s="64"/>
      <c r="AS1291" s="476"/>
      <c r="AT1291" s="64"/>
      <c r="AU1291" s="646"/>
      <c r="AV1291" s="185"/>
    </row>
    <row r="1292" spans="1:51" ht="15" customHeight="1" outlineLevel="3" x14ac:dyDescent="0.25">
      <c r="A1292" s="63" t="str">
        <f t="shared" si="225"/>
        <v>4.14.3.9.2.0</v>
      </c>
      <c r="B1292" s="64">
        <v>4</v>
      </c>
      <c r="C1292" s="64">
        <v>14</v>
      </c>
      <c r="D1292" s="64">
        <v>3</v>
      </c>
      <c r="E1292" s="64">
        <v>9</v>
      </c>
      <c r="F1292" s="64">
        <v>2</v>
      </c>
      <c r="G1292" s="64">
        <v>0</v>
      </c>
      <c r="H1292" s="65"/>
      <c r="I1292" s="65"/>
      <c r="J1292" s="66"/>
      <c r="K1292" s="65" t="s">
        <v>1463</v>
      </c>
      <c r="L1292" s="64" t="s">
        <v>1452</v>
      </c>
      <c r="M1292" s="64" t="s">
        <v>1464</v>
      </c>
      <c r="N1292" s="64" t="s">
        <v>1444</v>
      </c>
      <c r="O1292" s="64" t="s">
        <v>1335</v>
      </c>
      <c r="P1292" s="64"/>
      <c r="Q1292" s="64"/>
      <c r="R1292" s="64"/>
      <c r="S1292" s="65"/>
      <c r="T1292" s="64"/>
      <c r="U1292" s="370">
        <v>0</v>
      </c>
      <c r="V1292" s="687">
        <v>0</v>
      </c>
      <c r="W1292" s="75"/>
      <c r="X1292" s="75"/>
      <c r="Y1292" s="834">
        <f t="shared" si="264"/>
        <v>0</v>
      </c>
      <c r="Z1292" s="75"/>
      <c r="AA1292" s="75"/>
      <c r="AB1292" s="75"/>
      <c r="AC1292" s="97"/>
      <c r="AD1292" s="97"/>
      <c r="AE1292" s="591"/>
      <c r="AF1292" s="259"/>
      <c r="AG1292" s="510">
        <v>0</v>
      </c>
      <c r="AH1292" s="370">
        <v>0</v>
      </c>
      <c r="AI1292" s="75"/>
      <c r="AJ1292" s="75"/>
      <c r="AK1292" s="75"/>
      <c r="AL1292" s="75"/>
      <c r="AM1292" s="75"/>
      <c r="AN1292" s="64" t="s">
        <v>181</v>
      </c>
      <c r="AO1292" s="64"/>
      <c r="AP1292" s="64"/>
      <c r="AQ1292" s="189"/>
      <c r="AR1292" s="64"/>
      <c r="AS1292" s="476"/>
      <c r="AT1292" s="64"/>
      <c r="AU1292" s="646"/>
      <c r="AV1292" s="185"/>
    </row>
    <row r="1293" spans="1:51" ht="15" customHeight="1" outlineLevel="3" x14ac:dyDescent="0.25">
      <c r="A1293" s="63" t="str">
        <f t="shared" si="225"/>
        <v>4.14.3.9.3.0</v>
      </c>
      <c r="B1293" s="64">
        <v>4</v>
      </c>
      <c r="C1293" s="64">
        <v>14</v>
      </c>
      <c r="D1293" s="64">
        <v>3</v>
      </c>
      <c r="E1293" s="64">
        <v>9</v>
      </c>
      <c r="F1293" s="64">
        <v>3</v>
      </c>
      <c r="G1293" s="64">
        <v>0</v>
      </c>
      <c r="H1293" s="65"/>
      <c r="I1293" s="65"/>
      <c r="J1293" s="66"/>
      <c r="K1293" s="65" t="s">
        <v>1467</v>
      </c>
      <c r="L1293" s="64" t="s">
        <v>264</v>
      </c>
      <c r="M1293" s="64" t="s">
        <v>144</v>
      </c>
      <c r="N1293" s="64" t="s">
        <v>265</v>
      </c>
      <c r="O1293" s="64" t="s">
        <v>668</v>
      </c>
      <c r="P1293" s="64"/>
      <c r="Q1293" s="64"/>
      <c r="R1293" s="64"/>
      <c r="S1293" s="65"/>
      <c r="T1293" s="64"/>
      <c r="U1293" s="370">
        <v>0</v>
      </c>
      <c r="V1293" s="687">
        <v>0</v>
      </c>
      <c r="W1293" s="75"/>
      <c r="X1293" s="75"/>
      <c r="Y1293" s="834">
        <f t="shared" si="264"/>
        <v>0</v>
      </c>
      <c r="Z1293" s="75"/>
      <c r="AA1293" s="75"/>
      <c r="AB1293" s="75"/>
      <c r="AC1293" s="97"/>
      <c r="AD1293" s="97"/>
      <c r="AE1293" s="591"/>
      <c r="AF1293" s="259"/>
      <c r="AG1293" s="510">
        <v>0</v>
      </c>
      <c r="AH1293" s="370">
        <v>0</v>
      </c>
      <c r="AI1293" s="75"/>
      <c r="AJ1293" s="75"/>
      <c r="AK1293" s="75"/>
      <c r="AL1293" s="75"/>
      <c r="AM1293" s="75"/>
      <c r="AN1293" s="64" t="s">
        <v>181</v>
      </c>
      <c r="AO1293" s="64"/>
      <c r="AP1293" s="64"/>
      <c r="AQ1293" s="189"/>
      <c r="AR1293" s="64"/>
      <c r="AS1293" s="476"/>
      <c r="AT1293" s="64"/>
      <c r="AU1293" s="646"/>
      <c r="AV1293" s="185"/>
    </row>
    <row r="1294" spans="1:51" ht="15" customHeight="1" outlineLevel="3" x14ac:dyDescent="0.25">
      <c r="A1294" s="63" t="str">
        <f t="shared" si="225"/>
        <v>4.14.3.9.4.0</v>
      </c>
      <c r="B1294" s="64">
        <v>4</v>
      </c>
      <c r="C1294" s="64">
        <v>14</v>
      </c>
      <c r="D1294" s="64">
        <v>3</v>
      </c>
      <c r="E1294" s="64">
        <v>9</v>
      </c>
      <c r="F1294" s="64">
        <v>4</v>
      </c>
      <c r="G1294" s="64">
        <v>0</v>
      </c>
      <c r="H1294" s="65"/>
      <c r="I1294" s="65"/>
      <c r="J1294" s="65"/>
      <c r="K1294" s="65" t="s">
        <v>672</v>
      </c>
      <c r="L1294" s="64" t="s">
        <v>264</v>
      </c>
      <c r="M1294" s="64" t="s">
        <v>144</v>
      </c>
      <c r="N1294" s="64" t="s">
        <v>1476</v>
      </c>
      <c r="O1294" s="64" t="s">
        <v>668</v>
      </c>
      <c r="P1294" s="64"/>
      <c r="Q1294" s="64"/>
      <c r="R1294" s="64"/>
      <c r="S1294" s="65"/>
      <c r="T1294" s="64"/>
      <c r="U1294" s="370">
        <v>0</v>
      </c>
      <c r="V1294" s="687">
        <v>0</v>
      </c>
      <c r="W1294" s="75"/>
      <c r="X1294" s="75"/>
      <c r="Y1294" s="834">
        <f t="shared" si="264"/>
        <v>0</v>
      </c>
      <c r="Z1294" s="75"/>
      <c r="AA1294" s="75"/>
      <c r="AB1294" s="75"/>
      <c r="AC1294" s="97"/>
      <c r="AD1294" s="97"/>
      <c r="AE1294" s="591"/>
      <c r="AF1294" s="259"/>
      <c r="AG1294" s="510">
        <v>0</v>
      </c>
      <c r="AH1294" s="370">
        <v>0</v>
      </c>
      <c r="AI1294" s="75"/>
      <c r="AJ1294" s="75"/>
      <c r="AK1294" s="75"/>
      <c r="AL1294" s="75"/>
      <c r="AM1294" s="75"/>
      <c r="AN1294" s="64" t="s">
        <v>181</v>
      </c>
      <c r="AO1294" s="64" t="s">
        <v>1839</v>
      </c>
      <c r="AP1294" s="64" t="s">
        <v>649</v>
      </c>
      <c r="AQ1294" s="533" t="s">
        <v>649</v>
      </c>
      <c r="AR1294" s="554">
        <v>44562</v>
      </c>
      <c r="AS1294" s="554">
        <v>44561</v>
      </c>
      <c r="AT1294" s="64" t="s">
        <v>1814</v>
      </c>
      <c r="AU1294" s="646"/>
      <c r="AV1294" s="185"/>
    </row>
    <row r="1295" spans="1:51" s="153" customFormat="1" outlineLevel="2" x14ac:dyDescent="0.25">
      <c r="A1295" s="148" t="str">
        <f t="shared" si="225"/>
        <v>4.14.3.10.0.0</v>
      </c>
      <c r="B1295" s="82">
        <v>4</v>
      </c>
      <c r="C1295" s="82">
        <v>14</v>
      </c>
      <c r="D1295" s="82">
        <v>3</v>
      </c>
      <c r="E1295" s="82">
        <v>10</v>
      </c>
      <c r="F1295" s="82">
        <v>0</v>
      </c>
      <c r="G1295" s="82">
        <v>0</v>
      </c>
      <c r="H1295" s="149"/>
      <c r="I1295" s="149"/>
      <c r="J1295" s="1272" t="s">
        <v>1528</v>
      </c>
      <c r="K1295" s="1273"/>
      <c r="L1295" s="82" t="s">
        <v>1475</v>
      </c>
      <c r="M1295" s="83" t="s">
        <v>1449</v>
      </c>
      <c r="N1295" s="82" t="s">
        <v>1444</v>
      </c>
      <c r="O1295" s="82" t="s">
        <v>1445</v>
      </c>
      <c r="P1295" s="82"/>
      <c r="Q1295" s="82"/>
      <c r="R1295" s="82"/>
      <c r="S1295" s="149"/>
      <c r="T1295" s="82"/>
      <c r="U1295" s="380">
        <f>+SUM(U1296:U1300)</f>
        <v>0</v>
      </c>
      <c r="V1295" s="682">
        <f>+SUM(V1296:V1300)</f>
        <v>0</v>
      </c>
      <c r="W1295" s="152"/>
      <c r="X1295" s="152"/>
      <c r="Y1295" s="834">
        <f t="shared" si="264"/>
        <v>0</v>
      </c>
      <c r="Z1295" s="152"/>
      <c r="AA1295" s="152"/>
      <c r="AB1295" s="152"/>
      <c r="AC1295" s="257"/>
      <c r="AD1295" s="257"/>
      <c r="AE1295" s="611"/>
      <c r="AF1295" s="358"/>
      <c r="AG1295" s="513">
        <f>+SUM(AG1296:AG1300)</f>
        <v>0</v>
      </c>
      <c r="AH1295" s="380">
        <f>+SUM(AH1296:AH1300)</f>
        <v>0</v>
      </c>
      <c r="AI1295" s="198"/>
      <c r="AJ1295" s="198"/>
      <c r="AK1295" s="198"/>
      <c r="AL1295" s="198"/>
      <c r="AM1295" s="198"/>
      <c r="AN1295" s="82" t="s">
        <v>181</v>
      </c>
      <c r="AO1295" s="82"/>
      <c r="AP1295" s="82"/>
      <c r="AQ1295" s="365"/>
      <c r="AR1295" s="82"/>
      <c r="AS1295" s="483"/>
      <c r="AT1295" s="82"/>
      <c r="AU1295" s="666"/>
      <c r="AV1295" s="444"/>
    </row>
    <row r="1296" spans="1:51" outlineLevel="3" x14ac:dyDescent="0.25">
      <c r="A1296" s="63" t="str">
        <f t="shared" si="225"/>
        <v>4.14.3.10.1.0</v>
      </c>
      <c r="B1296" s="64">
        <v>4</v>
      </c>
      <c r="C1296" s="64">
        <v>14</v>
      </c>
      <c r="D1296" s="64">
        <v>3</v>
      </c>
      <c r="E1296" s="64">
        <v>10</v>
      </c>
      <c r="F1296" s="64">
        <v>1</v>
      </c>
      <c r="G1296" s="64">
        <v>0</v>
      </c>
      <c r="H1296" s="65"/>
      <c r="I1296" s="65"/>
      <c r="J1296" s="66"/>
      <c r="K1296" s="65" t="s">
        <v>1529</v>
      </c>
      <c r="L1296" s="64" t="s">
        <v>1452</v>
      </c>
      <c r="M1296" s="64" t="s">
        <v>1453</v>
      </c>
      <c r="N1296" s="64" t="s">
        <v>1444</v>
      </c>
      <c r="O1296" s="64" t="s">
        <v>1204</v>
      </c>
      <c r="P1296" s="64"/>
      <c r="Q1296" s="64"/>
      <c r="R1296" s="64"/>
      <c r="S1296" s="65"/>
      <c r="T1296" s="64"/>
      <c r="U1296" s="370">
        <v>0</v>
      </c>
      <c r="V1296" s="687">
        <v>0</v>
      </c>
      <c r="W1296" s="75"/>
      <c r="X1296" s="75"/>
      <c r="Y1296" s="834">
        <f t="shared" si="264"/>
        <v>0</v>
      </c>
      <c r="Z1296" s="75"/>
      <c r="AA1296" s="75"/>
      <c r="AB1296" s="75"/>
      <c r="AC1296" s="97"/>
      <c r="AD1296" s="97"/>
      <c r="AE1296" s="591"/>
      <c r="AF1296" s="259"/>
      <c r="AG1296" s="510">
        <v>0</v>
      </c>
      <c r="AH1296" s="370">
        <v>0</v>
      </c>
      <c r="AI1296" s="75"/>
      <c r="AJ1296" s="75"/>
      <c r="AK1296" s="75"/>
      <c r="AL1296" s="75"/>
      <c r="AM1296" s="75"/>
      <c r="AN1296" s="64" t="s">
        <v>181</v>
      </c>
      <c r="AO1296" s="64"/>
      <c r="AP1296" s="64"/>
      <c r="AQ1296" s="189"/>
      <c r="AR1296" s="64"/>
      <c r="AS1296" s="476"/>
      <c r="AT1296" s="64"/>
      <c r="AU1296" s="646"/>
      <c r="AV1296" s="335"/>
    </row>
    <row r="1297" spans="1:48" outlineLevel="3" x14ac:dyDescent="0.25">
      <c r="A1297" s="63" t="str">
        <f t="shared" si="225"/>
        <v>4.14.3.10.2.0</v>
      </c>
      <c r="B1297" s="64">
        <v>4</v>
      </c>
      <c r="C1297" s="64">
        <v>14</v>
      </c>
      <c r="D1297" s="64">
        <v>3</v>
      </c>
      <c r="E1297" s="64">
        <v>10</v>
      </c>
      <c r="F1297" s="64">
        <v>2</v>
      </c>
      <c r="G1297" s="64">
        <v>0</v>
      </c>
      <c r="H1297" s="65"/>
      <c r="I1297" s="65"/>
      <c r="J1297" s="66"/>
      <c r="K1297" s="65" t="s">
        <v>1463</v>
      </c>
      <c r="L1297" s="64" t="s">
        <v>1452</v>
      </c>
      <c r="M1297" s="64" t="s">
        <v>1464</v>
      </c>
      <c r="N1297" s="64" t="s">
        <v>1444</v>
      </c>
      <c r="O1297" s="64" t="s">
        <v>1204</v>
      </c>
      <c r="P1297" s="64"/>
      <c r="Q1297" s="64"/>
      <c r="R1297" s="64"/>
      <c r="S1297" s="65"/>
      <c r="T1297" s="64"/>
      <c r="U1297" s="370">
        <v>0</v>
      </c>
      <c r="V1297" s="687">
        <v>0</v>
      </c>
      <c r="W1297" s="75"/>
      <c r="X1297" s="75"/>
      <c r="Y1297" s="834">
        <f t="shared" si="264"/>
        <v>0</v>
      </c>
      <c r="Z1297" s="75"/>
      <c r="AA1297" s="75"/>
      <c r="AB1297" s="75"/>
      <c r="AC1297" s="97"/>
      <c r="AD1297" s="97"/>
      <c r="AE1297" s="591"/>
      <c r="AF1297" s="259"/>
      <c r="AG1297" s="510">
        <v>0</v>
      </c>
      <c r="AH1297" s="370">
        <v>0</v>
      </c>
      <c r="AI1297" s="75"/>
      <c r="AJ1297" s="75"/>
      <c r="AK1297" s="75"/>
      <c r="AL1297" s="75"/>
      <c r="AM1297" s="75"/>
      <c r="AN1297" s="64" t="s">
        <v>181</v>
      </c>
      <c r="AO1297" s="64"/>
      <c r="AP1297" s="64"/>
      <c r="AQ1297" s="189"/>
      <c r="AR1297" s="64"/>
      <c r="AS1297" s="476"/>
      <c r="AT1297" s="64"/>
      <c r="AU1297" s="646"/>
      <c r="AV1297" s="185"/>
    </row>
    <row r="1298" spans="1:48" outlineLevel="3" x14ac:dyDescent="0.25">
      <c r="A1298" s="63" t="str">
        <f t="shared" si="225"/>
        <v>4.14.3.10.3.0</v>
      </c>
      <c r="B1298" s="64">
        <v>4</v>
      </c>
      <c r="C1298" s="64">
        <v>14</v>
      </c>
      <c r="D1298" s="64">
        <v>3</v>
      </c>
      <c r="E1298" s="64">
        <v>10</v>
      </c>
      <c r="F1298" s="64">
        <v>3</v>
      </c>
      <c r="G1298" s="64">
        <v>0</v>
      </c>
      <c r="H1298" s="65"/>
      <c r="I1298" s="65"/>
      <c r="J1298" s="66"/>
      <c r="K1298" s="65" t="s">
        <v>1467</v>
      </c>
      <c r="L1298" s="64" t="s">
        <v>264</v>
      </c>
      <c r="M1298" s="64" t="s">
        <v>144</v>
      </c>
      <c r="N1298" s="64" t="s">
        <v>265</v>
      </c>
      <c r="O1298" s="64" t="s">
        <v>668</v>
      </c>
      <c r="P1298" s="64"/>
      <c r="Q1298" s="64"/>
      <c r="R1298" s="64"/>
      <c r="S1298" s="65"/>
      <c r="T1298" s="64"/>
      <c r="U1298" s="370">
        <v>0</v>
      </c>
      <c r="V1298" s="687">
        <v>0</v>
      </c>
      <c r="W1298" s="75"/>
      <c r="X1298" s="75"/>
      <c r="Y1298" s="834">
        <f t="shared" si="264"/>
        <v>0</v>
      </c>
      <c r="Z1298" s="75"/>
      <c r="AA1298" s="75"/>
      <c r="AB1298" s="75"/>
      <c r="AC1298" s="97"/>
      <c r="AD1298" s="97"/>
      <c r="AE1298" s="591"/>
      <c r="AF1298" s="259"/>
      <c r="AG1298" s="510">
        <v>0</v>
      </c>
      <c r="AH1298" s="370">
        <v>0</v>
      </c>
      <c r="AI1298" s="75"/>
      <c r="AJ1298" s="75"/>
      <c r="AK1298" s="75"/>
      <c r="AL1298" s="75"/>
      <c r="AM1298" s="75"/>
      <c r="AN1298" s="64" t="s">
        <v>181</v>
      </c>
      <c r="AO1298" s="64"/>
      <c r="AP1298" s="64"/>
      <c r="AQ1298" s="189"/>
      <c r="AR1298" s="64"/>
      <c r="AS1298" s="476"/>
      <c r="AT1298" s="64"/>
      <c r="AU1298" s="646"/>
      <c r="AV1298" s="185"/>
    </row>
    <row r="1299" spans="1:48" outlineLevel="3" x14ac:dyDescent="0.25">
      <c r="A1299" s="63" t="str">
        <f t="shared" si="225"/>
        <v>4.14.3.10.4.0</v>
      </c>
      <c r="B1299" s="64">
        <v>4</v>
      </c>
      <c r="C1299" s="64">
        <v>14</v>
      </c>
      <c r="D1299" s="64">
        <v>3</v>
      </c>
      <c r="E1299" s="64">
        <v>10</v>
      </c>
      <c r="F1299" s="64">
        <v>4</v>
      </c>
      <c r="G1299" s="64">
        <v>0</v>
      </c>
      <c r="H1299" s="65"/>
      <c r="I1299" s="65"/>
      <c r="J1299" s="65"/>
      <c r="K1299" s="65" t="s">
        <v>672</v>
      </c>
      <c r="L1299" s="64" t="s">
        <v>264</v>
      </c>
      <c r="M1299" s="64" t="s">
        <v>144</v>
      </c>
      <c r="N1299" s="64" t="s">
        <v>265</v>
      </c>
      <c r="O1299" s="64" t="s">
        <v>668</v>
      </c>
      <c r="P1299" s="64"/>
      <c r="Q1299" s="64"/>
      <c r="R1299" s="64"/>
      <c r="S1299" s="65"/>
      <c r="T1299" s="64"/>
      <c r="U1299" s="370">
        <v>0</v>
      </c>
      <c r="V1299" s="687">
        <v>0</v>
      </c>
      <c r="W1299" s="75"/>
      <c r="X1299" s="75"/>
      <c r="Y1299" s="834">
        <f t="shared" si="264"/>
        <v>0</v>
      </c>
      <c r="Z1299" s="75"/>
      <c r="AA1299" s="75"/>
      <c r="AB1299" s="75"/>
      <c r="AC1299" s="97"/>
      <c r="AD1299" s="97"/>
      <c r="AE1299" s="591"/>
      <c r="AF1299" s="259"/>
      <c r="AG1299" s="510">
        <v>0</v>
      </c>
      <c r="AH1299" s="370">
        <v>0</v>
      </c>
      <c r="AI1299" s="75"/>
      <c r="AJ1299" s="75"/>
      <c r="AK1299" s="75"/>
      <c r="AL1299" s="75"/>
      <c r="AM1299" s="75"/>
      <c r="AN1299" s="64" t="s">
        <v>181</v>
      </c>
      <c r="AO1299" s="64" t="s">
        <v>1839</v>
      </c>
      <c r="AP1299" s="64" t="s">
        <v>649</v>
      </c>
      <c r="AQ1299" s="533" t="s">
        <v>649</v>
      </c>
      <c r="AR1299" s="554">
        <v>44562</v>
      </c>
      <c r="AS1299" s="554">
        <v>44561</v>
      </c>
      <c r="AT1299" s="64" t="s">
        <v>1814</v>
      </c>
      <c r="AU1299" s="646"/>
      <c r="AV1299" s="185"/>
    </row>
    <row r="1300" spans="1:48" ht="24.6" customHeight="1" outlineLevel="3" x14ac:dyDescent="0.25">
      <c r="A1300" s="63" t="str">
        <f t="shared" si="225"/>
        <v>4.14.3.10.5.0</v>
      </c>
      <c r="B1300" s="64">
        <v>4</v>
      </c>
      <c r="C1300" s="64">
        <v>14</v>
      </c>
      <c r="D1300" s="64">
        <v>3</v>
      </c>
      <c r="E1300" s="64">
        <v>10</v>
      </c>
      <c r="F1300" s="64">
        <v>5</v>
      </c>
      <c r="G1300" s="64">
        <v>0</v>
      </c>
      <c r="H1300" s="65"/>
      <c r="I1300" s="65"/>
      <c r="J1300" s="65"/>
      <c r="K1300" s="65" t="s">
        <v>1530</v>
      </c>
      <c r="L1300" s="64" t="s">
        <v>1531</v>
      </c>
      <c r="M1300" s="64" t="s">
        <v>1531</v>
      </c>
      <c r="N1300" s="64" t="s">
        <v>1297</v>
      </c>
      <c r="O1300" s="64" t="s">
        <v>1532</v>
      </c>
      <c r="P1300" s="69">
        <v>44197</v>
      </c>
      <c r="Q1300" s="131" t="s">
        <v>1533</v>
      </c>
      <c r="R1300" s="170"/>
      <c r="S1300" s="170"/>
      <c r="T1300" s="170"/>
      <c r="U1300" s="370">
        <v>0</v>
      </c>
      <c r="V1300" s="687">
        <v>0</v>
      </c>
      <c r="W1300" s="97"/>
      <c r="X1300" s="97"/>
      <c r="Y1300" s="859">
        <f t="shared" si="264"/>
        <v>0</v>
      </c>
      <c r="Z1300" s="97"/>
      <c r="AA1300" s="97"/>
      <c r="AB1300" s="97"/>
      <c r="AC1300" s="97"/>
      <c r="AD1300" s="97"/>
      <c r="AE1300" s="591"/>
      <c r="AF1300" s="353" t="s">
        <v>1534</v>
      </c>
      <c r="AG1300" s="510">
        <v>0</v>
      </c>
      <c r="AH1300" s="370">
        <v>0</v>
      </c>
      <c r="AI1300" s="75"/>
      <c r="AJ1300" s="75"/>
      <c r="AK1300" s="75"/>
      <c r="AL1300" s="75"/>
      <c r="AM1300" s="75"/>
      <c r="AN1300" s="64" t="s">
        <v>181</v>
      </c>
      <c r="AO1300" s="64"/>
      <c r="AP1300" s="64"/>
      <c r="AQ1300" s="189"/>
      <c r="AR1300" s="64"/>
      <c r="AS1300" s="476"/>
      <c r="AT1300" s="64"/>
      <c r="AU1300" s="646"/>
      <c r="AV1300" s="441"/>
    </row>
    <row r="1301" spans="1:48" s="153" customFormat="1" outlineLevel="2" x14ac:dyDescent="0.25">
      <c r="A1301" s="148" t="str">
        <f t="shared" si="225"/>
        <v>4.14.3.11.0.0</v>
      </c>
      <c r="B1301" s="82">
        <v>4</v>
      </c>
      <c r="C1301" s="82">
        <v>14</v>
      </c>
      <c r="D1301" s="82">
        <v>3</v>
      </c>
      <c r="E1301" s="82">
        <v>11</v>
      </c>
      <c r="F1301" s="82">
        <v>0</v>
      </c>
      <c r="G1301" s="82">
        <v>0</v>
      </c>
      <c r="H1301" s="149"/>
      <c r="I1301" s="149"/>
      <c r="J1301" s="1260" t="s">
        <v>1535</v>
      </c>
      <c r="K1301" s="1259"/>
      <c r="L1301" s="82" t="s">
        <v>1475</v>
      </c>
      <c r="M1301" s="83" t="s">
        <v>1449</v>
      </c>
      <c r="N1301" s="82" t="s">
        <v>1444</v>
      </c>
      <c r="O1301" s="82" t="s">
        <v>1445</v>
      </c>
      <c r="P1301" s="82"/>
      <c r="Q1301" s="82"/>
      <c r="R1301" s="82"/>
      <c r="S1301" s="149"/>
      <c r="T1301" s="82"/>
      <c r="U1301" s="380">
        <f>+SUM(U1302:U1305)</f>
        <v>0</v>
      </c>
      <c r="V1301" s="682">
        <f>+SUM(V1302:V1305)</f>
        <v>0</v>
      </c>
      <c r="W1301" s="152"/>
      <c r="X1301" s="152"/>
      <c r="Y1301" s="858">
        <f t="shared" si="264"/>
        <v>0</v>
      </c>
      <c r="Z1301" s="152"/>
      <c r="AA1301" s="152"/>
      <c r="AB1301" s="152"/>
      <c r="AC1301" s="257"/>
      <c r="AD1301" s="257"/>
      <c r="AE1301" s="611"/>
      <c r="AF1301" s="358"/>
      <c r="AG1301" s="513">
        <f>+SUM(AG1302:AG1305)</f>
        <v>0</v>
      </c>
      <c r="AH1301" s="380">
        <f>+SUM(AH1302:AH1305)</f>
        <v>0</v>
      </c>
      <c r="AI1301" s="198"/>
      <c r="AJ1301" s="198"/>
      <c r="AK1301" s="198"/>
      <c r="AL1301" s="198"/>
      <c r="AM1301" s="198"/>
      <c r="AN1301" s="82" t="s">
        <v>181</v>
      </c>
      <c r="AO1301" s="82"/>
      <c r="AP1301" s="82"/>
      <c r="AQ1301" s="365"/>
      <c r="AR1301" s="82"/>
      <c r="AS1301" s="483"/>
      <c r="AT1301" s="82"/>
      <c r="AU1301" s="666"/>
      <c r="AV1301" s="444"/>
    </row>
    <row r="1302" spans="1:48" outlineLevel="3" x14ac:dyDescent="0.25">
      <c r="A1302" s="63" t="str">
        <f t="shared" si="225"/>
        <v>4.14.3.11.1.0</v>
      </c>
      <c r="B1302" s="64">
        <v>4</v>
      </c>
      <c r="C1302" s="64">
        <v>14</v>
      </c>
      <c r="D1302" s="64">
        <v>3</v>
      </c>
      <c r="E1302" s="64">
        <v>11</v>
      </c>
      <c r="F1302" s="64">
        <v>1</v>
      </c>
      <c r="G1302" s="64">
        <v>0</v>
      </c>
      <c r="H1302" s="65"/>
      <c r="I1302" s="65"/>
      <c r="J1302" s="66"/>
      <c r="K1302" s="65" t="s">
        <v>1451</v>
      </c>
      <c r="L1302" s="64" t="s">
        <v>1452</v>
      </c>
      <c r="M1302" s="64" t="s">
        <v>1453</v>
      </c>
      <c r="N1302" s="64" t="s">
        <v>1444</v>
      </c>
      <c r="O1302" s="64" t="s">
        <v>1204</v>
      </c>
      <c r="P1302" s="64"/>
      <c r="Q1302" s="64"/>
      <c r="R1302" s="64"/>
      <c r="S1302" s="65"/>
      <c r="T1302" s="64"/>
      <c r="U1302" s="370">
        <v>0</v>
      </c>
      <c r="V1302" s="687">
        <v>0</v>
      </c>
      <c r="W1302" s="75"/>
      <c r="X1302" s="75"/>
      <c r="Y1302" s="834">
        <f t="shared" si="264"/>
        <v>0</v>
      </c>
      <c r="Z1302" s="75"/>
      <c r="AA1302" s="75"/>
      <c r="AB1302" s="75"/>
      <c r="AC1302" s="97"/>
      <c r="AD1302" s="97"/>
      <c r="AE1302" s="591"/>
      <c r="AF1302" s="259"/>
      <c r="AG1302" s="510">
        <v>0</v>
      </c>
      <c r="AH1302" s="370">
        <v>0</v>
      </c>
      <c r="AI1302" s="75"/>
      <c r="AJ1302" s="75"/>
      <c r="AK1302" s="75"/>
      <c r="AL1302" s="75"/>
      <c r="AM1302" s="75"/>
      <c r="AN1302" s="64" t="s">
        <v>181</v>
      </c>
      <c r="AO1302" s="64"/>
      <c r="AP1302" s="64"/>
      <c r="AQ1302" s="189"/>
      <c r="AR1302" s="64"/>
      <c r="AS1302" s="476"/>
      <c r="AT1302" s="64"/>
      <c r="AU1302" s="646"/>
      <c r="AV1302" s="185"/>
    </row>
    <row r="1303" spans="1:48" outlineLevel="3" x14ac:dyDescent="0.25">
      <c r="A1303" s="63" t="str">
        <f t="shared" si="225"/>
        <v>4.14.3.11.2.0</v>
      </c>
      <c r="B1303" s="64">
        <v>4</v>
      </c>
      <c r="C1303" s="64">
        <v>14</v>
      </c>
      <c r="D1303" s="64">
        <v>3</v>
      </c>
      <c r="E1303" s="64">
        <v>11</v>
      </c>
      <c r="F1303" s="64">
        <v>2</v>
      </c>
      <c r="G1303" s="64">
        <v>0</v>
      </c>
      <c r="H1303" s="65"/>
      <c r="I1303" s="65"/>
      <c r="J1303" s="66"/>
      <c r="K1303" s="65" t="s">
        <v>1463</v>
      </c>
      <c r="L1303" s="64" t="s">
        <v>1452</v>
      </c>
      <c r="M1303" s="64" t="s">
        <v>1464</v>
      </c>
      <c r="N1303" s="64" t="s">
        <v>1444</v>
      </c>
      <c r="O1303" s="64" t="s">
        <v>1204</v>
      </c>
      <c r="P1303" s="64"/>
      <c r="Q1303" s="64"/>
      <c r="R1303" s="64"/>
      <c r="S1303" s="65"/>
      <c r="T1303" s="64"/>
      <c r="U1303" s="370">
        <v>0</v>
      </c>
      <c r="V1303" s="687">
        <v>0</v>
      </c>
      <c r="W1303" s="75"/>
      <c r="X1303" s="75"/>
      <c r="Y1303" s="834">
        <f t="shared" si="264"/>
        <v>0</v>
      </c>
      <c r="Z1303" s="75"/>
      <c r="AA1303" s="75"/>
      <c r="AB1303" s="75"/>
      <c r="AC1303" s="97"/>
      <c r="AD1303" s="97"/>
      <c r="AE1303" s="591"/>
      <c r="AF1303" s="259"/>
      <c r="AG1303" s="510">
        <v>0</v>
      </c>
      <c r="AH1303" s="370">
        <v>0</v>
      </c>
      <c r="AI1303" s="75"/>
      <c r="AJ1303" s="75"/>
      <c r="AK1303" s="75"/>
      <c r="AL1303" s="75"/>
      <c r="AM1303" s="75"/>
      <c r="AN1303" s="64" t="s">
        <v>181</v>
      </c>
      <c r="AO1303" s="64"/>
      <c r="AP1303" s="64"/>
      <c r="AQ1303" s="189"/>
      <c r="AR1303" s="64"/>
      <c r="AS1303" s="476"/>
      <c r="AT1303" s="64"/>
      <c r="AU1303" s="646"/>
      <c r="AV1303" s="185"/>
    </row>
    <row r="1304" spans="1:48" outlineLevel="3" x14ac:dyDescent="0.25">
      <c r="A1304" s="63" t="str">
        <f t="shared" si="225"/>
        <v>4.14.3.11.3.0</v>
      </c>
      <c r="B1304" s="64">
        <v>4</v>
      </c>
      <c r="C1304" s="64">
        <v>14</v>
      </c>
      <c r="D1304" s="64">
        <v>3</v>
      </c>
      <c r="E1304" s="64">
        <v>11</v>
      </c>
      <c r="F1304" s="64">
        <v>3</v>
      </c>
      <c r="G1304" s="64">
        <v>0</v>
      </c>
      <c r="H1304" s="65"/>
      <c r="I1304" s="65"/>
      <c r="J1304" s="66"/>
      <c r="K1304" s="65" t="s">
        <v>1467</v>
      </c>
      <c r="L1304" s="64" t="s">
        <v>264</v>
      </c>
      <c r="M1304" s="64" t="s">
        <v>144</v>
      </c>
      <c r="N1304" s="64" t="s">
        <v>265</v>
      </c>
      <c r="O1304" s="64" t="s">
        <v>668</v>
      </c>
      <c r="P1304" s="64"/>
      <c r="Q1304" s="64"/>
      <c r="R1304" s="64"/>
      <c r="S1304" s="65"/>
      <c r="T1304" s="64"/>
      <c r="U1304" s="370">
        <v>0</v>
      </c>
      <c r="V1304" s="687">
        <v>0</v>
      </c>
      <c r="W1304" s="75"/>
      <c r="X1304" s="75"/>
      <c r="Y1304" s="834">
        <f t="shared" si="264"/>
        <v>0</v>
      </c>
      <c r="Z1304" s="75"/>
      <c r="AA1304" s="75"/>
      <c r="AB1304" s="75"/>
      <c r="AC1304" s="97"/>
      <c r="AD1304" s="97"/>
      <c r="AE1304" s="591"/>
      <c r="AF1304" s="259"/>
      <c r="AG1304" s="510">
        <v>0</v>
      </c>
      <c r="AH1304" s="370">
        <v>0</v>
      </c>
      <c r="AI1304" s="75"/>
      <c r="AJ1304" s="75"/>
      <c r="AK1304" s="75"/>
      <c r="AL1304" s="75"/>
      <c r="AM1304" s="75"/>
      <c r="AN1304" s="64" t="s">
        <v>181</v>
      </c>
      <c r="AO1304" s="64"/>
      <c r="AP1304" s="64"/>
      <c r="AQ1304" s="189"/>
      <c r="AR1304" s="64"/>
      <c r="AS1304" s="476"/>
      <c r="AT1304" s="64"/>
      <c r="AU1304" s="646"/>
      <c r="AV1304" s="185"/>
    </row>
    <row r="1305" spans="1:48" outlineLevel="3" x14ac:dyDescent="0.25">
      <c r="A1305" s="63" t="str">
        <f t="shared" si="225"/>
        <v>4.14.3.11.4.0</v>
      </c>
      <c r="B1305" s="64">
        <v>4</v>
      </c>
      <c r="C1305" s="64">
        <v>14</v>
      </c>
      <c r="D1305" s="64">
        <v>3</v>
      </c>
      <c r="E1305" s="64">
        <v>11</v>
      </c>
      <c r="F1305" s="64">
        <v>4</v>
      </c>
      <c r="G1305" s="64">
        <v>0</v>
      </c>
      <c r="H1305" s="65"/>
      <c r="I1305" s="65"/>
      <c r="J1305" s="65"/>
      <c r="K1305" s="65" t="s">
        <v>672</v>
      </c>
      <c r="L1305" s="64" t="s">
        <v>264</v>
      </c>
      <c r="M1305" s="64" t="s">
        <v>144</v>
      </c>
      <c r="N1305" s="64" t="s">
        <v>265</v>
      </c>
      <c r="O1305" s="64" t="s">
        <v>668</v>
      </c>
      <c r="P1305" s="64"/>
      <c r="Q1305" s="64"/>
      <c r="R1305" s="64"/>
      <c r="S1305" s="65"/>
      <c r="T1305" s="64"/>
      <c r="U1305" s="370">
        <v>0</v>
      </c>
      <c r="V1305" s="687">
        <v>0</v>
      </c>
      <c r="W1305" s="75"/>
      <c r="X1305" s="75"/>
      <c r="Y1305" s="834">
        <f t="shared" ref="Y1305:Y1320" si="265">+AJ1305-V1305</f>
        <v>0</v>
      </c>
      <c r="Z1305" s="75"/>
      <c r="AA1305" s="75"/>
      <c r="AB1305" s="75"/>
      <c r="AC1305" s="97"/>
      <c r="AD1305" s="97"/>
      <c r="AE1305" s="591"/>
      <c r="AF1305" s="259"/>
      <c r="AG1305" s="510">
        <v>0</v>
      </c>
      <c r="AH1305" s="370">
        <v>0</v>
      </c>
      <c r="AI1305" s="75"/>
      <c r="AJ1305" s="75"/>
      <c r="AK1305" s="75"/>
      <c r="AL1305" s="75"/>
      <c r="AM1305" s="75"/>
      <c r="AN1305" s="64" t="s">
        <v>181</v>
      </c>
      <c r="AO1305" s="64" t="s">
        <v>1839</v>
      </c>
      <c r="AP1305" s="64" t="s">
        <v>649</v>
      </c>
      <c r="AQ1305" s="533" t="s">
        <v>649</v>
      </c>
      <c r="AR1305" s="554">
        <v>44562</v>
      </c>
      <c r="AS1305" s="554">
        <v>44561</v>
      </c>
      <c r="AT1305" s="64" t="s">
        <v>1814</v>
      </c>
      <c r="AU1305" s="646"/>
      <c r="AV1305" s="185"/>
    </row>
    <row r="1306" spans="1:48" s="153" customFormat="1" outlineLevel="2" x14ac:dyDescent="0.25">
      <c r="A1306" s="148" t="str">
        <f t="shared" si="225"/>
        <v>4.14.3.12.0.0</v>
      </c>
      <c r="B1306" s="82">
        <v>4</v>
      </c>
      <c r="C1306" s="82">
        <v>14</v>
      </c>
      <c r="D1306" s="82">
        <v>3</v>
      </c>
      <c r="E1306" s="82">
        <v>12</v>
      </c>
      <c r="F1306" s="82">
        <v>0</v>
      </c>
      <c r="G1306" s="82">
        <v>0</v>
      </c>
      <c r="H1306" s="149"/>
      <c r="I1306" s="149"/>
      <c r="J1306" s="1260" t="s">
        <v>1536</v>
      </c>
      <c r="K1306" s="1259"/>
      <c r="L1306" s="82" t="s">
        <v>1475</v>
      </c>
      <c r="M1306" s="83" t="s">
        <v>1449</v>
      </c>
      <c r="N1306" s="82" t="s">
        <v>1444</v>
      </c>
      <c r="O1306" s="82" t="s">
        <v>1445</v>
      </c>
      <c r="P1306" s="82"/>
      <c r="Q1306" s="82"/>
      <c r="R1306" s="82"/>
      <c r="S1306" s="149"/>
      <c r="T1306" s="82"/>
      <c r="U1306" s="380">
        <f>+SUM(U1307:U1310)</f>
        <v>0</v>
      </c>
      <c r="V1306" s="682">
        <f>+SUM(V1307:V1310)</f>
        <v>0</v>
      </c>
      <c r="W1306" s="152"/>
      <c r="X1306" s="152"/>
      <c r="Y1306" s="834">
        <f t="shared" si="265"/>
        <v>0</v>
      </c>
      <c r="Z1306" s="152"/>
      <c r="AA1306" s="152"/>
      <c r="AB1306" s="152"/>
      <c r="AC1306" s="257"/>
      <c r="AD1306" s="257"/>
      <c r="AE1306" s="611"/>
      <c r="AF1306" s="358"/>
      <c r="AG1306" s="513">
        <f>+SUM(AG1307:AG1310)</f>
        <v>0</v>
      </c>
      <c r="AH1306" s="380">
        <f>+SUM(AH1307:AH1310)</f>
        <v>0</v>
      </c>
      <c r="AI1306" s="198"/>
      <c r="AJ1306" s="198"/>
      <c r="AK1306" s="198"/>
      <c r="AL1306" s="198"/>
      <c r="AM1306" s="198"/>
      <c r="AN1306" s="82" t="s">
        <v>181</v>
      </c>
      <c r="AO1306" s="82"/>
      <c r="AP1306" s="82"/>
      <c r="AQ1306" s="365"/>
      <c r="AR1306" s="82"/>
      <c r="AS1306" s="483"/>
      <c r="AT1306" s="82"/>
      <c r="AU1306" s="666"/>
      <c r="AV1306" s="444"/>
    </row>
    <row r="1307" spans="1:48" ht="15" customHeight="1" outlineLevel="4" x14ac:dyDescent="0.25">
      <c r="A1307" s="63" t="str">
        <f t="shared" si="225"/>
        <v>4.14.3.12.1.0</v>
      </c>
      <c r="B1307" s="64">
        <v>4</v>
      </c>
      <c r="C1307" s="64">
        <v>14</v>
      </c>
      <c r="D1307" s="64">
        <v>3</v>
      </c>
      <c r="E1307" s="64">
        <v>12</v>
      </c>
      <c r="F1307" s="64">
        <v>1</v>
      </c>
      <c r="G1307" s="64">
        <v>0</v>
      </c>
      <c r="H1307" s="65"/>
      <c r="I1307" s="65"/>
      <c r="J1307" s="66"/>
      <c r="K1307" s="65" t="s">
        <v>1451</v>
      </c>
      <c r="L1307" s="64" t="s">
        <v>1452</v>
      </c>
      <c r="M1307" s="64" t="s">
        <v>1453</v>
      </c>
      <c r="N1307" s="64" t="s">
        <v>1444</v>
      </c>
      <c r="O1307" s="64" t="s">
        <v>1204</v>
      </c>
      <c r="P1307" s="64"/>
      <c r="Q1307" s="64"/>
      <c r="R1307" s="64"/>
      <c r="S1307" s="65"/>
      <c r="T1307" s="64"/>
      <c r="U1307" s="370">
        <v>0</v>
      </c>
      <c r="V1307" s="687">
        <v>0</v>
      </c>
      <c r="W1307" s="75"/>
      <c r="X1307" s="75"/>
      <c r="Y1307" s="834">
        <f t="shared" si="265"/>
        <v>0</v>
      </c>
      <c r="Z1307" s="75"/>
      <c r="AA1307" s="75"/>
      <c r="AB1307" s="75"/>
      <c r="AC1307" s="97"/>
      <c r="AD1307" s="97"/>
      <c r="AE1307" s="591"/>
      <c r="AF1307" s="259"/>
      <c r="AG1307" s="510">
        <v>0</v>
      </c>
      <c r="AH1307" s="370">
        <v>0</v>
      </c>
      <c r="AI1307" s="75"/>
      <c r="AJ1307" s="75"/>
      <c r="AK1307" s="75"/>
      <c r="AL1307" s="75"/>
      <c r="AM1307" s="75"/>
      <c r="AN1307" s="64" t="s">
        <v>181</v>
      </c>
      <c r="AO1307" s="64"/>
      <c r="AP1307" s="64"/>
      <c r="AQ1307" s="189"/>
      <c r="AR1307" s="64"/>
      <c r="AS1307" s="476"/>
      <c r="AT1307" s="64"/>
      <c r="AU1307" s="646"/>
      <c r="AV1307" s="185"/>
    </row>
    <row r="1308" spans="1:48" ht="15" customHeight="1" outlineLevel="4" x14ac:dyDescent="0.25">
      <c r="A1308" s="63" t="str">
        <f t="shared" si="225"/>
        <v>4.14.3.12.2.0</v>
      </c>
      <c r="B1308" s="64">
        <v>4</v>
      </c>
      <c r="C1308" s="64">
        <v>14</v>
      </c>
      <c r="D1308" s="64">
        <v>3</v>
      </c>
      <c r="E1308" s="64">
        <v>12</v>
      </c>
      <c r="F1308" s="64">
        <v>2</v>
      </c>
      <c r="G1308" s="64">
        <v>0</v>
      </c>
      <c r="H1308" s="65"/>
      <c r="I1308" s="65"/>
      <c r="J1308" s="66"/>
      <c r="K1308" s="65" t="s">
        <v>1463</v>
      </c>
      <c r="L1308" s="64" t="s">
        <v>1452</v>
      </c>
      <c r="M1308" s="64" t="s">
        <v>1464</v>
      </c>
      <c r="N1308" s="64" t="s">
        <v>1444</v>
      </c>
      <c r="O1308" s="64" t="s">
        <v>1204</v>
      </c>
      <c r="P1308" s="64"/>
      <c r="Q1308" s="64"/>
      <c r="R1308" s="64"/>
      <c r="S1308" s="65"/>
      <c r="T1308" s="64"/>
      <c r="U1308" s="370">
        <v>0</v>
      </c>
      <c r="V1308" s="687">
        <v>0</v>
      </c>
      <c r="W1308" s="75"/>
      <c r="X1308" s="75"/>
      <c r="Y1308" s="834">
        <f t="shared" si="265"/>
        <v>0</v>
      </c>
      <c r="Z1308" s="75"/>
      <c r="AA1308" s="75"/>
      <c r="AB1308" s="75"/>
      <c r="AC1308" s="97"/>
      <c r="AD1308" s="97"/>
      <c r="AE1308" s="591"/>
      <c r="AF1308" s="259"/>
      <c r="AG1308" s="510">
        <v>0</v>
      </c>
      <c r="AH1308" s="370">
        <v>0</v>
      </c>
      <c r="AI1308" s="75"/>
      <c r="AJ1308" s="75"/>
      <c r="AK1308" s="75"/>
      <c r="AL1308" s="75"/>
      <c r="AM1308" s="75"/>
      <c r="AN1308" s="64" t="s">
        <v>181</v>
      </c>
      <c r="AO1308" s="64"/>
      <c r="AP1308" s="64"/>
      <c r="AQ1308" s="189"/>
      <c r="AR1308" s="64"/>
      <c r="AS1308" s="476"/>
      <c r="AT1308" s="64"/>
      <c r="AU1308" s="646"/>
      <c r="AV1308" s="185"/>
    </row>
    <row r="1309" spans="1:48" ht="15" customHeight="1" outlineLevel="4" x14ac:dyDescent="0.25">
      <c r="A1309" s="63" t="str">
        <f t="shared" si="225"/>
        <v>4.14.3.12.3.0</v>
      </c>
      <c r="B1309" s="64">
        <v>4</v>
      </c>
      <c r="C1309" s="64">
        <v>14</v>
      </c>
      <c r="D1309" s="64">
        <v>3</v>
      </c>
      <c r="E1309" s="64">
        <v>12</v>
      </c>
      <c r="F1309" s="64">
        <v>3</v>
      </c>
      <c r="G1309" s="64">
        <v>0</v>
      </c>
      <c r="H1309" s="65"/>
      <c r="I1309" s="65"/>
      <c r="J1309" s="66"/>
      <c r="K1309" s="65" t="s">
        <v>1467</v>
      </c>
      <c r="L1309" s="64" t="s">
        <v>264</v>
      </c>
      <c r="M1309" s="64" t="s">
        <v>144</v>
      </c>
      <c r="N1309" s="64" t="s">
        <v>265</v>
      </c>
      <c r="O1309" s="64" t="s">
        <v>668</v>
      </c>
      <c r="P1309" s="64"/>
      <c r="Q1309" s="64"/>
      <c r="R1309" s="64"/>
      <c r="S1309" s="65"/>
      <c r="T1309" s="64"/>
      <c r="U1309" s="370">
        <v>0</v>
      </c>
      <c r="V1309" s="687">
        <v>0</v>
      </c>
      <c r="W1309" s="75"/>
      <c r="X1309" s="75"/>
      <c r="Y1309" s="834">
        <f t="shared" si="265"/>
        <v>0</v>
      </c>
      <c r="Z1309" s="75"/>
      <c r="AA1309" s="75"/>
      <c r="AB1309" s="75"/>
      <c r="AC1309" s="97"/>
      <c r="AD1309" s="97"/>
      <c r="AE1309" s="591"/>
      <c r="AF1309" s="259"/>
      <c r="AG1309" s="510">
        <v>0</v>
      </c>
      <c r="AH1309" s="370">
        <v>0</v>
      </c>
      <c r="AI1309" s="75"/>
      <c r="AJ1309" s="75"/>
      <c r="AK1309" s="75"/>
      <c r="AL1309" s="75"/>
      <c r="AM1309" s="75"/>
      <c r="AN1309" s="64" t="s">
        <v>181</v>
      </c>
      <c r="AO1309" s="64"/>
      <c r="AP1309" s="64"/>
      <c r="AQ1309" s="189"/>
      <c r="AR1309" s="64"/>
      <c r="AS1309" s="476"/>
      <c r="AT1309" s="64"/>
      <c r="AU1309" s="646"/>
      <c r="AV1309" s="185"/>
    </row>
    <row r="1310" spans="1:48" ht="15" customHeight="1" outlineLevel="4" x14ac:dyDescent="0.25">
      <c r="A1310" s="63" t="str">
        <f t="shared" si="225"/>
        <v>4.14.3.12.4.0</v>
      </c>
      <c r="B1310" s="64">
        <v>4</v>
      </c>
      <c r="C1310" s="64">
        <v>14</v>
      </c>
      <c r="D1310" s="64">
        <v>3</v>
      </c>
      <c r="E1310" s="64">
        <v>12</v>
      </c>
      <c r="F1310" s="64">
        <v>4</v>
      </c>
      <c r="G1310" s="64">
        <v>0</v>
      </c>
      <c r="H1310" s="65"/>
      <c r="I1310" s="65"/>
      <c r="J1310" s="65"/>
      <c r="K1310" s="65" t="s">
        <v>672</v>
      </c>
      <c r="L1310" s="64" t="s">
        <v>264</v>
      </c>
      <c r="M1310" s="64" t="s">
        <v>144</v>
      </c>
      <c r="N1310" s="64" t="s">
        <v>265</v>
      </c>
      <c r="O1310" s="64" t="s">
        <v>668</v>
      </c>
      <c r="P1310" s="64"/>
      <c r="Q1310" s="64"/>
      <c r="R1310" s="64"/>
      <c r="S1310" s="65"/>
      <c r="T1310" s="64"/>
      <c r="U1310" s="370">
        <v>0</v>
      </c>
      <c r="V1310" s="687">
        <v>0</v>
      </c>
      <c r="W1310" s="75"/>
      <c r="X1310" s="75"/>
      <c r="Y1310" s="834">
        <f t="shared" si="265"/>
        <v>0</v>
      </c>
      <c r="Z1310" s="75"/>
      <c r="AA1310" s="75"/>
      <c r="AB1310" s="75"/>
      <c r="AC1310" s="97"/>
      <c r="AD1310" s="97"/>
      <c r="AE1310" s="591"/>
      <c r="AF1310" s="259"/>
      <c r="AG1310" s="510">
        <v>0</v>
      </c>
      <c r="AH1310" s="370">
        <v>0</v>
      </c>
      <c r="AI1310" s="75"/>
      <c r="AJ1310" s="75"/>
      <c r="AK1310" s="75"/>
      <c r="AL1310" s="75"/>
      <c r="AM1310" s="75"/>
      <c r="AN1310" s="64" t="s">
        <v>181</v>
      </c>
      <c r="AO1310" s="64" t="s">
        <v>1839</v>
      </c>
      <c r="AP1310" s="64" t="s">
        <v>649</v>
      </c>
      <c r="AQ1310" s="533" t="s">
        <v>649</v>
      </c>
      <c r="AR1310" s="554">
        <v>44562</v>
      </c>
      <c r="AS1310" s="554">
        <v>44561</v>
      </c>
      <c r="AT1310" s="64" t="s">
        <v>1814</v>
      </c>
      <c r="AU1310" s="646"/>
      <c r="AV1310" s="185"/>
    </row>
    <row r="1311" spans="1:48" s="153" customFormat="1" outlineLevel="2" x14ac:dyDescent="0.25">
      <c r="A1311" s="148" t="str">
        <f t="shared" ref="A1311:A1502" si="266">CONCATENATE(B1311,".",C1311,".",D1311,".",E1311,".",F1311,".",G1311)</f>
        <v>4.14.3.13.0.0</v>
      </c>
      <c r="B1311" s="82">
        <v>4</v>
      </c>
      <c r="C1311" s="82">
        <v>14</v>
      </c>
      <c r="D1311" s="82">
        <v>3</v>
      </c>
      <c r="E1311" s="82">
        <v>13</v>
      </c>
      <c r="F1311" s="82">
        <v>0</v>
      </c>
      <c r="G1311" s="82">
        <v>0</v>
      </c>
      <c r="H1311" s="149"/>
      <c r="I1311" s="149"/>
      <c r="J1311" s="1260" t="s">
        <v>1537</v>
      </c>
      <c r="K1311" s="1259"/>
      <c r="L1311" s="82" t="s">
        <v>1475</v>
      </c>
      <c r="M1311" s="83" t="s">
        <v>1449</v>
      </c>
      <c r="N1311" s="82" t="s">
        <v>1444</v>
      </c>
      <c r="O1311" s="82" t="s">
        <v>1445</v>
      </c>
      <c r="P1311" s="82"/>
      <c r="Q1311" s="82"/>
      <c r="R1311" s="82"/>
      <c r="S1311" s="149"/>
      <c r="T1311" s="82"/>
      <c r="U1311" s="380">
        <f>+SUM(U1312:U1315)</f>
        <v>0</v>
      </c>
      <c r="V1311" s="682">
        <f>+SUM(V1312:V1315)</f>
        <v>0</v>
      </c>
      <c r="W1311" s="152"/>
      <c r="X1311" s="152"/>
      <c r="Y1311" s="834">
        <f t="shared" si="265"/>
        <v>0</v>
      </c>
      <c r="Z1311" s="152"/>
      <c r="AA1311" s="152"/>
      <c r="AB1311" s="152"/>
      <c r="AC1311" s="257"/>
      <c r="AD1311" s="257"/>
      <c r="AE1311" s="611"/>
      <c r="AF1311" s="358"/>
      <c r="AG1311" s="513">
        <f>+SUM(AG1312:AG1315)</f>
        <v>0</v>
      </c>
      <c r="AH1311" s="380">
        <f>+SUM(AH1312:AH1315)</f>
        <v>0</v>
      </c>
      <c r="AI1311" s="198"/>
      <c r="AJ1311" s="198"/>
      <c r="AK1311" s="198"/>
      <c r="AL1311" s="198"/>
      <c r="AM1311" s="198"/>
      <c r="AN1311" s="82" t="s">
        <v>181</v>
      </c>
      <c r="AO1311" s="82"/>
      <c r="AP1311" s="82"/>
      <c r="AQ1311" s="365"/>
      <c r="AR1311" s="82"/>
      <c r="AS1311" s="483"/>
      <c r="AT1311" s="82"/>
      <c r="AU1311" s="666"/>
      <c r="AV1311" s="444"/>
    </row>
    <row r="1312" spans="1:48" ht="15" customHeight="1" outlineLevel="3" x14ac:dyDescent="0.25">
      <c r="A1312" s="63" t="str">
        <f t="shared" si="266"/>
        <v>4.14.3.13.1.0</v>
      </c>
      <c r="B1312" s="64">
        <v>4</v>
      </c>
      <c r="C1312" s="64">
        <v>14</v>
      </c>
      <c r="D1312" s="64">
        <v>3</v>
      </c>
      <c r="E1312" s="64">
        <v>13</v>
      </c>
      <c r="F1312" s="64">
        <v>1</v>
      </c>
      <c r="G1312" s="64">
        <v>0</v>
      </c>
      <c r="H1312" s="65"/>
      <c r="I1312" s="65"/>
      <c r="J1312" s="66"/>
      <c r="K1312" s="65" t="s">
        <v>1451</v>
      </c>
      <c r="L1312" s="64" t="s">
        <v>1452</v>
      </c>
      <c r="M1312" s="64" t="s">
        <v>1453</v>
      </c>
      <c r="N1312" s="64" t="s">
        <v>1444</v>
      </c>
      <c r="O1312" s="64" t="s">
        <v>1204</v>
      </c>
      <c r="P1312" s="64"/>
      <c r="Q1312" s="64"/>
      <c r="R1312" s="64"/>
      <c r="S1312" s="65"/>
      <c r="T1312" s="64"/>
      <c r="U1312" s="370">
        <v>0</v>
      </c>
      <c r="V1312" s="687">
        <v>0</v>
      </c>
      <c r="W1312" s="75"/>
      <c r="X1312" s="75"/>
      <c r="Y1312" s="834">
        <f t="shared" si="265"/>
        <v>0</v>
      </c>
      <c r="Z1312" s="75"/>
      <c r="AA1312" s="75"/>
      <c r="AB1312" s="75"/>
      <c r="AC1312" s="97"/>
      <c r="AD1312" s="97"/>
      <c r="AE1312" s="591"/>
      <c r="AF1312" s="259"/>
      <c r="AG1312" s="510">
        <v>0</v>
      </c>
      <c r="AH1312" s="370">
        <v>0</v>
      </c>
      <c r="AI1312" s="75"/>
      <c r="AJ1312" s="75"/>
      <c r="AK1312" s="75"/>
      <c r="AL1312" s="75"/>
      <c r="AM1312" s="75"/>
      <c r="AN1312" s="64" t="s">
        <v>181</v>
      </c>
      <c r="AO1312" s="64"/>
      <c r="AP1312" s="64"/>
      <c r="AQ1312" s="189"/>
      <c r="AR1312" s="64"/>
      <c r="AS1312" s="476"/>
      <c r="AT1312" s="64"/>
      <c r="AU1312" s="646"/>
      <c r="AV1312" s="185"/>
    </row>
    <row r="1313" spans="1:48" ht="15" customHeight="1" outlineLevel="3" x14ac:dyDescent="0.25">
      <c r="A1313" s="63" t="str">
        <f t="shared" si="266"/>
        <v>4.14.3.13.2.0</v>
      </c>
      <c r="B1313" s="64">
        <v>4</v>
      </c>
      <c r="C1313" s="64">
        <v>14</v>
      </c>
      <c r="D1313" s="64">
        <v>3</v>
      </c>
      <c r="E1313" s="64">
        <v>13</v>
      </c>
      <c r="F1313" s="64">
        <v>2</v>
      </c>
      <c r="G1313" s="64">
        <v>0</v>
      </c>
      <c r="H1313" s="65"/>
      <c r="I1313" s="65"/>
      <c r="J1313" s="66"/>
      <c r="K1313" s="65" t="s">
        <v>1463</v>
      </c>
      <c r="L1313" s="64" t="s">
        <v>1452</v>
      </c>
      <c r="M1313" s="64" t="s">
        <v>1464</v>
      </c>
      <c r="N1313" s="64" t="s">
        <v>1444</v>
      </c>
      <c r="O1313" s="64" t="s">
        <v>1204</v>
      </c>
      <c r="P1313" s="64"/>
      <c r="Q1313" s="64"/>
      <c r="R1313" s="64"/>
      <c r="S1313" s="65"/>
      <c r="T1313" s="64"/>
      <c r="U1313" s="370">
        <v>0</v>
      </c>
      <c r="V1313" s="687">
        <v>0</v>
      </c>
      <c r="W1313" s="75"/>
      <c r="X1313" s="75"/>
      <c r="Y1313" s="834">
        <f t="shared" si="265"/>
        <v>0</v>
      </c>
      <c r="Z1313" s="75"/>
      <c r="AA1313" s="75"/>
      <c r="AB1313" s="75"/>
      <c r="AC1313" s="97"/>
      <c r="AD1313" s="97"/>
      <c r="AE1313" s="591"/>
      <c r="AF1313" s="259"/>
      <c r="AG1313" s="510">
        <v>0</v>
      </c>
      <c r="AH1313" s="370">
        <v>0</v>
      </c>
      <c r="AI1313" s="75"/>
      <c r="AJ1313" s="75"/>
      <c r="AK1313" s="75"/>
      <c r="AL1313" s="75"/>
      <c r="AM1313" s="75"/>
      <c r="AN1313" s="64" t="s">
        <v>181</v>
      </c>
      <c r="AO1313" s="64"/>
      <c r="AP1313" s="64"/>
      <c r="AQ1313" s="189"/>
      <c r="AR1313" s="64"/>
      <c r="AS1313" s="476"/>
      <c r="AT1313" s="64"/>
      <c r="AU1313" s="646"/>
      <c r="AV1313" s="185"/>
    </row>
    <row r="1314" spans="1:48" ht="15" customHeight="1" outlineLevel="3" x14ac:dyDescent="0.25">
      <c r="A1314" s="63" t="str">
        <f t="shared" si="266"/>
        <v>4.14.3.13.3.0</v>
      </c>
      <c r="B1314" s="64">
        <v>4</v>
      </c>
      <c r="C1314" s="64">
        <v>14</v>
      </c>
      <c r="D1314" s="64">
        <v>3</v>
      </c>
      <c r="E1314" s="64">
        <v>13</v>
      </c>
      <c r="F1314" s="64">
        <v>3</v>
      </c>
      <c r="G1314" s="64">
        <v>0</v>
      </c>
      <c r="H1314" s="65"/>
      <c r="I1314" s="65"/>
      <c r="J1314" s="66"/>
      <c r="K1314" s="65" t="s">
        <v>1467</v>
      </c>
      <c r="L1314" s="64" t="s">
        <v>264</v>
      </c>
      <c r="M1314" s="64" t="s">
        <v>144</v>
      </c>
      <c r="N1314" s="64" t="s">
        <v>265</v>
      </c>
      <c r="O1314" s="64" t="s">
        <v>668</v>
      </c>
      <c r="P1314" s="64"/>
      <c r="Q1314" s="64"/>
      <c r="R1314" s="64"/>
      <c r="S1314" s="65"/>
      <c r="T1314" s="64"/>
      <c r="U1314" s="370">
        <v>0</v>
      </c>
      <c r="V1314" s="687">
        <v>0</v>
      </c>
      <c r="W1314" s="75"/>
      <c r="X1314" s="75"/>
      <c r="Y1314" s="834">
        <f t="shared" si="265"/>
        <v>0</v>
      </c>
      <c r="Z1314" s="75"/>
      <c r="AA1314" s="75"/>
      <c r="AB1314" s="75"/>
      <c r="AC1314" s="97"/>
      <c r="AD1314" s="97"/>
      <c r="AE1314" s="591"/>
      <c r="AF1314" s="259"/>
      <c r="AG1314" s="510">
        <v>0</v>
      </c>
      <c r="AH1314" s="370">
        <v>0</v>
      </c>
      <c r="AI1314" s="75"/>
      <c r="AJ1314" s="75"/>
      <c r="AK1314" s="75"/>
      <c r="AL1314" s="75"/>
      <c r="AM1314" s="75"/>
      <c r="AN1314" s="64" t="s">
        <v>181</v>
      </c>
      <c r="AO1314" s="64"/>
      <c r="AP1314" s="64"/>
      <c r="AQ1314" s="189"/>
      <c r="AR1314" s="64"/>
      <c r="AS1314" s="476"/>
      <c r="AT1314" s="64"/>
      <c r="AU1314" s="646"/>
      <c r="AV1314" s="185"/>
    </row>
    <row r="1315" spans="1:48" ht="15" customHeight="1" outlineLevel="3" x14ac:dyDescent="0.25">
      <c r="A1315" s="63" t="str">
        <f t="shared" si="266"/>
        <v>4.14.3.13.4.0</v>
      </c>
      <c r="B1315" s="64">
        <v>4</v>
      </c>
      <c r="C1315" s="64">
        <v>14</v>
      </c>
      <c r="D1315" s="64">
        <v>3</v>
      </c>
      <c r="E1315" s="64">
        <v>13</v>
      </c>
      <c r="F1315" s="64">
        <v>4</v>
      </c>
      <c r="G1315" s="64">
        <v>0</v>
      </c>
      <c r="H1315" s="65"/>
      <c r="I1315" s="65"/>
      <c r="J1315" s="65"/>
      <c r="K1315" s="65" t="s">
        <v>672</v>
      </c>
      <c r="L1315" s="64" t="s">
        <v>264</v>
      </c>
      <c r="M1315" s="64" t="s">
        <v>144</v>
      </c>
      <c r="N1315" s="64" t="s">
        <v>265</v>
      </c>
      <c r="O1315" s="64" t="s">
        <v>668</v>
      </c>
      <c r="P1315" s="64"/>
      <c r="Q1315" s="64"/>
      <c r="R1315" s="64"/>
      <c r="S1315" s="65"/>
      <c r="T1315" s="64"/>
      <c r="U1315" s="370">
        <v>0</v>
      </c>
      <c r="V1315" s="687">
        <v>0</v>
      </c>
      <c r="W1315" s="75"/>
      <c r="X1315" s="75"/>
      <c r="Y1315" s="834">
        <f t="shared" si="265"/>
        <v>0</v>
      </c>
      <c r="Z1315" s="75"/>
      <c r="AA1315" s="75"/>
      <c r="AB1315" s="75"/>
      <c r="AC1315" s="97"/>
      <c r="AD1315" s="97"/>
      <c r="AE1315" s="591"/>
      <c r="AF1315" s="259"/>
      <c r="AG1315" s="510">
        <v>0</v>
      </c>
      <c r="AH1315" s="370">
        <v>0</v>
      </c>
      <c r="AI1315" s="75"/>
      <c r="AJ1315" s="75"/>
      <c r="AK1315" s="75"/>
      <c r="AL1315" s="75"/>
      <c r="AM1315" s="75"/>
      <c r="AN1315" s="64" t="s">
        <v>181</v>
      </c>
      <c r="AO1315" s="64" t="s">
        <v>1839</v>
      </c>
      <c r="AP1315" s="64" t="s">
        <v>649</v>
      </c>
      <c r="AQ1315" s="533" t="s">
        <v>649</v>
      </c>
      <c r="AR1315" s="554">
        <v>44562</v>
      </c>
      <c r="AS1315" s="554">
        <v>44561</v>
      </c>
      <c r="AT1315" s="64" t="s">
        <v>1814</v>
      </c>
      <c r="AU1315" s="646"/>
      <c r="AV1315" s="185"/>
    </row>
    <row r="1316" spans="1:48" s="153" customFormat="1" outlineLevel="2" x14ac:dyDescent="0.25">
      <c r="A1316" s="148" t="str">
        <f t="shared" si="266"/>
        <v>4.14.3.14.0.0</v>
      </c>
      <c r="B1316" s="82">
        <v>4</v>
      </c>
      <c r="C1316" s="82">
        <v>14</v>
      </c>
      <c r="D1316" s="82">
        <v>3</v>
      </c>
      <c r="E1316" s="82">
        <v>14</v>
      </c>
      <c r="F1316" s="82">
        <v>0</v>
      </c>
      <c r="G1316" s="82">
        <v>0</v>
      </c>
      <c r="H1316" s="149"/>
      <c r="I1316" s="149"/>
      <c r="J1316" s="1260" t="s">
        <v>1538</v>
      </c>
      <c r="K1316" s="1259"/>
      <c r="L1316" s="82" t="s">
        <v>1475</v>
      </c>
      <c r="M1316" s="83" t="s">
        <v>1449</v>
      </c>
      <c r="N1316" s="82" t="s">
        <v>1444</v>
      </c>
      <c r="O1316" s="82" t="s">
        <v>1445</v>
      </c>
      <c r="P1316" s="82"/>
      <c r="Q1316" s="82"/>
      <c r="R1316" s="82"/>
      <c r="S1316" s="149"/>
      <c r="T1316" s="82"/>
      <c r="U1316" s="380">
        <f>+SUM(U1317:U1320)</f>
        <v>0</v>
      </c>
      <c r="V1316" s="682">
        <f>+SUM(V1317:V1320)</f>
        <v>0</v>
      </c>
      <c r="W1316" s="152"/>
      <c r="X1316" s="152"/>
      <c r="Y1316" s="834">
        <f t="shared" si="265"/>
        <v>0</v>
      </c>
      <c r="Z1316" s="152"/>
      <c r="AA1316" s="152"/>
      <c r="AB1316" s="152"/>
      <c r="AC1316" s="257"/>
      <c r="AD1316" s="257"/>
      <c r="AE1316" s="611"/>
      <c r="AF1316" s="358"/>
      <c r="AG1316" s="513">
        <f>+SUM(AG1317:AG1320)</f>
        <v>0</v>
      </c>
      <c r="AH1316" s="380">
        <f>+SUM(AH1317:AH1320)</f>
        <v>0</v>
      </c>
      <c r="AI1316" s="198"/>
      <c r="AJ1316" s="198"/>
      <c r="AK1316" s="198"/>
      <c r="AL1316" s="198"/>
      <c r="AM1316" s="198"/>
      <c r="AN1316" s="82" t="s">
        <v>181</v>
      </c>
      <c r="AO1316" s="82"/>
      <c r="AP1316" s="82"/>
      <c r="AQ1316" s="365"/>
      <c r="AR1316" s="82"/>
      <c r="AS1316" s="483"/>
      <c r="AT1316" s="82"/>
      <c r="AU1316" s="666"/>
      <c r="AV1316" s="444"/>
    </row>
    <row r="1317" spans="1:48" ht="15" customHeight="1" outlineLevel="3" x14ac:dyDescent="0.25">
      <c r="A1317" s="63" t="str">
        <f t="shared" si="266"/>
        <v>4.14.3.14.1.0</v>
      </c>
      <c r="B1317" s="64">
        <v>4</v>
      </c>
      <c r="C1317" s="64">
        <v>14</v>
      </c>
      <c r="D1317" s="64">
        <v>3</v>
      </c>
      <c r="E1317" s="64">
        <v>14</v>
      </c>
      <c r="F1317" s="64">
        <v>1</v>
      </c>
      <c r="G1317" s="64">
        <v>0</v>
      </c>
      <c r="H1317" s="65"/>
      <c r="I1317" s="65"/>
      <c r="J1317" s="66"/>
      <c r="K1317" s="65" t="s">
        <v>1451</v>
      </c>
      <c r="L1317" s="64" t="s">
        <v>1452</v>
      </c>
      <c r="M1317" s="64" t="s">
        <v>1453</v>
      </c>
      <c r="N1317" s="64" t="s">
        <v>1444</v>
      </c>
      <c r="O1317" s="64" t="s">
        <v>1204</v>
      </c>
      <c r="P1317" s="64"/>
      <c r="Q1317" s="64"/>
      <c r="R1317" s="64"/>
      <c r="S1317" s="65"/>
      <c r="T1317" s="64"/>
      <c r="U1317" s="370">
        <v>0</v>
      </c>
      <c r="V1317" s="687">
        <v>0</v>
      </c>
      <c r="W1317" s="75"/>
      <c r="X1317" s="75"/>
      <c r="Y1317" s="834">
        <f t="shared" si="265"/>
        <v>0</v>
      </c>
      <c r="Z1317" s="75"/>
      <c r="AA1317" s="75"/>
      <c r="AB1317" s="75"/>
      <c r="AC1317" s="97"/>
      <c r="AD1317" s="97"/>
      <c r="AE1317" s="591"/>
      <c r="AF1317" s="259"/>
      <c r="AG1317" s="510">
        <v>0</v>
      </c>
      <c r="AH1317" s="370">
        <v>0</v>
      </c>
      <c r="AI1317" s="75"/>
      <c r="AJ1317" s="75"/>
      <c r="AK1317" s="75"/>
      <c r="AL1317" s="75"/>
      <c r="AM1317" s="75"/>
      <c r="AN1317" s="64" t="s">
        <v>181</v>
      </c>
      <c r="AO1317" s="64"/>
      <c r="AP1317" s="64"/>
      <c r="AQ1317" s="189"/>
      <c r="AR1317" s="64"/>
      <c r="AS1317" s="476"/>
      <c r="AT1317" s="64"/>
      <c r="AU1317" s="646"/>
      <c r="AV1317" s="185"/>
    </row>
    <row r="1318" spans="1:48" ht="15" customHeight="1" outlineLevel="3" x14ac:dyDescent="0.25">
      <c r="A1318" s="63" t="str">
        <f t="shared" si="266"/>
        <v>4.14.3.14.2.0</v>
      </c>
      <c r="B1318" s="64">
        <v>4</v>
      </c>
      <c r="C1318" s="64">
        <v>14</v>
      </c>
      <c r="D1318" s="64">
        <v>3</v>
      </c>
      <c r="E1318" s="64">
        <v>14</v>
      </c>
      <c r="F1318" s="64">
        <v>2</v>
      </c>
      <c r="G1318" s="64">
        <v>0</v>
      </c>
      <c r="H1318" s="65"/>
      <c r="I1318" s="65"/>
      <c r="J1318" s="66"/>
      <c r="K1318" s="65" t="s">
        <v>1463</v>
      </c>
      <c r="L1318" s="64" t="s">
        <v>1452</v>
      </c>
      <c r="M1318" s="64" t="s">
        <v>1464</v>
      </c>
      <c r="N1318" s="64" t="s">
        <v>1444</v>
      </c>
      <c r="O1318" s="64" t="s">
        <v>1204</v>
      </c>
      <c r="P1318" s="64"/>
      <c r="Q1318" s="64"/>
      <c r="R1318" s="64"/>
      <c r="S1318" s="65"/>
      <c r="T1318" s="64"/>
      <c r="U1318" s="370">
        <v>0</v>
      </c>
      <c r="V1318" s="687">
        <v>0</v>
      </c>
      <c r="W1318" s="75"/>
      <c r="X1318" s="75"/>
      <c r="Y1318" s="834">
        <f t="shared" si="265"/>
        <v>0</v>
      </c>
      <c r="Z1318" s="75"/>
      <c r="AA1318" s="75"/>
      <c r="AB1318" s="75"/>
      <c r="AC1318" s="97"/>
      <c r="AD1318" s="97"/>
      <c r="AE1318" s="591"/>
      <c r="AF1318" s="259"/>
      <c r="AG1318" s="510">
        <v>0</v>
      </c>
      <c r="AH1318" s="370">
        <v>0</v>
      </c>
      <c r="AI1318" s="75"/>
      <c r="AJ1318" s="75"/>
      <c r="AK1318" s="75"/>
      <c r="AL1318" s="75"/>
      <c r="AM1318" s="75"/>
      <c r="AN1318" s="64" t="s">
        <v>181</v>
      </c>
      <c r="AO1318" s="64"/>
      <c r="AP1318" s="64"/>
      <c r="AQ1318" s="189"/>
      <c r="AR1318" s="64"/>
      <c r="AS1318" s="476"/>
      <c r="AT1318" s="64"/>
      <c r="AU1318" s="646"/>
      <c r="AV1318" s="185"/>
    </row>
    <row r="1319" spans="1:48" ht="15" customHeight="1" outlineLevel="3" x14ac:dyDescent="0.25">
      <c r="A1319" s="63" t="str">
        <f t="shared" si="266"/>
        <v>4.14.3.14.3.0</v>
      </c>
      <c r="B1319" s="64">
        <v>4</v>
      </c>
      <c r="C1319" s="64">
        <v>14</v>
      </c>
      <c r="D1319" s="64">
        <v>3</v>
      </c>
      <c r="E1319" s="64">
        <v>14</v>
      </c>
      <c r="F1319" s="64">
        <v>3</v>
      </c>
      <c r="G1319" s="64">
        <v>0</v>
      </c>
      <c r="H1319" s="65"/>
      <c r="I1319" s="65"/>
      <c r="J1319" s="66"/>
      <c r="K1319" s="65" t="s">
        <v>1467</v>
      </c>
      <c r="L1319" s="64" t="s">
        <v>264</v>
      </c>
      <c r="M1319" s="64" t="s">
        <v>144</v>
      </c>
      <c r="N1319" s="64" t="s">
        <v>265</v>
      </c>
      <c r="O1319" s="64" t="s">
        <v>668</v>
      </c>
      <c r="P1319" s="64"/>
      <c r="Q1319" s="64"/>
      <c r="R1319" s="64"/>
      <c r="S1319" s="65"/>
      <c r="T1319" s="64"/>
      <c r="U1319" s="370">
        <v>0</v>
      </c>
      <c r="V1319" s="687">
        <v>0</v>
      </c>
      <c r="W1319" s="75"/>
      <c r="X1319" s="75"/>
      <c r="Y1319" s="834">
        <f t="shared" si="265"/>
        <v>0</v>
      </c>
      <c r="Z1319" s="75"/>
      <c r="AA1319" s="75"/>
      <c r="AB1319" s="75"/>
      <c r="AC1319" s="97"/>
      <c r="AD1319" s="97"/>
      <c r="AE1319" s="591"/>
      <c r="AF1319" s="259"/>
      <c r="AG1319" s="510">
        <v>0</v>
      </c>
      <c r="AH1319" s="370">
        <v>0</v>
      </c>
      <c r="AI1319" s="75"/>
      <c r="AJ1319" s="75"/>
      <c r="AK1319" s="75"/>
      <c r="AL1319" s="75"/>
      <c r="AM1319" s="75"/>
      <c r="AN1319" s="64" t="s">
        <v>181</v>
      </c>
      <c r="AO1319" s="64"/>
      <c r="AP1319" s="64"/>
      <c r="AQ1319" s="189"/>
      <c r="AR1319" s="64"/>
      <c r="AS1319" s="476"/>
      <c r="AT1319" s="64"/>
      <c r="AU1319" s="646"/>
      <c r="AV1319" s="185"/>
    </row>
    <row r="1320" spans="1:48" ht="15" customHeight="1" outlineLevel="3" x14ac:dyDescent="0.25">
      <c r="A1320" s="63" t="str">
        <f t="shared" si="266"/>
        <v>4.14.3.14.4.0</v>
      </c>
      <c r="B1320" s="64">
        <v>4</v>
      </c>
      <c r="C1320" s="64">
        <v>14</v>
      </c>
      <c r="D1320" s="64">
        <v>3</v>
      </c>
      <c r="E1320" s="64">
        <v>14</v>
      </c>
      <c r="F1320" s="64">
        <v>4</v>
      </c>
      <c r="G1320" s="64">
        <v>0</v>
      </c>
      <c r="H1320" s="65"/>
      <c r="I1320" s="65"/>
      <c r="J1320" s="65"/>
      <c r="K1320" s="65" t="s">
        <v>672</v>
      </c>
      <c r="L1320" s="64" t="s">
        <v>264</v>
      </c>
      <c r="M1320" s="64" t="s">
        <v>144</v>
      </c>
      <c r="N1320" s="64" t="s">
        <v>265</v>
      </c>
      <c r="O1320" s="64" t="s">
        <v>668</v>
      </c>
      <c r="P1320" s="64"/>
      <c r="Q1320" s="64"/>
      <c r="R1320" s="64"/>
      <c r="S1320" s="65"/>
      <c r="T1320" s="64"/>
      <c r="U1320" s="370">
        <v>0</v>
      </c>
      <c r="V1320" s="687">
        <v>0</v>
      </c>
      <c r="W1320" s="75"/>
      <c r="X1320" s="75"/>
      <c r="Y1320" s="834">
        <f t="shared" si="265"/>
        <v>0</v>
      </c>
      <c r="Z1320" s="75"/>
      <c r="AA1320" s="75"/>
      <c r="AB1320" s="75"/>
      <c r="AC1320" s="97"/>
      <c r="AD1320" s="97"/>
      <c r="AE1320" s="591"/>
      <c r="AF1320" s="259"/>
      <c r="AG1320" s="510">
        <v>0</v>
      </c>
      <c r="AH1320" s="370">
        <v>0</v>
      </c>
      <c r="AI1320" s="75"/>
      <c r="AJ1320" s="75"/>
      <c r="AK1320" s="75"/>
      <c r="AL1320" s="75"/>
      <c r="AM1320" s="75"/>
      <c r="AN1320" s="64" t="s">
        <v>181</v>
      </c>
      <c r="AO1320" s="64" t="s">
        <v>1839</v>
      </c>
      <c r="AP1320" s="64" t="s">
        <v>649</v>
      </c>
      <c r="AQ1320" s="533" t="s">
        <v>649</v>
      </c>
      <c r="AR1320" s="554">
        <v>44562</v>
      </c>
      <c r="AS1320" s="554">
        <v>44561</v>
      </c>
      <c r="AT1320" s="64" t="s">
        <v>1814</v>
      </c>
      <c r="AU1320" s="646"/>
      <c r="AV1320" s="185"/>
    </row>
    <row r="1321" spans="1:48" s="153" customFormat="1" ht="53.25" customHeight="1" outlineLevel="2" x14ac:dyDescent="0.25">
      <c r="A1321" s="108" t="str">
        <f t="shared" si="266"/>
        <v>4.15.3.0.0.0</v>
      </c>
      <c r="B1321" s="109">
        <v>4</v>
      </c>
      <c r="C1321" s="109">
        <v>15</v>
      </c>
      <c r="D1321" s="109">
        <v>3</v>
      </c>
      <c r="E1321" s="109">
        <v>0</v>
      </c>
      <c r="F1321" s="109">
        <v>0</v>
      </c>
      <c r="G1321" s="109">
        <v>0</v>
      </c>
      <c r="H1321" s="110"/>
      <c r="I1321" s="1258" t="s">
        <v>1539</v>
      </c>
      <c r="J1321" s="1259"/>
      <c r="K1321" s="1259"/>
      <c r="L1321" s="109" t="s">
        <v>1540</v>
      </c>
      <c r="M1321" s="109">
        <v>0</v>
      </c>
      <c r="N1321" s="109">
        <v>0</v>
      </c>
      <c r="O1321" s="109">
        <v>0</v>
      </c>
      <c r="P1321" s="109"/>
      <c r="Q1321" s="109"/>
      <c r="R1321" s="109"/>
      <c r="S1321" s="110"/>
      <c r="T1321" s="109"/>
      <c r="U1321" s="112">
        <f>+U1322+U1345</f>
        <v>1056900</v>
      </c>
      <c r="V1321" s="680">
        <f>+V1322+V1345</f>
        <v>982200</v>
      </c>
      <c r="W1321" s="385">
        <f t="shared" ref="W1321:AG1321" si="267">+W1322+W1345</f>
        <v>0</v>
      </c>
      <c r="X1321" s="385">
        <f t="shared" si="267"/>
        <v>1056900</v>
      </c>
      <c r="Y1321" s="854">
        <f t="shared" si="267"/>
        <v>982200</v>
      </c>
      <c r="Z1321" s="385">
        <f t="shared" si="267"/>
        <v>0</v>
      </c>
      <c r="AA1321" s="385">
        <f t="shared" si="267"/>
        <v>0</v>
      </c>
      <c r="AB1321" s="385">
        <f t="shared" si="267"/>
        <v>0</v>
      </c>
      <c r="AC1321" s="385">
        <f t="shared" si="267"/>
        <v>0</v>
      </c>
      <c r="AD1321" s="385">
        <f t="shared" si="267"/>
        <v>0</v>
      </c>
      <c r="AE1321" s="385">
        <f t="shared" si="267"/>
        <v>0</v>
      </c>
      <c r="AF1321" s="385">
        <f t="shared" si="267"/>
        <v>0</v>
      </c>
      <c r="AG1321" s="385">
        <f t="shared" si="267"/>
        <v>2113800</v>
      </c>
      <c r="AH1321" s="385">
        <f>+AH1322+AH1345</f>
        <v>2113800</v>
      </c>
      <c r="AI1321" s="521">
        <f>+AI1322+AI1345</f>
        <v>0</v>
      </c>
      <c r="AJ1321" s="521">
        <f>+AJ1322+AJ1345</f>
        <v>1964400</v>
      </c>
      <c r="AK1321" s="217"/>
      <c r="AL1321" s="217"/>
      <c r="AM1321" s="217"/>
      <c r="AN1321" s="109" t="s">
        <v>181</v>
      </c>
      <c r="AO1321" s="109"/>
      <c r="AP1321" s="109"/>
      <c r="AQ1321" s="411"/>
      <c r="AR1321" s="109"/>
      <c r="AS1321" s="473"/>
      <c r="AT1321" s="109"/>
      <c r="AU1321" s="659"/>
      <c r="AV1321" s="429" t="s">
        <v>1800</v>
      </c>
    </row>
    <row r="1322" spans="1:48" s="153" customFormat="1" ht="15" customHeight="1" outlineLevel="2" x14ac:dyDescent="0.25">
      <c r="A1322" s="148" t="str">
        <f t="shared" si="266"/>
        <v>4.15.3.1.0.0</v>
      </c>
      <c r="B1322" s="82">
        <v>4</v>
      </c>
      <c r="C1322" s="82">
        <v>15</v>
      </c>
      <c r="D1322" s="82">
        <v>3</v>
      </c>
      <c r="E1322" s="82">
        <v>1</v>
      </c>
      <c r="F1322" s="82">
        <v>0</v>
      </c>
      <c r="G1322" s="82">
        <v>0</v>
      </c>
      <c r="H1322" s="149"/>
      <c r="I1322" s="149"/>
      <c r="J1322" s="1260" t="s">
        <v>1541</v>
      </c>
      <c r="K1322" s="1259"/>
      <c r="L1322" s="82" t="s">
        <v>1540</v>
      </c>
      <c r="M1322" s="82">
        <v>0</v>
      </c>
      <c r="N1322" s="82">
        <v>0</v>
      </c>
      <c r="O1322" s="82">
        <v>0</v>
      </c>
      <c r="P1322" s="82"/>
      <c r="Q1322" s="82"/>
      <c r="R1322" s="82"/>
      <c r="S1322" s="149"/>
      <c r="T1322" s="82"/>
      <c r="U1322" s="380">
        <f>SUM(U1323:U1344)</f>
        <v>0</v>
      </c>
      <c r="V1322" s="682">
        <f>SUM(V1323:V1344)</f>
        <v>0</v>
      </c>
      <c r="W1322" s="380">
        <f t="shared" ref="W1322:AG1322" si="268">SUM(W1323:W1344)</f>
        <v>0</v>
      </c>
      <c r="X1322" s="380">
        <f t="shared" si="268"/>
        <v>0</v>
      </c>
      <c r="Y1322" s="845">
        <f t="shared" si="268"/>
        <v>0</v>
      </c>
      <c r="Z1322" s="380">
        <f t="shared" si="268"/>
        <v>0</v>
      </c>
      <c r="AA1322" s="380">
        <f t="shared" si="268"/>
        <v>0</v>
      </c>
      <c r="AB1322" s="380">
        <f t="shared" si="268"/>
        <v>0</v>
      </c>
      <c r="AC1322" s="380">
        <f t="shared" si="268"/>
        <v>0</v>
      </c>
      <c r="AD1322" s="380">
        <f t="shared" si="268"/>
        <v>0</v>
      </c>
      <c r="AE1322" s="380">
        <f t="shared" si="268"/>
        <v>0</v>
      </c>
      <c r="AF1322" s="380">
        <f t="shared" si="268"/>
        <v>0</v>
      </c>
      <c r="AG1322" s="380">
        <f t="shared" si="268"/>
        <v>0</v>
      </c>
      <c r="AH1322" s="380">
        <f>SUM(AH1323:AH1344)</f>
        <v>0</v>
      </c>
      <c r="AI1322" s="513">
        <f>SUM(AI1323:AI1344)</f>
        <v>0</v>
      </c>
      <c r="AJ1322" s="513">
        <f>SUM(AJ1323:AJ1344)</f>
        <v>0</v>
      </c>
      <c r="AK1322" s="198"/>
      <c r="AL1322" s="198"/>
      <c r="AM1322" s="198"/>
      <c r="AN1322" s="82" t="s">
        <v>181</v>
      </c>
      <c r="AO1322" s="82"/>
      <c r="AP1322" s="82"/>
      <c r="AQ1322" s="365"/>
      <c r="AR1322" s="82"/>
      <c r="AS1322" s="483"/>
      <c r="AT1322" s="82"/>
      <c r="AU1322" s="666"/>
      <c r="AV1322" s="444"/>
    </row>
    <row r="1323" spans="1:48" ht="30" outlineLevel="3" x14ac:dyDescent="0.25">
      <c r="A1323" s="63" t="str">
        <f t="shared" si="266"/>
        <v>4.15.3.1.1.58-64</v>
      </c>
      <c r="B1323" s="64">
        <v>4</v>
      </c>
      <c r="C1323" s="64">
        <v>15</v>
      </c>
      <c r="D1323" s="64">
        <v>3</v>
      </c>
      <c r="E1323" s="64">
        <v>1</v>
      </c>
      <c r="F1323" s="64">
        <v>1</v>
      </c>
      <c r="G1323" s="64" t="s">
        <v>64</v>
      </c>
      <c r="H1323" s="65"/>
      <c r="I1323" s="65"/>
      <c r="J1323" s="66"/>
      <c r="K1323" s="67" t="s">
        <v>1542</v>
      </c>
      <c r="L1323" s="64" t="s">
        <v>1540</v>
      </c>
      <c r="M1323" s="68" t="s">
        <v>1543</v>
      </c>
      <c r="N1323" s="64" t="s">
        <v>47</v>
      </c>
      <c r="O1323" s="64" t="s">
        <v>1544</v>
      </c>
      <c r="P1323" s="64"/>
      <c r="Q1323" s="69"/>
      <c r="R1323" s="69"/>
      <c r="S1323" s="65"/>
      <c r="T1323" s="64"/>
      <c r="U1323" s="370">
        <v>0</v>
      </c>
      <c r="V1323" s="674">
        <v>0</v>
      </c>
      <c r="W1323" s="75"/>
      <c r="X1323" s="75"/>
      <c r="Y1323" s="834">
        <f t="shared" ref="Y1323:Y1344" si="269">+AJ1323-V1323</f>
        <v>0</v>
      </c>
      <c r="Z1323" s="75"/>
      <c r="AA1323" s="75"/>
      <c r="AB1323" s="75"/>
      <c r="AC1323" s="97"/>
      <c r="AD1323" s="97"/>
      <c r="AE1323" s="591"/>
      <c r="AF1323" s="259"/>
      <c r="AG1323" s="510">
        <v>0</v>
      </c>
      <c r="AH1323" s="370">
        <v>0</v>
      </c>
      <c r="AI1323" s="75"/>
      <c r="AJ1323" s="75"/>
      <c r="AK1323" s="75"/>
      <c r="AL1323" s="75"/>
      <c r="AM1323" s="75"/>
      <c r="AN1323" s="64" t="s">
        <v>181</v>
      </c>
      <c r="AO1323" s="64"/>
      <c r="AP1323" s="64"/>
      <c r="AQ1323" s="189"/>
      <c r="AR1323" s="64"/>
      <c r="AS1323" s="476"/>
      <c r="AT1323" s="64"/>
      <c r="AU1323" s="646"/>
      <c r="AV1323" s="185"/>
    </row>
    <row r="1324" spans="1:48" ht="30" outlineLevel="3" x14ac:dyDescent="0.25">
      <c r="A1324" s="63" t="str">
        <f t="shared" si="266"/>
        <v>4.15.3.1.2.58-64</v>
      </c>
      <c r="B1324" s="64">
        <v>4</v>
      </c>
      <c r="C1324" s="64">
        <v>15</v>
      </c>
      <c r="D1324" s="64">
        <v>3</v>
      </c>
      <c r="E1324" s="64">
        <v>1</v>
      </c>
      <c r="F1324" s="64">
        <v>2</v>
      </c>
      <c r="G1324" s="64" t="s">
        <v>64</v>
      </c>
      <c r="H1324" s="65"/>
      <c r="I1324" s="65"/>
      <c r="J1324" s="66"/>
      <c r="K1324" s="65" t="s">
        <v>1545</v>
      </c>
      <c r="L1324" s="64" t="s">
        <v>1540</v>
      </c>
      <c r="M1324" s="68" t="s">
        <v>1543</v>
      </c>
      <c r="N1324" s="64" t="s">
        <v>47</v>
      </c>
      <c r="O1324" s="64" t="s">
        <v>1544</v>
      </c>
      <c r="P1324" s="64"/>
      <c r="Q1324" s="69"/>
      <c r="R1324" s="69"/>
      <c r="S1324" s="65"/>
      <c r="T1324" s="64"/>
      <c r="U1324" s="370">
        <v>0</v>
      </c>
      <c r="V1324" s="674">
        <v>0</v>
      </c>
      <c r="W1324" s="75"/>
      <c r="X1324" s="75"/>
      <c r="Y1324" s="834">
        <f t="shared" si="269"/>
        <v>0</v>
      </c>
      <c r="Z1324" s="75"/>
      <c r="AA1324" s="75"/>
      <c r="AB1324" s="75"/>
      <c r="AC1324" s="97"/>
      <c r="AD1324" s="97"/>
      <c r="AE1324" s="591"/>
      <c r="AF1324" s="259"/>
      <c r="AG1324" s="510">
        <v>0</v>
      </c>
      <c r="AH1324" s="370">
        <v>0</v>
      </c>
      <c r="AI1324" s="75"/>
      <c r="AJ1324" s="75"/>
      <c r="AK1324" s="75"/>
      <c r="AL1324" s="75"/>
      <c r="AM1324" s="75"/>
      <c r="AN1324" s="64" t="s">
        <v>181</v>
      </c>
      <c r="AO1324" s="64"/>
      <c r="AP1324" s="64"/>
      <c r="AQ1324" s="189"/>
      <c r="AR1324" s="64"/>
      <c r="AS1324" s="476"/>
      <c r="AT1324" s="64"/>
      <c r="AU1324" s="646"/>
      <c r="AV1324" s="185"/>
    </row>
    <row r="1325" spans="1:48" ht="30" outlineLevel="3" x14ac:dyDescent="0.25">
      <c r="A1325" s="63" t="str">
        <f t="shared" si="266"/>
        <v>4.15.3.1.3.58-64</v>
      </c>
      <c r="B1325" s="64">
        <v>4</v>
      </c>
      <c r="C1325" s="64">
        <v>15</v>
      </c>
      <c r="D1325" s="64">
        <v>3</v>
      </c>
      <c r="E1325" s="64">
        <v>1</v>
      </c>
      <c r="F1325" s="64">
        <v>3</v>
      </c>
      <c r="G1325" s="64" t="s">
        <v>64</v>
      </c>
      <c r="H1325" s="65"/>
      <c r="I1325" s="65"/>
      <c r="J1325" s="66"/>
      <c r="K1325" s="65" t="s">
        <v>1546</v>
      </c>
      <c r="L1325" s="64" t="s">
        <v>1540</v>
      </c>
      <c r="M1325" s="68" t="s">
        <v>1543</v>
      </c>
      <c r="N1325" s="64" t="s">
        <v>47</v>
      </c>
      <c r="O1325" s="64" t="s">
        <v>1544</v>
      </c>
      <c r="P1325" s="64"/>
      <c r="Q1325" s="69"/>
      <c r="R1325" s="69"/>
      <c r="S1325" s="65"/>
      <c r="T1325" s="64"/>
      <c r="U1325" s="370">
        <v>0</v>
      </c>
      <c r="V1325" s="674">
        <v>0</v>
      </c>
      <c r="W1325" s="75"/>
      <c r="X1325" s="75"/>
      <c r="Y1325" s="834">
        <f t="shared" si="269"/>
        <v>0</v>
      </c>
      <c r="Z1325" s="75"/>
      <c r="AA1325" s="75"/>
      <c r="AB1325" s="75"/>
      <c r="AC1325" s="97"/>
      <c r="AD1325" s="97"/>
      <c r="AE1325" s="591"/>
      <c r="AF1325" s="259"/>
      <c r="AG1325" s="510">
        <v>0</v>
      </c>
      <c r="AH1325" s="370">
        <v>0</v>
      </c>
      <c r="AI1325" s="75"/>
      <c r="AJ1325" s="75"/>
      <c r="AK1325" s="75"/>
      <c r="AL1325" s="75"/>
      <c r="AM1325" s="75"/>
      <c r="AN1325" s="64" t="s">
        <v>181</v>
      </c>
      <c r="AO1325" s="64"/>
      <c r="AP1325" s="64"/>
      <c r="AQ1325" s="189"/>
      <c r="AR1325" s="64"/>
      <c r="AS1325" s="476"/>
      <c r="AT1325" s="64"/>
      <c r="AU1325" s="646"/>
      <c r="AV1325" s="185"/>
    </row>
    <row r="1326" spans="1:48" ht="30" outlineLevel="3" x14ac:dyDescent="0.25">
      <c r="A1326" s="63" t="str">
        <f t="shared" si="266"/>
        <v>4.15.3.1.4.58-64</v>
      </c>
      <c r="B1326" s="64">
        <v>4</v>
      </c>
      <c r="C1326" s="64">
        <v>15</v>
      </c>
      <c r="D1326" s="64">
        <v>3</v>
      </c>
      <c r="E1326" s="64">
        <v>1</v>
      </c>
      <c r="F1326" s="64">
        <v>4</v>
      </c>
      <c r="G1326" s="64" t="s">
        <v>64</v>
      </c>
      <c r="H1326" s="65"/>
      <c r="I1326" s="65"/>
      <c r="J1326" s="66"/>
      <c r="K1326" s="67" t="s">
        <v>1716</v>
      </c>
      <c r="L1326" s="64" t="s">
        <v>1540</v>
      </c>
      <c r="M1326" s="68" t="s">
        <v>1543</v>
      </c>
      <c r="N1326" s="64" t="s">
        <v>47</v>
      </c>
      <c r="O1326" s="64" t="s">
        <v>1544</v>
      </c>
      <c r="P1326" s="64"/>
      <c r="Q1326" s="69"/>
      <c r="R1326" s="69"/>
      <c r="S1326" s="65"/>
      <c r="T1326" s="64"/>
      <c r="U1326" s="370">
        <v>0</v>
      </c>
      <c r="V1326" s="674">
        <v>0</v>
      </c>
      <c r="W1326" s="75"/>
      <c r="X1326" s="75"/>
      <c r="Y1326" s="834">
        <f t="shared" si="269"/>
        <v>0</v>
      </c>
      <c r="Z1326" s="75"/>
      <c r="AA1326" s="75"/>
      <c r="AB1326" s="75"/>
      <c r="AC1326" s="97"/>
      <c r="AD1326" s="97"/>
      <c r="AE1326" s="591"/>
      <c r="AF1326" s="259"/>
      <c r="AG1326" s="510">
        <v>0</v>
      </c>
      <c r="AH1326" s="370">
        <v>0</v>
      </c>
      <c r="AI1326" s="75"/>
      <c r="AJ1326" s="75"/>
      <c r="AK1326" s="75"/>
      <c r="AL1326" s="75"/>
      <c r="AM1326" s="75"/>
      <c r="AN1326" s="64" t="s">
        <v>181</v>
      </c>
      <c r="AO1326" s="64"/>
      <c r="AP1326" s="64"/>
      <c r="AQ1326" s="189"/>
      <c r="AR1326" s="64"/>
      <c r="AS1326" s="476"/>
      <c r="AT1326" s="64"/>
      <c r="AU1326" s="646"/>
      <c r="AV1326" s="185"/>
    </row>
    <row r="1327" spans="1:48" ht="30" outlineLevel="3" x14ac:dyDescent="0.25">
      <c r="A1327" s="63" t="str">
        <f t="shared" si="266"/>
        <v>4.15.3.1.5.61-64-60</v>
      </c>
      <c r="B1327" s="64">
        <v>4</v>
      </c>
      <c r="C1327" s="64">
        <v>15</v>
      </c>
      <c r="D1327" s="64">
        <v>3</v>
      </c>
      <c r="E1327" s="64">
        <v>1</v>
      </c>
      <c r="F1327" s="64">
        <v>5</v>
      </c>
      <c r="G1327" s="64" t="s">
        <v>1547</v>
      </c>
      <c r="H1327" s="65"/>
      <c r="I1327" s="65"/>
      <c r="J1327" s="66"/>
      <c r="K1327" s="67" t="s">
        <v>1548</v>
      </c>
      <c r="L1327" s="64" t="s">
        <v>1540</v>
      </c>
      <c r="M1327" s="68" t="s">
        <v>1543</v>
      </c>
      <c r="N1327" s="64" t="s">
        <v>47</v>
      </c>
      <c r="O1327" s="64" t="s">
        <v>1544</v>
      </c>
      <c r="P1327" s="64"/>
      <c r="Q1327" s="69"/>
      <c r="R1327" s="69"/>
      <c r="S1327" s="65"/>
      <c r="T1327" s="64"/>
      <c r="U1327" s="370">
        <v>0</v>
      </c>
      <c r="V1327" s="674">
        <v>0</v>
      </c>
      <c r="W1327" s="75"/>
      <c r="X1327" s="75"/>
      <c r="Y1327" s="834">
        <f t="shared" si="269"/>
        <v>0</v>
      </c>
      <c r="Z1327" s="75"/>
      <c r="AA1327" s="75"/>
      <c r="AB1327" s="75"/>
      <c r="AC1327" s="97"/>
      <c r="AD1327" s="97"/>
      <c r="AE1327" s="591"/>
      <c r="AF1327" s="259"/>
      <c r="AG1327" s="510">
        <v>0</v>
      </c>
      <c r="AH1327" s="370">
        <v>0</v>
      </c>
      <c r="AI1327" s="75"/>
      <c r="AJ1327" s="75"/>
      <c r="AK1327" s="75"/>
      <c r="AL1327" s="75"/>
      <c r="AM1327" s="75"/>
      <c r="AN1327" s="64" t="s">
        <v>181</v>
      </c>
      <c r="AO1327" s="64"/>
      <c r="AP1327" s="64"/>
      <c r="AQ1327" s="189"/>
      <c r="AR1327" s="64"/>
      <c r="AS1327" s="476"/>
      <c r="AT1327" s="64"/>
      <c r="AU1327" s="646"/>
      <c r="AV1327" s="185"/>
    </row>
    <row r="1328" spans="1:48" ht="30" outlineLevel="3" x14ac:dyDescent="0.25">
      <c r="A1328" s="63" t="str">
        <f t="shared" si="266"/>
        <v>4.15.3.1.6.58-59</v>
      </c>
      <c r="B1328" s="64">
        <v>4</v>
      </c>
      <c r="C1328" s="64">
        <v>15</v>
      </c>
      <c r="D1328" s="64">
        <v>3</v>
      </c>
      <c r="E1328" s="64">
        <v>1</v>
      </c>
      <c r="F1328" s="64">
        <v>6</v>
      </c>
      <c r="G1328" s="64" t="s">
        <v>1549</v>
      </c>
      <c r="H1328" s="65"/>
      <c r="I1328" s="65"/>
      <c r="J1328" s="66"/>
      <c r="K1328" s="67" t="s">
        <v>1550</v>
      </c>
      <c r="L1328" s="64" t="s">
        <v>1540</v>
      </c>
      <c r="M1328" s="68" t="s">
        <v>1543</v>
      </c>
      <c r="N1328" s="64" t="s">
        <v>47</v>
      </c>
      <c r="O1328" s="64" t="s">
        <v>1544</v>
      </c>
      <c r="P1328" s="64"/>
      <c r="Q1328" s="69"/>
      <c r="R1328" s="69"/>
      <c r="S1328" s="65"/>
      <c r="T1328" s="64"/>
      <c r="U1328" s="370">
        <v>0</v>
      </c>
      <c r="V1328" s="674">
        <v>0</v>
      </c>
      <c r="W1328" s="75"/>
      <c r="X1328" s="75"/>
      <c r="Y1328" s="834">
        <f t="shared" si="269"/>
        <v>0</v>
      </c>
      <c r="Z1328" s="75"/>
      <c r="AA1328" s="75"/>
      <c r="AB1328" s="75"/>
      <c r="AC1328" s="97"/>
      <c r="AD1328" s="97"/>
      <c r="AE1328" s="591"/>
      <c r="AF1328" s="259"/>
      <c r="AG1328" s="510">
        <v>0</v>
      </c>
      <c r="AH1328" s="370">
        <v>0</v>
      </c>
      <c r="AI1328" s="75"/>
      <c r="AJ1328" s="75"/>
      <c r="AK1328" s="75"/>
      <c r="AL1328" s="75"/>
      <c r="AM1328" s="75"/>
      <c r="AN1328" s="64" t="s">
        <v>181</v>
      </c>
      <c r="AO1328" s="64"/>
      <c r="AP1328" s="64"/>
      <c r="AQ1328" s="189"/>
      <c r="AR1328" s="64"/>
      <c r="AS1328" s="476"/>
      <c r="AT1328" s="64"/>
      <c r="AU1328" s="646"/>
      <c r="AV1328" s="185"/>
    </row>
    <row r="1329" spans="1:48" ht="30" outlineLevel="3" x14ac:dyDescent="0.25">
      <c r="A1329" s="63" t="str">
        <f t="shared" si="266"/>
        <v>4.15.3.1.7.62-63</v>
      </c>
      <c r="B1329" s="64">
        <v>4</v>
      </c>
      <c r="C1329" s="64">
        <v>15</v>
      </c>
      <c r="D1329" s="64">
        <v>3</v>
      </c>
      <c r="E1329" s="64">
        <v>1</v>
      </c>
      <c r="F1329" s="64">
        <v>7</v>
      </c>
      <c r="G1329" s="64" t="s">
        <v>1551</v>
      </c>
      <c r="H1329" s="65"/>
      <c r="I1329" s="65"/>
      <c r="J1329" s="66"/>
      <c r="K1329" s="67" t="s">
        <v>1781</v>
      </c>
      <c r="L1329" s="64" t="s">
        <v>1540</v>
      </c>
      <c r="M1329" s="68" t="s">
        <v>1543</v>
      </c>
      <c r="N1329" s="64" t="s">
        <v>47</v>
      </c>
      <c r="O1329" s="64" t="s">
        <v>1544</v>
      </c>
      <c r="P1329" s="64"/>
      <c r="Q1329" s="69"/>
      <c r="R1329" s="69"/>
      <c r="S1329" s="65"/>
      <c r="T1329" s="64"/>
      <c r="U1329" s="370">
        <v>0</v>
      </c>
      <c r="V1329" s="674">
        <v>0</v>
      </c>
      <c r="W1329" s="75"/>
      <c r="X1329" s="75"/>
      <c r="Y1329" s="834">
        <f t="shared" si="269"/>
        <v>0</v>
      </c>
      <c r="Z1329" s="75"/>
      <c r="AA1329" s="75"/>
      <c r="AB1329" s="75"/>
      <c r="AC1329" s="97"/>
      <c r="AD1329" s="97"/>
      <c r="AE1329" s="591"/>
      <c r="AF1329" s="259"/>
      <c r="AG1329" s="510">
        <v>0</v>
      </c>
      <c r="AH1329" s="370">
        <v>0</v>
      </c>
      <c r="AI1329" s="75"/>
      <c r="AJ1329" s="75"/>
      <c r="AK1329" s="75"/>
      <c r="AL1329" s="75"/>
      <c r="AM1329" s="75"/>
      <c r="AN1329" s="64" t="s">
        <v>181</v>
      </c>
      <c r="AO1329" s="64"/>
      <c r="AP1329" s="64"/>
      <c r="AQ1329" s="189"/>
      <c r="AR1329" s="64"/>
      <c r="AS1329" s="476"/>
      <c r="AT1329" s="64"/>
      <c r="AU1329" s="646"/>
      <c r="AV1329" s="185"/>
    </row>
    <row r="1330" spans="1:48" ht="30" outlineLevel="3" x14ac:dyDescent="0.25">
      <c r="A1330" s="63" t="str">
        <f t="shared" si="266"/>
        <v>4.15.3.1.8.58-64</v>
      </c>
      <c r="B1330" s="64">
        <v>4</v>
      </c>
      <c r="C1330" s="64">
        <v>15</v>
      </c>
      <c r="D1330" s="64">
        <v>3</v>
      </c>
      <c r="E1330" s="64">
        <v>1</v>
      </c>
      <c r="F1330" s="64">
        <v>8</v>
      </c>
      <c r="G1330" s="64" t="s">
        <v>64</v>
      </c>
      <c r="H1330" s="65"/>
      <c r="I1330" s="65"/>
      <c r="J1330" s="66"/>
      <c r="K1330" s="67" t="s">
        <v>1717</v>
      </c>
      <c r="L1330" s="64" t="s">
        <v>1540</v>
      </c>
      <c r="M1330" s="68" t="s">
        <v>1543</v>
      </c>
      <c r="N1330" s="64" t="s">
        <v>47</v>
      </c>
      <c r="O1330" s="64" t="s">
        <v>1544</v>
      </c>
      <c r="P1330" s="64"/>
      <c r="Q1330" s="69"/>
      <c r="R1330" s="69"/>
      <c r="S1330" s="65"/>
      <c r="T1330" s="64"/>
      <c r="U1330" s="370">
        <v>0</v>
      </c>
      <c r="V1330" s="674">
        <v>0</v>
      </c>
      <c r="W1330" s="75"/>
      <c r="X1330" s="75"/>
      <c r="Y1330" s="834">
        <f t="shared" si="269"/>
        <v>0</v>
      </c>
      <c r="Z1330" s="75"/>
      <c r="AA1330" s="75"/>
      <c r="AB1330" s="75"/>
      <c r="AC1330" s="97"/>
      <c r="AD1330" s="97"/>
      <c r="AE1330" s="591"/>
      <c r="AF1330" s="259"/>
      <c r="AG1330" s="510">
        <v>0</v>
      </c>
      <c r="AH1330" s="370">
        <v>0</v>
      </c>
      <c r="AI1330" s="75"/>
      <c r="AJ1330" s="75"/>
      <c r="AK1330" s="75"/>
      <c r="AL1330" s="75"/>
      <c r="AM1330" s="75"/>
      <c r="AN1330" s="64" t="s">
        <v>181</v>
      </c>
      <c r="AO1330" s="64"/>
      <c r="AP1330" s="64"/>
      <c r="AQ1330" s="189"/>
      <c r="AR1330" s="64"/>
      <c r="AS1330" s="476"/>
      <c r="AT1330" s="64"/>
      <c r="AU1330" s="646"/>
      <c r="AV1330" s="185"/>
    </row>
    <row r="1331" spans="1:48" ht="30" outlineLevel="3" x14ac:dyDescent="0.25">
      <c r="A1331" s="63" t="str">
        <f t="shared" si="266"/>
        <v>4.15.3.1.9.60-61-64</v>
      </c>
      <c r="B1331" s="64">
        <v>4</v>
      </c>
      <c r="C1331" s="64">
        <v>15</v>
      </c>
      <c r="D1331" s="64">
        <v>3</v>
      </c>
      <c r="E1331" s="64">
        <v>1</v>
      </c>
      <c r="F1331" s="64">
        <v>9</v>
      </c>
      <c r="G1331" s="64" t="s">
        <v>1062</v>
      </c>
      <c r="H1331" s="65"/>
      <c r="I1331" s="65"/>
      <c r="J1331" s="66"/>
      <c r="K1331" s="67" t="s">
        <v>1552</v>
      </c>
      <c r="L1331" s="64" t="s">
        <v>1540</v>
      </c>
      <c r="M1331" s="68" t="s">
        <v>1543</v>
      </c>
      <c r="N1331" s="64" t="s">
        <v>47</v>
      </c>
      <c r="O1331" s="64" t="s">
        <v>1544</v>
      </c>
      <c r="P1331" s="64"/>
      <c r="Q1331" s="69"/>
      <c r="R1331" s="69"/>
      <c r="S1331" s="65"/>
      <c r="T1331" s="64"/>
      <c r="U1331" s="370">
        <v>0</v>
      </c>
      <c r="V1331" s="674">
        <v>0</v>
      </c>
      <c r="W1331" s="75"/>
      <c r="X1331" s="75"/>
      <c r="Y1331" s="834">
        <f t="shared" si="269"/>
        <v>0</v>
      </c>
      <c r="Z1331" s="75"/>
      <c r="AA1331" s="75"/>
      <c r="AB1331" s="75"/>
      <c r="AC1331" s="97"/>
      <c r="AD1331" s="97"/>
      <c r="AE1331" s="591"/>
      <c r="AF1331" s="259"/>
      <c r="AG1331" s="510">
        <v>0</v>
      </c>
      <c r="AH1331" s="370">
        <v>0</v>
      </c>
      <c r="AI1331" s="75"/>
      <c r="AJ1331" s="75"/>
      <c r="AK1331" s="75"/>
      <c r="AL1331" s="75"/>
      <c r="AM1331" s="75"/>
      <c r="AN1331" s="64" t="s">
        <v>181</v>
      </c>
      <c r="AO1331" s="64"/>
      <c r="AP1331" s="64"/>
      <c r="AQ1331" s="189"/>
      <c r="AR1331" s="64"/>
      <c r="AS1331" s="476"/>
      <c r="AT1331" s="64"/>
      <c r="AU1331" s="646"/>
      <c r="AV1331" s="185"/>
    </row>
    <row r="1332" spans="1:48" ht="30" outlineLevel="3" x14ac:dyDescent="0.25">
      <c r="A1332" s="63" t="str">
        <f t="shared" si="266"/>
        <v>4.15.3.1.10.58-59</v>
      </c>
      <c r="B1332" s="64">
        <v>4</v>
      </c>
      <c r="C1332" s="64">
        <v>15</v>
      </c>
      <c r="D1332" s="64">
        <v>3</v>
      </c>
      <c r="E1332" s="64">
        <v>1</v>
      </c>
      <c r="F1332" s="64">
        <v>10</v>
      </c>
      <c r="G1332" s="64" t="s">
        <v>1549</v>
      </c>
      <c r="H1332" s="65"/>
      <c r="I1332" s="65"/>
      <c r="J1332" s="66"/>
      <c r="K1332" s="67" t="s">
        <v>1553</v>
      </c>
      <c r="L1332" s="64" t="s">
        <v>1540</v>
      </c>
      <c r="M1332" s="68" t="s">
        <v>1543</v>
      </c>
      <c r="N1332" s="64" t="s">
        <v>47</v>
      </c>
      <c r="O1332" s="64" t="s">
        <v>1544</v>
      </c>
      <c r="P1332" s="64"/>
      <c r="Q1332" s="69"/>
      <c r="R1332" s="69"/>
      <c r="S1332" s="65"/>
      <c r="T1332" s="64"/>
      <c r="U1332" s="370">
        <v>0</v>
      </c>
      <c r="V1332" s="674">
        <v>0</v>
      </c>
      <c r="W1332" s="75"/>
      <c r="X1332" s="75"/>
      <c r="Y1332" s="834">
        <f t="shared" si="269"/>
        <v>0</v>
      </c>
      <c r="Z1332" s="75"/>
      <c r="AA1332" s="75"/>
      <c r="AB1332" s="75"/>
      <c r="AC1332" s="97"/>
      <c r="AD1332" s="97"/>
      <c r="AE1332" s="591"/>
      <c r="AF1332" s="259"/>
      <c r="AG1332" s="510">
        <v>0</v>
      </c>
      <c r="AH1332" s="370">
        <v>0</v>
      </c>
      <c r="AI1332" s="75"/>
      <c r="AJ1332" s="75"/>
      <c r="AK1332" s="75"/>
      <c r="AL1332" s="75"/>
      <c r="AM1332" s="75"/>
      <c r="AN1332" s="64" t="s">
        <v>181</v>
      </c>
      <c r="AO1332" s="64"/>
      <c r="AP1332" s="64"/>
      <c r="AQ1332" s="189"/>
      <c r="AR1332" s="64"/>
      <c r="AS1332" s="476"/>
      <c r="AT1332" s="64"/>
      <c r="AU1332" s="646"/>
      <c r="AV1332" s="185"/>
    </row>
    <row r="1333" spans="1:48" ht="30" outlineLevel="3" x14ac:dyDescent="0.25">
      <c r="A1333" s="63" t="str">
        <f t="shared" si="266"/>
        <v>4.15.3.1.11.62-63</v>
      </c>
      <c r="B1333" s="64">
        <v>4</v>
      </c>
      <c r="C1333" s="64">
        <v>15</v>
      </c>
      <c r="D1333" s="64">
        <v>3</v>
      </c>
      <c r="E1333" s="64">
        <v>1</v>
      </c>
      <c r="F1333" s="64">
        <v>11</v>
      </c>
      <c r="G1333" s="64" t="s">
        <v>1551</v>
      </c>
      <c r="H1333" s="65"/>
      <c r="I1333" s="65"/>
      <c r="J1333" s="66"/>
      <c r="K1333" s="67" t="s">
        <v>1782</v>
      </c>
      <c r="L1333" s="64" t="s">
        <v>1540</v>
      </c>
      <c r="M1333" s="68" t="s">
        <v>1543</v>
      </c>
      <c r="N1333" s="64" t="s">
        <v>47</v>
      </c>
      <c r="O1333" s="64" t="s">
        <v>1544</v>
      </c>
      <c r="P1333" s="64"/>
      <c r="Q1333" s="69"/>
      <c r="R1333" s="69"/>
      <c r="S1333" s="65"/>
      <c r="T1333" s="64"/>
      <c r="U1333" s="370">
        <v>0</v>
      </c>
      <c r="V1333" s="674">
        <v>0</v>
      </c>
      <c r="W1333" s="75"/>
      <c r="X1333" s="75"/>
      <c r="Y1333" s="834">
        <f t="shared" si="269"/>
        <v>0</v>
      </c>
      <c r="Z1333" s="75"/>
      <c r="AA1333" s="75"/>
      <c r="AB1333" s="75"/>
      <c r="AC1333" s="97"/>
      <c r="AD1333" s="97"/>
      <c r="AE1333" s="591"/>
      <c r="AF1333" s="259"/>
      <c r="AG1333" s="510">
        <v>0</v>
      </c>
      <c r="AH1333" s="370">
        <v>0</v>
      </c>
      <c r="AI1333" s="75"/>
      <c r="AJ1333" s="75"/>
      <c r="AK1333" s="75"/>
      <c r="AL1333" s="75"/>
      <c r="AM1333" s="75"/>
      <c r="AN1333" s="64" t="s">
        <v>181</v>
      </c>
      <c r="AO1333" s="64"/>
      <c r="AP1333" s="64"/>
      <c r="AQ1333" s="189"/>
      <c r="AR1333" s="64"/>
      <c r="AS1333" s="476"/>
      <c r="AT1333" s="64"/>
      <c r="AU1333" s="646"/>
      <c r="AV1333" s="185"/>
    </row>
    <row r="1334" spans="1:48" ht="30" outlineLevel="3" x14ac:dyDescent="0.25">
      <c r="A1334" s="63" t="str">
        <f t="shared" si="266"/>
        <v>4.15.3.1.12.61-64-60</v>
      </c>
      <c r="B1334" s="64">
        <v>4</v>
      </c>
      <c r="C1334" s="64">
        <v>15</v>
      </c>
      <c r="D1334" s="64">
        <v>3</v>
      </c>
      <c r="E1334" s="64">
        <v>1</v>
      </c>
      <c r="F1334" s="64">
        <v>12</v>
      </c>
      <c r="G1334" s="64" t="s">
        <v>1547</v>
      </c>
      <c r="H1334" s="65"/>
      <c r="I1334" s="65"/>
      <c r="J1334" s="66"/>
      <c r="K1334" s="67" t="s">
        <v>1554</v>
      </c>
      <c r="L1334" s="64" t="s">
        <v>1540</v>
      </c>
      <c r="M1334" s="68" t="s">
        <v>1543</v>
      </c>
      <c r="N1334" s="64" t="s">
        <v>47</v>
      </c>
      <c r="O1334" s="64" t="s">
        <v>1544</v>
      </c>
      <c r="P1334" s="64"/>
      <c r="Q1334" s="69"/>
      <c r="R1334" s="69"/>
      <c r="S1334" s="65"/>
      <c r="T1334" s="64"/>
      <c r="U1334" s="370">
        <v>0</v>
      </c>
      <c r="V1334" s="674">
        <v>0</v>
      </c>
      <c r="W1334" s="75"/>
      <c r="X1334" s="75"/>
      <c r="Y1334" s="834">
        <f t="shared" si="269"/>
        <v>0</v>
      </c>
      <c r="Z1334" s="75"/>
      <c r="AA1334" s="75"/>
      <c r="AB1334" s="75"/>
      <c r="AC1334" s="97"/>
      <c r="AD1334" s="97"/>
      <c r="AE1334" s="591"/>
      <c r="AF1334" s="259"/>
      <c r="AG1334" s="510">
        <v>0</v>
      </c>
      <c r="AH1334" s="370">
        <v>0</v>
      </c>
      <c r="AI1334" s="75"/>
      <c r="AJ1334" s="75"/>
      <c r="AK1334" s="75"/>
      <c r="AL1334" s="75"/>
      <c r="AM1334" s="75"/>
      <c r="AN1334" s="64" t="s">
        <v>181</v>
      </c>
      <c r="AO1334" s="64"/>
      <c r="AP1334" s="64"/>
      <c r="AQ1334" s="189"/>
      <c r="AR1334" s="64"/>
      <c r="AS1334" s="476"/>
      <c r="AT1334" s="64"/>
      <c r="AU1334" s="646"/>
      <c r="AV1334" s="185"/>
    </row>
    <row r="1335" spans="1:48" ht="30" outlineLevel="3" x14ac:dyDescent="0.25">
      <c r="A1335" s="63" t="str">
        <f t="shared" si="266"/>
        <v>4.15.3.1.13.58-59</v>
      </c>
      <c r="B1335" s="64">
        <v>4</v>
      </c>
      <c r="C1335" s="64">
        <v>15</v>
      </c>
      <c r="D1335" s="64">
        <v>3</v>
      </c>
      <c r="E1335" s="64">
        <v>1</v>
      </c>
      <c r="F1335" s="64">
        <v>13</v>
      </c>
      <c r="G1335" s="64" t="s">
        <v>1549</v>
      </c>
      <c r="H1335" s="65"/>
      <c r="I1335" s="65"/>
      <c r="J1335" s="66"/>
      <c r="K1335" s="67" t="s">
        <v>1555</v>
      </c>
      <c r="L1335" s="64" t="s">
        <v>1540</v>
      </c>
      <c r="M1335" s="68" t="s">
        <v>1543</v>
      </c>
      <c r="N1335" s="64" t="s">
        <v>47</v>
      </c>
      <c r="O1335" s="64" t="s">
        <v>1544</v>
      </c>
      <c r="P1335" s="64"/>
      <c r="Q1335" s="69"/>
      <c r="R1335" s="69"/>
      <c r="S1335" s="65"/>
      <c r="T1335" s="64"/>
      <c r="U1335" s="370">
        <v>0</v>
      </c>
      <c r="V1335" s="674">
        <v>0</v>
      </c>
      <c r="W1335" s="75"/>
      <c r="X1335" s="75"/>
      <c r="Y1335" s="834">
        <f t="shared" si="269"/>
        <v>0</v>
      </c>
      <c r="Z1335" s="75"/>
      <c r="AA1335" s="75"/>
      <c r="AB1335" s="75"/>
      <c r="AC1335" s="97"/>
      <c r="AD1335" s="97"/>
      <c r="AE1335" s="591"/>
      <c r="AF1335" s="259"/>
      <c r="AG1335" s="510">
        <v>0</v>
      </c>
      <c r="AH1335" s="370">
        <v>0</v>
      </c>
      <c r="AI1335" s="75"/>
      <c r="AJ1335" s="75"/>
      <c r="AK1335" s="75"/>
      <c r="AL1335" s="75"/>
      <c r="AM1335" s="75"/>
      <c r="AN1335" s="64" t="s">
        <v>181</v>
      </c>
      <c r="AO1335" s="64"/>
      <c r="AP1335" s="64"/>
      <c r="AQ1335" s="189"/>
      <c r="AR1335" s="64"/>
      <c r="AS1335" s="476"/>
      <c r="AT1335" s="64"/>
      <c r="AU1335" s="646"/>
      <c r="AV1335" s="185"/>
    </row>
    <row r="1336" spans="1:48" ht="30" outlineLevel="3" x14ac:dyDescent="0.25">
      <c r="A1336" s="63" t="str">
        <f t="shared" si="266"/>
        <v>4.15.3.1.14.62-63</v>
      </c>
      <c r="B1336" s="64">
        <v>4</v>
      </c>
      <c r="C1336" s="64">
        <v>15</v>
      </c>
      <c r="D1336" s="64">
        <v>3</v>
      </c>
      <c r="E1336" s="64">
        <v>1</v>
      </c>
      <c r="F1336" s="64">
        <v>14</v>
      </c>
      <c r="G1336" s="64" t="s">
        <v>1551</v>
      </c>
      <c r="H1336" s="65"/>
      <c r="I1336" s="65"/>
      <c r="J1336" s="66"/>
      <c r="K1336" s="67" t="s">
        <v>1783</v>
      </c>
      <c r="L1336" s="64" t="s">
        <v>1540</v>
      </c>
      <c r="M1336" s="68" t="s">
        <v>1543</v>
      </c>
      <c r="N1336" s="64" t="s">
        <v>47</v>
      </c>
      <c r="O1336" s="64" t="s">
        <v>1544</v>
      </c>
      <c r="P1336" s="64"/>
      <c r="Q1336" s="69"/>
      <c r="R1336" s="69"/>
      <c r="S1336" s="65"/>
      <c r="T1336" s="64"/>
      <c r="U1336" s="370">
        <v>0</v>
      </c>
      <c r="V1336" s="674">
        <v>0</v>
      </c>
      <c r="W1336" s="75"/>
      <c r="X1336" s="75"/>
      <c r="Y1336" s="834">
        <f t="shared" si="269"/>
        <v>0</v>
      </c>
      <c r="Z1336" s="75"/>
      <c r="AA1336" s="75"/>
      <c r="AB1336" s="75"/>
      <c r="AC1336" s="97"/>
      <c r="AD1336" s="97"/>
      <c r="AE1336" s="591"/>
      <c r="AF1336" s="259"/>
      <c r="AG1336" s="510">
        <v>0</v>
      </c>
      <c r="AH1336" s="370">
        <v>0</v>
      </c>
      <c r="AI1336" s="75"/>
      <c r="AJ1336" s="75"/>
      <c r="AK1336" s="75"/>
      <c r="AL1336" s="75"/>
      <c r="AM1336" s="75"/>
      <c r="AN1336" s="64" t="s">
        <v>181</v>
      </c>
      <c r="AO1336" s="64"/>
      <c r="AP1336" s="64"/>
      <c r="AQ1336" s="189"/>
      <c r="AR1336" s="64"/>
      <c r="AS1336" s="476"/>
      <c r="AT1336" s="64"/>
      <c r="AU1336" s="646"/>
      <c r="AV1336" s="185"/>
    </row>
    <row r="1337" spans="1:48" ht="30" outlineLevel="3" x14ac:dyDescent="0.25">
      <c r="A1337" s="63" t="str">
        <f t="shared" si="266"/>
        <v>4.15.3.1.15.60-61-64</v>
      </c>
      <c r="B1337" s="64">
        <v>4</v>
      </c>
      <c r="C1337" s="64">
        <v>15</v>
      </c>
      <c r="D1337" s="64">
        <v>3</v>
      </c>
      <c r="E1337" s="64">
        <v>1</v>
      </c>
      <c r="F1337" s="64">
        <v>15</v>
      </c>
      <c r="G1337" s="64" t="s">
        <v>1062</v>
      </c>
      <c r="H1337" s="65"/>
      <c r="I1337" s="65"/>
      <c r="J1337" s="66"/>
      <c r="K1337" s="67" t="s">
        <v>1556</v>
      </c>
      <c r="L1337" s="64" t="s">
        <v>1540</v>
      </c>
      <c r="M1337" s="68" t="s">
        <v>1543</v>
      </c>
      <c r="N1337" s="64" t="s">
        <v>47</v>
      </c>
      <c r="O1337" s="64" t="s">
        <v>1544</v>
      </c>
      <c r="P1337" s="64"/>
      <c r="Q1337" s="69"/>
      <c r="R1337" s="69"/>
      <c r="S1337" s="65"/>
      <c r="T1337" s="64"/>
      <c r="U1337" s="370">
        <v>0</v>
      </c>
      <c r="V1337" s="674">
        <v>0</v>
      </c>
      <c r="W1337" s="75"/>
      <c r="X1337" s="75"/>
      <c r="Y1337" s="834">
        <f t="shared" si="269"/>
        <v>0</v>
      </c>
      <c r="Z1337" s="75"/>
      <c r="AA1337" s="75"/>
      <c r="AB1337" s="75"/>
      <c r="AC1337" s="97"/>
      <c r="AD1337" s="97"/>
      <c r="AE1337" s="591"/>
      <c r="AF1337" s="259"/>
      <c r="AG1337" s="510">
        <v>0</v>
      </c>
      <c r="AH1337" s="370">
        <v>0</v>
      </c>
      <c r="AI1337" s="75"/>
      <c r="AJ1337" s="75"/>
      <c r="AK1337" s="75"/>
      <c r="AL1337" s="75"/>
      <c r="AM1337" s="75"/>
      <c r="AN1337" s="64" t="s">
        <v>181</v>
      </c>
      <c r="AO1337" s="64"/>
      <c r="AP1337" s="64"/>
      <c r="AQ1337" s="189"/>
      <c r="AR1337" s="64"/>
      <c r="AS1337" s="476"/>
      <c r="AT1337" s="64"/>
      <c r="AU1337" s="646"/>
      <c r="AV1337" s="185"/>
    </row>
    <row r="1338" spans="1:48" ht="30" outlineLevel="3" x14ac:dyDescent="0.25">
      <c r="A1338" s="63" t="str">
        <f t="shared" si="266"/>
        <v>4.15.3.1.16.58-59</v>
      </c>
      <c r="B1338" s="64">
        <v>4</v>
      </c>
      <c r="C1338" s="64">
        <v>15</v>
      </c>
      <c r="D1338" s="64">
        <v>3</v>
      </c>
      <c r="E1338" s="64">
        <v>1</v>
      </c>
      <c r="F1338" s="64">
        <v>16</v>
      </c>
      <c r="G1338" s="64" t="s">
        <v>1549</v>
      </c>
      <c r="H1338" s="65"/>
      <c r="I1338" s="65"/>
      <c r="J1338" s="66"/>
      <c r="K1338" s="67" t="s">
        <v>1557</v>
      </c>
      <c r="L1338" s="64" t="s">
        <v>1540</v>
      </c>
      <c r="M1338" s="68" t="s">
        <v>1543</v>
      </c>
      <c r="N1338" s="64" t="s">
        <v>47</v>
      </c>
      <c r="O1338" s="64" t="s">
        <v>1544</v>
      </c>
      <c r="P1338" s="64"/>
      <c r="Q1338" s="69"/>
      <c r="R1338" s="69"/>
      <c r="S1338" s="65"/>
      <c r="T1338" s="64"/>
      <c r="U1338" s="370">
        <v>0</v>
      </c>
      <c r="V1338" s="674">
        <v>0</v>
      </c>
      <c r="W1338" s="75"/>
      <c r="X1338" s="75"/>
      <c r="Y1338" s="834">
        <f t="shared" si="269"/>
        <v>0</v>
      </c>
      <c r="Z1338" s="75"/>
      <c r="AA1338" s="75"/>
      <c r="AB1338" s="75"/>
      <c r="AC1338" s="97"/>
      <c r="AD1338" s="97"/>
      <c r="AE1338" s="591"/>
      <c r="AF1338" s="259"/>
      <c r="AG1338" s="510">
        <v>0</v>
      </c>
      <c r="AH1338" s="370">
        <v>0</v>
      </c>
      <c r="AI1338" s="75"/>
      <c r="AJ1338" s="75"/>
      <c r="AK1338" s="75"/>
      <c r="AL1338" s="75"/>
      <c r="AM1338" s="75"/>
      <c r="AN1338" s="64" t="s">
        <v>181</v>
      </c>
      <c r="AO1338" s="64"/>
      <c r="AP1338" s="64"/>
      <c r="AQ1338" s="189"/>
      <c r="AR1338" s="64"/>
      <c r="AS1338" s="476"/>
      <c r="AT1338" s="64"/>
      <c r="AU1338" s="646"/>
      <c r="AV1338" s="185"/>
    </row>
    <row r="1339" spans="1:48" ht="30" outlineLevel="3" x14ac:dyDescent="0.25">
      <c r="A1339" s="63" t="str">
        <f t="shared" si="266"/>
        <v>4.15.3.1.17.62-63</v>
      </c>
      <c r="B1339" s="64">
        <v>4</v>
      </c>
      <c r="C1339" s="64">
        <v>15</v>
      </c>
      <c r="D1339" s="64">
        <v>3</v>
      </c>
      <c r="E1339" s="64">
        <v>1</v>
      </c>
      <c r="F1339" s="64">
        <v>17</v>
      </c>
      <c r="G1339" s="64" t="s">
        <v>1551</v>
      </c>
      <c r="H1339" s="65"/>
      <c r="I1339" s="65"/>
      <c r="J1339" s="66"/>
      <c r="K1339" s="67" t="s">
        <v>1784</v>
      </c>
      <c r="L1339" s="64" t="s">
        <v>1540</v>
      </c>
      <c r="M1339" s="68" t="s">
        <v>1543</v>
      </c>
      <c r="N1339" s="64" t="s">
        <v>47</v>
      </c>
      <c r="O1339" s="64" t="s">
        <v>1544</v>
      </c>
      <c r="P1339" s="64"/>
      <c r="Q1339" s="69"/>
      <c r="R1339" s="69"/>
      <c r="S1339" s="65"/>
      <c r="T1339" s="64"/>
      <c r="U1339" s="370">
        <v>0</v>
      </c>
      <c r="V1339" s="674">
        <v>0</v>
      </c>
      <c r="W1339" s="75"/>
      <c r="X1339" s="75"/>
      <c r="Y1339" s="834">
        <f t="shared" si="269"/>
        <v>0</v>
      </c>
      <c r="Z1339" s="75"/>
      <c r="AA1339" s="75"/>
      <c r="AB1339" s="75"/>
      <c r="AC1339" s="97"/>
      <c r="AD1339" s="97"/>
      <c r="AE1339" s="591"/>
      <c r="AF1339" s="259"/>
      <c r="AG1339" s="510">
        <v>0</v>
      </c>
      <c r="AH1339" s="370">
        <v>0</v>
      </c>
      <c r="AI1339" s="75"/>
      <c r="AJ1339" s="75"/>
      <c r="AK1339" s="75"/>
      <c r="AL1339" s="75"/>
      <c r="AM1339" s="75"/>
      <c r="AN1339" s="64" t="s">
        <v>181</v>
      </c>
      <c r="AO1339" s="64"/>
      <c r="AP1339" s="64"/>
      <c r="AQ1339" s="189"/>
      <c r="AR1339" s="64"/>
      <c r="AS1339" s="476"/>
      <c r="AT1339" s="64"/>
      <c r="AU1339" s="646"/>
      <c r="AV1339" s="185"/>
    </row>
    <row r="1340" spans="1:48" ht="30" outlineLevel="3" x14ac:dyDescent="0.25">
      <c r="A1340" s="63" t="str">
        <f t="shared" si="266"/>
        <v>4.15.3.1.18.58-64</v>
      </c>
      <c r="B1340" s="64">
        <v>4</v>
      </c>
      <c r="C1340" s="64">
        <v>15</v>
      </c>
      <c r="D1340" s="64">
        <v>3</v>
      </c>
      <c r="E1340" s="64">
        <v>1</v>
      </c>
      <c r="F1340" s="64">
        <v>18</v>
      </c>
      <c r="G1340" s="64" t="s">
        <v>64</v>
      </c>
      <c r="H1340" s="65"/>
      <c r="I1340" s="65"/>
      <c r="J1340" s="66"/>
      <c r="K1340" s="67" t="s">
        <v>1718</v>
      </c>
      <c r="L1340" s="64" t="s">
        <v>1540</v>
      </c>
      <c r="M1340" s="68" t="s">
        <v>1543</v>
      </c>
      <c r="N1340" s="64" t="s">
        <v>47</v>
      </c>
      <c r="O1340" s="64" t="s">
        <v>1544</v>
      </c>
      <c r="P1340" s="64"/>
      <c r="Q1340" s="69"/>
      <c r="R1340" s="69"/>
      <c r="S1340" s="65"/>
      <c r="T1340" s="64"/>
      <c r="U1340" s="370">
        <v>0</v>
      </c>
      <c r="V1340" s="674">
        <v>0</v>
      </c>
      <c r="W1340" s="75"/>
      <c r="X1340" s="75"/>
      <c r="Y1340" s="834">
        <f t="shared" si="269"/>
        <v>0</v>
      </c>
      <c r="Z1340" s="75"/>
      <c r="AA1340" s="75"/>
      <c r="AB1340" s="75"/>
      <c r="AC1340" s="97"/>
      <c r="AD1340" s="97"/>
      <c r="AE1340" s="591"/>
      <c r="AF1340" s="259"/>
      <c r="AG1340" s="510">
        <v>0</v>
      </c>
      <c r="AH1340" s="370">
        <v>0</v>
      </c>
      <c r="AI1340" s="75"/>
      <c r="AJ1340" s="75"/>
      <c r="AK1340" s="75"/>
      <c r="AL1340" s="75"/>
      <c r="AM1340" s="75"/>
      <c r="AN1340" s="64" t="s">
        <v>181</v>
      </c>
      <c r="AO1340" s="64"/>
      <c r="AP1340" s="64"/>
      <c r="AQ1340" s="189"/>
      <c r="AR1340" s="64"/>
      <c r="AS1340" s="476"/>
      <c r="AT1340" s="64"/>
      <c r="AU1340" s="646"/>
      <c r="AV1340" s="185"/>
    </row>
    <row r="1341" spans="1:48" ht="30" outlineLevel="3" x14ac:dyDescent="0.25">
      <c r="A1341" s="63" t="str">
        <f t="shared" si="266"/>
        <v>4.15.3.1.19.58-64</v>
      </c>
      <c r="B1341" s="64">
        <v>4</v>
      </c>
      <c r="C1341" s="64">
        <v>15</v>
      </c>
      <c r="D1341" s="64">
        <v>3</v>
      </c>
      <c r="E1341" s="64">
        <v>1</v>
      </c>
      <c r="F1341" s="64">
        <v>19</v>
      </c>
      <c r="G1341" s="64" t="s">
        <v>64</v>
      </c>
      <c r="H1341" s="65"/>
      <c r="I1341" s="65"/>
      <c r="J1341" s="66"/>
      <c r="K1341" s="67" t="s">
        <v>1719</v>
      </c>
      <c r="L1341" s="64" t="s">
        <v>1540</v>
      </c>
      <c r="M1341" s="68" t="s">
        <v>1543</v>
      </c>
      <c r="N1341" s="64" t="s">
        <v>47</v>
      </c>
      <c r="O1341" s="64" t="s">
        <v>1544</v>
      </c>
      <c r="P1341" s="64"/>
      <c r="Q1341" s="69"/>
      <c r="R1341" s="69"/>
      <c r="S1341" s="65"/>
      <c r="T1341" s="64"/>
      <c r="U1341" s="370">
        <v>0</v>
      </c>
      <c r="V1341" s="674">
        <v>0</v>
      </c>
      <c r="W1341" s="75"/>
      <c r="X1341" s="75"/>
      <c r="Y1341" s="834">
        <f t="shared" si="269"/>
        <v>0</v>
      </c>
      <c r="Z1341" s="75"/>
      <c r="AA1341" s="75"/>
      <c r="AB1341" s="75"/>
      <c r="AC1341" s="97"/>
      <c r="AD1341" s="97"/>
      <c r="AE1341" s="591"/>
      <c r="AF1341" s="259"/>
      <c r="AG1341" s="510">
        <v>0</v>
      </c>
      <c r="AH1341" s="370">
        <v>0</v>
      </c>
      <c r="AI1341" s="75"/>
      <c r="AJ1341" s="75"/>
      <c r="AK1341" s="75"/>
      <c r="AL1341" s="75"/>
      <c r="AM1341" s="75"/>
      <c r="AN1341" s="64" t="s">
        <v>181</v>
      </c>
      <c r="AO1341" s="64"/>
      <c r="AP1341" s="64"/>
      <c r="AQ1341" s="189"/>
      <c r="AR1341" s="64"/>
      <c r="AS1341" s="476"/>
      <c r="AT1341" s="64"/>
      <c r="AU1341" s="646"/>
      <c r="AV1341" s="185"/>
    </row>
    <row r="1342" spans="1:48" ht="30" outlineLevel="3" x14ac:dyDescent="0.25">
      <c r="A1342" s="63" t="str">
        <f t="shared" si="266"/>
        <v>4.15.3.1.20.60-61-64</v>
      </c>
      <c r="B1342" s="64">
        <v>4</v>
      </c>
      <c r="C1342" s="64">
        <v>15</v>
      </c>
      <c r="D1342" s="64">
        <v>3</v>
      </c>
      <c r="E1342" s="64">
        <v>1</v>
      </c>
      <c r="F1342" s="64">
        <v>20</v>
      </c>
      <c r="G1342" s="64" t="s">
        <v>1062</v>
      </c>
      <c r="H1342" s="65"/>
      <c r="I1342" s="65"/>
      <c r="J1342" s="66"/>
      <c r="K1342" s="67" t="s">
        <v>1558</v>
      </c>
      <c r="L1342" s="64" t="s">
        <v>1540</v>
      </c>
      <c r="M1342" s="68" t="s">
        <v>1543</v>
      </c>
      <c r="N1342" s="64" t="s">
        <v>47</v>
      </c>
      <c r="O1342" s="64" t="s">
        <v>1544</v>
      </c>
      <c r="P1342" s="64"/>
      <c r="Q1342" s="69"/>
      <c r="R1342" s="69"/>
      <c r="S1342" s="65"/>
      <c r="T1342" s="64"/>
      <c r="U1342" s="370">
        <v>0</v>
      </c>
      <c r="V1342" s="674">
        <v>0</v>
      </c>
      <c r="W1342" s="75"/>
      <c r="X1342" s="75"/>
      <c r="Y1342" s="834">
        <f t="shared" si="269"/>
        <v>0</v>
      </c>
      <c r="Z1342" s="75"/>
      <c r="AA1342" s="75"/>
      <c r="AB1342" s="75"/>
      <c r="AC1342" s="97"/>
      <c r="AD1342" s="97"/>
      <c r="AE1342" s="591"/>
      <c r="AF1342" s="259"/>
      <c r="AG1342" s="510">
        <v>0</v>
      </c>
      <c r="AH1342" s="370">
        <v>0</v>
      </c>
      <c r="AI1342" s="75"/>
      <c r="AJ1342" s="75"/>
      <c r="AK1342" s="75"/>
      <c r="AL1342" s="75"/>
      <c r="AM1342" s="75"/>
      <c r="AN1342" s="64" t="s">
        <v>181</v>
      </c>
      <c r="AO1342" s="64"/>
      <c r="AP1342" s="64"/>
      <c r="AQ1342" s="189"/>
      <c r="AR1342" s="64"/>
      <c r="AS1342" s="476"/>
      <c r="AT1342" s="64"/>
      <c r="AU1342" s="646"/>
      <c r="AV1342" s="185"/>
    </row>
    <row r="1343" spans="1:48" ht="30" outlineLevel="3" x14ac:dyDescent="0.25">
      <c r="A1343" s="63" t="str">
        <f t="shared" si="266"/>
        <v>4.15.3.1.21.58-59</v>
      </c>
      <c r="B1343" s="64">
        <v>4</v>
      </c>
      <c r="C1343" s="64">
        <v>15</v>
      </c>
      <c r="D1343" s="64">
        <v>3</v>
      </c>
      <c r="E1343" s="64">
        <v>1</v>
      </c>
      <c r="F1343" s="64">
        <v>21</v>
      </c>
      <c r="G1343" s="64" t="s">
        <v>1549</v>
      </c>
      <c r="H1343" s="65"/>
      <c r="I1343" s="65"/>
      <c r="J1343" s="66"/>
      <c r="K1343" s="67" t="s">
        <v>1559</v>
      </c>
      <c r="L1343" s="64" t="s">
        <v>1540</v>
      </c>
      <c r="M1343" s="68" t="s">
        <v>1543</v>
      </c>
      <c r="N1343" s="64" t="s">
        <v>47</v>
      </c>
      <c r="O1343" s="64" t="s">
        <v>1544</v>
      </c>
      <c r="P1343" s="64"/>
      <c r="Q1343" s="69"/>
      <c r="R1343" s="69"/>
      <c r="S1343" s="65"/>
      <c r="T1343" s="64"/>
      <c r="U1343" s="370">
        <v>0</v>
      </c>
      <c r="V1343" s="674">
        <v>0</v>
      </c>
      <c r="W1343" s="75"/>
      <c r="X1343" s="75"/>
      <c r="Y1343" s="834">
        <f t="shared" si="269"/>
        <v>0</v>
      </c>
      <c r="Z1343" s="75"/>
      <c r="AA1343" s="75"/>
      <c r="AB1343" s="75"/>
      <c r="AC1343" s="97"/>
      <c r="AD1343" s="97"/>
      <c r="AE1343" s="591"/>
      <c r="AF1343" s="259"/>
      <c r="AG1343" s="510">
        <v>0</v>
      </c>
      <c r="AH1343" s="370">
        <v>0</v>
      </c>
      <c r="AI1343" s="75"/>
      <c r="AJ1343" s="75"/>
      <c r="AK1343" s="75"/>
      <c r="AL1343" s="75"/>
      <c r="AM1343" s="75"/>
      <c r="AN1343" s="64" t="s">
        <v>181</v>
      </c>
      <c r="AO1343" s="64"/>
      <c r="AP1343" s="64"/>
      <c r="AQ1343" s="189"/>
      <c r="AR1343" s="64"/>
      <c r="AS1343" s="476"/>
      <c r="AT1343" s="64"/>
      <c r="AU1343" s="646"/>
      <c r="AV1343" s="185"/>
    </row>
    <row r="1344" spans="1:48" ht="30" outlineLevel="3" x14ac:dyDescent="0.25">
      <c r="A1344" s="63" t="str">
        <f t="shared" si="266"/>
        <v>4.15.3.1.22.62-63</v>
      </c>
      <c r="B1344" s="64">
        <v>4</v>
      </c>
      <c r="C1344" s="64">
        <v>15</v>
      </c>
      <c r="D1344" s="64">
        <v>3</v>
      </c>
      <c r="E1344" s="64">
        <v>1</v>
      </c>
      <c r="F1344" s="64">
        <v>22</v>
      </c>
      <c r="G1344" s="64" t="s">
        <v>1551</v>
      </c>
      <c r="H1344" s="65"/>
      <c r="I1344" s="65"/>
      <c r="J1344" s="66"/>
      <c r="K1344" s="67" t="s">
        <v>1785</v>
      </c>
      <c r="L1344" s="64" t="s">
        <v>1540</v>
      </c>
      <c r="M1344" s="68" t="s">
        <v>1543</v>
      </c>
      <c r="N1344" s="64" t="s">
        <v>47</v>
      </c>
      <c r="O1344" s="64" t="s">
        <v>1544</v>
      </c>
      <c r="P1344" s="64"/>
      <c r="Q1344" s="69"/>
      <c r="R1344" s="69"/>
      <c r="S1344" s="65"/>
      <c r="T1344" s="64"/>
      <c r="U1344" s="370">
        <v>0</v>
      </c>
      <c r="V1344" s="674">
        <v>0</v>
      </c>
      <c r="W1344" s="75"/>
      <c r="X1344" s="75"/>
      <c r="Y1344" s="834">
        <f t="shared" si="269"/>
        <v>0</v>
      </c>
      <c r="Z1344" s="75"/>
      <c r="AA1344" s="75"/>
      <c r="AB1344" s="75"/>
      <c r="AC1344" s="97"/>
      <c r="AD1344" s="97"/>
      <c r="AE1344" s="591"/>
      <c r="AF1344" s="259"/>
      <c r="AG1344" s="510">
        <v>0</v>
      </c>
      <c r="AH1344" s="370">
        <v>0</v>
      </c>
      <c r="AI1344" s="75"/>
      <c r="AJ1344" s="75"/>
      <c r="AK1344" s="75"/>
      <c r="AL1344" s="75"/>
      <c r="AM1344" s="75"/>
      <c r="AN1344" s="64" t="s">
        <v>181</v>
      </c>
      <c r="AO1344" s="64"/>
      <c r="AP1344" s="64"/>
      <c r="AQ1344" s="189"/>
      <c r="AR1344" s="64"/>
      <c r="AS1344" s="476"/>
      <c r="AT1344" s="64"/>
      <c r="AU1344" s="646"/>
      <c r="AV1344" s="185"/>
    </row>
    <row r="1345" spans="1:48" s="153" customFormat="1" outlineLevel="2" x14ac:dyDescent="0.25">
      <c r="A1345" s="148" t="str">
        <f t="shared" si="266"/>
        <v>4.15.3.2.0.0</v>
      </c>
      <c r="B1345" s="82">
        <v>4</v>
      </c>
      <c r="C1345" s="82">
        <v>15</v>
      </c>
      <c r="D1345" s="82">
        <v>3</v>
      </c>
      <c r="E1345" s="82">
        <v>2</v>
      </c>
      <c r="F1345" s="82">
        <v>0</v>
      </c>
      <c r="G1345" s="82">
        <v>0</v>
      </c>
      <c r="H1345" s="149"/>
      <c r="I1345" s="149"/>
      <c r="J1345" s="1260" t="s">
        <v>1560</v>
      </c>
      <c r="K1345" s="1259"/>
      <c r="L1345" s="82" t="s">
        <v>72</v>
      </c>
      <c r="M1345" s="82" t="s">
        <v>73</v>
      </c>
      <c r="N1345" s="82" t="s">
        <v>74</v>
      </c>
      <c r="O1345" s="82" t="s">
        <v>1540</v>
      </c>
      <c r="P1345" s="82"/>
      <c r="Q1345" s="82"/>
      <c r="R1345" s="82"/>
      <c r="S1345" s="149"/>
      <c r="T1345" s="82"/>
      <c r="U1345" s="209">
        <f>SUM(U1346:U1362)</f>
        <v>1056900</v>
      </c>
      <c r="V1345" s="682">
        <f t="shared" ref="V1345:AG1345" si="270">+SUM(V1346:V1362)</f>
        <v>982200</v>
      </c>
      <c r="W1345" s="380">
        <f t="shared" si="270"/>
        <v>0</v>
      </c>
      <c r="X1345" s="380">
        <f t="shared" si="270"/>
        <v>1056900</v>
      </c>
      <c r="Y1345" s="845">
        <f t="shared" si="270"/>
        <v>982200</v>
      </c>
      <c r="Z1345" s="380">
        <f t="shared" si="270"/>
        <v>0</v>
      </c>
      <c r="AA1345" s="380">
        <f t="shared" si="270"/>
        <v>0</v>
      </c>
      <c r="AB1345" s="380">
        <f t="shared" si="270"/>
        <v>0</v>
      </c>
      <c r="AC1345" s="380">
        <f t="shared" si="270"/>
        <v>0</v>
      </c>
      <c r="AD1345" s="380">
        <f t="shared" si="270"/>
        <v>0</v>
      </c>
      <c r="AE1345" s="380">
        <f t="shared" si="270"/>
        <v>0</v>
      </c>
      <c r="AF1345" s="380">
        <f t="shared" si="270"/>
        <v>0</v>
      </c>
      <c r="AG1345" s="380">
        <f t="shared" si="270"/>
        <v>2113800</v>
      </c>
      <c r="AH1345" s="380">
        <f>+SUM(AH1346:AH1362)</f>
        <v>2113800</v>
      </c>
      <c r="AI1345" s="380">
        <f t="shared" ref="AI1345" si="271">+SUM(AI1346:AI1362)</f>
        <v>0</v>
      </c>
      <c r="AJ1345" s="380">
        <f>+SUM(AJ1346:AJ1362)</f>
        <v>1964400</v>
      </c>
      <c r="AK1345" s="198"/>
      <c r="AL1345" s="198"/>
      <c r="AM1345" s="198"/>
      <c r="AN1345" s="82" t="s">
        <v>181</v>
      </c>
      <c r="AO1345" s="82"/>
      <c r="AP1345" s="82"/>
      <c r="AQ1345" s="365"/>
      <c r="AR1345" s="82"/>
      <c r="AS1345" s="483"/>
      <c r="AT1345" s="82"/>
      <c r="AU1345" s="666"/>
      <c r="AV1345" s="444"/>
    </row>
    <row r="1346" spans="1:48" outlineLevel="3" x14ac:dyDescent="0.25">
      <c r="A1346" s="63" t="str">
        <f t="shared" si="266"/>
        <v>4.15.3.2.1.58-64</v>
      </c>
      <c r="B1346" s="64">
        <v>4</v>
      </c>
      <c r="C1346" s="64">
        <v>15</v>
      </c>
      <c r="D1346" s="64">
        <v>3</v>
      </c>
      <c r="E1346" s="64">
        <v>2</v>
      </c>
      <c r="F1346" s="64">
        <v>1</v>
      </c>
      <c r="G1346" s="64" t="s">
        <v>64</v>
      </c>
      <c r="H1346" s="65"/>
      <c r="I1346" s="65"/>
      <c r="J1346" s="65"/>
      <c r="K1346" s="67" t="s">
        <v>122</v>
      </c>
      <c r="L1346" s="64" t="s">
        <v>72</v>
      </c>
      <c r="M1346" s="64" t="s">
        <v>73</v>
      </c>
      <c r="N1346" s="64" t="s">
        <v>74</v>
      </c>
      <c r="O1346" s="64" t="s">
        <v>1540</v>
      </c>
      <c r="P1346" s="64"/>
      <c r="Q1346" s="64"/>
      <c r="R1346" s="64"/>
      <c r="S1346" s="65"/>
      <c r="T1346" s="64"/>
      <c r="U1346" s="75"/>
      <c r="V1346" s="674">
        <v>0</v>
      </c>
      <c r="W1346" s="75"/>
      <c r="X1346" s="75"/>
      <c r="Y1346" s="834">
        <f>+AJ1346-V1346</f>
        <v>0</v>
      </c>
      <c r="Z1346" s="75"/>
      <c r="AA1346" s="75"/>
      <c r="AB1346" s="75"/>
      <c r="AC1346" s="97"/>
      <c r="AD1346" s="97"/>
      <c r="AE1346" s="591"/>
      <c r="AF1346" s="259"/>
      <c r="AG1346" s="510">
        <v>0</v>
      </c>
      <c r="AH1346" s="370">
        <v>0</v>
      </c>
      <c r="AI1346" s="75"/>
      <c r="AJ1346" s="75"/>
      <c r="AK1346" s="75"/>
      <c r="AL1346" s="75"/>
      <c r="AM1346" s="75"/>
      <c r="AN1346" s="64" t="s">
        <v>181</v>
      </c>
      <c r="AO1346" s="64"/>
      <c r="AP1346" s="64"/>
      <c r="AQ1346" s="189"/>
      <c r="AR1346" s="64"/>
      <c r="AS1346" s="476"/>
      <c r="AT1346" s="64"/>
      <c r="AU1346" s="646"/>
      <c r="AV1346" s="335" t="s">
        <v>1094</v>
      </c>
    </row>
    <row r="1347" spans="1:48" ht="30" outlineLevel="3" x14ac:dyDescent="0.25">
      <c r="A1347" s="63" t="str">
        <f t="shared" si="266"/>
        <v>4.15.3.2.3.58-64</v>
      </c>
      <c r="B1347" s="64">
        <v>4</v>
      </c>
      <c r="C1347" s="64">
        <v>15</v>
      </c>
      <c r="D1347" s="64">
        <v>3</v>
      </c>
      <c r="E1347" s="64">
        <v>2</v>
      </c>
      <c r="F1347" s="64">
        <v>3</v>
      </c>
      <c r="G1347" s="64" t="s">
        <v>64</v>
      </c>
      <c r="H1347" s="65"/>
      <c r="I1347" s="65"/>
      <c r="J1347" s="65"/>
      <c r="K1347" s="67" t="s">
        <v>1561</v>
      </c>
      <c r="L1347" s="64" t="s">
        <v>72</v>
      </c>
      <c r="M1347" s="64" t="s">
        <v>73</v>
      </c>
      <c r="N1347" s="64" t="s">
        <v>74</v>
      </c>
      <c r="O1347" s="64" t="s">
        <v>1540</v>
      </c>
      <c r="P1347" s="64"/>
      <c r="Q1347" s="64"/>
      <c r="R1347" s="64"/>
      <c r="S1347" s="65"/>
      <c r="T1347" s="64"/>
      <c r="U1347" s="75"/>
      <c r="V1347" s="674">
        <v>0</v>
      </c>
      <c r="W1347" s="75"/>
      <c r="X1347" s="75"/>
      <c r="Y1347" s="834">
        <f>+AJ1347-V1347</f>
        <v>0</v>
      </c>
      <c r="Z1347" s="75"/>
      <c r="AA1347" s="75"/>
      <c r="AB1347" s="75"/>
      <c r="AC1347" s="97"/>
      <c r="AD1347" s="97"/>
      <c r="AE1347" s="591"/>
      <c r="AF1347" s="259"/>
      <c r="AG1347" s="510">
        <v>0</v>
      </c>
      <c r="AH1347" s="370">
        <v>0</v>
      </c>
      <c r="AI1347" s="75"/>
      <c r="AJ1347" s="75"/>
      <c r="AK1347" s="75"/>
      <c r="AL1347" s="75"/>
      <c r="AM1347" s="75"/>
      <c r="AN1347" s="64" t="s">
        <v>181</v>
      </c>
      <c r="AO1347" s="64"/>
      <c r="AP1347" s="64"/>
      <c r="AQ1347" s="189"/>
      <c r="AR1347" s="64"/>
      <c r="AS1347" s="476"/>
      <c r="AT1347" s="64"/>
      <c r="AU1347" s="646"/>
      <c r="AV1347" s="335" t="s">
        <v>1094</v>
      </c>
    </row>
    <row r="1348" spans="1:48" outlineLevel="3" x14ac:dyDescent="0.25">
      <c r="A1348" s="63" t="str">
        <f t="shared" si="266"/>
        <v>4.15.3.2.4.58-64</v>
      </c>
      <c r="B1348" s="64">
        <v>4</v>
      </c>
      <c r="C1348" s="64">
        <v>15</v>
      </c>
      <c r="D1348" s="64">
        <v>3</v>
      </c>
      <c r="E1348" s="64">
        <v>2</v>
      </c>
      <c r="F1348" s="64">
        <v>4</v>
      </c>
      <c r="G1348" s="64" t="s">
        <v>64</v>
      </c>
      <c r="H1348" s="65"/>
      <c r="I1348" s="65"/>
      <c r="J1348" s="66"/>
      <c r="K1348" s="65" t="s">
        <v>1562</v>
      </c>
      <c r="L1348" s="64" t="s">
        <v>72</v>
      </c>
      <c r="M1348" s="64" t="s">
        <v>73</v>
      </c>
      <c r="N1348" s="64" t="s">
        <v>74</v>
      </c>
      <c r="O1348" s="64" t="s">
        <v>1540</v>
      </c>
      <c r="P1348" s="64"/>
      <c r="Q1348" s="64"/>
      <c r="R1348" s="64"/>
      <c r="S1348" s="65"/>
      <c r="T1348" s="64"/>
      <c r="U1348" s="75"/>
      <c r="V1348" s="674">
        <v>0</v>
      </c>
      <c r="W1348" s="75"/>
      <c r="X1348" s="75"/>
      <c r="Y1348" s="834">
        <f>+AJ1348-V1348</f>
        <v>0</v>
      </c>
      <c r="Z1348" s="75"/>
      <c r="AA1348" s="75"/>
      <c r="AB1348" s="75"/>
      <c r="AC1348" s="97"/>
      <c r="AD1348" s="97"/>
      <c r="AE1348" s="591"/>
      <c r="AF1348" s="259"/>
      <c r="AG1348" s="510">
        <v>0</v>
      </c>
      <c r="AH1348" s="370">
        <v>0</v>
      </c>
      <c r="AI1348" s="75"/>
      <c r="AJ1348" s="75"/>
      <c r="AK1348" s="75"/>
      <c r="AL1348" s="75"/>
      <c r="AM1348" s="75"/>
      <c r="AN1348" s="64" t="s">
        <v>181</v>
      </c>
      <c r="AO1348" s="64"/>
      <c r="AP1348" s="64"/>
      <c r="AQ1348" s="189"/>
      <c r="AR1348" s="64"/>
      <c r="AS1348" s="476"/>
      <c r="AT1348" s="64"/>
      <c r="AU1348" s="646"/>
      <c r="AV1348" s="185"/>
    </row>
    <row r="1349" spans="1:48" outlineLevel="3" x14ac:dyDescent="0.25">
      <c r="A1349" s="63" t="str">
        <f t="shared" si="266"/>
        <v>4.15.3.2.5.58</v>
      </c>
      <c r="B1349" s="64">
        <v>4</v>
      </c>
      <c r="C1349" s="64">
        <v>15</v>
      </c>
      <c r="D1349" s="64">
        <v>3</v>
      </c>
      <c r="E1349" s="64">
        <v>2</v>
      </c>
      <c r="F1349" s="64">
        <v>5</v>
      </c>
      <c r="G1349" s="64">
        <v>58</v>
      </c>
      <c r="H1349" s="65"/>
      <c r="I1349" s="65"/>
      <c r="J1349" s="66"/>
      <c r="K1349" s="121" t="s">
        <v>1563</v>
      </c>
      <c r="L1349" s="64" t="s">
        <v>72</v>
      </c>
      <c r="M1349" s="64" t="s">
        <v>73</v>
      </c>
      <c r="N1349" s="64" t="s">
        <v>74</v>
      </c>
      <c r="O1349" s="64" t="s">
        <v>1540</v>
      </c>
      <c r="P1349" s="64"/>
      <c r="Q1349" s="64"/>
      <c r="R1349" s="64"/>
      <c r="S1349" s="65"/>
      <c r="T1349" s="64"/>
      <c r="U1349" s="1365">
        <f>+AH1349/2</f>
        <v>1056900</v>
      </c>
      <c r="V1349" s="1405">
        <v>982200</v>
      </c>
      <c r="W1349" s="75"/>
      <c r="X1349" s="1365">
        <f>+AH1349/2</f>
        <v>1056900</v>
      </c>
      <c r="Y1349" s="1408">
        <f>+AJ1349-V1349</f>
        <v>982200</v>
      </c>
      <c r="Z1349" s="75"/>
      <c r="AA1349" s="1305"/>
      <c r="AB1349" s="75"/>
      <c r="AC1349" s="97"/>
      <c r="AD1349" s="97"/>
      <c r="AE1349" s="591"/>
      <c r="AF1349" s="259"/>
      <c r="AG1349" s="1366">
        <v>2113800</v>
      </c>
      <c r="AH1349" s="1364">
        <v>2113800</v>
      </c>
      <c r="AI1349" s="79"/>
      <c r="AJ1349" s="1367">
        <f>327400+327400+327400+327400+327400+327400</f>
        <v>1964400</v>
      </c>
      <c r="AK1349" s="79"/>
      <c r="AL1349" s="79"/>
      <c r="AM1349" s="79"/>
      <c r="AN1349" s="64" t="s">
        <v>181</v>
      </c>
      <c r="AO1349" s="1370" t="s">
        <v>649</v>
      </c>
      <c r="AP1349" s="1370" t="s">
        <v>649</v>
      </c>
      <c r="AQ1349" s="1370" t="s">
        <v>649</v>
      </c>
      <c r="AR1349" s="1373">
        <v>44562</v>
      </c>
      <c r="AS1349" s="1373">
        <v>44926</v>
      </c>
      <c r="AT1349" s="1370" t="s">
        <v>1814</v>
      </c>
      <c r="AU1349" s="1402" t="s">
        <v>2156</v>
      </c>
      <c r="AV1349" s="1274" t="s">
        <v>2055</v>
      </c>
    </row>
    <row r="1350" spans="1:48" ht="15" customHeight="1" outlineLevel="3" x14ac:dyDescent="0.25">
      <c r="A1350" s="63" t="str">
        <f t="shared" si="266"/>
        <v>4.15.3.2.5.59</v>
      </c>
      <c r="B1350" s="64">
        <v>4</v>
      </c>
      <c r="C1350" s="64">
        <v>15</v>
      </c>
      <c r="D1350" s="64">
        <v>3</v>
      </c>
      <c r="E1350" s="64">
        <v>2</v>
      </c>
      <c r="F1350" s="64">
        <v>5</v>
      </c>
      <c r="G1350" s="64">
        <v>59</v>
      </c>
      <c r="H1350" s="65"/>
      <c r="I1350" s="65"/>
      <c r="J1350" s="66"/>
      <c r="K1350" s="121" t="s">
        <v>1564</v>
      </c>
      <c r="L1350" s="64" t="s">
        <v>72</v>
      </c>
      <c r="M1350" s="64" t="s">
        <v>73</v>
      </c>
      <c r="N1350" s="64" t="s">
        <v>74</v>
      </c>
      <c r="O1350" s="64" t="s">
        <v>1540</v>
      </c>
      <c r="P1350" s="64"/>
      <c r="Q1350" s="64"/>
      <c r="R1350" s="64"/>
      <c r="S1350" s="65"/>
      <c r="T1350" s="64"/>
      <c r="U1350" s="1365"/>
      <c r="V1350" s="1406"/>
      <c r="W1350" s="75"/>
      <c r="X1350" s="1365"/>
      <c r="Y1350" s="1409"/>
      <c r="Z1350" s="75"/>
      <c r="AA1350" s="1306"/>
      <c r="AB1350" s="75"/>
      <c r="AC1350" s="97"/>
      <c r="AD1350" s="97"/>
      <c r="AE1350" s="591"/>
      <c r="AF1350" s="259"/>
      <c r="AG1350" s="1366"/>
      <c r="AH1350" s="1364"/>
      <c r="AI1350" s="79"/>
      <c r="AJ1350" s="1368"/>
      <c r="AK1350" s="79"/>
      <c r="AL1350" s="79"/>
      <c r="AM1350" s="79"/>
      <c r="AN1350" s="64" t="s">
        <v>181</v>
      </c>
      <c r="AO1350" s="1371"/>
      <c r="AP1350" s="1371"/>
      <c r="AQ1350" s="1371"/>
      <c r="AR1350" s="1371"/>
      <c r="AS1350" s="1371"/>
      <c r="AT1350" s="1371"/>
      <c r="AU1350" s="1403"/>
      <c r="AV1350" s="1275"/>
    </row>
    <row r="1351" spans="1:48" ht="15" customHeight="1" outlineLevel="3" x14ac:dyDescent="0.25">
      <c r="A1351" s="63" t="str">
        <f t="shared" si="266"/>
        <v>4.15.3.2.5.60</v>
      </c>
      <c r="B1351" s="64">
        <v>4</v>
      </c>
      <c r="C1351" s="64">
        <v>15</v>
      </c>
      <c r="D1351" s="64">
        <v>3</v>
      </c>
      <c r="E1351" s="64">
        <v>2</v>
      </c>
      <c r="F1351" s="64">
        <v>5</v>
      </c>
      <c r="G1351" s="64">
        <v>60</v>
      </c>
      <c r="H1351" s="65"/>
      <c r="I1351" s="65"/>
      <c r="J1351" s="66"/>
      <c r="K1351" s="121" t="s">
        <v>1565</v>
      </c>
      <c r="L1351" s="64" t="s">
        <v>72</v>
      </c>
      <c r="M1351" s="64" t="s">
        <v>73</v>
      </c>
      <c r="N1351" s="64" t="s">
        <v>74</v>
      </c>
      <c r="O1351" s="64" t="s">
        <v>1540</v>
      </c>
      <c r="P1351" s="64"/>
      <c r="Q1351" s="64"/>
      <c r="R1351" s="64"/>
      <c r="S1351" s="65"/>
      <c r="T1351" s="64"/>
      <c r="U1351" s="1365"/>
      <c r="V1351" s="1406"/>
      <c r="W1351" s="75"/>
      <c r="X1351" s="1365"/>
      <c r="Y1351" s="1409"/>
      <c r="Z1351" s="75"/>
      <c r="AA1351" s="1306"/>
      <c r="AB1351" s="75"/>
      <c r="AC1351" s="97"/>
      <c r="AD1351" s="97"/>
      <c r="AE1351" s="591"/>
      <c r="AF1351" s="259"/>
      <c r="AG1351" s="1366"/>
      <c r="AH1351" s="1364"/>
      <c r="AI1351" s="79"/>
      <c r="AJ1351" s="1368"/>
      <c r="AK1351" s="79"/>
      <c r="AL1351" s="79"/>
      <c r="AM1351" s="79"/>
      <c r="AN1351" s="64" t="s">
        <v>181</v>
      </c>
      <c r="AO1351" s="1371"/>
      <c r="AP1351" s="1371"/>
      <c r="AQ1351" s="1371"/>
      <c r="AR1351" s="1371"/>
      <c r="AS1351" s="1371"/>
      <c r="AT1351" s="1371"/>
      <c r="AU1351" s="1403"/>
      <c r="AV1351" s="1275"/>
    </row>
    <row r="1352" spans="1:48" ht="15" customHeight="1" outlineLevel="3" x14ac:dyDescent="0.25">
      <c r="A1352" s="63" t="str">
        <f t="shared" si="266"/>
        <v>4.15.3.2.5.61</v>
      </c>
      <c r="B1352" s="64">
        <v>4</v>
      </c>
      <c r="C1352" s="64">
        <v>15</v>
      </c>
      <c r="D1352" s="64">
        <v>3</v>
      </c>
      <c r="E1352" s="64">
        <v>2</v>
      </c>
      <c r="F1352" s="64">
        <v>5</v>
      </c>
      <c r="G1352" s="64">
        <v>61</v>
      </c>
      <c r="H1352" s="65"/>
      <c r="I1352" s="65"/>
      <c r="J1352" s="66"/>
      <c r="K1352" s="121" t="s">
        <v>1566</v>
      </c>
      <c r="L1352" s="64" t="s">
        <v>72</v>
      </c>
      <c r="M1352" s="64" t="s">
        <v>73</v>
      </c>
      <c r="N1352" s="64" t="s">
        <v>74</v>
      </c>
      <c r="O1352" s="64" t="s">
        <v>1540</v>
      </c>
      <c r="P1352" s="64"/>
      <c r="Q1352" s="64"/>
      <c r="R1352" s="64"/>
      <c r="S1352" s="65"/>
      <c r="T1352" s="64"/>
      <c r="U1352" s="1365"/>
      <c r="V1352" s="1406"/>
      <c r="W1352" s="75"/>
      <c r="X1352" s="1365"/>
      <c r="Y1352" s="1409"/>
      <c r="Z1352" s="75"/>
      <c r="AA1352" s="1306"/>
      <c r="AB1352" s="75"/>
      <c r="AC1352" s="97"/>
      <c r="AD1352" s="97"/>
      <c r="AE1352" s="591"/>
      <c r="AF1352" s="259"/>
      <c r="AG1352" s="1366"/>
      <c r="AH1352" s="1364"/>
      <c r="AI1352" s="79"/>
      <c r="AJ1352" s="1368"/>
      <c r="AK1352" s="79"/>
      <c r="AL1352" s="79"/>
      <c r="AM1352" s="79"/>
      <c r="AN1352" s="64" t="s">
        <v>181</v>
      </c>
      <c r="AO1352" s="1371"/>
      <c r="AP1352" s="1371"/>
      <c r="AQ1352" s="1371"/>
      <c r="AR1352" s="1371"/>
      <c r="AS1352" s="1371"/>
      <c r="AT1352" s="1371"/>
      <c r="AU1352" s="1403"/>
      <c r="AV1352" s="1275"/>
    </row>
    <row r="1353" spans="1:48" ht="15" customHeight="1" outlineLevel="3" x14ac:dyDescent="0.25">
      <c r="A1353" s="63" t="str">
        <f t="shared" si="266"/>
        <v>4.15.3.2.5.62</v>
      </c>
      <c r="B1353" s="64">
        <v>4</v>
      </c>
      <c r="C1353" s="64">
        <v>15</v>
      </c>
      <c r="D1353" s="64">
        <v>3</v>
      </c>
      <c r="E1353" s="64">
        <v>2</v>
      </c>
      <c r="F1353" s="64">
        <v>5</v>
      </c>
      <c r="G1353" s="64">
        <v>62</v>
      </c>
      <c r="H1353" s="65"/>
      <c r="I1353" s="65"/>
      <c r="J1353" s="66"/>
      <c r="K1353" s="121" t="s">
        <v>1786</v>
      </c>
      <c r="L1353" s="64" t="s">
        <v>72</v>
      </c>
      <c r="M1353" s="64" t="s">
        <v>73</v>
      </c>
      <c r="N1353" s="64" t="s">
        <v>74</v>
      </c>
      <c r="O1353" s="64" t="s">
        <v>1540</v>
      </c>
      <c r="P1353" s="64"/>
      <c r="Q1353" s="64"/>
      <c r="R1353" s="64"/>
      <c r="S1353" s="65"/>
      <c r="T1353" s="64"/>
      <c r="U1353" s="1365"/>
      <c r="V1353" s="1406"/>
      <c r="W1353" s="75"/>
      <c r="X1353" s="1365"/>
      <c r="Y1353" s="1409"/>
      <c r="Z1353" s="75"/>
      <c r="AA1353" s="1306"/>
      <c r="AB1353" s="75"/>
      <c r="AC1353" s="97"/>
      <c r="AD1353" s="97"/>
      <c r="AE1353" s="591"/>
      <c r="AF1353" s="259"/>
      <c r="AG1353" s="1366"/>
      <c r="AH1353" s="1364"/>
      <c r="AI1353" s="79"/>
      <c r="AJ1353" s="1368"/>
      <c r="AK1353" s="79"/>
      <c r="AL1353" s="79"/>
      <c r="AM1353" s="79"/>
      <c r="AN1353" s="64" t="s">
        <v>181</v>
      </c>
      <c r="AO1353" s="1371"/>
      <c r="AP1353" s="1371"/>
      <c r="AQ1353" s="1371"/>
      <c r="AR1353" s="1371"/>
      <c r="AS1353" s="1371"/>
      <c r="AT1353" s="1371"/>
      <c r="AU1353" s="1403"/>
      <c r="AV1353" s="1275"/>
    </row>
    <row r="1354" spans="1:48" ht="15" customHeight="1" outlineLevel="3" x14ac:dyDescent="0.25">
      <c r="A1354" s="63" t="str">
        <f t="shared" si="266"/>
        <v>4.15.3.2.5.63</v>
      </c>
      <c r="B1354" s="64">
        <v>4</v>
      </c>
      <c r="C1354" s="64">
        <v>15</v>
      </c>
      <c r="D1354" s="64">
        <v>3</v>
      </c>
      <c r="E1354" s="64">
        <v>2</v>
      </c>
      <c r="F1354" s="64">
        <v>5</v>
      </c>
      <c r="G1354" s="64">
        <v>63</v>
      </c>
      <c r="H1354" s="65"/>
      <c r="I1354" s="65"/>
      <c r="J1354" s="66"/>
      <c r="K1354" s="121" t="s">
        <v>1567</v>
      </c>
      <c r="L1354" s="64" t="s">
        <v>72</v>
      </c>
      <c r="M1354" s="64" t="s">
        <v>73</v>
      </c>
      <c r="N1354" s="64" t="s">
        <v>74</v>
      </c>
      <c r="O1354" s="64" t="s">
        <v>1540</v>
      </c>
      <c r="P1354" s="64"/>
      <c r="Q1354" s="64"/>
      <c r="R1354" s="64"/>
      <c r="S1354" s="65"/>
      <c r="T1354" s="64"/>
      <c r="U1354" s="1365"/>
      <c r="V1354" s="1406"/>
      <c r="W1354" s="75"/>
      <c r="X1354" s="1365"/>
      <c r="Y1354" s="1409"/>
      <c r="Z1354" s="75"/>
      <c r="AA1354" s="1306"/>
      <c r="AB1354" s="75"/>
      <c r="AC1354" s="97"/>
      <c r="AD1354" s="97"/>
      <c r="AE1354" s="591"/>
      <c r="AF1354" s="259"/>
      <c r="AG1354" s="1366"/>
      <c r="AH1354" s="1364"/>
      <c r="AI1354" s="79"/>
      <c r="AJ1354" s="1368"/>
      <c r="AK1354" s="79"/>
      <c r="AL1354" s="79"/>
      <c r="AM1354" s="79"/>
      <c r="AN1354" s="64" t="s">
        <v>181</v>
      </c>
      <c r="AO1354" s="1371"/>
      <c r="AP1354" s="1371"/>
      <c r="AQ1354" s="1371"/>
      <c r="AR1354" s="1371"/>
      <c r="AS1354" s="1371"/>
      <c r="AT1354" s="1371"/>
      <c r="AU1354" s="1403"/>
      <c r="AV1354" s="1275"/>
    </row>
    <row r="1355" spans="1:48" ht="15" customHeight="1" outlineLevel="3" x14ac:dyDescent="0.25">
      <c r="A1355" s="63" t="str">
        <f t="shared" si="266"/>
        <v>4.15.3.2.5.64</v>
      </c>
      <c r="B1355" s="64">
        <v>4</v>
      </c>
      <c r="C1355" s="64">
        <v>15</v>
      </c>
      <c r="D1355" s="64">
        <v>3</v>
      </c>
      <c r="E1355" s="64">
        <v>2</v>
      </c>
      <c r="F1355" s="64">
        <v>5</v>
      </c>
      <c r="G1355" s="64">
        <v>64</v>
      </c>
      <c r="H1355" s="65"/>
      <c r="I1355" s="65"/>
      <c r="J1355" s="66"/>
      <c r="K1355" s="121" t="s">
        <v>1568</v>
      </c>
      <c r="L1355" s="64" t="s">
        <v>72</v>
      </c>
      <c r="M1355" s="64" t="s">
        <v>73</v>
      </c>
      <c r="N1355" s="64" t="s">
        <v>74</v>
      </c>
      <c r="O1355" s="64" t="s">
        <v>1540</v>
      </c>
      <c r="P1355" s="64"/>
      <c r="Q1355" s="64"/>
      <c r="R1355" s="64"/>
      <c r="S1355" s="65"/>
      <c r="T1355" s="64"/>
      <c r="U1355" s="1365"/>
      <c r="V1355" s="1407"/>
      <c r="W1355" s="75"/>
      <c r="X1355" s="1365"/>
      <c r="Y1355" s="1410"/>
      <c r="Z1355" s="75"/>
      <c r="AA1355" s="1307"/>
      <c r="AB1355" s="75"/>
      <c r="AC1355" s="97"/>
      <c r="AD1355" s="97"/>
      <c r="AE1355" s="591"/>
      <c r="AF1355" s="259"/>
      <c r="AG1355" s="1366"/>
      <c r="AH1355" s="1364"/>
      <c r="AI1355" s="79"/>
      <c r="AJ1355" s="1369"/>
      <c r="AK1355" s="79"/>
      <c r="AL1355" s="79"/>
      <c r="AM1355" s="79"/>
      <c r="AN1355" s="64" t="s">
        <v>181</v>
      </c>
      <c r="AO1355" s="1372"/>
      <c r="AP1355" s="1372"/>
      <c r="AQ1355" s="1372"/>
      <c r="AR1355" s="1372"/>
      <c r="AS1355" s="1372"/>
      <c r="AT1355" s="1372"/>
      <c r="AU1355" s="1404"/>
      <c r="AV1355" s="1276"/>
    </row>
    <row r="1356" spans="1:48" ht="30" outlineLevel="3" x14ac:dyDescent="0.25">
      <c r="A1356" s="63" t="str">
        <f t="shared" si="266"/>
        <v>4.15.3.2.6.58</v>
      </c>
      <c r="B1356" s="64">
        <v>4</v>
      </c>
      <c r="C1356" s="64">
        <v>15</v>
      </c>
      <c r="D1356" s="64">
        <v>3</v>
      </c>
      <c r="E1356" s="64">
        <v>2</v>
      </c>
      <c r="F1356" s="64">
        <v>6</v>
      </c>
      <c r="G1356" s="64">
        <v>58</v>
      </c>
      <c r="H1356" s="65"/>
      <c r="I1356" s="65"/>
      <c r="J1356" s="65"/>
      <c r="K1356" s="67" t="s">
        <v>1569</v>
      </c>
      <c r="L1356" s="64" t="s">
        <v>72</v>
      </c>
      <c r="M1356" s="64" t="s">
        <v>73</v>
      </c>
      <c r="N1356" s="64" t="s">
        <v>74</v>
      </c>
      <c r="O1356" s="64">
        <v>0</v>
      </c>
      <c r="P1356" s="64"/>
      <c r="Q1356" s="64"/>
      <c r="R1356" s="64"/>
      <c r="S1356" s="65"/>
      <c r="T1356" s="64"/>
      <c r="U1356" s="75"/>
      <c r="V1356" s="674">
        <v>0</v>
      </c>
      <c r="W1356" s="75"/>
      <c r="X1356" s="75"/>
      <c r="Y1356" s="834">
        <f t="shared" ref="Y1356:Y1362" si="272">+AJ1356-V1356</f>
        <v>0</v>
      </c>
      <c r="Z1356" s="75"/>
      <c r="AA1356" s="75"/>
      <c r="AB1356" s="75"/>
      <c r="AC1356" s="97"/>
      <c r="AD1356" s="97"/>
      <c r="AE1356" s="591"/>
      <c r="AF1356" s="259"/>
      <c r="AG1356" s="510">
        <v>0</v>
      </c>
      <c r="AH1356" s="370">
        <v>0</v>
      </c>
      <c r="AI1356" s="75"/>
      <c r="AJ1356" s="75"/>
      <c r="AK1356" s="75"/>
      <c r="AL1356" s="75"/>
      <c r="AM1356" s="75"/>
      <c r="AN1356" s="64" t="s">
        <v>181</v>
      </c>
      <c r="AO1356" s="64"/>
      <c r="AP1356" s="64"/>
      <c r="AQ1356" s="189"/>
      <c r="AR1356" s="64"/>
      <c r="AS1356" s="476"/>
      <c r="AT1356" s="64"/>
      <c r="AU1356" s="646"/>
      <c r="AV1356" s="185"/>
    </row>
    <row r="1357" spans="1:48" outlineLevel="3" x14ac:dyDescent="0.25">
      <c r="A1357" s="63" t="str">
        <f t="shared" si="266"/>
        <v>4.15.3.2.6.59</v>
      </c>
      <c r="B1357" s="64">
        <v>4</v>
      </c>
      <c r="C1357" s="64">
        <v>15</v>
      </c>
      <c r="D1357" s="64">
        <v>3</v>
      </c>
      <c r="E1357" s="64">
        <v>2</v>
      </c>
      <c r="F1357" s="64">
        <v>6</v>
      </c>
      <c r="G1357" s="64">
        <v>59</v>
      </c>
      <c r="H1357" s="65"/>
      <c r="I1357" s="65"/>
      <c r="J1357" s="65"/>
      <c r="K1357" s="65" t="s">
        <v>1570</v>
      </c>
      <c r="L1357" s="64" t="s">
        <v>72</v>
      </c>
      <c r="M1357" s="64" t="s">
        <v>73</v>
      </c>
      <c r="N1357" s="64" t="s">
        <v>74</v>
      </c>
      <c r="O1357" s="64">
        <v>1</v>
      </c>
      <c r="P1357" s="64"/>
      <c r="Q1357" s="64"/>
      <c r="R1357" s="64"/>
      <c r="S1357" s="65"/>
      <c r="T1357" s="64"/>
      <c r="U1357" s="75"/>
      <c r="V1357" s="674">
        <v>0</v>
      </c>
      <c r="W1357" s="75"/>
      <c r="X1357" s="75"/>
      <c r="Y1357" s="834">
        <f t="shared" si="272"/>
        <v>0</v>
      </c>
      <c r="Z1357" s="75"/>
      <c r="AA1357" s="75"/>
      <c r="AB1357" s="75"/>
      <c r="AC1357" s="97"/>
      <c r="AD1357" s="97"/>
      <c r="AE1357" s="591"/>
      <c r="AF1357" s="259"/>
      <c r="AG1357" s="510">
        <v>0</v>
      </c>
      <c r="AH1357" s="370">
        <v>0</v>
      </c>
      <c r="AI1357" s="75"/>
      <c r="AJ1357" s="75"/>
      <c r="AK1357" s="75"/>
      <c r="AL1357" s="75"/>
      <c r="AM1357" s="75"/>
      <c r="AN1357" s="64" t="s">
        <v>181</v>
      </c>
      <c r="AO1357" s="64"/>
      <c r="AP1357" s="64"/>
      <c r="AQ1357" s="189"/>
      <c r="AR1357" s="64"/>
      <c r="AS1357" s="476"/>
      <c r="AT1357" s="64"/>
      <c r="AU1357" s="646"/>
      <c r="AV1357" s="185"/>
    </row>
    <row r="1358" spans="1:48" outlineLevel="3" x14ac:dyDescent="0.25">
      <c r="A1358" s="63" t="str">
        <f t="shared" si="266"/>
        <v>4.15.3.2.6.60</v>
      </c>
      <c r="B1358" s="64">
        <v>4</v>
      </c>
      <c r="C1358" s="64">
        <v>15</v>
      </c>
      <c r="D1358" s="64">
        <v>3</v>
      </c>
      <c r="E1358" s="64">
        <v>2</v>
      </c>
      <c r="F1358" s="64">
        <v>6</v>
      </c>
      <c r="G1358" s="64">
        <v>60</v>
      </c>
      <c r="H1358" s="65"/>
      <c r="I1358" s="65"/>
      <c r="J1358" s="65"/>
      <c r="K1358" s="65" t="s">
        <v>1571</v>
      </c>
      <c r="L1358" s="64" t="s">
        <v>72</v>
      </c>
      <c r="M1358" s="64" t="s">
        <v>73</v>
      </c>
      <c r="N1358" s="64" t="s">
        <v>74</v>
      </c>
      <c r="O1358" s="64">
        <v>2</v>
      </c>
      <c r="P1358" s="64"/>
      <c r="Q1358" s="64"/>
      <c r="R1358" s="64"/>
      <c r="S1358" s="65"/>
      <c r="T1358" s="64"/>
      <c r="U1358" s="75"/>
      <c r="V1358" s="674">
        <v>0</v>
      </c>
      <c r="W1358" s="75"/>
      <c r="X1358" s="75"/>
      <c r="Y1358" s="834">
        <f t="shared" si="272"/>
        <v>0</v>
      </c>
      <c r="Z1358" s="75"/>
      <c r="AA1358" s="75"/>
      <c r="AB1358" s="75"/>
      <c r="AC1358" s="97"/>
      <c r="AD1358" s="97"/>
      <c r="AE1358" s="591"/>
      <c r="AF1358" s="259"/>
      <c r="AG1358" s="510">
        <v>0</v>
      </c>
      <c r="AH1358" s="370">
        <v>0</v>
      </c>
      <c r="AI1358" s="75"/>
      <c r="AJ1358" s="75"/>
      <c r="AK1358" s="75"/>
      <c r="AL1358" s="75"/>
      <c r="AM1358" s="75"/>
      <c r="AN1358" s="64" t="s">
        <v>181</v>
      </c>
      <c r="AO1358" s="64"/>
      <c r="AP1358" s="64"/>
      <c r="AQ1358" s="189"/>
      <c r="AR1358" s="64"/>
      <c r="AS1358" s="476"/>
      <c r="AT1358" s="64"/>
      <c r="AU1358" s="646"/>
      <c r="AV1358" s="185"/>
    </row>
    <row r="1359" spans="1:48" outlineLevel="3" x14ac:dyDescent="0.25">
      <c r="A1359" s="63" t="str">
        <f t="shared" si="266"/>
        <v>4.15.3.2.6.61</v>
      </c>
      <c r="B1359" s="64">
        <v>4</v>
      </c>
      <c r="C1359" s="64">
        <v>15</v>
      </c>
      <c r="D1359" s="64">
        <v>3</v>
      </c>
      <c r="E1359" s="64">
        <v>2</v>
      </c>
      <c r="F1359" s="64">
        <v>6</v>
      </c>
      <c r="G1359" s="64">
        <v>61</v>
      </c>
      <c r="H1359" s="65"/>
      <c r="I1359" s="65"/>
      <c r="J1359" s="65"/>
      <c r="K1359" s="65" t="s">
        <v>1572</v>
      </c>
      <c r="L1359" s="64" t="s">
        <v>72</v>
      </c>
      <c r="M1359" s="64" t="s">
        <v>73</v>
      </c>
      <c r="N1359" s="64" t="s">
        <v>74</v>
      </c>
      <c r="O1359" s="64">
        <v>3</v>
      </c>
      <c r="P1359" s="64"/>
      <c r="Q1359" s="64"/>
      <c r="R1359" s="64"/>
      <c r="S1359" s="65"/>
      <c r="T1359" s="64"/>
      <c r="U1359" s="75"/>
      <c r="V1359" s="674">
        <v>0</v>
      </c>
      <c r="W1359" s="75"/>
      <c r="X1359" s="75"/>
      <c r="Y1359" s="834">
        <f t="shared" si="272"/>
        <v>0</v>
      </c>
      <c r="Z1359" s="75"/>
      <c r="AA1359" s="75"/>
      <c r="AB1359" s="75"/>
      <c r="AC1359" s="97"/>
      <c r="AD1359" s="97"/>
      <c r="AE1359" s="591"/>
      <c r="AF1359" s="259"/>
      <c r="AG1359" s="510">
        <v>0</v>
      </c>
      <c r="AH1359" s="370">
        <v>0</v>
      </c>
      <c r="AI1359" s="75"/>
      <c r="AJ1359" s="75"/>
      <c r="AK1359" s="75"/>
      <c r="AL1359" s="75"/>
      <c r="AM1359" s="75"/>
      <c r="AN1359" s="64" t="s">
        <v>181</v>
      </c>
      <c r="AO1359" s="64"/>
      <c r="AP1359" s="64"/>
      <c r="AQ1359" s="189"/>
      <c r="AR1359" s="64"/>
      <c r="AS1359" s="476"/>
      <c r="AT1359" s="64"/>
      <c r="AU1359" s="646"/>
      <c r="AV1359" s="185"/>
    </row>
    <row r="1360" spans="1:48" outlineLevel="3" x14ac:dyDescent="0.25">
      <c r="A1360" s="63" t="str">
        <f t="shared" si="266"/>
        <v>4.15.3.2.6.62</v>
      </c>
      <c r="B1360" s="64">
        <v>4</v>
      </c>
      <c r="C1360" s="64">
        <v>15</v>
      </c>
      <c r="D1360" s="64">
        <v>3</v>
      </c>
      <c r="E1360" s="64">
        <v>2</v>
      </c>
      <c r="F1360" s="64">
        <v>6</v>
      </c>
      <c r="G1360" s="64">
        <v>62</v>
      </c>
      <c r="H1360" s="65"/>
      <c r="I1360" s="65"/>
      <c r="J1360" s="65"/>
      <c r="K1360" s="65" t="s">
        <v>1573</v>
      </c>
      <c r="L1360" s="64" t="s">
        <v>72</v>
      </c>
      <c r="M1360" s="64" t="s">
        <v>73</v>
      </c>
      <c r="N1360" s="64" t="s">
        <v>74</v>
      </c>
      <c r="O1360" s="64">
        <v>4</v>
      </c>
      <c r="P1360" s="64"/>
      <c r="Q1360" s="64"/>
      <c r="R1360" s="64"/>
      <c r="S1360" s="65"/>
      <c r="T1360" s="64"/>
      <c r="U1360" s="75"/>
      <c r="V1360" s="674">
        <v>0</v>
      </c>
      <c r="W1360" s="75"/>
      <c r="X1360" s="75"/>
      <c r="Y1360" s="834">
        <f t="shared" si="272"/>
        <v>0</v>
      </c>
      <c r="Z1360" s="75"/>
      <c r="AA1360" s="75"/>
      <c r="AB1360" s="75"/>
      <c r="AC1360" s="97"/>
      <c r="AD1360" s="97"/>
      <c r="AE1360" s="591"/>
      <c r="AF1360" s="259"/>
      <c r="AG1360" s="510">
        <v>0</v>
      </c>
      <c r="AH1360" s="370">
        <v>0</v>
      </c>
      <c r="AI1360" s="75"/>
      <c r="AJ1360" s="75"/>
      <c r="AK1360" s="75"/>
      <c r="AL1360" s="75"/>
      <c r="AM1360" s="75"/>
      <c r="AN1360" s="64" t="s">
        <v>181</v>
      </c>
      <c r="AO1360" s="64"/>
      <c r="AP1360" s="64"/>
      <c r="AQ1360" s="189"/>
      <c r="AR1360" s="64"/>
      <c r="AS1360" s="476"/>
      <c r="AT1360" s="64"/>
      <c r="AU1360" s="646"/>
      <c r="AV1360" s="185"/>
    </row>
    <row r="1361" spans="1:61" outlineLevel="3" x14ac:dyDescent="0.25">
      <c r="A1361" s="63" t="str">
        <f t="shared" si="266"/>
        <v>4.15.3.2.6.63</v>
      </c>
      <c r="B1361" s="64">
        <v>4</v>
      </c>
      <c r="C1361" s="64">
        <v>15</v>
      </c>
      <c r="D1361" s="64">
        <v>3</v>
      </c>
      <c r="E1361" s="64">
        <v>2</v>
      </c>
      <c r="F1361" s="64">
        <v>6</v>
      </c>
      <c r="G1361" s="64">
        <v>63</v>
      </c>
      <c r="H1361" s="65"/>
      <c r="I1361" s="65"/>
      <c r="J1361" s="65"/>
      <c r="K1361" s="65" t="s">
        <v>1787</v>
      </c>
      <c r="L1361" s="64" t="s">
        <v>72</v>
      </c>
      <c r="M1361" s="64" t="s">
        <v>73</v>
      </c>
      <c r="N1361" s="64" t="s">
        <v>74</v>
      </c>
      <c r="O1361" s="64">
        <v>5</v>
      </c>
      <c r="P1361" s="64"/>
      <c r="Q1361" s="64"/>
      <c r="R1361" s="64"/>
      <c r="S1361" s="65"/>
      <c r="T1361" s="64"/>
      <c r="U1361" s="75"/>
      <c r="V1361" s="674">
        <v>0</v>
      </c>
      <c r="W1361" s="75"/>
      <c r="X1361" s="75"/>
      <c r="Y1361" s="834">
        <f t="shared" si="272"/>
        <v>0</v>
      </c>
      <c r="Z1361" s="75"/>
      <c r="AA1361" s="75"/>
      <c r="AB1361" s="75"/>
      <c r="AC1361" s="97"/>
      <c r="AD1361" s="97"/>
      <c r="AE1361" s="591"/>
      <c r="AF1361" s="259"/>
      <c r="AG1361" s="510">
        <v>0</v>
      </c>
      <c r="AH1361" s="370">
        <v>0</v>
      </c>
      <c r="AI1361" s="75"/>
      <c r="AJ1361" s="75"/>
      <c r="AK1361" s="75"/>
      <c r="AL1361" s="75"/>
      <c r="AM1361" s="75"/>
      <c r="AN1361" s="64" t="s">
        <v>181</v>
      </c>
      <c r="AO1361" s="64"/>
      <c r="AP1361" s="64"/>
      <c r="AQ1361" s="189"/>
      <c r="AR1361" s="64"/>
      <c r="AS1361" s="476"/>
      <c r="AT1361" s="64"/>
      <c r="AU1361" s="646"/>
      <c r="AV1361" s="185"/>
    </row>
    <row r="1362" spans="1:61" outlineLevel="3" x14ac:dyDescent="0.25">
      <c r="A1362" s="63" t="str">
        <f t="shared" si="266"/>
        <v>4.15.3.2.6.64</v>
      </c>
      <c r="B1362" s="64">
        <v>4</v>
      </c>
      <c r="C1362" s="64">
        <v>15</v>
      </c>
      <c r="D1362" s="64">
        <v>3</v>
      </c>
      <c r="E1362" s="64">
        <v>2</v>
      </c>
      <c r="F1362" s="64">
        <v>6</v>
      </c>
      <c r="G1362" s="64">
        <v>64</v>
      </c>
      <c r="H1362" s="65"/>
      <c r="I1362" s="65"/>
      <c r="J1362" s="65"/>
      <c r="K1362" s="67" t="s">
        <v>1574</v>
      </c>
      <c r="L1362" s="64" t="s">
        <v>72</v>
      </c>
      <c r="M1362" s="64" t="s">
        <v>73</v>
      </c>
      <c r="N1362" s="64" t="s">
        <v>74</v>
      </c>
      <c r="O1362" s="64">
        <v>6</v>
      </c>
      <c r="P1362" s="64"/>
      <c r="Q1362" s="64"/>
      <c r="R1362" s="64"/>
      <c r="S1362" s="65"/>
      <c r="T1362" s="64"/>
      <c r="U1362" s="75"/>
      <c r="V1362" s="674">
        <v>0</v>
      </c>
      <c r="W1362" s="75"/>
      <c r="X1362" s="75"/>
      <c r="Y1362" s="834">
        <f t="shared" si="272"/>
        <v>0</v>
      </c>
      <c r="Z1362" s="75"/>
      <c r="AA1362" s="75"/>
      <c r="AB1362" s="75"/>
      <c r="AC1362" s="97"/>
      <c r="AD1362" s="97"/>
      <c r="AE1362" s="591"/>
      <c r="AF1362" s="259"/>
      <c r="AG1362" s="510">
        <v>0</v>
      </c>
      <c r="AH1362" s="370">
        <v>0</v>
      </c>
      <c r="AI1362" s="75"/>
      <c r="AJ1362" s="75"/>
      <c r="AK1362" s="75"/>
      <c r="AL1362" s="75"/>
      <c r="AM1362" s="75"/>
      <c r="AN1362" s="64" t="s">
        <v>181</v>
      </c>
      <c r="AO1362" s="64"/>
      <c r="AP1362" s="64"/>
      <c r="AQ1362" s="189"/>
      <c r="AR1362" s="64"/>
      <c r="AS1362" s="476"/>
      <c r="AT1362" s="64"/>
      <c r="AU1362" s="646"/>
      <c r="AV1362" s="185"/>
    </row>
    <row r="1363" spans="1:61" s="153" customFormat="1" ht="30" customHeight="1" outlineLevel="2" x14ac:dyDescent="0.25">
      <c r="A1363" s="108" t="str">
        <f t="shared" si="266"/>
        <v>4.16.3.0.0.0</v>
      </c>
      <c r="B1363" s="109">
        <v>4</v>
      </c>
      <c r="C1363" s="109">
        <v>16</v>
      </c>
      <c r="D1363" s="109">
        <v>3</v>
      </c>
      <c r="E1363" s="109">
        <v>0</v>
      </c>
      <c r="F1363" s="109">
        <v>0</v>
      </c>
      <c r="G1363" s="109">
        <v>0</v>
      </c>
      <c r="H1363" s="110"/>
      <c r="I1363" s="1277" t="s">
        <v>1575</v>
      </c>
      <c r="J1363" s="1278"/>
      <c r="K1363" s="1279"/>
      <c r="L1363" s="109" t="s">
        <v>1576</v>
      </c>
      <c r="M1363" s="109" t="s">
        <v>1464</v>
      </c>
      <c r="N1363" s="109" t="s">
        <v>1444</v>
      </c>
      <c r="O1363" s="109" t="s">
        <v>1577</v>
      </c>
      <c r="P1363" s="109"/>
      <c r="Q1363" s="108"/>
      <c r="R1363" s="108"/>
      <c r="S1363" s="108"/>
      <c r="T1363" s="109"/>
      <c r="U1363" s="112">
        <f>+U1364+U1373+U1382+U1391+U1400+U1409+U1418+U1427</f>
        <v>870666.66666666651</v>
      </c>
      <c r="V1363" s="680">
        <f>+V1364+V1373+V1382+V1391+V1400+V1409+V1418+V1427</f>
        <v>0</v>
      </c>
      <c r="W1363" s="374">
        <f t="shared" ref="W1363:AM1363" si="273">+W1364+W1373+W1382+W1391+W1400+W1409+W1418+W1427</f>
        <v>124</v>
      </c>
      <c r="X1363" s="374">
        <f t="shared" si="273"/>
        <v>667666.66666666651</v>
      </c>
      <c r="Y1363" s="837">
        <f t="shared" si="273"/>
        <v>240000</v>
      </c>
      <c r="Z1363" s="374">
        <f t="shared" si="273"/>
        <v>138</v>
      </c>
      <c r="AA1363" s="374">
        <f t="shared" si="273"/>
        <v>555666.66666666651</v>
      </c>
      <c r="AB1363" s="374">
        <f t="shared" si="273"/>
        <v>0</v>
      </c>
      <c r="AC1363" s="374">
        <f t="shared" si="273"/>
        <v>79</v>
      </c>
      <c r="AD1363" s="374">
        <f t="shared" si="273"/>
        <v>75000</v>
      </c>
      <c r="AE1363" s="374">
        <f t="shared" si="273"/>
        <v>0</v>
      </c>
      <c r="AF1363" s="374">
        <f t="shared" si="273"/>
        <v>0</v>
      </c>
      <c r="AG1363" s="374">
        <f t="shared" si="273"/>
        <v>2169000</v>
      </c>
      <c r="AH1363" s="374">
        <f t="shared" si="273"/>
        <v>2169000</v>
      </c>
      <c r="AI1363" s="514">
        <f t="shared" si="273"/>
        <v>0</v>
      </c>
      <c r="AJ1363" s="514">
        <f>+AJ1364+AJ1373+AJ1382+AJ1391+AJ1400+AJ1409+AJ1418+AJ1427</f>
        <v>240000</v>
      </c>
      <c r="AK1363" s="514">
        <f t="shared" si="273"/>
        <v>0</v>
      </c>
      <c r="AL1363" s="514">
        <f t="shared" si="273"/>
        <v>0</v>
      </c>
      <c r="AM1363" s="514">
        <f t="shared" si="273"/>
        <v>0</v>
      </c>
      <c r="AN1363" s="109" t="s">
        <v>181</v>
      </c>
      <c r="AO1363" s="109"/>
      <c r="AP1363" s="109"/>
      <c r="AQ1363" s="411"/>
      <c r="AR1363" s="109"/>
      <c r="AS1363" s="473"/>
      <c r="AT1363" s="109"/>
      <c r="AU1363" s="659"/>
      <c r="AV1363" s="461"/>
      <c r="AW1363" s="289"/>
      <c r="AX1363" s="290"/>
      <c r="AY1363" s="291"/>
      <c r="AZ1363" s="1280"/>
      <c r="BA1363" s="1280"/>
      <c r="BB1363" s="1281"/>
      <c r="BC1363" s="289"/>
      <c r="BD1363" s="289"/>
      <c r="BE1363" s="289"/>
      <c r="BF1363" s="289"/>
      <c r="BG1363" s="289"/>
      <c r="BH1363" s="290"/>
      <c r="BI1363" s="291"/>
    </row>
    <row r="1364" spans="1:61" s="153" customFormat="1" ht="48.75" customHeight="1" outlineLevel="2" x14ac:dyDescent="0.25">
      <c r="A1364" s="148" t="str">
        <f t="shared" si="266"/>
        <v>4.16.3.1.0.58</v>
      </c>
      <c r="B1364" s="82">
        <v>4</v>
      </c>
      <c r="C1364" s="82">
        <v>16</v>
      </c>
      <c r="D1364" s="82">
        <v>3</v>
      </c>
      <c r="E1364" s="82">
        <v>1</v>
      </c>
      <c r="F1364" s="82">
        <v>0</v>
      </c>
      <c r="G1364" s="82">
        <v>58</v>
      </c>
      <c r="H1364" s="149"/>
      <c r="I1364" s="149"/>
      <c r="J1364" s="1260" t="s">
        <v>1578</v>
      </c>
      <c r="K1364" s="1259"/>
      <c r="L1364" s="82" t="s">
        <v>1452</v>
      </c>
      <c r="M1364" s="82" t="s">
        <v>1464</v>
      </c>
      <c r="N1364" s="82" t="s">
        <v>1444</v>
      </c>
      <c r="O1364" s="82" t="s">
        <v>1204</v>
      </c>
      <c r="P1364" s="82"/>
      <c r="Q1364" s="82"/>
      <c r="R1364" s="82"/>
      <c r="S1364" s="149"/>
      <c r="T1364" s="82"/>
      <c r="U1364" s="152">
        <f>SUM(U1365:U1372)</f>
        <v>120166.66666666666</v>
      </c>
      <c r="V1364" s="681">
        <f>SUM(V1365:V1372)</f>
        <v>0</v>
      </c>
      <c r="W1364" s="380">
        <f t="shared" ref="W1364:AG1364" si="274">+SUM(W1365:W1372)</f>
        <v>17</v>
      </c>
      <c r="X1364" s="380">
        <f t="shared" si="274"/>
        <v>92166.666666666657</v>
      </c>
      <c r="Y1364" s="845">
        <f t="shared" si="274"/>
        <v>30000</v>
      </c>
      <c r="Z1364" s="380">
        <f t="shared" si="274"/>
        <v>19</v>
      </c>
      <c r="AA1364" s="380">
        <f t="shared" si="274"/>
        <v>75166.666666666657</v>
      </c>
      <c r="AB1364" s="380">
        <f t="shared" si="274"/>
        <v>0</v>
      </c>
      <c r="AC1364" s="380">
        <f t="shared" si="274"/>
        <v>8</v>
      </c>
      <c r="AD1364" s="380">
        <f t="shared" si="274"/>
        <v>7500</v>
      </c>
      <c r="AE1364" s="380">
        <f t="shared" si="274"/>
        <v>0</v>
      </c>
      <c r="AF1364" s="380">
        <f t="shared" si="274"/>
        <v>0</v>
      </c>
      <c r="AG1364" s="380">
        <f t="shared" si="274"/>
        <v>295000</v>
      </c>
      <c r="AH1364" s="380">
        <f>+SUM(AH1365:AH1372)</f>
        <v>295000</v>
      </c>
      <c r="AI1364" s="513">
        <f>+SUM(AI1365:AI1372)</f>
        <v>0</v>
      </c>
      <c r="AJ1364" s="513">
        <f>+SUM(AJ1365:AJ1372)</f>
        <v>30000</v>
      </c>
      <c r="AK1364" s="198"/>
      <c r="AL1364" s="198"/>
      <c r="AM1364" s="198"/>
      <c r="AN1364" s="82" t="s">
        <v>181</v>
      </c>
      <c r="AO1364" s="82"/>
      <c r="AP1364" s="82"/>
      <c r="AQ1364" s="365"/>
      <c r="AR1364" s="82"/>
      <c r="AS1364" s="483"/>
      <c r="AT1364" s="82"/>
      <c r="AU1364" s="666"/>
      <c r="AV1364" s="449" t="s">
        <v>1579</v>
      </c>
    </row>
    <row r="1365" spans="1:61" outlineLevel="3" x14ac:dyDescent="0.25">
      <c r="A1365" s="63" t="str">
        <f t="shared" si="266"/>
        <v>4.16.3.1.1.58</v>
      </c>
      <c r="B1365" s="64">
        <v>4</v>
      </c>
      <c r="C1365" s="64">
        <v>16</v>
      </c>
      <c r="D1365" s="64">
        <v>3</v>
      </c>
      <c r="E1365" s="64">
        <v>1</v>
      </c>
      <c r="F1365" s="64">
        <v>1</v>
      </c>
      <c r="G1365" s="64">
        <v>58</v>
      </c>
      <c r="H1365" s="65"/>
      <c r="I1365" s="65"/>
      <c r="J1365" s="66"/>
      <c r="K1365" s="65" t="s">
        <v>1580</v>
      </c>
      <c r="L1365" s="64" t="s">
        <v>1576</v>
      </c>
      <c r="M1365" s="64" t="s">
        <v>144</v>
      </c>
      <c r="N1365" s="64" t="s">
        <v>265</v>
      </c>
      <c r="O1365" s="64" t="s">
        <v>1544</v>
      </c>
      <c r="P1365" s="64"/>
      <c r="Q1365" s="64"/>
      <c r="R1365" s="170">
        <v>12</v>
      </c>
      <c r="S1365" s="65" t="s">
        <v>1581</v>
      </c>
      <c r="T1365" s="64">
        <v>3</v>
      </c>
      <c r="U1365" s="179">
        <f>$AH1365/4</f>
        <v>0</v>
      </c>
      <c r="V1365" s="674">
        <v>0</v>
      </c>
      <c r="W1365" s="75">
        <v>3</v>
      </c>
      <c r="X1365" s="75"/>
      <c r="Y1365" s="834">
        <f t="shared" ref="Y1365:Y1372" si="275">+AJ1365-V1365</f>
        <v>0</v>
      </c>
      <c r="Z1365" s="75">
        <v>3</v>
      </c>
      <c r="AA1365" s="75"/>
      <c r="AB1365" s="75"/>
      <c r="AC1365" s="97">
        <v>3</v>
      </c>
      <c r="AD1365" s="97"/>
      <c r="AE1365" s="591"/>
      <c r="AF1365" s="259" t="s">
        <v>1582</v>
      </c>
      <c r="AG1365" s="510">
        <v>0</v>
      </c>
      <c r="AH1365" s="370">
        <v>0</v>
      </c>
      <c r="AI1365" s="75"/>
      <c r="AJ1365" s="75"/>
      <c r="AK1365" s="75"/>
      <c r="AL1365" s="75"/>
      <c r="AM1365" s="75"/>
      <c r="AN1365" s="64" t="s">
        <v>181</v>
      </c>
      <c r="AO1365" s="64"/>
      <c r="AP1365" s="64"/>
      <c r="AQ1365" s="189"/>
      <c r="AR1365" s="64"/>
      <c r="AS1365" s="476"/>
      <c r="AT1365" s="64"/>
      <c r="AU1365" s="646"/>
      <c r="AV1365" s="185"/>
    </row>
    <row r="1366" spans="1:61" ht="30" outlineLevel="3" x14ac:dyDescent="0.25">
      <c r="A1366" s="63" t="str">
        <f t="shared" si="266"/>
        <v>4.16.3.1.2.58</v>
      </c>
      <c r="B1366" s="64">
        <v>4</v>
      </c>
      <c r="C1366" s="64">
        <v>16</v>
      </c>
      <c r="D1366" s="64">
        <v>3</v>
      </c>
      <c r="E1366" s="64">
        <v>1</v>
      </c>
      <c r="F1366" s="64">
        <v>2</v>
      </c>
      <c r="G1366" s="64">
        <v>58</v>
      </c>
      <c r="H1366" s="65"/>
      <c r="I1366" s="65"/>
      <c r="J1366" s="66"/>
      <c r="K1366" s="65" t="s">
        <v>1583</v>
      </c>
      <c r="L1366" s="64" t="s">
        <v>1475</v>
      </c>
      <c r="M1366" s="64" t="s">
        <v>1318</v>
      </c>
      <c r="N1366" s="64" t="s">
        <v>1223</v>
      </c>
      <c r="O1366" s="64" t="s">
        <v>1544</v>
      </c>
      <c r="P1366" s="69"/>
      <c r="Q1366" s="69"/>
      <c r="R1366" s="64">
        <v>12</v>
      </c>
      <c r="S1366" s="65" t="s">
        <v>1581</v>
      </c>
      <c r="T1366" s="64">
        <v>3</v>
      </c>
      <c r="U1366" s="179">
        <v>45000</v>
      </c>
      <c r="V1366" s="674">
        <v>0</v>
      </c>
      <c r="W1366" s="75">
        <v>3</v>
      </c>
      <c r="X1366" s="179">
        <v>45000</v>
      </c>
      <c r="Y1366" s="834">
        <f t="shared" si="275"/>
        <v>30000</v>
      </c>
      <c r="Z1366" s="75">
        <v>3</v>
      </c>
      <c r="AA1366" s="179"/>
      <c r="AB1366" s="179"/>
      <c r="AC1366" s="97"/>
      <c r="AD1366" s="179"/>
      <c r="AE1366" s="616"/>
      <c r="AF1366" s="259" t="s">
        <v>1584</v>
      </c>
      <c r="AG1366" s="510">
        <v>90000</v>
      </c>
      <c r="AH1366" s="370">
        <f>12*15000/2</f>
        <v>90000</v>
      </c>
      <c r="AI1366" s="75"/>
      <c r="AJ1366" s="75">
        <f>15000+15000</f>
        <v>30000</v>
      </c>
      <c r="AK1366" s="75"/>
      <c r="AL1366" s="75"/>
      <c r="AM1366" s="75"/>
      <c r="AN1366" s="64" t="s">
        <v>181</v>
      </c>
      <c r="AO1366" s="313" t="s">
        <v>1819</v>
      </c>
      <c r="AP1366" s="313" t="s">
        <v>2160</v>
      </c>
      <c r="AQ1366" s="408" t="s">
        <v>2161</v>
      </c>
      <c r="AR1366" s="69">
        <v>44658</v>
      </c>
      <c r="AS1366" s="562">
        <v>45023</v>
      </c>
      <c r="AT1366" s="89" t="s">
        <v>2029</v>
      </c>
      <c r="AU1366" s="883" t="s">
        <v>2162</v>
      </c>
      <c r="AV1366" s="335" t="s">
        <v>1585</v>
      </c>
    </row>
    <row r="1367" spans="1:61" outlineLevel="3" x14ac:dyDescent="0.25">
      <c r="A1367" s="63" t="str">
        <f t="shared" si="266"/>
        <v>4.16.3.1.3.58</v>
      </c>
      <c r="B1367" s="64">
        <v>4</v>
      </c>
      <c r="C1367" s="64">
        <v>16</v>
      </c>
      <c r="D1367" s="64">
        <v>3</v>
      </c>
      <c r="E1367" s="64">
        <v>1</v>
      </c>
      <c r="F1367" s="64">
        <v>3</v>
      </c>
      <c r="G1367" s="64">
        <v>58</v>
      </c>
      <c r="H1367" s="65"/>
      <c r="I1367" s="65"/>
      <c r="J1367" s="66"/>
      <c r="K1367" s="65" t="s">
        <v>1586</v>
      </c>
      <c r="L1367" s="64" t="s">
        <v>1475</v>
      </c>
      <c r="M1367" s="64" t="s">
        <v>1318</v>
      </c>
      <c r="N1367" s="64" t="s">
        <v>1249</v>
      </c>
      <c r="O1367" s="64" t="s">
        <v>1544</v>
      </c>
      <c r="P1367" s="69"/>
      <c r="Q1367" s="69"/>
      <c r="R1367" s="171">
        <v>6</v>
      </c>
      <c r="S1367" s="65"/>
      <c r="T1367" s="64">
        <v>1</v>
      </c>
      <c r="U1367" s="179">
        <f>$AH1367/4</f>
        <v>0</v>
      </c>
      <c r="V1367" s="674">
        <v>0</v>
      </c>
      <c r="W1367" s="75">
        <v>2</v>
      </c>
      <c r="X1367" s="179">
        <f>$AH1367/4</f>
        <v>0</v>
      </c>
      <c r="Y1367" s="834">
        <f t="shared" si="275"/>
        <v>0</v>
      </c>
      <c r="Z1367" s="75">
        <v>1</v>
      </c>
      <c r="AA1367" s="179">
        <f>$AH1367/4</f>
        <v>0</v>
      </c>
      <c r="AB1367" s="179"/>
      <c r="AC1367" s="97">
        <v>2</v>
      </c>
      <c r="AD1367" s="179">
        <f>$AH1367/4</f>
        <v>0</v>
      </c>
      <c r="AE1367" s="616"/>
      <c r="AF1367" s="259" t="s">
        <v>1587</v>
      </c>
      <c r="AG1367" s="510">
        <v>0</v>
      </c>
      <c r="AH1367" s="370">
        <v>0</v>
      </c>
      <c r="AI1367" s="75"/>
      <c r="AJ1367" s="75"/>
      <c r="AK1367" s="75"/>
      <c r="AL1367" s="75"/>
      <c r="AM1367" s="75"/>
      <c r="AN1367" s="64" t="s">
        <v>181</v>
      </c>
      <c r="AO1367" s="64"/>
      <c r="AP1367" s="64"/>
      <c r="AQ1367" s="189"/>
      <c r="AR1367" s="64"/>
      <c r="AS1367" s="476"/>
      <c r="AT1367" s="64"/>
      <c r="AU1367" s="646"/>
      <c r="AV1367" s="185" t="s">
        <v>127</v>
      </c>
    </row>
    <row r="1368" spans="1:61" outlineLevel="3" x14ac:dyDescent="0.25">
      <c r="A1368" s="63" t="str">
        <f t="shared" si="266"/>
        <v>4.16.3.1.4.58</v>
      </c>
      <c r="B1368" s="64">
        <v>4</v>
      </c>
      <c r="C1368" s="64">
        <v>16</v>
      </c>
      <c r="D1368" s="64">
        <v>3</v>
      </c>
      <c r="E1368" s="64">
        <v>1</v>
      </c>
      <c r="F1368" s="64">
        <v>4</v>
      </c>
      <c r="G1368" s="64">
        <v>58</v>
      </c>
      <c r="H1368" s="65"/>
      <c r="I1368" s="65"/>
      <c r="J1368" s="66"/>
      <c r="K1368" s="65" t="s">
        <v>1588</v>
      </c>
      <c r="L1368" s="64" t="s">
        <v>1475</v>
      </c>
      <c r="M1368" s="64" t="s">
        <v>1318</v>
      </c>
      <c r="N1368" s="64" t="s">
        <v>74</v>
      </c>
      <c r="O1368" s="64" t="s">
        <v>1524</v>
      </c>
      <c r="P1368" s="69"/>
      <c r="Q1368" s="69"/>
      <c r="R1368" s="171">
        <v>14</v>
      </c>
      <c r="S1368" s="65" t="s">
        <v>1589</v>
      </c>
      <c r="T1368" s="64">
        <v>5</v>
      </c>
      <c r="U1368" s="179">
        <f>$AH1368/3</f>
        <v>39666.666666666664</v>
      </c>
      <c r="V1368" s="674">
        <v>0</v>
      </c>
      <c r="W1368" s="75">
        <v>4</v>
      </c>
      <c r="X1368" s="179">
        <f>$AH1368/3</f>
        <v>39666.666666666664</v>
      </c>
      <c r="Y1368" s="834">
        <f t="shared" si="275"/>
        <v>0</v>
      </c>
      <c r="Z1368" s="75">
        <v>5</v>
      </c>
      <c r="AA1368" s="179">
        <f>$AH1368/3</f>
        <v>39666.666666666664</v>
      </c>
      <c r="AB1368" s="179"/>
      <c r="AC1368" s="97"/>
      <c r="AD1368" s="179"/>
      <c r="AE1368" s="616"/>
      <c r="AF1368" s="259" t="s">
        <v>1590</v>
      </c>
      <c r="AG1368" s="510">
        <v>119000</v>
      </c>
      <c r="AH1368" s="370">
        <f>14*8500</f>
        <v>119000</v>
      </c>
      <c r="AI1368" s="75"/>
      <c r="AJ1368" s="75"/>
      <c r="AK1368" s="75"/>
      <c r="AL1368" s="75"/>
      <c r="AM1368" s="75"/>
      <c r="AN1368" s="64" t="s">
        <v>181</v>
      </c>
      <c r="AO1368" s="64"/>
      <c r="AP1368" s="64"/>
      <c r="AQ1368" s="189"/>
      <c r="AR1368" s="64"/>
      <c r="AS1368" s="476"/>
      <c r="AT1368" s="64"/>
      <c r="AU1368" s="646"/>
      <c r="AV1368" s="185"/>
    </row>
    <row r="1369" spans="1:61" outlineLevel="3" x14ac:dyDescent="0.25">
      <c r="A1369" s="63" t="str">
        <f t="shared" si="266"/>
        <v>4.16.3.1.5.58</v>
      </c>
      <c r="B1369" s="64">
        <v>4</v>
      </c>
      <c r="C1369" s="64">
        <v>16</v>
      </c>
      <c r="D1369" s="64">
        <v>3</v>
      </c>
      <c r="E1369" s="64">
        <v>1</v>
      </c>
      <c r="F1369" s="64">
        <v>5</v>
      </c>
      <c r="G1369" s="64">
        <v>58</v>
      </c>
      <c r="H1369" s="65"/>
      <c r="I1369" s="65"/>
      <c r="J1369" s="66"/>
      <c r="K1369" s="65" t="s">
        <v>1591</v>
      </c>
      <c r="L1369" s="64" t="s">
        <v>1475</v>
      </c>
      <c r="M1369" s="64" t="s">
        <v>1318</v>
      </c>
      <c r="N1369" s="64" t="s">
        <v>74</v>
      </c>
      <c r="O1369" s="64" t="s">
        <v>1524</v>
      </c>
      <c r="P1369" s="69"/>
      <c r="Q1369" s="69"/>
      <c r="R1369" s="171">
        <f>4*2</f>
        <v>8</v>
      </c>
      <c r="S1369" s="65" t="s">
        <v>1589</v>
      </c>
      <c r="T1369" s="64">
        <v>4</v>
      </c>
      <c r="U1369" s="179">
        <f>$AH1369/2</f>
        <v>28000</v>
      </c>
      <c r="V1369" s="674">
        <v>0</v>
      </c>
      <c r="W1369" s="75"/>
      <c r="X1369" s="179"/>
      <c r="Y1369" s="834">
        <f t="shared" si="275"/>
        <v>0</v>
      </c>
      <c r="Z1369" s="75">
        <v>4</v>
      </c>
      <c r="AA1369" s="179">
        <f>$AH1369/2</f>
        <v>28000</v>
      </c>
      <c r="AB1369" s="179"/>
      <c r="AC1369" s="97"/>
      <c r="AD1369" s="179"/>
      <c r="AE1369" s="616"/>
      <c r="AF1369" s="259" t="s">
        <v>1592</v>
      </c>
      <c r="AG1369" s="510">
        <v>56000</v>
      </c>
      <c r="AH1369" s="370">
        <f>8*7000</f>
        <v>56000</v>
      </c>
      <c r="AI1369" s="75"/>
      <c r="AJ1369" s="75"/>
      <c r="AK1369" s="75"/>
      <c r="AL1369" s="75"/>
      <c r="AM1369" s="75"/>
      <c r="AN1369" s="64" t="s">
        <v>181</v>
      </c>
      <c r="AO1369" s="64"/>
      <c r="AP1369" s="64"/>
      <c r="AQ1369" s="189"/>
      <c r="AR1369" s="64"/>
      <c r="AS1369" s="476"/>
      <c r="AT1369" s="64"/>
      <c r="AU1369" s="646"/>
      <c r="AV1369" s="185"/>
    </row>
    <row r="1370" spans="1:61" outlineLevel="3" x14ac:dyDescent="0.25">
      <c r="A1370" s="63" t="str">
        <f t="shared" si="266"/>
        <v>4.16.3.1.6.58</v>
      </c>
      <c r="B1370" s="64">
        <v>4</v>
      </c>
      <c r="C1370" s="64">
        <v>16</v>
      </c>
      <c r="D1370" s="64">
        <v>3</v>
      </c>
      <c r="E1370" s="64">
        <v>1</v>
      </c>
      <c r="F1370" s="64">
        <v>6</v>
      </c>
      <c r="G1370" s="64">
        <v>58</v>
      </c>
      <c r="H1370" s="65"/>
      <c r="I1370" s="65"/>
      <c r="J1370" s="66"/>
      <c r="K1370" s="65" t="s">
        <v>1593</v>
      </c>
      <c r="L1370" s="64" t="s">
        <v>1475</v>
      </c>
      <c r="M1370" s="64" t="s">
        <v>1318</v>
      </c>
      <c r="N1370" s="64" t="s">
        <v>74</v>
      </c>
      <c r="O1370" s="64" t="s">
        <v>1475</v>
      </c>
      <c r="P1370" s="69"/>
      <c r="Q1370" s="69"/>
      <c r="R1370" s="171">
        <v>1</v>
      </c>
      <c r="S1370" s="65" t="s">
        <v>1589</v>
      </c>
      <c r="T1370" s="64"/>
      <c r="U1370" s="179">
        <f>$AH1370/4</f>
        <v>0</v>
      </c>
      <c r="V1370" s="674">
        <v>0</v>
      </c>
      <c r="W1370" s="75">
        <v>1</v>
      </c>
      <c r="X1370" s="179">
        <f>$AH1370/4</f>
        <v>0</v>
      </c>
      <c r="Y1370" s="834">
        <f t="shared" si="275"/>
        <v>0</v>
      </c>
      <c r="Z1370" s="75"/>
      <c r="AA1370" s="179">
        <f>$AH1370/4</f>
        <v>0</v>
      </c>
      <c r="AB1370" s="179"/>
      <c r="AC1370" s="97"/>
      <c r="AD1370" s="179">
        <f>$AH1370/4</f>
        <v>0</v>
      </c>
      <c r="AE1370" s="616"/>
      <c r="AF1370" s="259" t="s">
        <v>1593</v>
      </c>
      <c r="AG1370" s="510">
        <v>0</v>
      </c>
      <c r="AH1370" s="370">
        <v>0</v>
      </c>
      <c r="AI1370" s="75"/>
      <c r="AJ1370" s="75"/>
      <c r="AK1370" s="75"/>
      <c r="AL1370" s="75"/>
      <c r="AM1370" s="75"/>
      <c r="AN1370" s="64" t="s">
        <v>181</v>
      </c>
      <c r="AO1370" s="64"/>
      <c r="AP1370" s="64"/>
      <c r="AQ1370" s="189"/>
      <c r="AR1370" s="64"/>
      <c r="AS1370" s="476"/>
      <c r="AT1370" s="64"/>
      <c r="AU1370" s="646"/>
      <c r="AV1370" s="185"/>
    </row>
    <row r="1371" spans="1:61" outlineLevel="3" x14ac:dyDescent="0.25">
      <c r="A1371" s="63" t="str">
        <f t="shared" si="266"/>
        <v>4.16.3.1.7.58</v>
      </c>
      <c r="B1371" s="64">
        <v>4</v>
      </c>
      <c r="C1371" s="64">
        <v>16</v>
      </c>
      <c r="D1371" s="64">
        <v>3</v>
      </c>
      <c r="E1371" s="64">
        <v>1</v>
      </c>
      <c r="F1371" s="64">
        <v>7</v>
      </c>
      <c r="G1371" s="64">
        <v>58</v>
      </c>
      <c r="H1371" s="65"/>
      <c r="I1371" s="65"/>
      <c r="J1371" s="66"/>
      <c r="K1371" s="65" t="s">
        <v>1594</v>
      </c>
      <c r="L1371" s="64" t="s">
        <v>1475</v>
      </c>
      <c r="M1371" s="64" t="s">
        <v>1318</v>
      </c>
      <c r="N1371" s="64" t="s">
        <v>74</v>
      </c>
      <c r="O1371" s="64" t="s">
        <v>1475</v>
      </c>
      <c r="P1371" s="69"/>
      <c r="Q1371" s="69"/>
      <c r="R1371" s="64">
        <v>1</v>
      </c>
      <c r="S1371" s="65" t="s">
        <v>1589</v>
      </c>
      <c r="T1371" s="64"/>
      <c r="U1371" s="179">
        <f>$AH1371/4</f>
        <v>0</v>
      </c>
      <c r="V1371" s="674">
        <v>0</v>
      </c>
      <c r="W1371" s="75">
        <v>1</v>
      </c>
      <c r="X1371" s="179">
        <f>$AH1371/4</f>
        <v>0</v>
      </c>
      <c r="Y1371" s="834">
        <f t="shared" si="275"/>
        <v>0</v>
      </c>
      <c r="Z1371" s="75"/>
      <c r="AA1371" s="179">
        <f>$AH1371/4</f>
        <v>0</v>
      </c>
      <c r="AB1371" s="179"/>
      <c r="AC1371" s="97"/>
      <c r="AD1371" s="179">
        <f>$AH1371/4</f>
        <v>0</v>
      </c>
      <c r="AE1371" s="616"/>
      <c r="AF1371" s="259" t="s">
        <v>1595</v>
      </c>
      <c r="AG1371" s="510">
        <v>0</v>
      </c>
      <c r="AH1371" s="370">
        <v>0</v>
      </c>
      <c r="AI1371" s="75"/>
      <c r="AJ1371" s="75"/>
      <c r="AK1371" s="75"/>
      <c r="AL1371" s="75"/>
      <c r="AM1371" s="75"/>
      <c r="AN1371" s="64" t="s">
        <v>181</v>
      </c>
      <c r="AO1371" s="64"/>
      <c r="AP1371" s="64"/>
      <c r="AQ1371" s="189"/>
      <c r="AR1371" s="64"/>
      <c r="AS1371" s="476"/>
      <c r="AT1371" s="64"/>
      <c r="AU1371" s="646"/>
      <c r="AV1371" s="185"/>
    </row>
    <row r="1372" spans="1:61" outlineLevel="3" x14ac:dyDescent="0.25">
      <c r="A1372" s="63" t="str">
        <f t="shared" si="266"/>
        <v>4.16.3.1.8.58</v>
      </c>
      <c r="B1372" s="64">
        <v>4</v>
      </c>
      <c r="C1372" s="64">
        <v>16</v>
      </c>
      <c r="D1372" s="64">
        <v>3</v>
      </c>
      <c r="E1372" s="64">
        <v>1</v>
      </c>
      <c r="F1372" s="64">
        <v>8</v>
      </c>
      <c r="G1372" s="64">
        <v>58</v>
      </c>
      <c r="H1372" s="65"/>
      <c r="I1372" s="65"/>
      <c r="J1372" s="66"/>
      <c r="K1372" s="65" t="s">
        <v>1596</v>
      </c>
      <c r="L1372" s="64" t="s">
        <v>1475</v>
      </c>
      <c r="M1372" s="64" t="s">
        <v>1318</v>
      </c>
      <c r="N1372" s="64" t="s">
        <v>74</v>
      </c>
      <c r="O1372" s="64" t="s">
        <v>1475</v>
      </c>
      <c r="P1372" s="69"/>
      <c r="Q1372" s="69"/>
      <c r="R1372" s="64">
        <v>12</v>
      </c>
      <c r="S1372" s="65" t="s">
        <v>1597</v>
      </c>
      <c r="T1372" s="64">
        <v>3</v>
      </c>
      <c r="U1372" s="179">
        <f>$AH1372/4</f>
        <v>7500</v>
      </c>
      <c r="V1372" s="674">
        <v>0</v>
      </c>
      <c r="W1372" s="75">
        <v>3</v>
      </c>
      <c r="X1372" s="179">
        <f>$AH1372/4</f>
        <v>7500</v>
      </c>
      <c r="Y1372" s="834">
        <f t="shared" si="275"/>
        <v>0</v>
      </c>
      <c r="Z1372" s="75">
        <v>3</v>
      </c>
      <c r="AA1372" s="179">
        <f>$AH1372/4</f>
        <v>7500</v>
      </c>
      <c r="AB1372" s="179"/>
      <c r="AC1372" s="97">
        <v>3</v>
      </c>
      <c r="AD1372" s="179">
        <f>$AH1372/4</f>
        <v>7500</v>
      </c>
      <c r="AE1372" s="616"/>
      <c r="AF1372" s="259" t="s">
        <v>765</v>
      </c>
      <c r="AG1372" s="510">
        <v>30000</v>
      </c>
      <c r="AH1372" s="370">
        <f>12*5000/2</f>
        <v>30000</v>
      </c>
      <c r="AI1372" s="75"/>
      <c r="AJ1372" s="75"/>
      <c r="AK1372" s="75"/>
      <c r="AL1372" s="75"/>
      <c r="AM1372" s="75"/>
      <c r="AN1372" s="64" t="s">
        <v>181</v>
      </c>
      <c r="AO1372" s="64"/>
      <c r="AP1372" s="64"/>
      <c r="AQ1372" s="189"/>
      <c r="AR1372" s="64"/>
      <c r="AS1372" s="476"/>
      <c r="AT1372" s="64"/>
      <c r="AU1372" s="646"/>
      <c r="AV1372" s="185" t="s">
        <v>780</v>
      </c>
    </row>
    <row r="1373" spans="1:61" s="153" customFormat="1" ht="53.25" customHeight="1" outlineLevel="2" x14ac:dyDescent="0.25">
      <c r="A1373" s="148" t="str">
        <f t="shared" si="266"/>
        <v>4.16.3.2.0.59</v>
      </c>
      <c r="B1373" s="82">
        <v>4</v>
      </c>
      <c r="C1373" s="82">
        <v>16</v>
      </c>
      <c r="D1373" s="82">
        <v>3</v>
      </c>
      <c r="E1373" s="82">
        <v>2</v>
      </c>
      <c r="F1373" s="82">
        <v>0</v>
      </c>
      <c r="G1373" s="82">
        <v>59</v>
      </c>
      <c r="H1373" s="149"/>
      <c r="I1373" s="149"/>
      <c r="J1373" s="1260" t="s">
        <v>1598</v>
      </c>
      <c r="K1373" s="1259"/>
      <c r="L1373" s="82" t="s">
        <v>1576</v>
      </c>
      <c r="M1373" s="82" t="s">
        <v>1464</v>
      </c>
      <c r="N1373" s="82" t="s">
        <v>1444</v>
      </c>
      <c r="O1373" s="82" t="s">
        <v>1204</v>
      </c>
      <c r="P1373" s="82"/>
      <c r="Q1373" s="82"/>
      <c r="R1373" s="82"/>
      <c r="S1373" s="149"/>
      <c r="T1373" s="82"/>
      <c r="U1373" s="209">
        <f>SUM(U1374:U1381)</f>
        <v>127166.66666666666</v>
      </c>
      <c r="V1373" s="683">
        <f>SUM(V1374:V1381)</f>
        <v>0</v>
      </c>
      <c r="W1373" s="380">
        <f t="shared" ref="W1373:AG1373" si="276">+SUM(W1374:W1381)</f>
        <v>17</v>
      </c>
      <c r="X1373" s="380">
        <f t="shared" si="276"/>
        <v>92166.666666666657</v>
      </c>
      <c r="Y1373" s="845">
        <f t="shared" si="276"/>
        <v>30000</v>
      </c>
      <c r="Z1373" s="380">
        <f t="shared" si="276"/>
        <v>20</v>
      </c>
      <c r="AA1373" s="380">
        <f t="shared" si="276"/>
        <v>82166.666666666657</v>
      </c>
      <c r="AB1373" s="380">
        <f t="shared" si="276"/>
        <v>0</v>
      </c>
      <c r="AC1373" s="380">
        <f t="shared" si="276"/>
        <v>11</v>
      </c>
      <c r="AD1373" s="380">
        <f t="shared" si="276"/>
        <v>7500</v>
      </c>
      <c r="AE1373" s="380">
        <f t="shared" si="276"/>
        <v>0</v>
      </c>
      <c r="AF1373" s="380">
        <f t="shared" si="276"/>
        <v>0</v>
      </c>
      <c r="AG1373" s="380">
        <f t="shared" si="276"/>
        <v>309000</v>
      </c>
      <c r="AH1373" s="380">
        <f>+SUM(AH1374:AH1381)</f>
        <v>309000</v>
      </c>
      <c r="AI1373" s="513">
        <f>+SUM(AI1374:AI1381)</f>
        <v>0</v>
      </c>
      <c r="AJ1373" s="513">
        <f>+SUM(AJ1374:AJ1381)</f>
        <v>30000</v>
      </c>
      <c r="AK1373" s="198"/>
      <c r="AL1373" s="198"/>
      <c r="AM1373" s="198"/>
      <c r="AN1373" s="82" t="s">
        <v>181</v>
      </c>
      <c r="AO1373" s="82"/>
      <c r="AP1373" s="82"/>
      <c r="AQ1373" s="365"/>
      <c r="AR1373" s="82"/>
      <c r="AS1373" s="483"/>
      <c r="AT1373" s="82"/>
      <c r="AU1373" s="666"/>
      <c r="AV1373" s="449" t="s">
        <v>1579</v>
      </c>
    </row>
    <row r="1374" spans="1:61" ht="18" customHeight="1" outlineLevel="3" x14ac:dyDescent="0.25">
      <c r="A1374" s="63" t="str">
        <f t="shared" si="266"/>
        <v>4.16.3.2.1.59</v>
      </c>
      <c r="B1374" s="64">
        <v>4</v>
      </c>
      <c r="C1374" s="64">
        <v>16</v>
      </c>
      <c r="D1374" s="64">
        <v>3</v>
      </c>
      <c r="E1374" s="64">
        <v>2</v>
      </c>
      <c r="F1374" s="64">
        <v>1</v>
      </c>
      <c r="G1374" s="64">
        <v>59</v>
      </c>
      <c r="H1374" s="65"/>
      <c r="I1374" s="65"/>
      <c r="J1374" s="66"/>
      <c r="K1374" s="65" t="s">
        <v>1580</v>
      </c>
      <c r="L1374" s="64" t="s">
        <v>1576</v>
      </c>
      <c r="M1374" s="64" t="s">
        <v>144</v>
      </c>
      <c r="N1374" s="64" t="s">
        <v>265</v>
      </c>
      <c r="O1374" s="64" t="s">
        <v>1544</v>
      </c>
      <c r="P1374" s="64"/>
      <c r="Q1374" s="64"/>
      <c r="R1374" s="64">
        <v>12</v>
      </c>
      <c r="S1374" s="65" t="s">
        <v>1581</v>
      </c>
      <c r="T1374" s="64">
        <v>3</v>
      </c>
      <c r="U1374" s="75">
        <f>$AH1374/4</f>
        <v>0</v>
      </c>
      <c r="V1374" s="674">
        <v>0</v>
      </c>
      <c r="W1374" s="75">
        <v>3</v>
      </c>
      <c r="X1374" s="75">
        <f>$AH1374/4</f>
        <v>0</v>
      </c>
      <c r="Y1374" s="834">
        <f t="shared" ref="Y1374:Y1381" si="277">+AJ1374-V1374</f>
        <v>0</v>
      </c>
      <c r="Z1374" s="75">
        <v>3</v>
      </c>
      <c r="AA1374" s="75">
        <f>$AH1374/4</f>
        <v>0</v>
      </c>
      <c r="AB1374" s="75"/>
      <c r="AC1374" s="97">
        <v>3</v>
      </c>
      <c r="AD1374" s="75">
        <f>$AH1374/4</f>
        <v>0</v>
      </c>
      <c r="AE1374" s="592"/>
      <c r="AF1374" s="259" t="s">
        <v>1582</v>
      </c>
      <c r="AG1374" s="510">
        <v>0</v>
      </c>
      <c r="AH1374" s="370">
        <v>0</v>
      </c>
      <c r="AI1374" s="75"/>
      <c r="AJ1374" s="75"/>
      <c r="AK1374" s="75"/>
      <c r="AL1374" s="75"/>
      <c r="AM1374" s="75"/>
      <c r="AN1374" s="64" t="s">
        <v>181</v>
      </c>
      <c r="AO1374" s="64"/>
      <c r="AP1374" s="64"/>
      <c r="AQ1374" s="189"/>
      <c r="AR1374" s="64"/>
      <c r="AS1374" s="476"/>
      <c r="AT1374" s="64"/>
      <c r="AU1374" s="646"/>
      <c r="AV1374" s="185"/>
    </row>
    <row r="1375" spans="1:61" ht="32.25" customHeight="1" outlineLevel="3" x14ac:dyDescent="0.25">
      <c r="A1375" s="63" t="str">
        <f t="shared" si="266"/>
        <v>4.16.3.2.2.59</v>
      </c>
      <c r="B1375" s="64">
        <v>4</v>
      </c>
      <c r="C1375" s="64">
        <v>16</v>
      </c>
      <c r="D1375" s="64">
        <v>3</v>
      </c>
      <c r="E1375" s="64">
        <v>2</v>
      </c>
      <c r="F1375" s="64">
        <v>2</v>
      </c>
      <c r="G1375" s="64">
        <v>59</v>
      </c>
      <c r="H1375" s="65"/>
      <c r="I1375" s="65"/>
      <c r="J1375" s="66"/>
      <c r="K1375" s="65" t="s">
        <v>1583</v>
      </c>
      <c r="L1375" s="64" t="s">
        <v>1475</v>
      </c>
      <c r="M1375" s="64" t="s">
        <v>1318</v>
      </c>
      <c r="N1375" s="64" t="s">
        <v>1223</v>
      </c>
      <c r="O1375" s="64" t="s">
        <v>1544</v>
      </c>
      <c r="P1375" s="69"/>
      <c r="Q1375" s="69"/>
      <c r="R1375" s="64">
        <v>12</v>
      </c>
      <c r="S1375" s="65" t="s">
        <v>1581</v>
      </c>
      <c r="T1375" s="64">
        <v>3</v>
      </c>
      <c r="U1375" s="179">
        <v>45000</v>
      </c>
      <c r="V1375" s="674">
        <v>0</v>
      </c>
      <c r="W1375" s="75">
        <v>3</v>
      </c>
      <c r="X1375" s="179">
        <v>45000</v>
      </c>
      <c r="Y1375" s="834">
        <f t="shared" si="277"/>
        <v>30000</v>
      </c>
      <c r="Z1375" s="75">
        <v>3</v>
      </c>
      <c r="AA1375" s="75"/>
      <c r="AB1375" s="75"/>
      <c r="AC1375" s="97">
        <v>3</v>
      </c>
      <c r="AD1375" s="75"/>
      <c r="AE1375" s="592"/>
      <c r="AF1375" s="259" t="s">
        <v>1584</v>
      </c>
      <c r="AG1375" s="510">
        <f>12*15000/2</f>
        <v>90000</v>
      </c>
      <c r="AH1375" s="370">
        <f>12*15000/2</f>
        <v>90000</v>
      </c>
      <c r="AI1375" s="75"/>
      <c r="AJ1375" s="75">
        <f>15000+15000</f>
        <v>30000</v>
      </c>
      <c r="AK1375" s="75"/>
      <c r="AL1375" s="75"/>
      <c r="AM1375" s="75"/>
      <c r="AN1375" s="64" t="s">
        <v>181</v>
      </c>
      <c r="AO1375" s="313" t="s">
        <v>1819</v>
      </c>
      <c r="AP1375" s="313" t="s">
        <v>2160</v>
      </c>
      <c r="AQ1375" s="408" t="s">
        <v>2161</v>
      </c>
      <c r="AR1375" s="69">
        <v>44658</v>
      </c>
      <c r="AS1375" s="562">
        <v>45023</v>
      </c>
      <c r="AT1375" s="89" t="s">
        <v>2029</v>
      </c>
      <c r="AU1375" s="883" t="s">
        <v>2162</v>
      </c>
      <c r="AV1375" s="335" t="s">
        <v>1585</v>
      </c>
    </row>
    <row r="1376" spans="1:61" ht="15" customHeight="1" outlineLevel="3" x14ac:dyDescent="0.25">
      <c r="A1376" s="63" t="str">
        <f t="shared" si="266"/>
        <v>4.16.3.2.3.59</v>
      </c>
      <c r="B1376" s="64">
        <v>4</v>
      </c>
      <c r="C1376" s="64">
        <v>16</v>
      </c>
      <c r="D1376" s="64">
        <v>3</v>
      </c>
      <c r="E1376" s="64">
        <v>2</v>
      </c>
      <c r="F1376" s="64">
        <v>3</v>
      </c>
      <c r="G1376" s="64">
        <v>59</v>
      </c>
      <c r="H1376" s="65"/>
      <c r="I1376" s="65"/>
      <c r="J1376" s="66"/>
      <c r="K1376" s="65" t="s">
        <v>1586</v>
      </c>
      <c r="L1376" s="64" t="s">
        <v>1475</v>
      </c>
      <c r="M1376" s="64" t="s">
        <v>1318</v>
      </c>
      <c r="N1376" s="64" t="s">
        <v>1249</v>
      </c>
      <c r="O1376" s="64" t="s">
        <v>1544</v>
      </c>
      <c r="P1376" s="69"/>
      <c r="Q1376" s="69"/>
      <c r="R1376" s="171">
        <v>6</v>
      </c>
      <c r="S1376" s="65"/>
      <c r="T1376" s="64">
        <v>1</v>
      </c>
      <c r="U1376" s="75">
        <f>$AH1376/4</f>
        <v>0</v>
      </c>
      <c r="V1376" s="674">
        <v>0</v>
      </c>
      <c r="W1376" s="75">
        <v>2</v>
      </c>
      <c r="X1376" s="75">
        <f>$AH1376/4</f>
        <v>0</v>
      </c>
      <c r="Y1376" s="834">
        <f t="shared" si="277"/>
        <v>0</v>
      </c>
      <c r="Z1376" s="75">
        <v>1</v>
      </c>
      <c r="AA1376" s="75">
        <f>$AH1376/4</f>
        <v>0</v>
      </c>
      <c r="AB1376" s="75"/>
      <c r="AC1376" s="97">
        <v>2</v>
      </c>
      <c r="AD1376" s="75">
        <f>$AH1376/4</f>
        <v>0</v>
      </c>
      <c r="AE1376" s="592"/>
      <c r="AF1376" s="259" t="s">
        <v>1587</v>
      </c>
      <c r="AG1376" s="510">
        <v>0</v>
      </c>
      <c r="AH1376" s="370">
        <v>0</v>
      </c>
      <c r="AI1376" s="75"/>
      <c r="AJ1376" s="75"/>
      <c r="AK1376" s="75"/>
      <c r="AL1376" s="75"/>
      <c r="AM1376" s="75"/>
      <c r="AN1376" s="64" t="s">
        <v>181</v>
      </c>
      <c r="AO1376" s="64"/>
      <c r="AP1376" s="64"/>
      <c r="AQ1376" s="189"/>
      <c r="AR1376" s="64"/>
      <c r="AS1376" s="476"/>
      <c r="AT1376" s="64"/>
      <c r="AU1376" s="646"/>
      <c r="AV1376" s="185" t="s">
        <v>127</v>
      </c>
    </row>
    <row r="1377" spans="1:48" ht="15" customHeight="1" outlineLevel="3" x14ac:dyDescent="0.25">
      <c r="A1377" s="63" t="str">
        <f t="shared" si="266"/>
        <v>4.16.3.2.4.59</v>
      </c>
      <c r="B1377" s="64">
        <v>4</v>
      </c>
      <c r="C1377" s="64">
        <v>16</v>
      </c>
      <c r="D1377" s="64">
        <v>3</v>
      </c>
      <c r="E1377" s="64">
        <v>2</v>
      </c>
      <c r="F1377" s="64">
        <v>4</v>
      </c>
      <c r="G1377" s="64">
        <v>59</v>
      </c>
      <c r="H1377" s="65"/>
      <c r="I1377" s="65"/>
      <c r="J1377" s="66"/>
      <c r="K1377" s="65" t="s">
        <v>1588</v>
      </c>
      <c r="L1377" s="64" t="s">
        <v>1475</v>
      </c>
      <c r="M1377" s="64" t="s">
        <v>1318</v>
      </c>
      <c r="N1377" s="64" t="s">
        <v>74</v>
      </c>
      <c r="O1377" s="64" t="s">
        <v>1524</v>
      </c>
      <c r="P1377" s="69"/>
      <c r="Q1377" s="69"/>
      <c r="R1377" s="171">
        <v>14</v>
      </c>
      <c r="S1377" s="65" t="s">
        <v>1589</v>
      </c>
      <c r="T1377" s="64">
        <v>5</v>
      </c>
      <c r="U1377" s="179">
        <f>$AH1377/3</f>
        <v>39666.666666666664</v>
      </c>
      <c r="V1377" s="674">
        <v>0</v>
      </c>
      <c r="W1377" s="75">
        <v>4</v>
      </c>
      <c r="X1377" s="179">
        <f>$AH1377/3</f>
        <v>39666.666666666664</v>
      </c>
      <c r="Y1377" s="834">
        <f t="shared" si="277"/>
        <v>0</v>
      </c>
      <c r="Z1377" s="75">
        <v>5</v>
      </c>
      <c r="AA1377" s="179">
        <f>$AH1377/3</f>
        <v>39666.666666666664</v>
      </c>
      <c r="AB1377" s="179"/>
      <c r="AC1377" s="97"/>
      <c r="AD1377" s="75"/>
      <c r="AE1377" s="592"/>
      <c r="AF1377" s="259" t="s">
        <v>1590</v>
      </c>
      <c r="AG1377" s="510">
        <f>14*8500</f>
        <v>119000</v>
      </c>
      <c r="AH1377" s="370">
        <f>14*8500</f>
        <v>119000</v>
      </c>
      <c r="AI1377" s="75"/>
      <c r="AJ1377" s="75"/>
      <c r="AK1377" s="75"/>
      <c r="AL1377" s="75"/>
      <c r="AM1377" s="75"/>
      <c r="AN1377" s="64" t="s">
        <v>181</v>
      </c>
      <c r="AO1377" s="64"/>
      <c r="AP1377" s="64"/>
      <c r="AQ1377" s="189"/>
      <c r="AR1377" s="64"/>
      <c r="AS1377" s="476"/>
      <c r="AT1377" s="64"/>
      <c r="AU1377" s="646"/>
      <c r="AV1377" s="185"/>
    </row>
    <row r="1378" spans="1:48" ht="15" customHeight="1" outlineLevel="3" x14ac:dyDescent="0.25">
      <c r="A1378" s="63" t="str">
        <f t="shared" si="266"/>
        <v>4.16.3.2.5.59</v>
      </c>
      <c r="B1378" s="64">
        <v>4</v>
      </c>
      <c r="C1378" s="64">
        <v>16</v>
      </c>
      <c r="D1378" s="64">
        <v>3</v>
      </c>
      <c r="E1378" s="64">
        <v>2</v>
      </c>
      <c r="F1378" s="64">
        <v>5</v>
      </c>
      <c r="G1378" s="64">
        <v>59</v>
      </c>
      <c r="H1378" s="65"/>
      <c r="I1378" s="65"/>
      <c r="J1378" s="66"/>
      <c r="K1378" s="65" t="s">
        <v>1591</v>
      </c>
      <c r="L1378" s="64" t="s">
        <v>1475</v>
      </c>
      <c r="M1378" s="64" t="s">
        <v>1318</v>
      </c>
      <c r="N1378" s="64" t="s">
        <v>74</v>
      </c>
      <c r="O1378" s="64" t="s">
        <v>1524</v>
      </c>
      <c r="P1378" s="69"/>
      <c r="Q1378" s="69"/>
      <c r="R1378" s="64">
        <v>10</v>
      </c>
      <c r="S1378" s="65" t="s">
        <v>1589</v>
      </c>
      <c r="T1378" s="64">
        <v>5</v>
      </c>
      <c r="U1378" s="75">
        <f>$AH1378/2</f>
        <v>35000</v>
      </c>
      <c r="V1378" s="674">
        <v>0</v>
      </c>
      <c r="W1378" s="75"/>
      <c r="X1378" s="75"/>
      <c r="Y1378" s="834">
        <f t="shared" si="277"/>
        <v>0</v>
      </c>
      <c r="Z1378" s="75">
        <v>5</v>
      </c>
      <c r="AA1378" s="75">
        <f>$AH1378/2</f>
        <v>35000</v>
      </c>
      <c r="AB1378" s="75"/>
      <c r="AC1378" s="97"/>
      <c r="AD1378" s="75"/>
      <c r="AE1378" s="592"/>
      <c r="AF1378" s="259" t="s">
        <v>1592</v>
      </c>
      <c r="AG1378" s="510">
        <f>10*7000</f>
        <v>70000</v>
      </c>
      <c r="AH1378" s="370">
        <f>10*7000</f>
        <v>70000</v>
      </c>
      <c r="AI1378" s="75"/>
      <c r="AJ1378" s="75"/>
      <c r="AK1378" s="75"/>
      <c r="AL1378" s="75"/>
      <c r="AM1378" s="75"/>
      <c r="AN1378" s="64" t="s">
        <v>181</v>
      </c>
      <c r="AO1378" s="64"/>
      <c r="AP1378" s="64"/>
      <c r="AQ1378" s="189"/>
      <c r="AR1378" s="64"/>
      <c r="AS1378" s="476"/>
      <c r="AT1378" s="64"/>
      <c r="AU1378" s="646"/>
      <c r="AV1378" s="185"/>
    </row>
    <row r="1379" spans="1:48" ht="15" customHeight="1" outlineLevel="3" x14ac:dyDescent="0.25">
      <c r="A1379" s="63" t="str">
        <f t="shared" si="266"/>
        <v>4.16.3.2.6.59</v>
      </c>
      <c r="B1379" s="64">
        <v>4</v>
      </c>
      <c r="C1379" s="64">
        <v>16</v>
      </c>
      <c r="D1379" s="64">
        <v>3</v>
      </c>
      <c r="E1379" s="64">
        <v>2</v>
      </c>
      <c r="F1379" s="64">
        <v>6</v>
      </c>
      <c r="G1379" s="64">
        <v>59</v>
      </c>
      <c r="H1379" s="65"/>
      <c r="I1379" s="65"/>
      <c r="J1379" s="66"/>
      <c r="K1379" s="65" t="s">
        <v>1593</v>
      </c>
      <c r="L1379" s="64" t="s">
        <v>1475</v>
      </c>
      <c r="M1379" s="64" t="s">
        <v>1318</v>
      </c>
      <c r="N1379" s="64" t="s">
        <v>74</v>
      </c>
      <c r="O1379" s="64" t="s">
        <v>1475</v>
      </c>
      <c r="P1379" s="69"/>
      <c r="Q1379" s="69"/>
      <c r="R1379" s="171">
        <v>1</v>
      </c>
      <c r="S1379" s="65" t="s">
        <v>1589</v>
      </c>
      <c r="T1379" s="64"/>
      <c r="U1379" s="75">
        <f>$AH1379/4</f>
        <v>0</v>
      </c>
      <c r="V1379" s="674">
        <v>0</v>
      </c>
      <c r="W1379" s="75">
        <v>1</v>
      </c>
      <c r="X1379" s="75">
        <f>$AH1379/4</f>
        <v>0</v>
      </c>
      <c r="Y1379" s="834">
        <f t="shared" si="277"/>
        <v>0</v>
      </c>
      <c r="Z1379" s="75"/>
      <c r="AA1379" s="75">
        <f>$AH1379/4</f>
        <v>0</v>
      </c>
      <c r="AB1379" s="75"/>
      <c r="AC1379" s="97"/>
      <c r="AD1379" s="75">
        <f>$AH1379/4</f>
        <v>0</v>
      </c>
      <c r="AE1379" s="592"/>
      <c r="AF1379" s="259" t="s">
        <v>1593</v>
      </c>
      <c r="AG1379" s="510">
        <v>0</v>
      </c>
      <c r="AH1379" s="370">
        <v>0</v>
      </c>
      <c r="AI1379" s="75"/>
      <c r="AJ1379" s="75"/>
      <c r="AK1379" s="75"/>
      <c r="AL1379" s="75"/>
      <c r="AM1379" s="75"/>
      <c r="AN1379" s="64" t="s">
        <v>181</v>
      </c>
      <c r="AO1379" s="64"/>
      <c r="AP1379" s="64"/>
      <c r="AQ1379" s="189"/>
      <c r="AR1379" s="64"/>
      <c r="AS1379" s="476"/>
      <c r="AT1379" s="64"/>
      <c r="AU1379" s="646"/>
      <c r="AV1379" s="185"/>
    </row>
    <row r="1380" spans="1:48" ht="15" customHeight="1" outlineLevel="3" x14ac:dyDescent="0.25">
      <c r="A1380" s="63" t="str">
        <f t="shared" si="266"/>
        <v>4.16.3.2.7.59</v>
      </c>
      <c r="B1380" s="64">
        <v>4</v>
      </c>
      <c r="C1380" s="64">
        <v>16</v>
      </c>
      <c r="D1380" s="64">
        <v>3</v>
      </c>
      <c r="E1380" s="64">
        <v>2</v>
      </c>
      <c r="F1380" s="64">
        <v>7</v>
      </c>
      <c r="G1380" s="64">
        <v>59</v>
      </c>
      <c r="H1380" s="65"/>
      <c r="I1380" s="65"/>
      <c r="J1380" s="66"/>
      <c r="K1380" s="65" t="s">
        <v>1594</v>
      </c>
      <c r="L1380" s="64" t="s">
        <v>1475</v>
      </c>
      <c r="M1380" s="64" t="s">
        <v>1318</v>
      </c>
      <c r="N1380" s="64" t="s">
        <v>74</v>
      </c>
      <c r="O1380" s="64" t="s">
        <v>1475</v>
      </c>
      <c r="P1380" s="69"/>
      <c r="Q1380" s="69"/>
      <c r="R1380" s="64">
        <v>1</v>
      </c>
      <c r="S1380" s="65" t="s">
        <v>1589</v>
      </c>
      <c r="T1380" s="64"/>
      <c r="U1380" s="75">
        <f>$AH1380/4</f>
        <v>0</v>
      </c>
      <c r="V1380" s="674">
        <v>0</v>
      </c>
      <c r="W1380" s="75">
        <v>1</v>
      </c>
      <c r="X1380" s="75">
        <f>$AH1380/4</f>
        <v>0</v>
      </c>
      <c r="Y1380" s="834">
        <f t="shared" si="277"/>
        <v>0</v>
      </c>
      <c r="Z1380" s="75"/>
      <c r="AA1380" s="75">
        <f>$AH1380/4</f>
        <v>0</v>
      </c>
      <c r="AB1380" s="75"/>
      <c r="AC1380" s="97"/>
      <c r="AD1380" s="75">
        <f>$AH1380/4</f>
        <v>0</v>
      </c>
      <c r="AE1380" s="592"/>
      <c r="AF1380" s="259" t="s">
        <v>1595</v>
      </c>
      <c r="AG1380" s="510">
        <v>0</v>
      </c>
      <c r="AH1380" s="370">
        <v>0</v>
      </c>
      <c r="AI1380" s="75"/>
      <c r="AJ1380" s="75"/>
      <c r="AK1380" s="75"/>
      <c r="AL1380" s="75"/>
      <c r="AM1380" s="75"/>
      <c r="AN1380" s="64" t="s">
        <v>181</v>
      </c>
      <c r="AO1380" s="64"/>
      <c r="AP1380" s="64"/>
      <c r="AQ1380" s="189"/>
      <c r="AR1380" s="64"/>
      <c r="AS1380" s="476"/>
      <c r="AT1380" s="64"/>
      <c r="AU1380" s="646"/>
      <c r="AV1380" s="185"/>
    </row>
    <row r="1381" spans="1:48" ht="15" customHeight="1" outlineLevel="3" x14ac:dyDescent="0.25">
      <c r="A1381" s="63" t="str">
        <f t="shared" si="266"/>
        <v>4.16.3.2.8.59</v>
      </c>
      <c r="B1381" s="64">
        <v>4</v>
      </c>
      <c r="C1381" s="64">
        <v>16</v>
      </c>
      <c r="D1381" s="64">
        <v>3</v>
      </c>
      <c r="E1381" s="64">
        <v>2</v>
      </c>
      <c r="F1381" s="64">
        <v>8</v>
      </c>
      <c r="G1381" s="64">
        <v>59</v>
      </c>
      <c r="H1381" s="65"/>
      <c r="I1381" s="65"/>
      <c r="J1381" s="66"/>
      <c r="K1381" s="65" t="s">
        <v>1596</v>
      </c>
      <c r="L1381" s="64" t="s">
        <v>1475</v>
      </c>
      <c r="M1381" s="64" t="s">
        <v>1318</v>
      </c>
      <c r="N1381" s="64" t="s">
        <v>74</v>
      </c>
      <c r="O1381" s="64" t="s">
        <v>1475</v>
      </c>
      <c r="P1381" s="69"/>
      <c r="Q1381" s="69"/>
      <c r="R1381" s="64">
        <v>12</v>
      </c>
      <c r="S1381" s="65" t="s">
        <v>1597</v>
      </c>
      <c r="T1381" s="64">
        <v>3</v>
      </c>
      <c r="U1381" s="75">
        <f>$AH1381/4</f>
        <v>7500</v>
      </c>
      <c r="V1381" s="674">
        <v>0</v>
      </c>
      <c r="W1381" s="75">
        <v>3</v>
      </c>
      <c r="X1381" s="75">
        <f>$AH1381/4</f>
        <v>7500</v>
      </c>
      <c r="Y1381" s="834">
        <f t="shared" si="277"/>
        <v>0</v>
      </c>
      <c r="Z1381" s="75">
        <v>3</v>
      </c>
      <c r="AA1381" s="75">
        <f>$AH1381/4</f>
        <v>7500</v>
      </c>
      <c r="AB1381" s="75"/>
      <c r="AC1381" s="97">
        <v>3</v>
      </c>
      <c r="AD1381" s="75">
        <f>$AH1381/4</f>
        <v>7500</v>
      </c>
      <c r="AE1381" s="592"/>
      <c r="AF1381" s="259" t="s">
        <v>765</v>
      </c>
      <c r="AG1381" s="510">
        <f>12*5000/2</f>
        <v>30000</v>
      </c>
      <c r="AH1381" s="370">
        <f>12*5000/2</f>
        <v>30000</v>
      </c>
      <c r="AI1381" s="75"/>
      <c r="AJ1381" s="75"/>
      <c r="AK1381" s="157"/>
      <c r="AL1381" s="157"/>
      <c r="AM1381" s="157"/>
      <c r="AN1381" s="64" t="s">
        <v>181</v>
      </c>
      <c r="AO1381" s="64"/>
      <c r="AP1381" s="64"/>
      <c r="AQ1381" s="189"/>
      <c r="AR1381" s="64"/>
      <c r="AS1381" s="476"/>
      <c r="AT1381" s="64"/>
      <c r="AU1381" s="646"/>
      <c r="AV1381" s="185" t="s">
        <v>780</v>
      </c>
    </row>
    <row r="1382" spans="1:48" s="153" customFormat="1" ht="54.75" customHeight="1" outlineLevel="2" x14ac:dyDescent="0.25">
      <c r="A1382" s="148" t="str">
        <f t="shared" si="266"/>
        <v>4.16.3.3.0.63</v>
      </c>
      <c r="B1382" s="82">
        <v>4</v>
      </c>
      <c r="C1382" s="82">
        <v>16</v>
      </c>
      <c r="D1382" s="82">
        <v>3</v>
      </c>
      <c r="E1382" s="82">
        <v>3</v>
      </c>
      <c r="F1382" s="82">
        <v>0</v>
      </c>
      <c r="G1382" s="82">
        <v>63</v>
      </c>
      <c r="H1382" s="149"/>
      <c r="I1382" s="149"/>
      <c r="J1382" s="1260" t="s">
        <v>1599</v>
      </c>
      <c r="K1382" s="1259"/>
      <c r="L1382" s="82" t="s">
        <v>1452</v>
      </c>
      <c r="M1382" s="82" t="s">
        <v>1464</v>
      </c>
      <c r="N1382" s="82" t="s">
        <v>1444</v>
      </c>
      <c r="O1382" s="82" t="s">
        <v>1204</v>
      </c>
      <c r="P1382" s="82"/>
      <c r="Q1382" s="82"/>
      <c r="R1382" s="82"/>
      <c r="S1382" s="149"/>
      <c r="T1382" s="82"/>
      <c r="U1382" s="209">
        <f>SUM(U1383:U1390)</f>
        <v>120166.66666666666</v>
      </c>
      <c r="V1382" s="683">
        <f>SUM(V1383:V1390)</f>
        <v>0</v>
      </c>
      <c r="W1382" s="380">
        <f t="shared" ref="W1382:AG1382" si="278">+SUM(W1383:W1390)</f>
        <v>17</v>
      </c>
      <c r="X1382" s="380">
        <f t="shared" si="278"/>
        <v>92166.666666666657</v>
      </c>
      <c r="Y1382" s="845">
        <f t="shared" si="278"/>
        <v>30000</v>
      </c>
      <c r="Z1382" s="380">
        <f t="shared" si="278"/>
        <v>19</v>
      </c>
      <c r="AA1382" s="380">
        <f t="shared" si="278"/>
        <v>75166.666666666657</v>
      </c>
      <c r="AB1382" s="380">
        <f t="shared" si="278"/>
        <v>0</v>
      </c>
      <c r="AC1382" s="380">
        <f t="shared" si="278"/>
        <v>11</v>
      </c>
      <c r="AD1382" s="380">
        <f t="shared" si="278"/>
        <v>7500</v>
      </c>
      <c r="AE1382" s="380">
        <f t="shared" si="278"/>
        <v>0</v>
      </c>
      <c r="AF1382" s="380">
        <f t="shared" si="278"/>
        <v>0</v>
      </c>
      <c r="AG1382" s="380">
        <f t="shared" si="278"/>
        <v>295000</v>
      </c>
      <c r="AH1382" s="380">
        <f>+SUM(AH1383:AH1390)</f>
        <v>295000</v>
      </c>
      <c r="AI1382" s="380">
        <f t="shared" ref="AI1382:AJ1382" si="279">+SUM(AI1383:AI1390)</f>
        <v>0</v>
      </c>
      <c r="AJ1382" s="380">
        <f t="shared" si="279"/>
        <v>30000</v>
      </c>
      <c r="AK1382" s="198"/>
      <c r="AL1382" s="198"/>
      <c r="AM1382" s="198"/>
      <c r="AN1382" s="82" t="s">
        <v>181</v>
      </c>
      <c r="AO1382" s="82"/>
      <c r="AP1382" s="82"/>
      <c r="AQ1382" s="365"/>
      <c r="AR1382" s="82"/>
      <c r="AS1382" s="483"/>
      <c r="AT1382" s="82"/>
      <c r="AU1382" s="666"/>
      <c r="AV1382" s="449" t="s">
        <v>1579</v>
      </c>
    </row>
    <row r="1383" spans="1:48" outlineLevel="3" x14ac:dyDescent="0.25">
      <c r="A1383" s="63" t="str">
        <f t="shared" si="266"/>
        <v>4.16.3.3.1.63</v>
      </c>
      <c r="B1383" s="64">
        <v>4</v>
      </c>
      <c r="C1383" s="64">
        <v>16</v>
      </c>
      <c r="D1383" s="64">
        <v>3</v>
      </c>
      <c r="E1383" s="64">
        <v>3</v>
      </c>
      <c r="F1383" s="64">
        <v>1</v>
      </c>
      <c r="G1383" s="64">
        <v>63</v>
      </c>
      <c r="H1383" s="65"/>
      <c r="I1383" s="65"/>
      <c r="J1383" s="66"/>
      <c r="K1383" s="65" t="s">
        <v>1580</v>
      </c>
      <c r="L1383" s="64" t="s">
        <v>1576</v>
      </c>
      <c r="M1383" s="64" t="s">
        <v>144</v>
      </c>
      <c r="N1383" s="64" t="s">
        <v>265</v>
      </c>
      <c r="O1383" s="64" t="s">
        <v>1544</v>
      </c>
      <c r="P1383" s="64"/>
      <c r="Q1383" s="64"/>
      <c r="R1383" s="64">
        <v>12</v>
      </c>
      <c r="S1383" s="65" t="s">
        <v>1581</v>
      </c>
      <c r="T1383" s="64">
        <v>3</v>
      </c>
      <c r="U1383" s="179">
        <f>$AH1383/4</f>
        <v>0</v>
      </c>
      <c r="V1383" s="674">
        <v>0</v>
      </c>
      <c r="W1383" s="75">
        <v>3</v>
      </c>
      <c r="X1383" s="179">
        <f>$AH1383/4</f>
        <v>0</v>
      </c>
      <c r="Y1383" s="834">
        <f t="shared" ref="Y1383:Y1390" si="280">+AJ1383-V1383</f>
        <v>0</v>
      </c>
      <c r="Z1383" s="75">
        <v>3</v>
      </c>
      <c r="AA1383" s="179">
        <f>$AH1383/4</f>
        <v>0</v>
      </c>
      <c r="AB1383" s="179"/>
      <c r="AC1383" s="97">
        <v>3</v>
      </c>
      <c r="AD1383" s="179">
        <f>$AH1383/4</f>
        <v>0</v>
      </c>
      <c r="AE1383" s="616"/>
      <c r="AF1383" s="259" t="s">
        <v>1582</v>
      </c>
      <c r="AG1383" s="510">
        <v>0</v>
      </c>
      <c r="AH1383" s="370">
        <v>0</v>
      </c>
      <c r="AI1383" s="75"/>
      <c r="AJ1383" s="75"/>
      <c r="AK1383" s="75"/>
      <c r="AL1383" s="75"/>
      <c r="AM1383" s="75"/>
      <c r="AN1383" s="64" t="s">
        <v>181</v>
      </c>
      <c r="AO1383" s="64"/>
      <c r="AP1383" s="64"/>
      <c r="AQ1383" s="189"/>
      <c r="AR1383" s="64"/>
      <c r="AS1383" s="476"/>
      <c r="AT1383" s="64"/>
      <c r="AU1383" s="646"/>
      <c r="AV1383" s="185"/>
    </row>
    <row r="1384" spans="1:48" ht="30" outlineLevel="3" x14ac:dyDescent="0.25">
      <c r="A1384" s="63" t="str">
        <f t="shared" si="266"/>
        <v>4.16.3.3.2.63</v>
      </c>
      <c r="B1384" s="64">
        <v>4</v>
      </c>
      <c r="C1384" s="64">
        <v>16</v>
      </c>
      <c r="D1384" s="64">
        <v>3</v>
      </c>
      <c r="E1384" s="64">
        <v>3</v>
      </c>
      <c r="F1384" s="64">
        <v>2</v>
      </c>
      <c r="G1384" s="64">
        <v>63</v>
      </c>
      <c r="H1384" s="65"/>
      <c r="I1384" s="65"/>
      <c r="J1384" s="66"/>
      <c r="K1384" s="65" t="s">
        <v>1583</v>
      </c>
      <c r="L1384" s="64" t="s">
        <v>1475</v>
      </c>
      <c r="M1384" s="64" t="s">
        <v>1318</v>
      </c>
      <c r="N1384" s="64" t="s">
        <v>1223</v>
      </c>
      <c r="O1384" s="64" t="s">
        <v>1544</v>
      </c>
      <c r="P1384" s="69"/>
      <c r="Q1384" s="69"/>
      <c r="R1384" s="64">
        <v>12</v>
      </c>
      <c r="S1384" s="65" t="s">
        <v>1581</v>
      </c>
      <c r="T1384" s="64">
        <v>3</v>
      </c>
      <c r="U1384" s="179">
        <v>45000</v>
      </c>
      <c r="V1384" s="674">
        <v>0</v>
      </c>
      <c r="W1384" s="75">
        <v>3</v>
      </c>
      <c r="X1384" s="179">
        <v>45000</v>
      </c>
      <c r="Y1384" s="834">
        <f t="shared" si="280"/>
        <v>30000</v>
      </c>
      <c r="Z1384" s="75">
        <v>3</v>
      </c>
      <c r="AA1384" s="179"/>
      <c r="AB1384" s="179"/>
      <c r="AC1384" s="97">
        <v>3</v>
      </c>
      <c r="AD1384" s="179"/>
      <c r="AE1384" s="616"/>
      <c r="AF1384" s="259" t="s">
        <v>1584</v>
      </c>
      <c r="AG1384" s="510">
        <f>12*15000/2</f>
        <v>90000</v>
      </c>
      <c r="AH1384" s="370">
        <f>12*15000/2</f>
        <v>90000</v>
      </c>
      <c r="AI1384" s="75"/>
      <c r="AJ1384" s="75">
        <f>15000+15000</f>
        <v>30000</v>
      </c>
      <c r="AK1384" s="75"/>
      <c r="AL1384" s="75"/>
      <c r="AM1384" s="75"/>
      <c r="AN1384" s="64" t="s">
        <v>181</v>
      </c>
      <c r="AO1384" s="313" t="s">
        <v>1819</v>
      </c>
      <c r="AP1384" s="313" t="s">
        <v>2160</v>
      </c>
      <c r="AQ1384" s="408" t="s">
        <v>2161</v>
      </c>
      <c r="AR1384" s="69">
        <v>44658</v>
      </c>
      <c r="AS1384" s="562">
        <v>45023</v>
      </c>
      <c r="AT1384" s="89" t="s">
        <v>2029</v>
      </c>
      <c r="AU1384" s="883" t="s">
        <v>2162</v>
      </c>
      <c r="AV1384" s="335" t="s">
        <v>1585</v>
      </c>
    </row>
    <row r="1385" spans="1:48" outlineLevel="3" x14ac:dyDescent="0.25">
      <c r="A1385" s="63" t="str">
        <f t="shared" si="266"/>
        <v>4.16.3.3.3.63</v>
      </c>
      <c r="B1385" s="64">
        <v>4</v>
      </c>
      <c r="C1385" s="64">
        <v>16</v>
      </c>
      <c r="D1385" s="64">
        <v>3</v>
      </c>
      <c r="E1385" s="64">
        <v>3</v>
      </c>
      <c r="F1385" s="64">
        <v>3</v>
      </c>
      <c r="G1385" s="64">
        <v>63</v>
      </c>
      <c r="H1385" s="65"/>
      <c r="I1385" s="65"/>
      <c r="J1385" s="66"/>
      <c r="K1385" s="65" t="s">
        <v>1586</v>
      </c>
      <c r="L1385" s="64" t="s">
        <v>1475</v>
      </c>
      <c r="M1385" s="64" t="s">
        <v>1318</v>
      </c>
      <c r="N1385" s="64" t="s">
        <v>1249</v>
      </c>
      <c r="O1385" s="64" t="s">
        <v>1544</v>
      </c>
      <c r="P1385" s="69"/>
      <c r="Q1385" s="69"/>
      <c r="R1385" s="171">
        <v>6</v>
      </c>
      <c r="S1385" s="65"/>
      <c r="T1385" s="64">
        <v>1</v>
      </c>
      <c r="U1385" s="179">
        <f>$AH1385/4</f>
        <v>0</v>
      </c>
      <c r="V1385" s="674">
        <v>0</v>
      </c>
      <c r="W1385" s="75">
        <v>2</v>
      </c>
      <c r="X1385" s="179">
        <f>$AH1385/4</f>
        <v>0</v>
      </c>
      <c r="Y1385" s="834">
        <f t="shared" si="280"/>
        <v>0</v>
      </c>
      <c r="Z1385" s="75">
        <v>1</v>
      </c>
      <c r="AA1385" s="179">
        <f>$AH1385/4</f>
        <v>0</v>
      </c>
      <c r="AB1385" s="179"/>
      <c r="AC1385" s="97">
        <v>2</v>
      </c>
      <c r="AD1385" s="179">
        <f>$AH1385/4</f>
        <v>0</v>
      </c>
      <c r="AE1385" s="616"/>
      <c r="AF1385" s="259" t="s">
        <v>1587</v>
      </c>
      <c r="AG1385" s="510">
        <v>0</v>
      </c>
      <c r="AH1385" s="370">
        <v>0</v>
      </c>
      <c r="AI1385" s="75"/>
      <c r="AJ1385" s="75"/>
      <c r="AK1385" s="75"/>
      <c r="AL1385" s="75"/>
      <c r="AM1385" s="75"/>
      <c r="AN1385" s="64" t="s">
        <v>181</v>
      </c>
      <c r="AO1385" s="64"/>
      <c r="AP1385" s="64"/>
      <c r="AQ1385" s="189"/>
      <c r="AR1385" s="64"/>
      <c r="AS1385" s="476"/>
      <c r="AT1385" s="64"/>
      <c r="AU1385" s="646"/>
      <c r="AV1385" s="185" t="s">
        <v>127</v>
      </c>
    </row>
    <row r="1386" spans="1:48" outlineLevel="3" x14ac:dyDescent="0.25">
      <c r="A1386" s="63" t="str">
        <f t="shared" si="266"/>
        <v>4.16.3.3.4.63</v>
      </c>
      <c r="B1386" s="64">
        <v>4</v>
      </c>
      <c r="C1386" s="64">
        <v>16</v>
      </c>
      <c r="D1386" s="64">
        <v>3</v>
      </c>
      <c r="E1386" s="64">
        <v>3</v>
      </c>
      <c r="F1386" s="64">
        <v>4</v>
      </c>
      <c r="G1386" s="64">
        <v>63</v>
      </c>
      <c r="H1386" s="65"/>
      <c r="I1386" s="65"/>
      <c r="J1386" s="66"/>
      <c r="K1386" s="65" t="s">
        <v>1588</v>
      </c>
      <c r="L1386" s="64" t="s">
        <v>1475</v>
      </c>
      <c r="M1386" s="64" t="s">
        <v>1318</v>
      </c>
      <c r="N1386" s="64" t="s">
        <v>74</v>
      </c>
      <c r="O1386" s="64" t="s">
        <v>1524</v>
      </c>
      <c r="P1386" s="69"/>
      <c r="Q1386" s="69"/>
      <c r="R1386" s="171">
        <v>14</v>
      </c>
      <c r="S1386" s="65" t="s">
        <v>1589</v>
      </c>
      <c r="T1386" s="64">
        <v>5</v>
      </c>
      <c r="U1386" s="179">
        <f>$AH1386/3</f>
        <v>39666.666666666664</v>
      </c>
      <c r="V1386" s="674">
        <v>0</v>
      </c>
      <c r="W1386" s="75">
        <v>4</v>
      </c>
      <c r="X1386" s="179">
        <f>$AH1386/3</f>
        <v>39666.666666666664</v>
      </c>
      <c r="Y1386" s="834">
        <f t="shared" si="280"/>
        <v>0</v>
      </c>
      <c r="Z1386" s="75">
        <v>5</v>
      </c>
      <c r="AA1386" s="179">
        <f>$AH1386/3</f>
        <v>39666.666666666664</v>
      </c>
      <c r="AB1386" s="179"/>
      <c r="AC1386" s="97"/>
      <c r="AD1386" s="179"/>
      <c r="AE1386" s="616"/>
      <c r="AF1386" s="259" t="s">
        <v>1590</v>
      </c>
      <c r="AG1386" s="510">
        <f>14*8500</f>
        <v>119000</v>
      </c>
      <c r="AH1386" s="370">
        <f>14*8500</f>
        <v>119000</v>
      </c>
      <c r="AI1386" s="75"/>
      <c r="AJ1386" s="75"/>
      <c r="AK1386" s="75"/>
      <c r="AL1386" s="75"/>
      <c r="AM1386" s="75"/>
      <c r="AN1386" s="64" t="s">
        <v>181</v>
      </c>
      <c r="AO1386" s="64"/>
      <c r="AP1386" s="64"/>
      <c r="AQ1386" s="189"/>
      <c r="AR1386" s="64"/>
      <c r="AS1386" s="476"/>
      <c r="AT1386" s="64"/>
      <c r="AU1386" s="646"/>
      <c r="AV1386" s="185"/>
    </row>
    <row r="1387" spans="1:48" outlineLevel="3" x14ac:dyDescent="0.25">
      <c r="A1387" s="63" t="str">
        <f t="shared" si="266"/>
        <v>4.16.3.3.5.63</v>
      </c>
      <c r="B1387" s="64">
        <v>4</v>
      </c>
      <c r="C1387" s="64">
        <v>16</v>
      </c>
      <c r="D1387" s="64">
        <v>3</v>
      </c>
      <c r="E1387" s="64">
        <v>3</v>
      </c>
      <c r="F1387" s="64">
        <v>5</v>
      </c>
      <c r="G1387" s="64">
        <v>63</v>
      </c>
      <c r="H1387" s="65"/>
      <c r="I1387" s="65"/>
      <c r="J1387" s="66"/>
      <c r="K1387" s="65" t="s">
        <v>1591</v>
      </c>
      <c r="L1387" s="64" t="s">
        <v>1475</v>
      </c>
      <c r="M1387" s="64" t="s">
        <v>1318</v>
      </c>
      <c r="N1387" s="64" t="s">
        <v>74</v>
      </c>
      <c r="O1387" s="64" t="s">
        <v>1524</v>
      </c>
      <c r="P1387" s="69"/>
      <c r="Q1387" s="69"/>
      <c r="R1387" s="171">
        <f>4*2</f>
        <v>8</v>
      </c>
      <c r="S1387" s="65" t="s">
        <v>1589</v>
      </c>
      <c r="T1387" s="64">
        <v>4</v>
      </c>
      <c r="U1387" s="179">
        <f>$AH1387/2</f>
        <v>28000</v>
      </c>
      <c r="V1387" s="674">
        <v>0</v>
      </c>
      <c r="W1387" s="75"/>
      <c r="X1387" s="179"/>
      <c r="Y1387" s="834">
        <f t="shared" si="280"/>
        <v>0</v>
      </c>
      <c r="Z1387" s="75">
        <v>4</v>
      </c>
      <c r="AA1387" s="179">
        <f>$AH1387/2</f>
        <v>28000</v>
      </c>
      <c r="AB1387" s="179"/>
      <c r="AC1387" s="97"/>
      <c r="AD1387" s="179"/>
      <c r="AE1387" s="616"/>
      <c r="AF1387" s="259" t="s">
        <v>1592</v>
      </c>
      <c r="AG1387" s="510">
        <f>8*7000</f>
        <v>56000</v>
      </c>
      <c r="AH1387" s="370">
        <f>8*7000</f>
        <v>56000</v>
      </c>
      <c r="AI1387" s="75"/>
      <c r="AJ1387" s="75"/>
      <c r="AK1387" s="75"/>
      <c r="AL1387" s="75"/>
      <c r="AM1387" s="75"/>
      <c r="AN1387" s="64" t="s">
        <v>181</v>
      </c>
      <c r="AO1387" s="64"/>
      <c r="AP1387" s="64"/>
      <c r="AQ1387" s="189"/>
      <c r="AR1387" s="64"/>
      <c r="AS1387" s="476"/>
      <c r="AT1387" s="64"/>
      <c r="AU1387" s="646"/>
      <c r="AV1387" s="185"/>
    </row>
    <row r="1388" spans="1:48" outlineLevel="3" x14ac:dyDescent="0.25">
      <c r="A1388" s="63" t="str">
        <f t="shared" si="266"/>
        <v>4.16.3.3.6.63</v>
      </c>
      <c r="B1388" s="64">
        <v>4</v>
      </c>
      <c r="C1388" s="64">
        <v>16</v>
      </c>
      <c r="D1388" s="64">
        <v>3</v>
      </c>
      <c r="E1388" s="64">
        <v>3</v>
      </c>
      <c r="F1388" s="64">
        <v>6</v>
      </c>
      <c r="G1388" s="64">
        <v>63</v>
      </c>
      <c r="H1388" s="65"/>
      <c r="I1388" s="65"/>
      <c r="J1388" s="66"/>
      <c r="K1388" s="65" t="s">
        <v>1593</v>
      </c>
      <c r="L1388" s="64" t="s">
        <v>1475</v>
      </c>
      <c r="M1388" s="64" t="s">
        <v>1318</v>
      </c>
      <c r="N1388" s="64" t="s">
        <v>74</v>
      </c>
      <c r="O1388" s="64" t="s">
        <v>1475</v>
      </c>
      <c r="P1388" s="69"/>
      <c r="Q1388" s="69"/>
      <c r="R1388" s="171">
        <v>1</v>
      </c>
      <c r="S1388" s="65" t="s">
        <v>1589</v>
      </c>
      <c r="T1388" s="64"/>
      <c r="U1388" s="179">
        <f>$AH1388/4</f>
        <v>0</v>
      </c>
      <c r="V1388" s="674">
        <v>0</v>
      </c>
      <c r="W1388" s="75">
        <v>1</v>
      </c>
      <c r="X1388" s="179">
        <f>$AH1388/4</f>
        <v>0</v>
      </c>
      <c r="Y1388" s="834">
        <f t="shared" si="280"/>
        <v>0</v>
      </c>
      <c r="Z1388" s="75"/>
      <c r="AA1388" s="179">
        <f>$AH1388/4</f>
        <v>0</v>
      </c>
      <c r="AB1388" s="179"/>
      <c r="AC1388" s="97"/>
      <c r="AD1388" s="179">
        <f>$AH1388/4</f>
        <v>0</v>
      </c>
      <c r="AE1388" s="616"/>
      <c r="AF1388" s="259" t="s">
        <v>1593</v>
      </c>
      <c r="AG1388" s="510">
        <v>0</v>
      </c>
      <c r="AH1388" s="370">
        <v>0</v>
      </c>
      <c r="AI1388" s="75"/>
      <c r="AJ1388" s="75"/>
      <c r="AK1388" s="75"/>
      <c r="AL1388" s="75"/>
      <c r="AM1388" s="75"/>
      <c r="AN1388" s="64" t="s">
        <v>181</v>
      </c>
      <c r="AO1388" s="64"/>
      <c r="AP1388" s="64"/>
      <c r="AQ1388" s="189"/>
      <c r="AR1388" s="64"/>
      <c r="AS1388" s="476"/>
      <c r="AT1388" s="64"/>
      <c r="AU1388" s="646"/>
      <c r="AV1388" s="185"/>
    </row>
    <row r="1389" spans="1:48" outlineLevel="3" x14ac:dyDescent="0.25">
      <c r="A1389" s="63" t="str">
        <f t="shared" si="266"/>
        <v>4.16.3.3.7.63</v>
      </c>
      <c r="B1389" s="64">
        <v>4</v>
      </c>
      <c r="C1389" s="64">
        <v>16</v>
      </c>
      <c r="D1389" s="64">
        <v>3</v>
      </c>
      <c r="E1389" s="64">
        <v>3</v>
      </c>
      <c r="F1389" s="64">
        <v>7</v>
      </c>
      <c r="G1389" s="64">
        <v>63</v>
      </c>
      <c r="H1389" s="65"/>
      <c r="I1389" s="65"/>
      <c r="J1389" s="66"/>
      <c r="K1389" s="65" t="s">
        <v>1594</v>
      </c>
      <c r="L1389" s="64" t="s">
        <v>1475</v>
      </c>
      <c r="M1389" s="64" t="s">
        <v>1318</v>
      </c>
      <c r="N1389" s="64" t="s">
        <v>74</v>
      </c>
      <c r="O1389" s="64" t="s">
        <v>1475</v>
      </c>
      <c r="P1389" s="69"/>
      <c r="Q1389" s="69"/>
      <c r="R1389" s="64">
        <v>1</v>
      </c>
      <c r="S1389" s="65" t="s">
        <v>1589</v>
      </c>
      <c r="T1389" s="64"/>
      <c r="U1389" s="179">
        <f>$AH1389/4</f>
        <v>0</v>
      </c>
      <c r="V1389" s="674">
        <v>0</v>
      </c>
      <c r="W1389" s="75">
        <v>1</v>
      </c>
      <c r="X1389" s="179">
        <f>$AH1389/4</f>
        <v>0</v>
      </c>
      <c r="Y1389" s="834">
        <f t="shared" si="280"/>
        <v>0</v>
      </c>
      <c r="Z1389" s="75"/>
      <c r="AA1389" s="179">
        <f>$AH1389/4</f>
        <v>0</v>
      </c>
      <c r="AB1389" s="179"/>
      <c r="AC1389" s="97"/>
      <c r="AD1389" s="179">
        <f>$AH1389/4</f>
        <v>0</v>
      </c>
      <c r="AE1389" s="616"/>
      <c r="AF1389" s="259" t="s">
        <v>1595</v>
      </c>
      <c r="AG1389" s="510">
        <v>0</v>
      </c>
      <c r="AH1389" s="370">
        <v>0</v>
      </c>
      <c r="AI1389" s="75"/>
      <c r="AJ1389" s="75"/>
      <c r="AK1389" s="75"/>
      <c r="AL1389" s="75"/>
      <c r="AM1389" s="75"/>
      <c r="AN1389" s="64" t="s">
        <v>181</v>
      </c>
      <c r="AO1389" s="64"/>
      <c r="AP1389" s="64"/>
      <c r="AQ1389" s="189"/>
      <c r="AR1389" s="64"/>
      <c r="AS1389" s="476"/>
      <c r="AT1389" s="64"/>
      <c r="AU1389" s="646"/>
      <c r="AV1389" s="185"/>
    </row>
    <row r="1390" spans="1:48" outlineLevel="3" x14ac:dyDescent="0.25">
      <c r="A1390" s="63" t="str">
        <f t="shared" si="266"/>
        <v>4.16.3.3.8.63</v>
      </c>
      <c r="B1390" s="64">
        <v>4</v>
      </c>
      <c r="C1390" s="64">
        <v>16</v>
      </c>
      <c r="D1390" s="64">
        <v>3</v>
      </c>
      <c r="E1390" s="64">
        <v>3</v>
      </c>
      <c r="F1390" s="64">
        <v>8</v>
      </c>
      <c r="G1390" s="64">
        <v>63</v>
      </c>
      <c r="H1390" s="65"/>
      <c r="I1390" s="65"/>
      <c r="J1390" s="66"/>
      <c r="K1390" s="65" t="s">
        <v>1596</v>
      </c>
      <c r="L1390" s="64" t="s">
        <v>1475</v>
      </c>
      <c r="M1390" s="64" t="s">
        <v>1318</v>
      </c>
      <c r="N1390" s="64" t="s">
        <v>74</v>
      </c>
      <c r="O1390" s="64" t="s">
        <v>1475</v>
      </c>
      <c r="P1390" s="69"/>
      <c r="Q1390" s="69"/>
      <c r="R1390" s="64">
        <v>12</v>
      </c>
      <c r="S1390" s="65" t="s">
        <v>1597</v>
      </c>
      <c r="T1390" s="64">
        <v>3</v>
      </c>
      <c r="U1390" s="179">
        <f>$AH1390/4</f>
        <v>7500</v>
      </c>
      <c r="V1390" s="674">
        <v>0</v>
      </c>
      <c r="W1390" s="75">
        <v>3</v>
      </c>
      <c r="X1390" s="179">
        <f>$AH1390/4</f>
        <v>7500</v>
      </c>
      <c r="Y1390" s="834">
        <f t="shared" si="280"/>
        <v>0</v>
      </c>
      <c r="Z1390" s="75">
        <v>3</v>
      </c>
      <c r="AA1390" s="179">
        <f>$AH1390/4</f>
        <v>7500</v>
      </c>
      <c r="AB1390" s="179"/>
      <c r="AC1390" s="97">
        <v>3</v>
      </c>
      <c r="AD1390" s="179">
        <f>$AH1390/4</f>
        <v>7500</v>
      </c>
      <c r="AE1390" s="616"/>
      <c r="AF1390" s="259" t="s">
        <v>765</v>
      </c>
      <c r="AG1390" s="510">
        <f>12*5000/2</f>
        <v>30000</v>
      </c>
      <c r="AH1390" s="370">
        <f>12*5000/2</f>
        <v>30000</v>
      </c>
      <c r="AI1390" s="75"/>
      <c r="AJ1390" s="75"/>
      <c r="AK1390" s="157"/>
      <c r="AL1390" s="157"/>
      <c r="AM1390" s="157"/>
      <c r="AN1390" s="64" t="s">
        <v>181</v>
      </c>
      <c r="AO1390" s="64"/>
      <c r="AP1390" s="64"/>
      <c r="AQ1390" s="189"/>
      <c r="AR1390" s="64"/>
      <c r="AS1390" s="476"/>
      <c r="AT1390" s="64"/>
      <c r="AU1390" s="646"/>
      <c r="AV1390" s="185" t="s">
        <v>780</v>
      </c>
    </row>
    <row r="1391" spans="1:48" s="153" customFormat="1" ht="54.75" customHeight="1" outlineLevel="2" x14ac:dyDescent="0.25">
      <c r="A1391" s="148" t="str">
        <f t="shared" si="266"/>
        <v>4.16.3.4.0.64</v>
      </c>
      <c r="B1391" s="82">
        <v>4</v>
      </c>
      <c r="C1391" s="82">
        <v>16</v>
      </c>
      <c r="D1391" s="82">
        <v>3</v>
      </c>
      <c r="E1391" s="82">
        <v>4</v>
      </c>
      <c r="F1391" s="82">
        <v>0</v>
      </c>
      <c r="G1391" s="82">
        <v>64</v>
      </c>
      <c r="H1391" s="149"/>
      <c r="I1391" s="149"/>
      <c r="J1391" s="1260" t="s">
        <v>1600</v>
      </c>
      <c r="K1391" s="1259"/>
      <c r="L1391" s="82" t="s">
        <v>1576</v>
      </c>
      <c r="M1391" s="82" t="s">
        <v>1464</v>
      </c>
      <c r="N1391" s="82" t="s">
        <v>1444</v>
      </c>
      <c r="O1391" s="82" t="s">
        <v>1204</v>
      </c>
      <c r="P1391" s="82"/>
      <c r="Q1391" s="82"/>
      <c r="R1391" s="82"/>
      <c r="S1391" s="149"/>
      <c r="T1391" s="82"/>
      <c r="U1391" s="209">
        <f>SUM(U1392:U1399)</f>
        <v>120166.66666666666</v>
      </c>
      <c r="V1391" s="683">
        <f>SUM(V1392:V1399)</f>
        <v>0</v>
      </c>
      <c r="W1391" s="380">
        <f t="shared" ref="W1391:AG1391" si="281">+SUM(W1392:W1399)</f>
        <v>17</v>
      </c>
      <c r="X1391" s="380">
        <f t="shared" si="281"/>
        <v>92166.666666666657</v>
      </c>
      <c r="Y1391" s="845">
        <f t="shared" si="281"/>
        <v>30000</v>
      </c>
      <c r="Z1391" s="380">
        <f t="shared" si="281"/>
        <v>19</v>
      </c>
      <c r="AA1391" s="380">
        <f t="shared" si="281"/>
        <v>75166.666666666657</v>
      </c>
      <c r="AB1391" s="380">
        <f t="shared" si="281"/>
        <v>0</v>
      </c>
      <c r="AC1391" s="380">
        <f t="shared" si="281"/>
        <v>11</v>
      </c>
      <c r="AD1391" s="380">
        <f t="shared" si="281"/>
        <v>7500</v>
      </c>
      <c r="AE1391" s="380">
        <f t="shared" si="281"/>
        <v>0</v>
      </c>
      <c r="AF1391" s="380">
        <f t="shared" si="281"/>
        <v>0</v>
      </c>
      <c r="AG1391" s="380">
        <f t="shared" si="281"/>
        <v>295000</v>
      </c>
      <c r="AH1391" s="380">
        <f>+SUM(AH1392:AH1399)</f>
        <v>295000</v>
      </c>
      <c r="AI1391" s="380">
        <f t="shared" ref="AI1391:AJ1391" si="282">+SUM(AI1392:AI1399)</f>
        <v>0</v>
      </c>
      <c r="AJ1391" s="380">
        <f t="shared" si="282"/>
        <v>30000</v>
      </c>
      <c r="AK1391" s="198"/>
      <c r="AL1391" s="198"/>
      <c r="AM1391" s="198"/>
      <c r="AN1391" s="82" t="s">
        <v>181</v>
      </c>
      <c r="AO1391" s="82"/>
      <c r="AP1391" s="82"/>
      <c r="AQ1391" s="365"/>
      <c r="AR1391" s="82"/>
      <c r="AS1391" s="483"/>
      <c r="AT1391" s="82"/>
      <c r="AU1391" s="666"/>
      <c r="AV1391" s="449" t="s">
        <v>1579</v>
      </c>
    </row>
    <row r="1392" spans="1:48" ht="15" customHeight="1" outlineLevel="3" x14ac:dyDescent="0.25">
      <c r="A1392" s="63" t="str">
        <f t="shared" si="266"/>
        <v>4.16.3.4.1.64</v>
      </c>
      <c r="B1392" s="64">
        <v>4</v>
      </c>
      <c r="C1392" s="64">
        <v>16</v>
      </c>
      <c r="D1392" s="64">
        <v>3</v>
      </c>
      <c r="E1392" s="64">
        <v>4</v>
      </c>
      <c r="F1392" s="64">
        <v>1</v>
      </c>
      <c r="G1392" s="64">
        <v>64</v>
      </c>
      <c r="H1392" s="65"/>
      <c r="I1392" s="65"/>
      <c r="J1392" s="66"/>
      <c r="K1392" s="65" t="s">
        <v>1580</v>
      </c>
      <c r="L1392" s="64" t="s">
        <v>1576</v>
      </c>
      <c r="M1392" s="64" t="s">
        <v>144</v>
      </c>
      <c r="N1392" s="64" t="s">
        <v>265</v>
      </c>
      <c r="O1392" s="64" t="s">
        <v>1544</v>
      </c>
      <c r="P1392" s="64"/>
      <c r="Q1392" s="64"/>
      <c r="R1392" s="64">
        <v>12</v>
      </c>
      <c r="S1392" s="65" t="s">
        <v>1581</v>
      </c>
      <c r="T1392" s="64">
        <v>3</v>
      </c>
      <c r="U1392" s="179">
        <f>$AH1392/4</f>
        <v>0</v>
      </c>
      <c r="V1392" s="674">
        <v>0</v>
      </c>
      <c r="W1392" s="75">
        <v>3</v>
      </c>
      <c r="X1392" s="179">
        <f>$AH1392/4</f>
        <v>0</v>
      </c>
      <c r="Y1392" s="834">
        <f t="shared" ref="Y1392:Y1399" si="283">+AJ1392-V1392</f>
        <v>0</v>
      </c>
      <c r="Z1392" s="75">
        <v>3</v>
      </c>
      <c r="AA1392" s="179">
        <f>$AH1392/4</f>
        <v>0</v>
      </c>
      <c r="AB1392" s="179"/>
      <c r="AC1392" s="97">
        <v>3</v>
      </c>
      <c r="AD1392" s="179">
        <f>$AH1392/4</f>
        <v>0</v>
      </c>
      <c r="AE1392" s="616"/>
      <c r="AF1392" s="259" t="s">
        <v>1582</v>
      </c>
      <c r="AG1392" s="510">
        <v>0</v>
      </c>
      <c r="AH1392" s="370">
        <v>0</v>
      </c>
      <c r="AI1392" s="75"/>
      <c r="AJ1392" s="75"/>
      <c r="AK1392" s="75"/>
      <c r="AL1392" s="75"/>
      <c r="AM1392" s="75"/>
      <c r="AN1392" s="64" t="s">
        <v>181</v>
      </c>
      <c r="AO1392" s="64"/>
      <c r="AP1392" s="64"/>
      <c r="AQ1392" s="189"/>
      <c r="AR1392" s="64"/>
      <c r="AS1392" s="476"/>
      <c r="AT1392" s="64"/>
      <c r="AU1392" s="646"/>
      <c r="AV1392" s="185"/>
    </row>
    <row r="1393" spans="1:48" ht="32.25" customHeight="1" outlineLevel="3" x14ac:dyDescent="0.25">
      <c r="A1393" s="63" t="str">
        <f t="shared" si="266"/>
        <v>4.16.3.4.2.64</v>
      </c>
      <c r="B1393" s="64">
        <v>4</v>
      </c>
      <c r="C1393" s="64">
        <v>16</v>
      </c>
      <c r="D1393" s="64">
        <v>3</v>
      </c>
      <c r="E1393" s="64">
        <v>4</v>
      </c>
      <c r="F1393" s="64">
        <v>2</v>
      </c>
      <c r="G1393" s="64">
        <v>64</v>
      </c>
      <c r="H1393" s="65"/>
      <c r="I1393" s="65"/>
      <c r="J1393" s="66"/>
      <c r="K1393" s="65" t="s">
        <v>1583</v>
      </c>
      <c r="L1393" s="64" t="s">
        <v>1475</v>
      </c>
      <c r="M1393" s="64" t="s">
        <v>1318</v>
      </c>
      <c r="N1393" s="64" t="s">
        <v>1223</v>
      </c>
      <c r="O1393" s="64" t="s">
        <v>1544</v>
      </c>
      <c r="P1393" s="69"/>
      <c r="Q1393" s="69"/>
      <c r="R1393" s="64">
        <v>12</v>
      </c>
      <c r="S1393" s="65" t="s">
        <v>1581</v>
      </c>
      <c r="T1393" s="64">
        <v>3</v>
      </c>
      <c r="U1393" s="179">
        <v>45000</v>
      </c>
      <c r="V1393" s="674">
        <v>0</v>
      </c>
      <c r="W1393" s="75">
        <v>3</v>
      </c>
      <c r="X1393" s="179">
        <v>45000</v>
      </c>
      <c r="Y1393" s="834">
        <f t="shared" si="283"/>
        <v>30000</v>
      </c>
      <c r="Z1393" s="75">
        <v>3</v>
      </c>
      <c r="AA1393" s="179"/>
      <c r="AB1393" s="179"/>
      <c r="AC1393" s="97">
        <v>3</v>
      </c>
      <c r="AD1393" s="179"/>
      <c r="AE1393" s="616"/>
      <c r="AF1393" s="259" t="s">
        <v>1584</v>
      </c>
      <c r="AG1393" s="510">
        <f>12*15000/2</f>
        <v>90000</v>
      </c>
      <c r="AH1393" s="370">
        <f>12*15000/2</f>
        <v>90000</v>
      </c>
      <c r="AI1393" s="75"/>
      <c r="AJ1393" s="75">
        <f>15000+15000</f>
        <v>30000</v>
      </c>
      <c r="AK1393" s="75"/>
      <c r="AL1393" s="75"/>
      <c r="AM1393" s="75"/>
      <c r="AN1393" s="64" t="s">
        <v>181</v>
      </c>
      <c r="AO1393" s="313" t="s">
        <v>1819</v>
      </c>
      <c r="AP1393" s="313" t="s">
        <v>2160</v>
      </c>
      <c r="AQ1393" s="408" t="s">
        <v>2161</v>
      </c>
      <c r="AR1393" s="69">
        <v>44658</v>
      </c>
      <c r="AS1393" s="562">
        <v>45023</v>
      </c>
      <c r="AT1393" s="89" t="s">
        <v>2029</v>
      </c>
      <c r="AU1393" s="883" t="s">
        <v>2162</v>
      </c>
      <c r="AV1393" s="335" t="s">
        <v>1585</v>
      </c>
    </row>
    <row r="1394" spans="1:48" ht="15" customHeight="1" outlineLevel="3" x14ac:dyDescent="0.25">
      <c r="A1394" s="63" t="str">
        <f t="shared" si="266"/>
        <v>4.16.3.4.3.6</v>
      </c>
      <c r="B1394" s="64">
        <v>4</v>
      </c>
      <c r="C1394" s="64">
        <v>16</v>
      </c>
      <c r="D1394" s="64">
        <v>3</v>
      </c>
      <c r="E1394" s="64">
        <v>4</v>
      </c>
      <c r="F1394" s="64">
        <v>3</v>
      </c>
      <c r="G1394" s="64">
        <v>6</v>
      </c>
      <c r="H1394" s="65"/>
      <c r="I1394" s="65"/>
      <c r="J1394" s="66"/>
      <c r="K1394" s="65" t="s">
        <v>1586</v>
      </c>
      <c r="L1394" s="64" t="s">
        <v>1475</v>
      </c>
      <c r="M1394" s="64" t="s">
        <v>1318</v>
      </c>
      <c r="N1394" s="64" t="s">
        <v>1249</v>
      </c>
      <c r="O1394" s="64" t="s">
        <v>1544</v>
      </c>
      <c r="P1394" s="69"/>
      <c r="Q1394" s="69"/>
      <c r="R1394" s="171">
        <v>6</v>
      </c>
      <c r="S1394" s="65"/>
      <c r="T1394" s="64">
        <v>1</v>
      </c>
      <c r="U1394" s="179">
        <f>$AH1394/4</f>
        <v>0</v>
      </c>
      <c r="V1394" s="674">
        <v>0</v>
      </c>
      <c r="W1394" s="75">
        <v>2</v>
      </c>
      <c r="X1394" s="179">
        <f>$AH1394/4</f>
        <v>0</v>
      </c>
      <c r="Y1394" s="834">
        <f t="shared" si="283"/>
        <v>0</v>
      </c>
      <c r="Z1394" s="75">
        <v>1</v>
      </c>
      <c r="AA1394" s="179">
        <f>$AH1394/4</f>
        <v>0</v>
      </c>
      <c r="AB1394" s="179"/>
      <c r="AC1394" s="97">
        <v>2</v>
      </c>
      <c r="AD1394" s="179">
        <f>$AH1394/4</f>
        <v>0</v>
      </c>
      <c r="AE1394" s="616"/>
      <c r="AF1394" s="259" t="s">
        <v>1587</v>
      </c>
      <c r="AG1394" s="510">
        <v>0</v>
      </c>
      <c r="AH1394" s="370">
        <v>0</v>
      </c>
      <c r="AI1394" s="75"/>
      <c r="AJ1394" s="75"/>
      <c r="AK1394" s="75"/>
      <c r="AL1394" s="75"/>
      <c r="AM1394" s="75"/>
      <c r="AN1394" s="64" t="s">
        <v>181</v>
      </c>
      <c r="AO1394" s="64"/>
      <c r="AP1394" s="64"/>
      <c r="AQ1394" s="189"/>
      <c r="AR1394" s="64"/>
      <c r="AS1394" s="476"/>
      <c r="AT1394" s="64"/>
      <c r="AU1394" s="646"/>
      <c r="AV1394" s="185" t="s">
        <v>127</v>
      </c>
    </row>
    <row r="1395" spans="1:48" ht="15" customHeight="1" outlineLevel="3" x14ac:dyDescent="0.25">
      <c r="A1395" s="63" t="str">
        <f t="shared" si="266"/>
        <v>4.16.3.4.4.64</v>
      </c>
      <c r="B1395" s="64">
        <v>4</v>
      </c>
      <c r="C1395" s="64">
        <v>16</v>
      </c>
      <c r="D1395" s="64">
        <v>3</v>
      </c>
      <c r="E1395" s="64">
        <v>4</v>
      </c>
      <c r="F1395" s="64">
        <v>4</v>
      </c>
      <c r="G1395" s="64">
        <v>64</v>
      </c>
      <c r="H1395" s="65"/>
      <c r="I1395" s="65"/>
      <c r="J1395" s="65"/>
      <c r="K1395" s="65" t="s">
        <v>1588</v>
      </c>
      <c r="L1395" s="64" t="s">
        <v>1475</v>
      </c>
      <c r="M1395" s="64" t="s">
        <v>1318</v>
      </c>
      <c r="N1395" s="64" t="s">
        <v>74</v>
      </c>
      <c r="O1395" s="64" t="s">
        <v>1524</v>
      </c>
      <c r="P1395" s="69"/>
      <c r="Q1395" s="69"/>
      <c r="R1395" s="171">
        <v>14</v>
      </c>
      <c r="S1395" s="65" t="s">
        <v>1589</v>
      </c>
      <c r="T1395" s="64">
        <v>5</v>
      </c>
      <c r="U1395" s="179">
        <f>$AH1395/3</f>
        <v>39666.666666666664</v>
      </c>
      <c r="V1395" s="674">
        <v>0</v>
      </c>
      <c r="W1395" s="75">
        <v>4</v>
      </c>
      <c r="X1395" s="179">
        <f>$AH1395/3</f>
        <v>39666.666666666664</v>
      </c>
      <c r="Y1395" s="834">
        <f t="shared" si="283"/>
        <v>0</v>
      </c>
      <c r="Z1395" s="75">
        <v>5</v>
      </c>
      <c r="AA1395" s="179">
        <f>$AH1395/3</f>
        <v>39666.666666666664</v>
      </c>
      <c r="AB1395" s="179"/>
      <c r="AC1395" s="97"/>
      <c r="AD1395" s="179"/>
      <c r="AE1395" s="616"/>
      <c r="AF1395" s="259" t="s">
        <v>1590</v>
      </c>
      <c r="AG1395" s="510">
        <f>14*8500</f>
        <v>119000</v>
      </c>
      <c r="AH1395" s="370">
        <f>14*8500</f>
        <v>119000</v>
      </c>
      <c r="AI1395" s="75"/>
      <c r="AJ1395" s="75"/>
      <c r="AK1395" s="75"/>
      <c r="AL1395" s="75"/>
      <c r="AM1395" s="75"/>
      <c r="AN1395" s="64" t="s">
        <v>181</v>
      </c>
      <c r="AO1395" s="64"/>
      <c r="AP1395" s="64"/>
      <c r="AQ1395" s="189"/>
      <c r="AR1395" s="64"/>
      <c r="AS1395" s="476"/>
      <c r="AT1395" s="64"/>
      <c r="AU1395" s="646"/>
      <c r="AV1395" s="185"/>
    </row>
    <row r="1396" spans="1:48" ht="15" customHeight="1" outlineLevel="3" x14ac:dyDescent="0.25">
      <c r="A1396" s="63" t="str">
        <f t="shared" si="266"/>
        <v>4.16.3.4.5.64</v>
      </c>
      <c r="B1396" s="64">
        <v>4</v>
      </c>
      <c r="C1396" s="64">
        <v>16</v>
      </c>
      <c r="D1396" s="64">
        <v>3</v>
      </c>
      <c r="E1396" s="64">
        <v>4</v>
      </c>
      <c r="F1396" s="64">
        <v>5</v>
      </c>
      <c r="G1396" s="64">
        <v>64</v>
      </c>
      <c r="H1396" s="65"/>
      <c r="I1396" s="65"/>
      <c r="J1396" s="66"/>
      <c r="K1396" s="65" t="s">
        <v>1591</v>
      </c>
      <c r="L1396" s="64" t="s">
        <v>1475</v>
      </c>
      <c r="M1396" s="64" t="s">
        <v>1318</v>
      </c>
      <c r="N1396" s="64" t="s">
        <v>74</v>
      </c>
      <c r="O1396" s="64" t="s">
        <v>1524</v>
      </c>
      <c r="P1396" s="69"/>
      <c r="Q1396" s="69"/>
      <c r="R1396" s="171">
        <f>4*2</f>
        <v>8</v>
      </c>
      <c r="S1396" s="65" t="s">
        <v>1589</v>
      </c>
      <c r="T1396" s="64">
        <v>4</v>
      </c>
      <c r="U1396" s="179">
        <f>$AH1396/2</f>
        <v>28000</v>
      </c>
      <c r="V1396" s="674">
        <v>0</v>
      </c>
      <c r="W1396" s="75"/>
      <c r="X1396" s="179"/>
      <c r="Y1396" s="834">
        <f t="shared" si="283"/>
        <v>0</v>
      </c>
      <c r="Z1396" s="75">
        <v>4</v>
      </c>
      <c r="AA1396" s="179">
        <f>$AH1396/2</f>
        <v>28000</v>
      </c>
      <c r="AB1396" s="179"/>
      <c r="AC1396" s="97"/>
      <c r="AD1396" s="179"/>
      <c r="AE1396" s="616"/>
      <c r="AF1396" s="259" t="s">
        <v>1592</v>
      </c>
      <c r="AG1396" s="510">
        <f>8*7000</f>
        <v>56000</v>
      </c>
      <c r="AH1396" s="370">
        <f>8*7000</f>
        <v>56000</v>
      </c>
      <c r="AI1396" s="75"/>
      <c r="AJ1396" s="75"/>
      <c r="AK1396" s="75"/>
      <c r="AL1396" s="75"/>
      <c r="AM1396" s="75"/>
      <c r="AN1396" s="64" t="s">
        <v>181</v>
      </c>
      <c r="AO1396" s="64"/>
      <c r="AP1396" s="64"/>
      <c r="AQ1396" s="189"/>
      <c r="AR1396" s="64"/>
      <c r="AS1396" s="476"/>
      <c r="AT1396" s="64"/>
      <c r="AU1396" s="646"/>
      <c r="AV1396" s="185"/>
    </row>
    <row r="1397" spans="1:48" ht="15" customHeight="1" outlineLevel="3" x14ac:dyDescent="0.25">
      <c r="A1397" s="63" t="str">
        <f t="shared" si="266"/>
        <v>4.16.3.4.6.64</v>
      </c>
      <c r="B1397" s="64">
        <v>4</v>
      </c>
      <c r="C1397" s="64">
        <v>16</v>
      </c>
      <c r="D1397" s="64">
        <v>3</v>
      </c>
      <c r="E1397" s="64">
        <v>4</v>
      </c>
      <c r="F1397" s="64">
        <v>6</v>
      </c>
      <c r="G1397" s="64">
        <v>64</v>
      </c>
      <c r="H1397" s="65"/>
      <c r="I1397" s="65"/>
      <c r="J1397" s="66"/>
      <c r="K1397" s="65" t="s">
        <v>1593</v>
      </c>
      <c r="L1397" s="64" t="s">
        <v>1475</v>
      </c>
      <c r="M1397" s="64" t="s">
        <v>1318</v>
      </c>
      <c r="N1397" s="64" t="s">
        <v>74</v>
      </c>
      <c r="O1397" s="64" t="s">
        <v>1475</v>
      </c>
      <c r="P1397" s="69"/>
      <c r="Q1397" s="69"/>
      <c r="R1397" s="171">
        <v>1</v>
      </c>
      <c r="S1397" s="65" t="s">
        <v>1589</v>
      </c>
      <c r="T1397" s="64"/>
      <c r="U1397" s="179">
        <f>$AH1397/4</f>
        <v>0</v>
      </c>
      <c r="V1397" s="674">
        <v>0</v>
      </c>
      <c r="W1397" s="75">
        <v>1</v>
      </c>
      <c r="X1397" s="179">
        <f>$AH1397/4</f>
        <v>0</v>
      </c>
      <c r="Y1397" s="834">
        <f t="shared" si="283"/>
        <v>0</v>
      </c>
      <c r="Z1397" s="75"/>
      <c r="AA1397" s="179">
        <f>$AH1397/4</f>
        <v>0</v>
      </c>
      <c r="AB1397" s="179"/>
      <c r="AC1397" s="97"/>
      <c r="AD1397" s="179">
        <f>$AH1397/4</f>
        <v>0</v>
      </c>
      <c r="AE1397" s="616"/>
      <c r="AF1397" s="259" t="s">
        <v>1593</v>
      </c>
      <c r="AG1397" s="510">
        <v>0</v>
      </c>
      <c r="AH1397" s="370">
        <v>0</v>
      </c>
      <c r="AI1397" s="75"/>
      <c r="AJ1397" s="75"/>
      <c r="AK1397" s="75"/>
      <c r="AL1397" s="75"/>
      <c r="AM1397" s="75"/>
      <c r="AN1397" s="64" t="s">
        <v>181</v>
      </c>
      <c r="AO1397" s="64"/>
      <c r="AP1397" s="64"/>
      <c r="AQ1397" s="189"/>
      <c r="AR1397" s="64"/>
      <c r="AS1397" s="476"/>
      <c r="AT1397" s="64"/>
      <c r="AU1397" s="646"/>
      <c r="AV1397" s="185"/>
    </row>
    <row r="1398" spans="1:48" ht="15" customHeight="1" outlineLevel="3" x14ac:dyDescent="0.25">
      <c r="A1398" s="63" t="str">
        <f t="shared" si="266"/>
        <v>4.16.3.4.7.64</v>
      </c>
      <c r="B1398" s="64">
        <v>4</v>
      </c>
      <c r="C1398" s="64">
        <v>16</v>
      </c>
      <c r="D1398" s="64">
        <v>3</v>
      </c>
      <c r="E1398" s="64">
        <v>4</v>
      </c>
      <c r="F1398" s="64">
        <v>7</v>
      </c>
      <c r="G1398" s="64">
        <v>64</v>
      </c>
      <c r="H1398" s="65"/>
      <c r="I1398" s="65"/>
      <c r="J1398" s="66"/>
      <c r="K1398" s="65" t="s">
        <v>1594</v>
      </c>
      <c r="L1398" s="64" t="s">
        <v>1475</v>
      </c>
      <c r="M1398" s="64" t="s">
        <v>1318</v>
      </c>
      <c r="N1398" s="64" t="s">
        <v>74</v>
      </c>
      <c r="O1398" s="64" t="s">
        <v>1475</v>
      </c>
      <c r="P1398" s="69"/>
      <c r="Q1398" s="69"/>
      <c r="R1398" s="64">
        <v>1</v>
      </c>
      <c r="S1398" s="65" t="s">
        <v>1589</v>
      </c>
      <c r="T1398" s="64"/>
      <c r="U1398" s="179">
        <f>$AH1398/4</f>
        <v>0</v>
      </c>
      <c r="V1398" s="674">
        <v>0</v>
      </c>
      <c r="W1398" s="75">
        <v>1</v>
      </c>
      <c r="X1398" s="179">
        <f>$AH1398/4</f>
        <v>0</v>
      </c>
      <c r="Y1398" s="834">
        <f t="shared" si="283"/>
        <v>0</v>
      </c>
      <c r="Z1398" s="75"/>
      <c r="AA1398" s="179">
        <f>$AH1398/4</f>
        <v>0</v>
      </c>
      <c r="AB1398" s="179"/>
      <c r="AC1398" s="97"/>
      <c r="AD1398" s="179">
        <f>$AH1398/4</f>
        <v>0</v>
      </c>
      <c r="AE1398" s="616"/>
      <c r="AF1398" s="259" t="s">
        <v>1595</v>
      </c>
      <c r="AG1398" s="510">
        <v>0</v>
      </c>
      <c r="AH1398" s="370">
        <v>0</v>
      </c>
      <c r="AI1398" s="75"/>
      <c r="AJ1398" s="75"/>
      <c r="AK1398" s="75"/>
      <c r="AL1398" s="75"/>
      <c r="AM1398" s="75"/>
      <c r="AN1398" s="64" t="s">
        <v>181</v>
      </c>
      <c r="AO1398" s="64"/>
      <c r="AP1398" s="64"/>
      <c r="AQ1398" s="189"/>
      <c r="AR1398" s="64"/>
      <c r="AS1398" s="476"/>
      <c r="AT1398" s="64"/>
      <c r="AU1398" s="646"/>
      <c r="AV1398" s="185"/>
    </row>
    <row r="1399" spans="1:48" ht="15" customHeight="1" outlineLevel="3" x14ac:dyDescent="0.25">
      <c r="A1399" s="63" t="str">
        <f t="shared" si="266"/>
        <v>4.16.3.4.8.64</v>
      </c>
      <c r="B1399" s="64">
        <v>4</v>
      </c>
      <c r="C1399" s="64">
        <v>16</v>
      </c>
      <c r="D1399" s="64">
        <v>3</v>
      </c>
      <c r="E1399" s="64">
        <v>4</v>
      </c>
      <c r="F1399" s="64">
        <v>8</v>
      </c>
      <c r="G1399" s="64">
        <v>64</v>
      </c>
      <c r="H1399" s="65"/>
      <c r="I1399" s="65"/>
      <c r="J1399" s="66"/>
      <c r="K1399" s="65" t="s">
        <v>1596</v>
      </c>
      <c r="L1399" s="64" t="s">
        <v>1475</v>
      </c>
      <c r="M1399" s="64" t="s">
        <v>1318</v>
      </c>
      <c r="N1399" s="64" t="s">
        <v>74</v>
      </c>
      <c r="O1399" s="64" t="s">
        <v>1475</v>
      </c>
      <c r="P1399" s="69"/>
      <c r="Q1399" s="69"/>
      <c r="R1399" s="64">
        <v>12</v>
      </c>
      <c r="S1399" s="65" t="s">
        <v>1597</v>
      </c>
      <c r="T1399" s="64">
        <v>3</v>
      </c>
      <c r="U1399" s="179">
        <f>$AH1399/4</f>
        <v>7500</v>
      </c>
      <c r="V1399" s="674">
        <v>0</v>
      </c>
      <c r="W1399" s="75">
        <v>3</v>
      </c>
      <c r="X1399" s="179">
        <f>$AH1399/4</f>
        <v>7500</v>
      </c>
      <c r="Y1399" s="834">
        <f t="shared" si="283"/>
        <v>0</v>
      </c>
      <c r="Z1399" s="75">
        <v>3</v>
      </c>
      <c r="AA1399" s="179">
        <f>$AH1399/4</f>
        <v>7500</v>
      </c>
      <c r="AB1399" s="179"/>
      <c r="AC1399" s="97">
        <v>3</v>
      </c>
      <c r="AD1399" s="179">
        <f>$AH1399/4</f>
        <v>7500</v>
      </c>
      <c r="AE1399" s="616"/>
      <c r="AF1399" s="259" t="s">
        <v>765</v>
      </c>
      <c r="AG1399" s="510">
        <f>12*5000/2</f>
        <v>30000</v>
      </c>
      <c r="AH1399" s="370">
        <f>12*5000/2</f>
        <v>30000</v>
      </c>
      <c r="AI1399" s="75"/>
      <c r="AJ1399" s="75"/>
      <c r="AK1399" s="75"/>
      <c r="AL1399" s="75"/>
      <c r="AM1399" s="75"/>
      <c r="AN1399" s="64" t="s">
        <v>181</v>
      </c>
      <c r="AO1399" s="64"/>
      <c r="AP1399" s="64"/>
      <c r="AQ1399" s="189"/>
      <c r="AR1399" s="64"/>
      <c r="AS1399" s="476"/>
      <c r="AT1399" s="64"/>
      <c r="AU1399" s="646"/>
      <c r="AV1399" s="185" t="s">
        <v>780</v>
      </c>
    </row>
    <row r="1400" spans="1:48" s="153" customFormat="1" ht="50.25" customHeight="1" outlineLevel="2" x14ac:dyDescent="0.25">
      <c r="A1400" s="148" t="str">
        <f t="shared" si="266"/>
        <v>4.16.3.5.0.61</v>
      </c>
      <c r="B1400" s="82">
        <v>4</v>
      </c>
      <c r="C1400" s="82">
        <v>16</v>
      </c>
      <c r="D1400" s="82">
        <v>3</v>
      </c>
      <c r="E1400" s="82">
        <v>5</v>
      </c>
      <c r="F1400" s="82">
        <v>0</v>
      </c>
      <c r="G1400" s="82">
        <v>61</v>
      </c>
      <c r="H1400" s="149"/>
      <c r="I1400" s="149"/>
      <c r="J1400" s="1260" t="s">
        <v>1601</v>
      </c>
      <c r="K1400" s="1259"/>
      <c r="L1400" s="82" t="s">
        <v>1576</v>
      </c>
      <c r="M1400" s="82" t="s">
        <v>1464</v>
      </c>
      <c r="N1400" s="82" t="s">
        <v>1444</v>
      </c>
      <c r="O1400" s="82" t="s">
        <v>1204</v>
      </c>
      <c r="P1400" s="82"/>
      <c r="Q1400" s="82"/>
      <c r="R1400" s="82"/>
      <c r="S1400" s="149"/>
      <c r="T1400" s="82"/>
      <c r="U1400" s="209">
        <f>SUM(U1401:U1408)</f>
        <v>120166.66666666666</v>
      </c>
      <c r="V1400" s="683">
        <f>SUM(V1401:V1408)</f>
        <v>0</v>
      </c>
      <c r="W1400" s="380">
        <f t="shared" ref="W1400:AG1400" si="284">+SUM(W1401:W1408)</f>
        <v>17</v>
      </c>
      <c r="X1400" s="380">
        <f t="shared" si="284"/>
        <v>92166.666666666657</v>
      </c>
      <c r="Y1400" s="845">
        <f t="shared" si="284"/>
        <v>30000</v>
      </c>
      <c r="Z1400" s="380">
        <f t="shared" si="284"/>
        <v>19</v>
      </c>
      <c r="AA1400" s="380">
        <f t="shared" si="284"/>
        <v>75166.666666666657</v>
      </c>
      <c r="AB1400" s="380">
        <f t="shared" si="284"/>
        <v>0</v>
      </c>
      <c r="AC1400" s="380">
        <f t="shared" si="284"/>
        <v>11</v>
      </c>
      <c r="AD1400" s="380">
        <f t="shared" si="284"/>
        <v>7500</v>
      </c>
      <c r="AE1400" s="380">
        <f t="shared" si="284"/>
        <v>0</v>
      </c>
      <c r="AF1400" s="380">
        <f t="shared" si="284"/>
        <v>0</v>
      </c>
      <c r="AG1400" s="380">
        <f t="shared" si="284"/>
        <v>295000</v>
      </c>
      <c r="AH1400" s="380">
        <f>+SUM(AH1401:AH1408)</f>
        <v>295000</v>
      </c>
      <c r="AI1400" s="380">
        <f t="shared" ref="AI1400:AJ1400" si="285">+SUM(AI1401:AI1408)</f>
        <v>0</v>
      </c>
      <c r="AJ1400" s="380">
        <f t="shared" si="285"/>
        <v>30000</v>
      </c>
      <c r="AK1400" s="198"/>
      <c r="AL1400" s="198"/>
      <c r="AM1400" s="198"/>
      <c r="AN1400" s="82" t="s">
        <v>181</v>
      </c>
      <c r="AO1400" s="82"/>
      <c r="AP1400" s="82"/>
      <c r="AQ1400" s="365"/>
      <c r="AR1400" s="82"/>
      <c r="AS1400" s="483"/>
      <c r="AT1400" s="82"/>
      <c r="AU1400" s="666"/>
      <c r="AV1400" s="449" t="s">
        <v>1579</v>
      </c>
    </row>
    <row r="1401" spans="1:48" ht="15" customHeight="1" outlineLevel="3" x14ac:dyDescent="0.25">
      <c r="A1401" s="63" t="str">
        <f t="shared" si="266"/>
        <v>4.16.3.5.1.61</v>
      </c>
      <c r="B1401" s="64">
        <v>4</v>
      </c>
      <c r="C1401" s="64">
        <v>16</v>
      </c>
      <c r="D1401" s="64">
        <v>3</v>
      </c>
      <c r="E1401" s="64">
        <v>5</v>
      </c>
      <c r="F1401" s="64">
        <v>1</v>
      </c>
      <c r="G1401" s="64">
        <v>61</v>
      </c>
      <c r="H1401" s="65"/>
      <c r="I1401" s="65"/>
      <c r="J1401" s="66"/>
      <c r="K1401" s="65" t="s">
        <v>1580</v>
      </c>
      <c r="L1401" s="64" t="s">
        <v>1576</v>
      </c>
      <c r="M1401" s="64" t="s">
        <v>144</v>
      </c>
      <c r="N1401" s="64" t="s">
        <v>265</v>
      </c>
      <c r="O1401" s="64" t="s">
        <v>1544</v>
      </c>
      <c r="P1401" s="64"/>
      <c r="Q1401" s="64"/>
      <c r="R1401" s="64">
        <v>12</v>
      </c>
      <c r="S1401" s="65" t="s">
        <v>1581</v>
      </c>
      <c r="T1401" s="64">
        <v>3</v>
      </c>
      <c r="U1401" s="179">
        <f>$AH1401/4</f>
        <v>0</v>
      </c>
      <c r="V1401" s="674">
        <v>0</v>
      </c>
      <c r="W1401" s="75">
        <v>3</v>
      </c>
      <c r="X1401" s="179">
        <f>$AH1401/4</f>
        <v>0</v>
      </c>
      <c r="Y1401" s="834">
        <f t="shared" ref="Y1401:Y1408" si="286">+AJ1401-V1401</f>
        <v>0</v>
      </c>
      <c r="Z1401" s="75">
        <v>3</v>
      </c>
      <c r="AA1401" s="179">
        <f>$AH1401/4</f>
        <v>0</v>
      </c>
      <c r="AB1401" s="179"/>
      <c r="AC1401" s="97">
        <v>3</v>
      </c>
      <c r="AD1401" s="179">
        <f>$AH1401/4</f>
        <v>0</v>
      </c>
      <c r="AE1401" s="616"/>
      <c r="AF1401" s="259" t="s">
        <v>1582</v>
      </c>
      <c r="AG1401" s="510">
        <v>0</v>
      </c>
      <c r="AH1401" s="370">
        <v>0</v>
      </c>
      <c r="AI1401" s="75"/>
      <c r="AJ1401" s="75"/>
      <c r="AK1401" s="75"/>
      <c r="AL1401" s="75"/>
      <c r="AM1401" s="75"/>
      <c r="AN1401" s="64" t="s">
        <v>181</v>
      </c>
      <c r="AO1401" s="64"/>
      <c r="AP1401" s="64"/>
      <c r="AQ1401" s="189"/>
      <c r="AR1401" s="64"/>
      <c r="AS1401" s="476"/>
      <c r="AT1401" s="64"/>
      <c r="AU1401" s="646"/>
      <c r="AV1401" s="185"/>
    </row>
    <row r="1402" spans="1:48" ht="30" customHeight="1" outlineLevel="3" x14ac:dyDescent="0.25">
      <c r="A1402" s="63" t="str">
        <f t="shared" si="266"/>
        <v>4.16.3.5.2.61</v>
      </c>
      <c r="B1402" s="64">
        <v>4</v>
      </c>
      <c r="C1402" s="64">
        <v>16</v>
      </c>
      <c r="D1402" s="64">
        <v>3</v>
      </c>
      <c r="E1402" s="64">
        <v>5</v>
      </c>
      <c r="F1402" s="64">
        <v>2</v>
      </c>
      <c r="G1402" s="64">
        <v>61</v>
      </c>
      <c r="H1402" s="65"/>
      <c r="I1402" s="65"/>
      <c r="J1402" s="66"/>
      <c r="K1402" s="65" t="s">
        <v>1583</v>
      </c>
      <c r="L1402" s="64" t="s">
        <v>1475</v>
      </c>
      <c r="M1402" s="64" t="s">
        <v>1318</v>
      </c>
      <c r="N1402" s="64" t="s">
        <v>1223</v>
      </c>
      <c r="O1402" s="64" t="s">
        <v>1544</v>
      </c>
      <c r="P1402" s="69"/>
      <c r="Q1402" s="69"/>
      <c r="R1402" s="64">
        <v>12</v>
      </c>
      <c r="S1402" s="65" t="s">
        <v>1581</v>
      </c>
      <c r="T1402" s="64">
        <v>3</v>
      </c>
      <c r="U1402" s="179">
        <v>45000</v>
      </c>
      <c r="V1402" s="674">
        <v>0</v>
      </c>
      <c r="W1402" s="75">
        <v>3</v>
      </c>
      <c r="X1402" s="179">
        <v>45000</v>
      </c>
      <c r="Y1402" s="834">
        <f t="shared" si="286"/>
        <v>30000</v>
      </c>
      <c r="Z1402" s="75">
        <v>3</v>
      </c>
      <c r="AA1402" s="179"/>
      <c r="AB1402" s="179"/>
      <c r="AC1402" s="97">
        <v>3</v>
      </c>
      <c r="AD1402" s="179"/>
      <c r="AE1402" s="616"/>
      <c r="AF1402" s="259" t="s">
        <v>1584</v>
      </c>
      <c r="AG1402" s="510">
        <f>12*15000/2</f>
        <v>90000</v>
      </c>
      <c r="AH1402" s="370">
        <f>12*15000/2</f>
        <v>90000</v>
      </c>
      <c r="AI1402" s="75"/>
      <c r="AJ1402" s="75">
        <f>15000+15000</f>
        <v>30000</v>
      </c>
      <c r="AK1402" s="75"/>
      <c r="AL1402" s="75"/>
      <c r="AM1402" s="75"/>
      <c r="AN1402" s="64" t="s">
        <v>181</v>
      </c>
      <c r="AO1402" s="313" t="s">
        <v>1819</v>
      </c>
      <c r="AP1402" s="313" t="s">
        <v>2160</v>
      </c>
      <c r="AQ1402" s="408" t="s">
        <v>2161</v>
      </c>
      <c r="AR1402" s="69">
        <v>44658</v>
      </c>
      <c r="AS1402" s="562">
        <v>45023</v>
      </c>
      <c r="AT1402" s="89" t="s">
        <v>2029</v>
      </c>
      <c r="AU1402" s="883" t="s">
        <v>2162</v>
      </c>
      <c r="AV1402" s="335" t="s">
        <v>1585</v>
      </c>
    </row>
    <row r="1403" spans="1:48" ht="15" customHeight="1" outlineLevel="3" x14ac:dyDescent="0.25">
      <c r="A1403" s="63" t="str">
        <f t="shared" si="266"/>
        <v>4.16.3.5.3.61</v>
      </c>
      <c r="B1403" s="64">
        <v>4</v>
      </c>
      <c r="C1403" s="64">
        <v>16</v>
      </c>
      <c r="D1403" s="64">
        <v>3</v>
      </c>
      <c r="E1403" s="64">
        <v>5</v>
      </c>
      <c r="F1403" s="64">
        <v>3</v>
      </c>
      <c r="G1403" s="64">
        <v>61</v>
      </c>
      <c r="H1403" s="65"/>
      <c r="I1403" s="65"/>
      <c r="J1403" s="66"/>
      <c r="K1403" s="65" t="s">
        <v>1586</v>
      </c>
      <c r="L1403" s="64" t="s">
        <v>1475</v>
      </c>
      <c r="M1403" s="64" t="s">
        <v>1318</v>
      </c>
      <c r="N1403" s="64" t="s">
        <v>1249</v>
      </c>
      <c r="O1403" s="64" t="s">
        <v>1544</v>
      </c>
      <c r="P1403" s="69"/>
      <c r="Q1403" s="69"/>
      <c r="R1403" s="171">
        <v>6</v>
      </c>
      <c r="S1403" s="65"/>
      <c r="T1403" s="64">
        <v>1</v>
      </c>
      <c r="U1403" s="179">
        <f>$AH1403/4</f>
        <v>0</v>
      </c>
      <c r="V1403" s="674">
        <v>0</v>
      </c>
      <c r="W1403" s="75">
        <v>2</v>
      </c>
      <c r="X1403" s="179">
        <f>$AH1403/4</f>
        <v>0</v>
      </c>
      <c r="Y1403" s="834">
        <f t="shared" si="286"/>
        <v>0</v>
      </c>
      <c r="Z1403" s="75">
        <v>1</v>
      </c>
      <c r="AA1403" s="179">
        <f>$AH1403/4</f>
        <v>0</v>
      </c>
      <c r="AB1403" s="179"/>
      <c r="AC1403" s="97">
        <v>2</v>
      </c>
      <c r="AD1403" s="179">
        <f>$AH1403/4</f>
        <v>0</v>
      </c>
      <c r="AE1403" s="616"/>
      <c r="AF1403" s="259" t="s">
        <v>1587</v>
      </c>
      <c r="AG1403" s="510">
        <v>0</v>
      </c>
      <c r="AH1403" s="370">
        <v>0</v>
      </c>
      <c r="AI1403" s="75"/>
      <c r="AJ1403" s="75"/>
      <c r="AK1403" s="75"/>
      <c r="AL1403" s="75"/>
      <c r="AM1403" s="75"/>
      <c r="AN1403" s="64" t="s">
        <v>181</v>
      </c>
      <c r="AO1403" s="64"/>
      <c r="AP1403" s="64"/>
      <c r="AQ1403" s="189"/>
      <c r="AR1403" s="64"/>
      <c r="AS1403" s="476"/>
      <c r="AT1403" s="64"/>
      <c r="AU1403" s="646"/>
      <c r="AV1403" s="185" t="s">
        <v>127</v>
      </c>
    </row>
    <row r="1404" spans="1:48" ht="15" customHeight="1" outlineLevel="3" x14ac:dyDescent="0.25">
      <c r="A1404" s="63" t="str">
        <f t="shared" si="266"/>
        <v>4.16.3.5.4.61</v>
      </c>
      <c r="B1404" s="64">
        <v>4</v>
      </c>
      <c r="C1404" s="64">
        <v>16</v>
      </c>
      <c r="D1404" s="64">
        <v>3</v>
      </c>
      <c r="E1404" s="64">
        <v>5</v>
      </c>
      <c r="F1404" s="64">
        <v>4</v>
      </c>
      <c r="G1404" s="64">
        <v>61</v>
      </c>
      <c r="H1404" s="65"/>
      <c r="I1404" s="65"/>
      <c r="J1404" s="66"/>
      <c r="K1404" s="65" t="s">
        <v>1588</v>
      </c>
      <c r="L1404" s="64" t="s">
        <v>1475</v>
      </c>
      <c r="M1404" s="64" t="s">
        <v>1318</v>
      </c>
      <c r="N1404" s="64" t="s">
        <v>74</v>
      </c>
      <c r="O1404" s="64" t="s">
        <v>1524</v>
      </c>
      <c r="P1404" s="69"/>
      <c r="Q1404" s="69"/>
      <c r="R1404" s="171">
        <v>14</v>
      </c>
      <c r="S1404" s="65" t="s">
        <v>1589</v>
      </c>
      <c r="T1404" s="64">
        <v>5</v>
      </c>
      <c r="U1404" s="179">
        <f>$AH1404/3</f>
        <v>39666.666666666664</v>
      </c>
      <c r="V1404" s="674">
        <v>0</v>
      </c>
      <c r="W1404" s="75">
        <v>4</v>
      </c>
      <c r="X1404" s="179">
        <f>$AH1404/3</f>
        <v>39666.666666666664</v>
      </c>
      <c r="Y1404" s="834">
        <f t="shared" si="286"/>
        <v>0</v>
      </c>
      <c r="Z1404" s="75">
        <v>5</v>
      </c>
      <c r="AA1404" s="179">
        <f>$AH1404/3</f>
        <v>39666.666666666664</v>
      </c>
      <c r="AB1404" s="179"/>
      <c r="AC1404" s="97"/>
      <c r="AD1404" s="179"/>
      <c r="AE1404" s="616"/>
      <c r="AF1404" s="259" t="s">
        <v>1590</v>
      </c>
      <c r="AG1404" s="510">
        <f>14*8500</f>
        <v>119000</v>
      </c>
      <c r="AH1404" s="370">
        <f>14*8500</f>
        <v>119000</v>
      </c>
      <c r="AI1404" s="75"/>
      <c r="AJ1404" s="75"/>
      <c r="AK1404" s="75"/>
      <c r="AL1404" s="75"/>
      <c r="AM1404" s="75"/>
      <c r="AN1404" s="64" t="s">
        <v>181</v>
      </c>
      <c r="AO1404" s="64"/>
      <c r="AP1404" s="64"/>
      <c r="AQ1404" s="189"/>
      <c r="AR1404" s="64"/>
      <c r="AS1404" s="476"/>
      <c r="AT1404" s="64"/>
      <c r="AU1404" s="646"/>
      <c r="AV1404" s="185"/>
    </row>
    <row r="1405" spans="1:48" ht="15" customHeight="1" outlineLevel="3" x14ac:dyDescent="0.25">
      <c r="A1405" s="63" t="str">
        <f t="shared" si="266"/>
        <v>4.16.3.5.5.61</v>
      </c>
      <c r="B1405" s="64">
        <v>4</v>
      </c>
      <c r="C1405" s="64">
        <v>16</v>
      </c>
      <c r="D1405" s="64">
        <v>3</v>
      </c>
      <c r="E1405" s="64">
        <v>5</v>
      </c>
      <c r="F1405" s="64">
        <v>5</v>
      </c>
      <c r="G1405" s="64">
        <v>61</v>
      </c>
      <c r="H1405" s="65"/>
      <c r="I1405" s="65"/>
      <c r="J1405" s="66"/>
      <c r="K1405" s="65" t="s">
        <v>1591</v>
      </c>
      <c r="L1405" s="64" t="s">
        <v>1475</v>
      </c>
      <c r="M1405" s="64" t="s">
        <v>1318</v>
      </c>
      <c r="N1405" s="64" t="s">
        <v>74</v>
      </c>
      <c r="O1405" s="64" t="s">
        <v>1524</v>
      </c>
      <c r="P1405" s="69"/>
      <c r="Q1405" s="69"/>
      <c r="R1405" s="171">
        <f>4*2</f>
        <v>8</v>
      </c>
      <c r="S1405" s="65" t="s">
        <v>1589</v>
      </c>
      <c r="T1405" s="64">
        <v>4</v>
      </c>
      <c r="U1405" s="179">
        <f>$AH1405/2</f>
        <v>28000</v>
      </c>
      <c r="V1405" s="674">
        <v>0</v>
      </c>
      <c r="W1405" s="75"/>
      <c r="X1405" s="179"/>
      <c r="Y1405" s="834">
        <f t="shared" si="286"/>
        <v>0</v>
      </c>
      <c r="Z1405" s="75">
        <v>4</v>
      </c>
      <c r="AA1405" s="179">
        <f>$AH1405/2</f>
        <v>28000</v>
      </c>
      <c r="AB1405" s="179"/>
      <c r="AC1405" s="97"/>
      <c r="AD1405" s="179"/>
      <c r="AE1405" s="616"/>
      <c r="AF1405" s="259" t="s">
        <v>1592</v>
      </c>
      <c r="AG1405" s="510">
        <f>8*7000</f>
        <v>56000</v>
      </c>
      <c r="AH1405" s="370">
        <f>8*7000</f>
        <v>56000</v>
      </c>
      <c r="AI1405" s="75"/>
      <c r="AJ1405" s="75"/>
      <c r="AK1405" s="75"/>
      <c r="AL1405" s="75"/>
      <c r="AM1405" s="75"/>
      <c r="AN1405" s="64" t="s">
        <v>181</v>
      </c>
      <c r="AO1405" s="64"/>
      <c r="AP1405" s="64"/>
      <c r="AQ1405" s="189"/>
      <c r="AR1405" s="64"/>
      <c r="AS1405" s="476"/>
      <c r="AT1405" s="64"/>
      <c r="AU1405" s="646"/>
      <c r="AV1405" s="185"/>
    </row>
    <row r="1406" spans="1:48" ht="15" customHeight="1" outlineLevel="3" x14ac:dyDescent="0.25">
      <c r="A1406" s="63" t="str">
        <f t="shared" si="266"/>
        <v>4.16.3.5.6.61</v>
      </c>
      <c r="B1406" s="64">
        <v>4</v>
      </c>
      <c r="C1406" s="64">
        <v>16</v>
      </c>
      <c r="D1406" s="64">
        <v>3</v>
      </c>
      <c r="E1406" s="64">
        <v>5</v>
      </c>
      <c r="F1406" s="64">
        <v>6</v>
      </c>
      <c r="G1406" s="64">
        <v>61</v>
      </c>
      <c r="H1406" s="65"/>
      <c r="I1406" s="65"/>
      <c r="J1406" s="66"/>
      <c r="K1406" s="65" t="s">
        <v>1593</v>
      </c>
      <c r="L1406" s="64" t="s">
        <v>1475</v>
      </c>
      <c r="M1406" s="64" t="s">
        <v>1318</v>
      </c>
      <c r="N1406" s="64" t="s">
        <v>74</v>
      </c>
      <c r="O1406" s="64" t="s">
        <v>1475</v>
      </c>
      <c r="P1406" s="69"/>
      <c r="Q1406" s="69"/>
      <c r="R1406" s="171">
        <v>1</v>
      </c>
      <c r="S1406" s="65" t="s">
        <v>1589</v>
      </c>
      <c r="T1406" s="64"/>
      <c r="U1406" s="179">
        <f>$AH1406/4</f>
        <v>0</v>
      </c>
      <c r="V1406" s="674">
        <v>0</v>
      </c>
      <c r="W1406" s="75">
        <v>1</v>
      </c>
      <c r="X1406" s="179">
        <f>$AH1406/4</f>
        <v>0</v>
      </c>
      <c r="Y1406" s="834">
        <f t="shared" si="286"/>
        <v>0</v>
      </c>
      <c r="Z1406" s="75"/>
      <c r="AA1406" s="179">
        <f>$AH1406/4</f>
        <v>0</v>
      </c>
      <c r="AB1406" s="179"/>
      <c r="AC1406" s="97"/>
      <c r="AD1406" s="179">
        <f>$AH1406/4</f>
        <v>0</v>
      </c>
      <c r="AE1406" s="616"/>
      <c r="AF1406" s="259" t="s">
        <v>1593</v>
      </c>
      <c r="AG1406" s="510">
        <v>0</v>
      </c>
      <c r="AH1406" s="370">
        <v>0</v>
      </c>
      <c r="AI1406" s="75"/>
      <c r="AJ1406" s="75"/>
      <c r="AK1406" s="75"/>
      <c r="AL1406" s="75"/>
      <c r="AM1406" s="75"/>
      <c r="AN1406" s="64" t="s">
        <v>181</v>
      </c>
      <c r="AO1406" s="64"/>
      <c r="AP1406" s="64"/>
      <c r="AQ1406" s="189"/>
      <c r="AR1406" s="64"/>
      <c r="AS1406" s="476"/>
      <c r="AT1406" s="64"/>
      <c r="AU1406" s="646"/>
      <c r="AV1406" s="185"/>
    </row>
    <row r="1407" spans="1:48" ht="15" customHeight="1" outlineLevel="3" x14ac:dyDescent="0.25">
      <c r="A1407" s="63" t="str">
        <f t="shared" si="266"/>
        <v>4.16.3.5.7.61</v>
      </c>
      <c r="B1407" s="64">
        <v>4</v>
      </c>
      <c r="C1407" s="64">
        <v>16</v>
      </c>
      <c r="D1407" s="64">
        <v>3</v>
      </c>
      <c r="E1407" s="64">
        <v>5</v>
      </c>
      <c r="F1407" s="64">
        <v>7</v>
      </c>
      <c r="G1407" s="64">
        <v>61</v>
      </c>
      <c r="H1407" s="65"/>
      <c r="I1407" s="65"/>
      <c r="J1407" s="66"/>
      <c r="K1407" s="65" t="s">
        <v>1594</v>
      </c>
      <c r="L1407" s="64" t="s">
        <v>1475</v>
      </c>
      <c r="M1407" s="64" t="s">
        <v>1318</v>
      </c>
      <c r="N1407" s="64" t="s">
        <v>74</v>
      </c>
      <c r="O1407" s="64" t="s">
        <v>1475</v>
      </c>
      <c r="P1407" s="69"/>
      <c r="Q1407" s="69"/>
      <c r="R1407" s="64">
        <v>1</v>
      </c>
      <c r="S1407" s="65" t="s">
        <v>1589</v>
      </c>
      <c r="T1407" s="64"/>
      <c r="U1407" s="179">
        <f>$AH1407/4</f>
        <v>0</v>
      </c>
      <c r="V1407" s="674">
        <v>0</v>
      </c>
      <c r="W1407" s="75">
        <v>1</v>
      </c>
      <c r="X1407" s="179">
        <f>$AH1407/4</f>
        <v>0</v>
      </c>
      <c r="Y1407" s="834">
        <f t="shared" si="286"/>
        <v>0</v>
      </c>
      <c r="Z1407" s="75"/>
      <c r="AA1407" s="179">
        <f>$AH1407/4</f>
        <v>0</v>
      </c>
      <c r="AB1407" s="179"/>
      <c r="AC1407" s="97"/>
      <c r="AD1407" s="179">
        <f>$AH1407/4</f>
        <v>0</v>
      </c>
      <c r="AE1407" s="616"/>
      <c r="AF1407" s="259" t="s">
        <v>1595</v>
      </c>
      <c r="AG1407" s="510">
        <v>0</v>
      </c>
      <c r="AH1407" s="370">
        <v>0</v>
      </c>
      <c r="AI1407" s="75"/>
      <c r="AJ1407" s="75"/>
      <c r="AK1407" s="75"/>
      <c r="AL1407" s="75"/>
      <c r="AM1407" s="75"/>
      <c r="AN1407" s="64" t="s">
        <v>181</v>
      </c>
      <c r="AO1407" s="64"/>
      <c r="AP1407" s="64"/>
      <c r="AQ1407" s="189"/>
      <c r="AR1407" s="64"/>
      <c r="AS1407" s="476"/>
      <c r="AT1407" s="64"/>
      <c r="AU1407" s="646"/>
      <c r="AV1407" s="185"/>
    </row>
    <row r="1408" spans="1:48" ht="15" customHeight="1" outlineLevel="3" x14ac:dyDescent="0.25">
      <c r="A1408" s="63" t="str">
        <f t="shared" si="266"/>
        <v>4.16.3.5.8.61</v>
      </c>
      <c r="B1408" s="64">
        <v>4</v>
      </c>
      <c r="C1408" s="64">
        <v>16</v>
      </c>
      <c r="D1408" s="64">
        <v>3</v>
      </c>
      <c r="E1408" s="64">
        <v>5</v>
      </c>
      <c r="F1408" s="64">
        <v>8</v>
      </c>
      <c r="G1408" s="64">
        <v>61</v>
      </c>
      <c r="H1408" s="65"/>
      <c r="I1408" s="65"/>
      <c r="J1408" s="66"/>
      <c r="K1408" s="65" t="s">
        <v>1596</v>
      </c>
      <c r="L1408" s="64" t="s">
        <v>1475</v>
      </c>
      <c r="M1408" s="64" t="s">
        <v>1318</v>
      </c>
      <c r="N1408" s="64" t="s">
        <v>74</v>
      </c>
      <c r="O1408" s="64" t="s">
        <v>1475</v>
      </c>
      <c r="P1408" s="69"/>
      <c r="Q1408" s="69"/>
      <c r="R1408" s="64">
        <v>12</v>
      </c>
      <c r="S1408" s="65" t="s">
        <v>1597</v>
      </c>
      <c r="T1408" s="64">
        <v>3</v>
      </c>
      <c r="U1408" s="179">
        <f>$AH1408/4</f>
        <v>7500</v>
      </c>
      <c r="V1408" s="674">
        <v>0</v>
      </c>
      <c r="W1408" s="75">
        <v>3</v>
      </c>
      <c r="X1408" s="179">
        <f>$AH1408/4</f>
        <v>7500</v>
      </c>
      <c r="Y1408" s="834">
        <f t="shared" si="286"/>
        <v>0</v>
      </c>
      <c r="Z1408" s="75">
        <v>3</v>
      </c>
      <c r="AA1408" s="179">
        <f>$AH1408/4</f>
        <v>7500</v>
      </c>
      <c r="AB1408" s="179"/>
      <c r="AC1408" s="97">
        <v>3</v>
      </c>
      <c r="AD1408" s="179">
        <f>$AH1408/4</f>
        <v>7500</v>
      </c>
      <c r="AE1408" s="616"/>
      <c r="AF1408" s="259" t="s">
        <v>765</v>
      </c>
      <c r="AG1408" s="510">
        <f>12*5000/2</f>
        <v>30000</v>
      </c>
      <c r="AH1408" s="370">
        <f>12*5000/2</f>
        <v>30000</v>
      </c>
      <c r="AI1408" s="75"/>
      <c r="AJ1408" s="75"/>
      <c r="AK1408" s="75"/>
      <c r="AL1408" s="75"/>
      <c r="AM1408" s="75"/>
      <c r="AN1408" s="64" t="s">
        <v>181</v>
      </c>
      <c r="AO1408" s="64"/>
      <c r="AP1408" s="64"/>
      <c r="AQ1408" s="189"/>
      <c r="AR1408" s="64"/>
      <c r="AS1408" s="476"/>
      <c r="AT1408" s="64"/>
      <c r="AU1408" s="646"/>
      <c r="AV1408" s="185" t="s">
        <v>780</v>
      </c>
    </row>
    <row r="1409" spans="1:54" s="153" customFormat="1" ht="54.75" customHeight="1" outlineLevel="2" x14ac:dyDescent="0.25">
      <c r="A1409" s="148" t="str">
        <f t="shared" si="266"/>
        <v>4.16.3.6.0.62</v>
      </c>
      <c r="B1409" s="82">
        <v>4</v>
      </c>
      <c r="C1409" s="82">
        <v>16</v>
      </c>
      <c r="D1409" s="82">
        <v>3</v>
      </c>
      <c r="E1409" s="82">
        <v>6</v>
      </c>
      <c r="F1409" s="82">
        <v>0</v>
      </c>
      <c r="G1409" s="82">
        <v>62</v>
      </c>
      <c r="H1409" s="149"/>
      <c r="I1409" s="149"/>
      <c r="J1409" s="1260" t="s">
        <v>1602</v>
      </c>
      <c r="K1409" s="1259"/>
      <c r="L1409" s="82" t="s">
        <v>1576</v>
      </c>
      <c r="M1409" s="82" t="s">
        <v>1464</v>
      </c>
      <c r="N1409" s="82" t="s">
        <v>1444</v>
      </c>
      <c r="O1409" s="82" t="s">
        <v>1204</v>
      </c>
      <c r="P1409" s="82"/>
      <c r="Q1409" s="82"/>
      <c r="R1409" s="82"/>
      <c r="S1409" s="149"/>
      <c r="T1409" s="82"/>
      <c r="U1409" s="209">
        <f>SUM(U1410:U1417)</f>
        <v>127166.66666666666</v>
      </c>
      <c r="V1409" s="683">
        <f>SUM(V1410:V1417)</f>
        <v>0</v>
      </c>
      <c r="W1409" s="380">
        <f t="shared" ref="W1409:AG1409" si="287">+SUM(W1410:W1417)</f>
        <v>17</v>
      </c>
      <c r="X1409" s="380">
        <f t="shared" si="287"/>
        <v>92166.666666666657</v>
      </c>
      <c r="Y1409" s="845">
        <f t="shared" si="287"/>
        <v>30000</v>
      </c>
      <c r="Z1409" s="380">
        <f t="shared" si="287"/>
        <v>20</v>
      </c>
      <c r="AA1409" s="380">
        <f t="shared" si="287"/>
        <v>82166.666666666657</v>
      </c>
      <c r="AB1409" s="380">
        <f t="shared" si="287"/>
        <v>0</v>
      </c>
      <c r="AC1409" s="380">
        <f t="shared" si="287"/>
        <v>11</v>
      </c>
      <c r="AD1409" s="380">
        <f t="shared" si="287"/>
        <v>7500</v>
      </c>
      <c r="AE1409" s="380">
        <f t="shared" si="287"/>
        <v>0</v>
      </c>
      <c r="AF1409" s="380">
        <f t="shared" si="287"/>
        <v>0</v>
      </c>
      <c r="AG1409" s="380">
        <f t="shared" si="287"/>
        <v>309000</v>
      </c>
      <c r="AH1409" s="380">
        <f>+SUM(AH1410:AH1417)</f>
        <v>309000</v>
      </c>
      <c r="AI1409" s="380">
        <f t="shared" ref="AI1409:AJ1409" si="288">+SUM(AI1410:AI1417)</f>
        <v>0</v>
      </c>
      <c r="AJ1409" s="380">
        <f t="shared" si="288"/>
        <v>30000</v>
      </c>
      <c r="AK1409" s="198"/>
      <c r="AL1409" s="198"/>
      <c r="AM1409" s="198"/>
      <c r="AN1409" s="82" t="s">
        <v>181</v>
      </c>
      <c r="AO1409" s="82"/>
      <c r="AP1409" s="82"/>
      <c r="AQ1409" s="365"/>
      <c r="AR1409" s="82"/>
      <c r="AS1409" s="483"/>
      <c r="AT1409" s="82"/>
      <c r="AU1409" s="666"/>
      <c r="AV1409" s="449" t="s">
        <v>1579</v>
      </c>
    </row>
    <row r="1410" spans="1:54" ht="15" customHeight="1" outlineLevel="3" x14ac:dyDescent="0.25">
      <c r="A1410" s="63" t="str">
        <f t="shared" si="266"/>
        <v>4.16.3.6.1.62</v>
      </c>
      <c r="B1410" s="64">
        <v>4</v>
      </c>
      <c r="C1410" s="64">
        <v>16</v>
      </c>
      <c r="D1410" s="64">
        <v>3</v>
      </c>
      <c r="E1410" s="64">
        <v>6</v>
      </c>
      <c r="F1410" s="64">
        <v>1</v>
      </c>
      <c r="G1410" s="64">
        <v>62</v>
      </c>
      <c r="H1410" s="65"/>
      <c r="I1410" s="65"/>
      <c r="J1410" s="66"/>
      <c r="K1410" s="65" t="s">
        <v>1580</v>
      </c>
      <c r="L1410" s="64" t="s">
        <v>1576</v>
      </c>
      <c r="M1410" s="64" t="s">
        <v>144</v>
      </c>
      <c r="N1410" s="64" t="s">
        <v>265</v>
      </c>
      <c r="O1410" s="64" t="s">
        <v>1544</v>
      </c>
      <c r="P1410" s="64"/>
      <c r="Q1410" s="64"/>
      <c r="R1410" s="64">
        <v>12</v>
      </c>
      <c r="S1410" s="65" t="s">
        <v>1581</v>
      </c>
      <c r="T1410" s="64">
        <v>3</v>
      </c>
      <c r="U1410" s="155">
        <f>$AH1410/4</f>
        <v>0</v>
      </c>
      <c r="V1410" s="674">
        <v>0</v>
      </c>
      <c r="W1410" s="75">
        <v>3</v>
      </c>
      <c r="X1410" s="155">
        <f>$AH1410/4</f>
        <v>0</v>
      </c>
      <c r="Y1410" s="834">
        <f t="shared" ref="Y1410:Y1417" si="289">+AJ1410-V1410</f>
        <v>0</v>
      </c>
      <c r="Z1410" s="75">
        <v>3</v>
      </c>
      <c r="AA1410" s="155">
        <f>$AH1410/4</f>
        <v>0</v>
      </c>
      <c r="AB1410" s="155"/>
      <c r="AC1410" s="97">
        <v>3</v>
      </c>
      <c r="AD1410" s="155">
        <f>$AH1410/4</f>
        <v>0</v>
      </c>
      <c r="AE1410" s="599"/>
      <c r="AF1410" s="259" t="s">
        <v>1582</v>
      </c>
      <c r="AG1410" s="510">
        <v>0</v>
      </c>
      <c r="AH1410" s="370">
        <v>0</v>
      </c>
      <c r="AI1410" s="75"/>
      <c r="AJ1410" s="75"/>
      <c r="AK1410" s="75"/>
      <c r="AL1410" s="75"/>
      <c r="AM1410" s="75"/>
      <c r="AN1410" s="64" t="s">
        <v>181</v>
      </c>
      <c r="AO1410" s="64"/>
      <c r="AP1410" s="64"/>
      <c r="AQ1410" s="189"/>
      <c r="AR1410" s="64"/>
      <c r="AS1410" s="476"/>
      <c r="AT1410" s="64"/>
      <c r="AU1410" s="646"/>
      <c r="AV1410" s="185"/>
    </row>
    <row r="1411" spans="1:54" ht="28.5" customHeight="1" outlineLevel="3" x14ac:dyDescent="0.25">
      <c r="A1411" s="63" t="str">
        <f t="shared" si="266"/>
        <v>4.16.3.6.2.62</v>
      </c>
      <c r="B1411" s="64">
        <v>4</v>
      </c>
      <c r="C1411" s="64">
        <v>16</v>
      </c>
      <c r="D1411" s="64">
        <v>3</v>
      </c>
      <c r="E1411" s="64">
        <v>6</v>
      </c>
      <c r="F1411" s="64">
        <v>2</v>
      </c>
      <c r="G1411" s="64">
        <v>62</v>
      </c>
      <c r="H1411" s="65"/>
      <c r="I1411" s="65"/>
      <c r="J1411" s="66"/>
      <c r="K1411" s="65" t="s">
        <v>1583</v>
      </c>
      <c r="L1411" s="64" t="s">
        <v>1475</v>
      </c>
      <c r="M1411" s="64" t="s">
        <v>1318</v>
      </c>
      <c r="N1411" s="64" t="s">
        <v>1223</v>
      </c>
      <c r="O1411" s="64" t="s">
        <v>1544</v>
      </c>
      <c r="P1411" s="69"/>
      <c r="Q1411" s="69"/>
      <c r="R1411" s="64">
        <v>12</v>
      </c>
      <c r="S1411" s="65" t="s">
        <v>1581</v>
      </c>
      <c r="T1411" s="64">
        <v>3</v>
      </c>
      <c r="U1411" s="155">
        <v>45000</v>
      </c>
      <c r="V1411" s="674">
        <v>0</v>
      </c>
      <c r="W1411" s="75">
        <v>3</v>
      </c>
      <c r="X1411" s="155">
        <v>45000</v>
      </c>
      <c r="Y1411" s="834">
        <f t="shared" si="289"/>
        <v>30000</v>
      </c>
      <c r="Z1411" s="75">
        <v>3</v>
      </c>
      <c r="AA1411" s="155"/>
      <c r="AB1411" s="155"/>
      <c r="AC1411" s="97">
        <v>3</v>
      </c>
      <c r="AD1411" s="155"/>
      <c r="AE1411" s="599"/>
      <c r="AF1411" s="259" t="s">
        <v>1584</v>
      </c>
      <c r="AG1411" s="510">
        <f>12*15000/2</f>
        <v>90000</v>
      </c>
      <c r="AH1411" s="370">
        <f>12*15000/2</f>
        <v>90000</v>
      </c>
      <c r="AI1411" s="75"/>
      <c r="AJ1411" s="75">
        <f>15000+15000</f>
        <v>30000</v>
      </c>
      <c r="AK1411" s="75"/>
      <c r="AL1411" s="75"/>
      <c r="AM1411" s="75"/>
      <c r="AN1411" s="64" t="s">
        <v>181</v>
      </c>
      <c r="AO1411" s="313" t="s">
        <v>1819</v>
      </c>
      <c r="AP1411" s="313" t="s">
        <v>2160</v>
      </c>
      <c r="AQ1411" s="408" t="s">
        <v>2161</v>
      </c>
      <c r="AR1411" s="69">
        <v>44658</v>
      </c>
      <c r="AS1411" s="562">
        <v>45023</v>
      </c>
      <c r="AT1411" s="89" t="s">
        <v>2029</v>
      </c>
      <c r="AU1411" s="883" t="s">
        <v>2162</v>
      </c>
      <c r="AV1411" s="335" t="s">
        <v>1585</v>
      </c>
    </row>
    <row r="1412" spans="1:54" ht="15" customHeight="1" outlineLevel="3" x14ac:dyDescent="0.25">
      <c r="A1412" s="63" t="str">
        <f t="shared" si="266"/>
        <v>4.16.3.6.3.62</v>
      </c>
      <c r="B1412" s="64">
        <v>4</v>
      </c>
      <c r="C1412" s="64">
        <v>16</v>
      </c>
      <c r="D1412" s="64">
        <v>3</v>
      </c>
      <c r="E1412" s="64">
        <v>6</v>
      </c>
      <c r="F1412" s="64">
        <v>3</v>
      </c>
      <c r="G1412" s="64">
        <v>62</v>
      </c>
      <c r="H1412" s="65"/>
      <c r="I1412" s="65"/>
      <c r="J1412" s="66"/>
      <c r="K1412" s="65" t="s">
        <v>1586</v>
      </c>
      <c r="L1412" s="64" t="s">
        <v>1475</v>
      </c>
      <c r="M1412" s="64" t="s">
        <v>1318</v>
      </c>
      <c r="N1412" s="64" t="s">
        <v>1249</v>
      </c>
      <c r="O1412" s="64" t="s">
        <v>1544</v>
      </c>
      <c r="P1412" s="69"/>
      <c r="Q1412" s="69"/>
      <c r="R1412" s="171">
        <v>6</v>
      </c>
      <c r="S1412" s="65"/>
      <c r="T1412" s="64">
        <v>1</v>
      </c>
      <c r="U1412" s="155">
        <f>$AH1412/4</f>
        <v>0</v>
      </c>
      <c r="V1412" s="674">
        <v>0</v>
      </c>
      <c r="W1412" s="75">
        <v>2</v>
      </c>
      <c r="X1412" s="155">
        <f>$AH1412/4</f>
        <v>0</v>
      </c>
      <c r="Y1412" s="834">
        <f t="shared" si="289"/>
        <v>0</v>
      </c>
      <c r="Z1412" s="75">
        <v>1</v>
      </c>
      <c r="AA1412" s="155">
        <f>$AH1412/4</f>
        <v>0</v>
      </c>
      <c r="AB1412" s="155"/>
      <c r="AC1412" s="97">
        <v>2</v>
      </c>
      <c r="AD1412" s="155">
        <f>$AH1412/4</f>
        <v>0</v>
      </c>
      <c r="AE1412" s="599"/>
      <c r="AF1412" s="259" t="s">
        <v>1587</v>
      </c>
      <c r="AG1412" s="510">
        <v>0</v>
      </c>
      <c r="AH1412" s="370">
        <v>0</v>
      </c>
      <c r="AI1412" s="75"/>
      <c r="AJ1412" s="75"/>
      <c r="AK1412" s="75"/>
      <c r="AL1412" s="75"/>
      <c r="AM1412" s="75"/>
      <c r="AN1412" s="64" t="s">
        <v>181</v>
      </c>
      <c r="AO1412" s="64"/>
      <c r="AP1412" s="64"/>
      <c r="AQ1412" s="189"/>
      <c r="AR1412" s="64"/>
      <c r="AS1412" s="476"/>
      <c r="AT1412" s="64"/>
      <c r="AU1412" s="646"/>
      <c r="AV1412" s="185" t="s">
        <v>127</v>
      </c>
    </row>
    <row r="1413" spans="1:54" ht="15" customHeight="1" outlineLevel="3" x14ac:dyDescent="0.25">
      <c r="A1413" s="63" t="str">
        <f t="shared" si="266"/>
        <v>4.16.3.6.4.62</v>
      </c>
      <c r="B1413" s="64">
        <v>4</v>
      </c>
      <c r="C1413" s="64">
        <v>16</v>
      </c>
      <c r="D1413" s="64">
        <v>3</v>
      </c>
      <c r="E1413" s="64">
        <v>6</v>
      </c>
      <c r="F1413" s="64">
        <v>4</v>
      </c>
      <c r="G1413" s="64">
        <v>62</v>
      </c>
      <c r="H1413" s="65"/>
      <c r="I1413" s="65"/>
      <c r="J1413" s="65"/>
      <c r="K1413" s="65" t="s">
        <v>1588</v>
      </c>
      <c r="L1413" s="64" t="s">
        <v>1475</v>
      </c>
      <c r="M1413" s="64" t="s">
        <v>1318</v>
      </c>
      <c r="N1413" s="64" t="s">
        <v>74</v>
      </c>
      <c r="O1413" s="64" t="s">
        <v>1524</v>
      </c>
      <c r="P1413" s="69"/>
      <c r="Q1413" s="69"/>
      <c r="R1413" s="171">
        <v>14</v>
      </c>
      <c r="S1413" s="65" t="s">
        <v>1589</v>
      </c>
      <c r="T1413" s="64">
        <v>5</v>
      </c>
      <c r="U1413" s="155">
        <f>$AH1413/3</f>
        <v>39666.666666666664</v>
      </c>
      <c r="V1413" s="674">
        <v>0</v>
      </c>
      <c r="W1413" s="75">
        <v>4</v>
      </c>
      <c r="X1413" s="155">
        <f>$AH1413/3</f>
        <v>39666.666666666664</v>
      </c>
      <c r="Y1413" s="834">
        <f t="shared" si="289"/>
        <v>0</v>
      </c>
      <c r="Z1413" s="75">
        <v>5</v>
      </c>
      <c r="AA1413" s="155">
        <f>$AH1413/3</f>
        <v>39666.666666666664</v>
      </c>
      <c r="AB1413" s="155"/>
      <c r="AC1413" s="97"/>
      <c r="AD1413" s="155"/>
      <c r="AE1413" s="599"/>
      <c r="AF1413" s="259" t="s">
        <v>1590</v>
      </c>
      <c r="AG1413" s="510">
        <f>14*8500</f>
        <v>119000</v>
      </c>
      <c r="AH1413" s="370">
        <f>14*8500</f>
        <v>119000</v>
      </c>
      <c r="AI1413" s="75"/>
      <c r="AJ1413" s="75"/>
      <c r="AK1413" s="75"/>
      <c r="AL1413" s="75"/>
      <c r="AM1413" s="75"/>
      <c r="AN1413" s="64" t="s">
        <v>181</v>
      </c>
      <c r="AO1413" s="64"/>
      <c r="AP1413" s="64"/>
      <c r="AQ1413" s="189"/>
      <c r="AR1413" s="64"/>
      <c r="AS1413" s="476"/>
      <c r="AT1413" s="64"/>
      <c r="AU1413" s="646"/>
      <c r="AV1413" s="185"/>
    </row>
    <row r="1414" spans="1:54" ht="15" customHeight="1" outlineLevel="3" x14ac:dyDescent="0.25">
      <c r="A1414" s="63" t="str">
        <f t="shared" si="266"/>
        <v>4.16.3.6.5.62</v>
      </c>
      <c r="B1414" s="64">
        <v>4</v>
      </c>
      <c r="C1414" s="64">
        <v>16</v>
      </c>
      <c r="D1414" s="64">
        <v>3</v>
      </c>
      <c r="E1414" s="64">
        <v>6</v>
      </c>
      <c r="F1414" s="64">
        <v>5</v>
      </c>
      <c r="G1414" s="64">
        <v>62</v>
      </c>
      <c r="H1414" s="65"/>
      <c r="I1414" s="65"/>
      <c r="J1414" s="66"/>
      <c r="K1414" s="65" t="s">
        <v>1591</v>
      </c>
      <c r="L1414" s="64" t="s">
        <v>1475</v>
      </c>
      <c r="M1414" s="64" t="s">
        <v>1318</v>
      </c>
      <c r="N1414" s="64" t="s">
        <v>74</v>
      </c>
      <c r="O1414" s="64" t="s">
        <v>1524</v>
      </c>
      <c r="P1414" s="69"/>
      <c r="Q1414" s="69"/>
      <c r="R1414" s="64">
        <v>10</v>
      </c>
      <c r="S1414" s="65" t="s">
        <v>1589</v>
      </c>
      <c r="T1414" s="64">
        <v>5</v>
      </c>
      <c r="U1414" s="155">
        <f>$AH1414/2</f>
        <v>35000</v>
      </c>
      <c r="V1414" s="674">
        <v>0</v>
      </c>
      <c r="W1414" s="75"/>
      <c r="X1414" s="155"/>
      <c r="Y1414" s="834">
        <f t="shared" si="289"/>
        <v>0</v>
      </c>
      <c r="Z1414" s="75">
        <v>5</v>
      </c>
      <c r="AA1414" s="155">
        <f>$AH1414/2</f>
        <v>35000</v>
      </c>
      <c r="AB1414" s="155"/>
      <c r="AC1414" s="97"/>
      <c r="AD1414" s="155"/>
      <c r="AE1414" s="599"/>
      <c r="AF1414" s="259" t="s">
        <v>1592</v>
      </c>
      <c r="AG1414" s="510">
        <f>10*7000</f>
        <v>70000</v>
      </c>
      <c r="AH1414" s="370">
        <f>10*7000</f>
        <v>70000</v>
      </c>
      <c r="AI1414" s="75"/>
      <c r="AJ1414" s="75"/>
      <c r="AK1414" s="75"/>
      <c r="AL1414" s="75"/>
      <c r="AM1414" s="75"/>
      <c r="AN1414" s="64" t="s">
        <v>181</v>
      </c>
      <c r="AO1414" s="64"/>
      <c r="AP1414" s="64"/>
      <c r="AQ1414" s="189"/>
      <c r="AR1414" s="64"/>
      <c r="AS1414" s="476"/>
      <c r="AT1414" s="64"/>
      <c r="AU1414" s="646"/>
      <c r="AV1414" s="185"/>
      <c r="BB1414" s="272"/>
    </row>
    <row r="1415" spans="1:54" ht="15" customHeight="1" outlineLevel="3" x14ac:dyDescent="0.25">
      <c r="A1415" s="63" t="str">
        <f t="shared" si="266"/>
        <v>4.16.3.6.6.62</v>
      </c>
      <c r="B1415" s="64">
        <v>4</v>
      </c>
      <c r="C1415" s="64">
        <v>16</v>
      </c>
      <c r="D1415" s="64">
        <v>3</v>
      </c>
      <c r="E1415" s="64">
        <v>6</v>
      </c>
      <c r="F1415" s="64">
        <v>6</v>
      </c>
      <c r="G1415" s="64">
        <v>62</v>
      </c>
      <c r="H1415" s="65"/>
      <c r="I1415" s="65"/>
      <c r="J1415" s="66"/>
      <c r="K1415" s="65" t="s">
        <v>1593</v>
      </c>
      <c r="L1415" s="64" t="s">
        <v>1475</v>
      </c>
      <c r="M1415" s="64" t="s">
        <v>1318</v>
      </c>
      <c r="N1415" s="64" t="s">
        <v>74</v>
      </c>
      <c r="O1415" s="64" t="s">
        <v>1475</v>
      </c>
      <c r="P1415" s="69"/>
      <c r="Q1415" s="69"/>
      <c r="R1415" s="171">
        <v>1</v>
      </c>
      <c r="S1415" s="65" t="s">
        <v>1589</v>
      </c>
      <c r="T1415" s="64"/>
      <c r="U1415" s="155">
        <f>$AH1415/4</f>
        <v>0</v>
      </c>
      <c r="V1415" s="674">
        <v>0</v>
      </c>
      <c r="W1415" s="75">
        <v>1</v>
      </c>
      <c r="X1415" s="155">
        <f>$AH1415/4</f>
        <v>0</v>
      </c>
      <c r="Y1415" s="834">
        <f t="shared" si="289"/>
        <v>0</v>
      </c>
      <c r="Z1415" s="75"/>
      <c r="AA1415" s="155">
        <f>$AH1415/4</f>
        <v>0</v>
      </c>
      <c r="AB1415" s="155"/>
      <c r="AC1415" s="97"/>
      <c r="AD1415" s="155">
        <f>$AH1415/4</f>
        <v>0</v>
      </c>
      <c r="AE1415" s="599"/>
      <c r="AF1415" s="259" t="s">
        <v>1593</v>
      </c>
      <c r="AG1415" s="510">
        <v>0</v>
      </c>
      <c r="AH1415" s="370">
        <v>0</v>
      </c>
      <c r="AI1415" s="75"/>
      <c r="AJ1415" s="75"/>
      <c r="AK1415" s="75"/>
      <c r="AL1415" s="75"/>
      <c r="AM1415" s="75"/>
      <c r="AN1415" s="64" t="s">
        <v>181</v>
      </c>
      <c r="AO1415" s="64"/>
      <c r="AP1415" s="64"/>
      <c r="AQ1415" s="189"/>
      <c r="AR1415" s="64"/>
      <c r="AS1415" s="476"/>
      <c r="AT1415" s="64"/>
      <c r="AU1415" s="646"/>
      <c r="AV1415" s="185"/>
    </row>
    <row r="1416" spans="1:54" ht="15" customHeight="1" outlineLevel="3" x14ac:dyDescent="0.25">
      <c r="A1416" s="63" t="str">
        <f t="shared" si="266"/>
        <v>4.16.3.6.7.62</v>
      </c>
      <c r="B1416" s="64">
        <v>4</v>
      </c>
      <c r="C1416" s="64">
        <v>16</v>
      </c>
      <c r="D1416" s="64">
        <v>3</v>
      </c>
      <c r="E1416" s="64">
        <v>6</v>
      </c>
      <c r="F1416" s="64">
        <v>7</v>
      </c>
      <c r="G1416" s="64">
        <v>62</v>
      </c>
      <c r="H1416" s="65"/>
      <c r="I1416" s="65"/>
      <c r="J1416" s="66"/>
      <c r="K1416" s="65" t="s">
        <v>1594</v>
      </c>
      <c r="L1416" s="64" t="s">
        <v>1475</v>
      </c>
      <c r="M1416" s="64" t="s">
        <v>1318</v>
      </c>
      <c r="N1416" s="64" t="s">
        <v>74</v>
      </c>
      <c r="O1416" s="64" t="s">
        <v>1475</v>
      </c>
      <c r="P1416" s="69"/>
      <c r="Q1416" s="69"/>
      <c r="R1416" s="64">
        <v>1</v>
      </c>
      <c r="S1416" s="65" t="s">
        <v>1589</v>
      </c>
      <c r="T1416" s="64"/>
      <c r="U1416" s="155">
        <f>$AH1416/4</f>
        <v>0</v>
      </c>
      <c r="V1416" s="674">
        <v>0</v>
      </c>
      <c r="W1416" s="75">
        <v>1</v>
      </c>
      <c r="X1416" s="155">
        <f>$AH1416/4</f>
        <v>0</v>
      </c>
      <c r="Y1416" s="834">
        <f t="shared" si="289"/>
        <v>0</v>
      </c>
      <c r="Z1416" s="75"/>
      <c r="AA1416" s="155">
        <f>$AH1416/4</f>
        <v>0</v>
      </c>
      <c r="AB1416" s="155"/>
      <c r="AC1416" s="97"/>
      <c r="AD1416" s="155">
        <f>$AH1416/4</f>
        <v>0</v>
      </c>
      <c r="AE1416" s="599"/>
      <c r="AF1416" s="259" t="s">
        <v>1595</v>
      </c>
      <c r="AG1416" s="510">
        <v>0</v>
      </c>
      <c r="AH1416" s="370">
        <v>0</v>
      </c>
      <c r="AI1416" s="75"/>
      <c r="AJ1416" s="75"/>
      <c r="AK1416" s="75"/>
      <c r="AL1416" s="75"/>
      <c r="AM1416" s="75"/>
      <c r="AN1416" s="64" t="s">
        <v>181</v>
      </c>
      <c r="AO1416" s="64"/>
      <c r="AP1416" s="64"/>
      <c r="AQ1416" s="189"/>
      <c r="AR1416" s="64"/>
      <c r="AS1416" s="476"/>
      <c r="AT1416" s="64"/>
      <c r="AU1416" s="646"/>
      <c r="AV1416" s="185"/>
    </row>
    <row r="1417" spans="1:54" ht="15" customHeight="1" outlineLevel="3" x14ac:dyDescent="0.25">
      <c r="A1417" s="63" t="str">
        <f t="shared" si="266"/>
        <v>4.16.3.6.8.62</v>
      </c>
      <c r="B1417" s="64">
        <v>4</v>
      </c>
      <c r="C1417" s="64">
        <v>16</v>
      </c>
      <c r="D1417" s="64">
        <v>3</v>
      </c>
      <c r="E1417" s="64">
        <v>6</v>
      </c>
      <c r="F1417" s="64">
        <v>8</v>
      </c>
      <c r="G1417" s="64">
        <v>62</v>
      </c>
      <c r="H1417" s="65"/>
      <c r="I1417" s="65"/>
      <c r="J1417" s="66"/>
      <c r="K1417" s="65" t="s">
        <v>1596</v>
      </c>
      <c r="L1417" s="64" t="s">
        <v>1475</v>
      </c>
      <c r="M1417" s="64" t="s">
        <v>1318</v>
      </c>
      <c r="N1417" s="64" t="s">
        <v>74</v>
      </c>
      <c r="O1417" s="64" t="s">
        <v>1475</v>
      </c>
      <c r="P1417" s="69"/>
      <c r="Q1417" s="69"/>
      <c r="R1417" s="64">
        <v>12</v>
      </c>
      <c r="S1417" s="65" t="s">
        <v>1597</v>
      </c>
      <c r="T1417" s="64">
        <v>3</v>
      </c>
      <c r="U1417" s="155">
        <f>$AH1417/4</f>
        <v>7500</v>
      </c>
      <c r="V1417" s="674">
        <v>0</v>
      </c>
      <c r="W1417" s="75">
        <v>3</v>
      </c>
      <c r="X1417" s="155">
        <f>$AH1417/4</f>
        <v>7500</v>
      </c>
      <c r="Y1417" s="834">
        <f t="shared" si="289"/>
        <v>0</v>
      </c>
      <c r="Z1417" s="75">
        <v>3</v>
      </c>
      <c r="AA1417" s="155">
        <f>$AH1417/4</f>
        <v>7500</v>
      </c>
      <c r="AB1417" s="155"/>
      <c r="AC1417" s="97">
        <v>3</v>
      </c>
      <c r="AD1417" s="155">
        <f>$AH1417/4</f>
        <v>7500</v>
      </c>
      <c r="AE1417" s="599"/>
      <c r="AF1417" s="259" t="s">
        <v>765</v>
      </c>
      <c r="AG1417" s="529">
        <f>12*5000/2</f>
        <v>30000</v>
      </c>
      <c r="AH1417" s="371">
        <f>12*5000/2</f>
        <v>30000</v>
      </c>
      <c r="AI1417" s="78"/>
      <c r="AJ1417" s="78"/>
      <c r="AK1417" s="78"/>
      <c r="AL1417" s="78"/>
      <c r="AM1417" s="78"/>
      <c r="AN1417" s="64" t="s">
        <v>181</v>
      </c>
      <c r="AO1417" s="64"/>
      <c r="AP1417" s="64"/>
      <c r="AQ1417" s="189"/>
      <c r="AR1417" s="64"/>
      <c r="AS1417" s="476"/>
      <c r="AT1417" s="64"/>
      <c r="AU1417" s="646"/>
      <c r="AV1417" s="185" t="s">
        <v>780</v>
      </c>
    </row>
    <row r="1418" spans="1:54" s="153" customFormat="1" ht="57.75" customHeight="1" outlineLevel="2" x14ac:dyDescent="0.25">
      <c r="A1418" s="148" t="str">
        <f t="shared" si="266"/>
        <v>4.16.3.7.0.60</v>
      </c>
      <c r="B1418" s="82">
        <v>4</v>
      </c>
      <c r="C1418" s="82">
        <v>16</v>
      </c>
      <c r="D1418" s="82">
        <v>3</v>
      </c>
      <c r="E1418" s="82">
        <v>7</v>
      </c>
      <c r="F1418" s="82">
        <v>0</v>
      </c>
      <c r="G1418" s="82">
        <v>60</v>
      </c>
      <c r="H1418" s="149"/>
      <c r="I1418" s="149"/>
      <c r="J1418" s="1260" t="s">
        <v>1603</v>
      </c>
      <c r="K1418" s="1259"/>
      <c r="L1418" s="82" t="s">
        <v>1576</v>
      </c>
      <c r="M1418" s="82" t="s">
        <v>1464</v>
      </c>
      <c r="N1418" s="82" t="s">
        <v>1444</v>
      </c>
      <c r="O1418" s="82" t="s">
        <v>1204</v>
      </c>
      <c r="P1418" s="82"/>
      <c r="Q1418" s="82"/>
      <c r="R1418" s="82"/>
      <c r="S1418" s="149"/>
      <c r="T1418" s="82"/>
      <c r="U1418" s="209">
        <f>SUM(U1419:U1426)</f>
        <v>113166.66666666666</v>
      </c>
      <c r="V1418" s="683">
        <f>SUM(V1419:V1426)</f>
        <v>0</v>
      </c>
      <c r="W1418" s="380">
        <f t="shared" ref="W1418:AG1418" si="290">+SUM(W1419:W1426)</f>
        <v>17</v>
      </c>
      <c r="X1418" s="380">
        <f t="shared" si="290"/>
        <v>92166.666666666657</v>
      </c>
      <c r="Y1418" s="845">
        <f t="shared" si="290"/>
        <v>30000</v>
      </c>
      <c r="Z1418" s="380">
        <f t="shared" si="290"/>
        <v>18</v>
      </c>
      <c r="AA1418" s="380">
        <f t="shared" si="290"/>
        <v>68166.666666666657</v>
      </c>
      <c r="AB1418" s="380">
        <f t="shared" si="290"/>
        <v>0</v>
      </c>
      <c r="AC1418" s="380">
        <f t="shared" si="290"/>
        <v>11</v>
      </c>
      <c r="AD1418" s="380">
        <f t="shared" si="290"/>
        <v>7500</v>
      </c>
      <c r="AE1418" s="380">
        <f t="shared" si="290"/>
        <v>0</v>
      </c>
      <c r="AF1418" s="380">
        <f t="shared" si="290"/>
        <v>0</v>
      </c>
      <c r="AG1418" s="380">
        <f t="shared" si="290"/>
        <v>281000</v>
      </c>
      <c r="AH1418" s="380">
        <f>+SUM(AH1419:AH1426)</f>
        <v>281000</v>
      </c>
      <c r="AI1418" s="380">
        <f t="shared" ref="AI1418:AJ1418" si="291">+SUM(AI1419:AI1426)</f>
        <v>0</v>
      </c>
      <c r="AJ1418" s="380">
        <f t="shared" si="291"/>
        <v>30000</v>
      </c>
      <c r="AK1418" s="198"/>
      <c r="AL1418" s="198"/>
      <c r="AM1418" s="198"/>
      <c r="AN1418" s="82" t="s">
        <v>181</v>
      </c>
      <c r="AO1418" s="82"/>
      <c r="AP1418" s="82"/>
      <c r="AQ1418" s="365"/>
      <c r="AR1418" s="82"/>
      <c r="AS1418" s="483"/>
      <c r="AT1418" s="82"/>
      <c r="AU1418" s="666"/>
      <c r="AV1418" s="449" t="s">
        <v>1579</v>
      </c>
    </row>
    <row r="1419" spans="1:54" ht="15" customHeight="1" outlineLevel="4" x14ac:dyDescent="0.25">
      <c r="A1419" s="63" t="str">
        <f t="shared" si="266"/>
        <v>4.16.3.7.1.61</v>
      </c>
      <c r="B1419" s="64">
        <v>4</v>
      </c>
      <c r="C1419" s="64">
        <v>16</v>
      </c>
      <c r="D1419" s="64">
        <v>3</v>
      </c>
      <c r="E1419" s="64">
        <v>7</v>
      </c>
      <c r="F1419" s="64">
        <v>1</v>
      </c>
      <c r="G1419" s="64">
        <v>61</v>
      </c>
      <c r="H1419" s="65"/>
      <c r="I1419" s="65"/>
      <c r="J1419" s="66"/>
      <c r="K1419" s="65" t="s">
        <v>1580</v>
      </c>
      <c r="L1419" s="64" t="s">
        <v>1576</v>
      </c>
      <c r="M1419" s="64" t="s">
        <v>144</v>
      </c>
      <c r="N1419" s="64" t="s">
        <v>265</v>
      </c>
      <c r="O1419" s="64" t="s">
        <v>1544</v>
      </c>
      <c r="P1419" s="64"/>
      <c r="Q1419" s="64"/>
      <c r="R1419" s="170">
        <v>12</v>
      </c>
      <c r="S1419" s="65" t="s">
        <v>1581</v>
      </c>
      <c r="T1419" s="64">
        <v>3</v>
      </c>
      <c r="U1419" s="155">
        <f>$AH1419/4</f>
        <v>0</v>
      </c>
      <c r="V1419" s="674">
        <v>0</v>
      </c>
      <c r="W1419" s="75">
        <v>3</v>
      </c>
      <c r="X1419" s="155">
        <f>$AH1419/4</f>
        <v>0</v>
      </c>
      <c r="Y1419" s="834">
        <f t="shared" ref="Y1419:Y1426" si="292">+AJ1419-V1419</f>
        <v>0</v>
      </c>
      <c r="Z1419" s="75">
        <v>3</v>
      </c>
      <c r="AA1419" s="155">
        <f>$AH1419/4</f>
        <v>0</v>
      </c>
      <c r="AB1419" s="155"/>
      <c r="AC1419" s="97">
        <v>3</v>
      </c>
      <c r="AD1419" s="155">
        <f>$AH1419/4</f>
        <v>0</v>
      </c>
      <c r="AE1419" s="599"/>
      <c r="AF1419" s="259" t="s">
        <v>1582</v>
      </c>
      <c r="AG1419" s="510">
        <v>0</v>
      </c>
      <c r="AH1419" s="370">
        <v>0</v>
      </c>
      <c r="AI1419" s="75"/>
      <c r="AJ1419" s="75"/>
      <c r="AK1419" s="75"/>
      <c r="AL1419" s="75"/>
      <c r="AM1419" s="75"/>
      <c r="AN1419" s="64" t="s">
        <v>181</v>
      </c>
      <c r="AO1419" s="64"/>
      <c r="AP1419" s="64"/>
      <c r="AQ1419" s="189"/>
      <c r="AR1419" s="64"/>
      <c r="AS1419" s="476"/>
      <c r="AT1419" s="64"/>
      <c r="AU1419" s="646"/>
      <c r="AV1419" s="185"/>
    </row>
    <row r="1420" spans="1:54" ht="36.75" customHeight="1" outlineLevel="4" x14ac:dyDescent="0.25">
      <c r="A1420" s="63" t="str">
        <f t="shared" si="266"/>
        <v>4.16.3.7.2.61</v>
      </c>
      <c r="B1420" s="64">
        <v>4</v>
      </c>
      <c r="C1420" s="64">
        <v>16</v>
      </c>
      <c r="D1420" s="64">
        <v>3</v>
      </c>
      <c r="E1420" s="64">
        <v>7</v>
      </c>
      <c r="F1420" s="64">
        <v>2</v>
      </c>
      <c r="G1420" s="64">
        <v>61</v>
      </c>
      <c r="H1420" s="65"/>
      <c r="I1420" s="65"/>
      <c r="J1420" s="66"/>
      <c r="K1420" s="65" t="s">
        <v>1583</v>
      </c>
      <c r="L1420" s="64" t="s">
        <v>1475</v>
      </c>
      <c r="M1420" s="64" t="s">
        <v>1318</v>
      </c>
      <c r="N1420" s="64" t="s">
        <v>1223</v>
      </c>
      <c r="O1420" s="64" t="s">
        <v>1544</v>
      </c>
      <c r="P1420" s="69"/>
      <c r="Q1420" s="69"/>
      <c r="R1420" s="64">
        <v>12</v>
      </c>
      <c r="S1420" s="65" t="s">
        <v>1581</v>
      </c>
      <c r="T1420" s="64">
        <v>3</v>
      </c>
      <c r="U1420" s="155">
        <v>45000</v>
      </c>
      <c r="V1420" s="674">
        <v>0</v>
      </c>
      <c r="W1420" s="75">
        <v>3</v>
      </c>
      <c r="X1420" s="155">
        <v>45000</v>
      </c>
      <c r="Y1420" s="834">
        <f t="shared" si="292"/>
        <v>30000</v>
      </c>
      <c r="Z1420" s="75">
        <v>3</v>
      </c>
      <c r="AA1420" s="155"/>
      <c r="AB1420" s="155"/>
      <c r="AC1420" s="97">
        <v>3</v>
      </c>
      <c r="AD1420" s="155"/>
      <c r="AE1420" s="599"/>
      <c r="AF1420" s="259" t="s">
        <v>1584</v>
      </c>
      <c r="AG1420" s="510">
        <f>12*15000/2</f>
        <v>90000</v>
      </c>
      <c r="AH1420" s="370">
        <f>12*15000/2</f>
        <v>90000</v>
      </c>
      <c r="AI1420" s="75"/>
      <c r="AJ1420" s="75">
        <f>15000+15000</f>
        <v>30000</v>
      </c>
      <c r="AK1420" s="75"/>
      <c r="AL1420" s="75"/>
      <c r="AM1420" s="75"/>
      <c r="AN1420" s="64" t="s">
        <v>181</v>
      </c>
      <c r="AO1420" s="313" t="s">
        <v>1819</v>
      </c>
      <c r="AP1420" s="313" t="s">
        <v>2160</v>
      </c>
      <c r="AQ1420" s="408" t="s">
        <v>2161</v>
      </c>
      <c r="AR1420" s="69">
        <v>44658</v>
      </c>
      <c r="AS1420" s="562">
        <v>45023</v>
      </c>
      <c r="AT1420" s="89" t="s">
        <v>2029</v>
      </c>
      <c r="AU1420" s="883" t="s">
        <v>2162</v>
      </c>
      <c r="AV1420" s="335" t="s">
        <v>1585</v>
      </c>
    </row>
    <row r="1421" spans="1:54" ht="15" customHeight="1" outlineLevel="4" x14ac:dyDescent="0.25">
      <c r="A1421" s="63" t="str">
        <f t="shared" si="266"/>
        <v>4.16.3.7.3.61</v>
      </c>
      <c r="B1421" s="64">
        <v>4</v>
      </c>
      <c r="C1421" s="64">
        <v>16</v>
      </c>
      <c r="D1421" s="64">
        <v>3</v>
      </c>
      <c r="E1421" s="64">
        <v>7</v>
      </c>
      <c r="F1421" s="64">
        <v>3</v>
      </c>
      <c r="G1421" s="64">
        <v>61</v>
      </c>
      <c r="H1421" s="65"/>
      <c r="I1421" s="65"/>
      <c r="J1421" s="66"/>
      <c r="K1421" s="65" t="s">
        <v>1586</v>
      </c>
      <c r="L1421" s="64" t="s">
        <v>1475</v>
      </c>
      <c r="M1421" s="64" t="s">
        <v>1318</v>
      </c>
      <c r="N1421" s="64" t="s">
        <v>1249</v>
      </c>
      <c r="O1421" s="64" t="s">
        <v>1544</v>
      </c>
      <c r="P1421" s="69"/>
      <c r="Q1421" s="69"/>
      <c r="R1421" s="171">
        <v>6</v>
      </c>
      <c r="S1421" s="65"/>
      <c r="T1421" s="64">
        <v>1</v>
      </c>
      <c r="U1421" s="155">
        <f>$AH1421/4</f>
        <v>0</v>
      </c>
      <c r="V1421" s="674">
        <v>0</v>
      </c>
      <c r="W1421" s="75">
        <v>2</v>
      </c>
      <c r="X1421" s="155">
        <f>$AH1421/4</f>
        <v>0</v>
      </c>
      <c r="Y1421" s="834">
        <f t="shared" si="292"/>
        <v>0</v>
      </c>
      <c r="Z1421" s="75">
        <v>1</v>
      </c>
      <c r="AA1421" s="155">
        <f>$AH1421/4</f>
        <v>0</v>
      </c>
      <c r="AB1421" s="155"/>
      <c r="AC1421" s="97">
        <v>2</v>
      </c>
      <c r="AD1421" s="155">
        <f>$AH1421/4</f>
        <v>0</v>
      </c>
      <c r="AE1421" s="599"/>
      <c r="AF1421" s="259" t="s">
        <v>1587</v>
      </c>
      <c r="AG1421" s="510">
        <v>0</v>
      </c>
      <c r="AH1421" s="370">
        <v>0</v>
      </c>
      <c r="AI1421" s="75"/>
      <c r="AJ1421" s="75"/>
      <c r="AK1421" s="75"/>
      <c r="AL1421" s="75"/>
      <c r="AM1421" s="75"/>
      <c r="AN1421" s="64" t="s">
        <v>181</v>
      </c>
      <c r="AO1421" s="64"/>
      <c r="AP1421" s="64"/>
      <c r="AQ1421" s="189"/>
      <c r="AR1421" s="64"/>
      <c r="AS1421" s="476"/>
      <c r="AT1421" s="64"/>
      <c r="AU1421" s="646"/>
      <c r="AV1421" s="185" t="s">
        <v>127</v>
      </c>
    </row>
    <row r="1422" spans="1:54" ht="15" customHeight="1" outlineLevel="4" x14ac:dyDescent="0.25">
      <c r="A1422" s="63" t="str">
        <f t="shared" si="266"/>
        <v>4.16.3.7.4.61</v>
      </c>
      <c r="B1422" s="64">
        <v>4</v>
      </c>
      <c r="C1422" s="64">
        <v>16</v>
      </c>
      <c r="D1422" s="64">
        <v>3</v>
      </c>
      <c r="E1422" s="64">
        <v>7</v>
      </c>
      <c r="F1422" s="64">
        <v>4</v>
      </c>
      <c r="G1422" s="64">
        <v>61</v>
      </c>
      <c r="H1422" s="65"/>
      <c r="I1422" s="65"/>
      <c r="J1422" s="66"/>
      <c r="K1422" s="65" t="s">
        <v>1588</v>
      </c>
      <c r="L1422" s="64" t="s">
        <v>1475</v>
      </c>
      <c r="M1422" s="64" t="s">
        <v>1318</v>
      </c>
      <c r="N1422" s="64" t="s">
        <v>74</v>
      </c>
      <c r="O1422" s="64" t="s">
        <v>1524</v>
      </c>
      <c r="P1422" s="69"/>
      <c r="Q1422" s="69"/>
      <c r="R1422" s="171">
        <v>14</v>
      </c>
      <c r="S1422" s="65" t="s">
        <v>1589</v>
      </c>
      <c r="T1422" s="64">
        <v>5</v>
      </c>
      <c r="U1422" s="155">
        <f>$AH1422/3</f>
        <v>39666.666666666664</v>
      </c>
      <c r="V1422" s="674">
        <v>0</v>
      </c>
      <c r="W1422" s="75">
        <v>4</v>
      </c>
      <c r="X1422" s="155">
        <f>$AH1422/3</f>
        <v>39666.666666666664</v>
      </c>
      <c r="Y1422" s="834">
        <f t="shared" si="292"/>
        <v>0</v>
      </c>
      <c r="Z1422" s="75">
        <v>5</v>
      </c>
      <c r="AA1422" s="155">
        <f>$AH1422/3</f>
        <v>39666.666666666664</v>
      </c>
      <c r="AB1422" s="155"/>
      <c r="AC1422" s="97"/>
      <c r="AD1422" s="155"/>
      <c r="AE1422" s="599"/>
      <c r="AF1422" s="259" t="s">
        <v>1590</v>
      </c>
      <c r="AG1422" s="510">
        <f>14*8500</f>
        <v>119000</v>
      </c>
      <c r="AH1422" s="370">
        <f>14*8500</f>
        <v>119000</v>
      </c>
      <c r="AI1422" s="75"/>
      <c r="AJ1422" s="75"/>
      <c r="AK1422" s="75"/>
      <c r="AL1422" s="75"/>
      <c r="AM1422" s="75"/>
      <c r="AN1422" s="64" t="s">
        <v>181</v>
      </c>
      <c r="AO1422" s="64"/>
      <c r="AP1422" s="64"/>
      <c r="AQ1422" s="189"/>
      <c r="AR1422" s="64"/>
      <c r="AS1422" s="476"/>
      <c r="AT1422" s="64"/>
      <c r="AU1422" s="646"/>
      <c r="AV1422" s="185"/>
    </row>
    <row r="1423" spans="1:54" ht="15" customHeight="1" outlineLevel="4" x14ac:dyDescent="0.25">
      <c r="A1423" s="63" t="str">
        <f t="shared" si="266"/>
        <v>4.16.3.7.5.61</v>
      </c>
      <c r="B1423" s="64">
        <v>4</v>
      </c>
      <c r="C1423" s="64">
        <v>16</v>
      </c>
      <c r="D1423" s="64">
        <v>3</v>
      </c>
      <c r="E1423" s="64">
        <v>7</v>
      </c>
      <c r="F1423" s="64">
        <v>5</v>
      </c>
      <c r="G1423" s="64">
        <v>61</v>
      </c>
      <c r="H1423" s="65"/>
      <c r="I1423" s="65"/>
      <c r="J1423" s="66"/>
      <c r="K1423" s="65" t="s">
        <v>1591</v>
      </c>
      <c r="L1423" s="64" t="s">
        <v>1475</v>
      </c>
      <c r="M1423" s="64" t="s">
        <v>1318</v>
      </c>
      <c r="N1423" s="64" t="s">
        <v>74</v>
      </c>
      <c r="O1423" s="64" t="s">
        <v>1524</v>
      </c>
      <c r="P1423" s="69"/>
      <c r="Q1423" s="69"/>
      <c r="R1423" s="171">
        <f>3*2</f>
        <v>6</v>
      </c>
      <c r="S1423" s="65" t="s">
        <v>1589</v>
      </c>
      <c r="T1423" s="64">
        <v>3</v>
      </c>
      <c r="U1423" s="155">
        <f>$AH1423/2</f>
        <v>21000</v>
      </c>
      <c r="V1423" s="674">
        <v>0</v>
      </c>
      <c r="W1423" s="75"/>
      <c r="X1423" s="155"/>
      <c r="Y1423" s="834">
        <f t="shared" si="292"/>
        <v>0</v>
      </c>
      <c r="Z1423" s="75">
        <v>3</v>
      </c>
      <c r="AA1423" s="155">
        <f>$AH1423/2</f>
        <v>21000</v>
      </c>
      <c r="AB1423" s="155"/>
      <c r="AC1423" s="97"/>
      <c r="AD1423" s="155"/>
      <c r="AE1423" s="599"/>
      <c r="AF1423" s="259" t="s">
        <v>1592</v>
      </c>
      <c r="AG1423" s="510">
        <f>6*7000</f>
        <v>42000</v>
      </c>
      <c r="AH1423" s="370">
        <f>6*7000</f>
        <v>42000</v>
      </c>
      <c r="AI1423" s="75"/>
      <c r="AJ1423" s="75"/>
      <c r="AK1423" s="75"/>
      <c r="AL1423" s="75"/>
      <c r="AM1423" s="75"/>
      <c r="AN1423" s="64" t="s">
        <v>181</v>
      </c>
      <c r="AO1423" s="64"/>
      <c r="AP1423" s="64"/>
      <c r="AQ1423" s="189"/>
      <c r="AR1423" s="64"/>
      <c r="AS1423" s="476"/>
      <c r="AT1423" s="64"/>
      <c r="AU1423" s="646"/>
      <c r="AV1423" s="185"/>
    </row>
    <row r="1424" spans="1:54" ht="15" customHeight="1" outlineLevel="4" x14ac:dyDescent="0.25">
      <c r="A1424" s="63" t="str">
        <f t="shared" si="266"/>
        <v>4.16.3.7.6.61</v>
      </c>
      <c r="B1424" s="64">
        <v>4</v>
      </c>
      <c r="C1424" s="64">
        <v>16</v>
      </c>
      <c r="D1424" s="64">
        <v>3</v>
      </c>
      <c r="E1424" s="64">
        <v>7</v>
      </c>
      <c r="F1424" s="64">
        <v>6</v>
      </c>
      <c r="G1424" s="64">
        <v>61</v>
      </c>
      <c r="H1424" s="65"/>
      <c r="I1424" s="65"/>
      <c r="J1424" s="66"/>
      <c r="K1424" s="65" t="s">
        <v>1593</v>
      </c>
      <c r="L1424" s="64" t="s">
        <v>1475</v>
      </c>
      <c r="M1424" s="64" t="s">
        <v>1318</v>
      </c>
      <c r="N1424" s="64" t="s">
        <v>74</v>
      </c>
      <c r="O1424" s="64" t="s">
        <v>1475</v>
      </c>
      <c r="P1424" s="69"/>
      <c r="Q1424" s="69"/>
      <c r="R1424" s="171">
        <v>1</v>
      </c>
      <c r="S1424" s="65" t="s">
        <v>1589</v>
      </c>
      <c r="T1424" s="64"/>
      <c r="U1424" s="155">
        <f>$AH1424/4</f>
        <v>0</v>
      </c>
      <c r="V1424" s="674">
        <v>0</v>
      </c>
      <c r="W1424" s="75">
        <v>1</v>
      </c>
      <c r="X1424" s="155">
        <f>$AH1424/4</f>
        <v>0</v>
      </c>
      <c r="Y1424" s="834">
        <f t="shared" si="292"/>
        <v>0</v>
      </c>
      <c r="Z1424" s="75"/>
      <c r="AA1424" s="155">
        <f>$AH1424/4</f>
        <v>0</v>
      </c>
      <c r="AB1424" s="155"/>
      <c r="AC1424" s="97"/>
      <c r="AD1424" s="155">
        <f>$AH1424/4</f>
        <v>0</v>
      </c>
      <c r="AE1424" s="599"/>
      <c r="AF1424" s="259" t="s">
        <v>1593</v>
      </c>
      <c r="AG1424" s="510">
        <v>0</v>
      </c>
      <c r="AH1424" s="370">
        <v>0</v>
      </c>
      <c r="AI1424" s="75"/>
      <c r="AJ1424" s="75"/>
      <c r="AK1424" s="75"/>
      <c r="AL1424" s="75"/>
      <c r="AM1424" s="75"/>
      <c r="AN1424" s="64" t="s">
        <v>181</v>
      </c>
      <c r="AO1424" s="64"/>
      <c r="AP1424" s="64"/>
      <c r="AQ1424" s="189"/>
      <c r="AR1424" s="64"/>
      <c r="AS1424" s="476"/>
      <c r="AT1424" s="64"/>
      <c r="AU1424" s="646"/>
      <c r="AV1424" s="185"/>
    </row>
    <row r="1425" spans="1:48" ht="15" customHeight="1" outlineLevel="4" x14ac:dyDescent="0.25">
      <c r="A1425" s="63" t="str">
        <f t="shared" si="266"/>
        <v>4.16.3.7.7.61</v>
      </c>
      <c r="B1425" s="64">
        <v>4</v>
      </c>
      <c r="C1425" s="64">
        <v>16</v>
      </c>
      <c r="D1425" s="64">
        <v>3</v>
      </c>
      <c r="E1425" s="64">
        <v>7</v>
      </c>
      <c r="F1425" s="64">
        <v>7</v>
      </c>
      <c r="G1425" s="64">
        <v>61</v>
      </c>
      <c r="H1425" s="65"/>
      <c r="I1425" s="65"/>
      <c r="J1425" s="66"/>
      <c r="K1425" s="65" t="s">
        <v>1594</v>
      </c>
      <c r="L1425" s="64" t="s">
        <v>1475</v>
      </c>
      <c r="M1425" s="64" t="s">
        <v>1318</v>
      </c>
      <c r="N1425" s="64" t="s">
        <v>74</v>
      </c>
      <c r="O1425" s="64" t="s">
        <v>1475</v>
      </c>
      <c r="P1425" s="69"/>
      <c r="Q1425" s="69"/>
      <c r="R1425" s="64">
        <v>1</v>
      </c>
      <c r="S1425" s="65" t="s">
        <v>1589</v>
      </c>
      <c r="T1425" s="64"/>
      <c r="U1425" s="155">
        <f>$AH1425/4</f>
        <v>0</v>
      </c>
      <c r="V1425" s="674">
        <v>0</v>
      </c>
      <c r="W1425" s="75">
        <v>1</v>
      </c>
      <c r="X1425" s="155">
        <f>$AH1425/4</f>
        <v>0</v>
      </c>
      <c r="Y1425" s="834">
        <f t="shared" si="292"/>
        <v>0</v>
      </c>
      <c r="Z1425" s="75"/>
      <c r="AA1425" s="155">
        <f>$AH1425/4</f>
        <v>0</v>
      </c>
      <c r="AB1425" s="155"/>
      <c r="AC1425" s="97"/>
      <c r="AD1425" s="155">
        <f>$AH1425/4</f>
        <v>0</v>
      </c>
      <c r="AE1425" s="599"/>
      <c r="AF1425" s="259" t="s">
        <v>1595</v>
      </c>
      <c r="AG1425" s="510">
        <v>0</v>
      </c>
      <c r="AH1425" s="370">
        <v>0</v>
      </c>
      <c r="AI1425" s="75"/>
      <c r="AJ1425" s="75"/>
      <c r="AK1425" s="75"/>
      <c r="AL1425" s="75"/>
      <c r="AM1425" s="75"/>
      <c r="AN1425" s="64" t="s">
        <v>181</v>
      </c>
      <c r="AO1425" s="64"/>
      <c r="AP1425" s="64"/>
      <c r="AQ1425" s="189"/>
      <c r="AR1425" s="64"/>
      <c r="AS1425" s="476"/>
      <c r="AT1425" s="64"/>
      <c r="AU1425" s="646"/>
      <c r="AV1425" s="185"/>
    </row>
    <row r="1426" spans="1:48" ht="15" customHeight="1" outlineLevel="4" x14ac:dyDescent="0.25">
      <c r="A1426" s="63" t="str">
        <f t="shared" si="266"/>
        <v>4.16.3.7.8.61</v>
      </c>
      <c r="B1426" s="64">
        <v>4</v>
      </c>
      <c r="C1426" s="64">
        <v>16</v>
      </c>
      <c r="D1426" s="64">
        <v>3</v>
      </c>
      <c r="E1426" s="64">
        <v>7</v>
      </c>
      <c r="F1426" s="64">
        <v>8</v>
      </c>
      <c r="G1426" s="64">
        <v>61</v>
      </c>
      <c r="H1426" s="65"/>
      <c r="I1426" s="65"/>
      <c r="J1426" s="66"/>
      <c r="K1426" s="65" t="s">
        <v>1596</v>
      </c>
      <c r="L1426" s="64" t="s">
        <v>1475</v>
      </c>
      <c r="M1426" s="64" t="s">
        <v>1318</v>
      </c>
      <c r="N1426" s="64" t="s">
        <v>74</v>
      </c>
      <c r="O1426" s="64" t="s">
        <v>1475</v>
      </c>
      <c r="P1426" s="69"/>
      <c r="Q1426" s="69"/>
      <c r="R1426" s="64">
        <v>12</v>
      </c>
      <c r="S1426" s="65" t="s">
        <v>1597</v>
      </c>
      <c r="T1426" s="64">
        <v>3</v>
      </c>
      <c r="U1426" s="155">
        <f>$AH1426/4</f>
        <v>7500</v>
      </c>
      <c r="V1426" s="674">
        <v>0</v>
      </c>
      <c r="W1426" s="75">
        <v>3</v>
      </c>
      <c r="X1426" s="155">
        <f>$AH1426/4</f>
        <v>7500</v>
      </c>
      <c r="Y1426" s="834">
        <f t="shared" si="292"/>
        <v>0</v>
      </c>
      <c r="Z1426" s="75">
        <v>3</v>
      </c>
      <c r="AA1426" s="155">
        <f>$AH1426/4</f>
        <v>7500</v>
      </c>
      <c r="AB1426" s="155"/>
      <c r="AC1426" s="97">
        <v>3</v>
      </c>
      <c r="AD1426" s="155">
        <f>$AH1426/4</f>
        <v>7500</v>
      </c>
      <c r="AE1426" s="599"/>
      <c r="AF1426" s="259" t="s">
        <v>765</v>
      </c>
      <c r="AG1426" s="510">
        <f>12*5000/2</f>
        <v>30000</v>
      </c>
      <c r="AH1426" s="370">
        <f>12*5000/2</f>
        <v>30000</v>
      </c>
      <c r="AI1426" s="75"/>
      <c r="AJ1426" s="75"/>
      <c r="AK1426" s="75"/>
      <c r="AL1426" s="75"/>
      <c r="AM1426" s="75"/>
      <c r="AN1426" s="64" t="s">
        <v>181</v>
      </c>
      <c r="AO1426" s="64"/>
      <c r="AP1426" s="64"/>
      <c r="AQ1426" s="189"/>
      <c r="AR1426" s="64"/>
      <c r="AS1426" s="476"/>
      <c r="AT1426" s="64"/>
      <c r="AU1426" s="646"/>
      <c r="AV1426" s="185" t="s">
        <v>780</v>
      </c>
    </row>
    <row r="1427" spans="1:48" s="153" customFormat="1" ht="54" customHeight="1" outlineLevel="2" x14ac:dyDescent="0.25">
      <c r="A1427" s="148" t="str">
        <f t="shared" si="266"/>
        <v>4.16.3.8.0.0</v>
      </c>
      <c r="B1427" s="82">
        <v>4</v>
      </c>
      <c r="C1427" s="82">
        <v>16</v>
      </c>
      <c r="D1427" s="82">
        <v>3</v>
      </c>
      <c r="E1427" s="82">
        <v>8</v>
      </c>
      <c r="F1427" s="82">
        <v>0</v>
      </c>
      <c r="G1427" s="82">
        <v>0</v>
      </c>
      <c r="H1427" s="149"/>
      <c r="I1427" s="149"/>
      <c r="J1427" s="1260" t="s">
        <v>1604</v>
      </c>
      <c r="K1427" s="1259"/>
      <c r="L1427" s="82" t="s">
        <v>1576</v>
      </c>
      <c r="M1427" s="82" t="s">
        <v>1464</v>
      </c>
      <c r="N1427" s="82" t="s">
        <v>1444</v>
      </c>
      <c r="O1427" s="82" t="s">
        <v>1204</v>
      </c>
      <c r="P1427" s="82"/>
      <c r="Q1427" s="82"/>
      <c r="R1427" s="82"/>
      <c r="S1427" s="149"/>
      <c r="T1427" s="82"/>
      <c r="U1427" s="152">
        <f>SUM(U1428:U1432)</f>
        <v>22500</v>
      </c>
      <c r="V1427" s="681">
        <f>SUM(V1428:V1432)</f>
        <v>0</v>
      </c>
      <c r="W1427" s="380">
        <f t="shared" ref="W1427:AG1427" si="293">+SUM(W1428:W1432)</f>
        <v>5</v>
      </c>
      <c r="X1427" s="380">
        <f t="shared" si="293"/>
        <v>22500</v>
      </c>
      <c r="Y1427" s="845">
        <f t="shared" si="293"/>
        <v>30000</v>
      </c>
      <c r="Z1427" s="380">
        <f t="shared" si="293"/>
        <v>4</v>
      </c>
      <c r="AA1427" s="380">
        <f t="shared" si="293"/>
        <v>22500</v>
      </c>
      <c r="AB1427" s="380">
        <f t="shared" si="293"/>
        <v>0</v>
      </c>
      <c r="AC1427" s="380">
        <f t="shared" si="293"/>
        <v>5</v>
      </c>
      <c r="AD1427" s="380">
        <f t="shared" si="293"/>
        <v>22500</v>
      </c>
      <c r="AE1427" s="380">
        <f t="shared" si="293"/>
        <v>0</v>
      </c>
      <c r="AF1427" s="380">
        <f t="shared" si="293"/>
        <v>0</v>
      </c>
      <c r="AG1427" s="380">
        <f t="shared" si="293"/>
        <v>90000</v>
      </c>
      <c r="AH1427" s="380">
        <f>+SUM(AH1428:AH1432)</f>
        <v>90000</v>
      </c>
      <c r="AI1427" s="380">
        <f t="shared" ref="AI1427:AJ1427" si="294">+SUM(AI1428:AI1432)</f>
        <v>0</v>
      </c>
      <c r="AJ1427" s="380">
        <f t="shared" si="294"/>
        <v>30000</v>
      </c>
      <c r="AK1427" s="198"/>
      <c r="AL1427" s="198"/>
      <c r="AM1427" s="198"/>
      <c r="AN1427" s="82" t="s">
        <v>181</v>
      </c>
      <c r="AO1427" s="82"/>
      <c r="AP1427" s="82"/>
      <c r="AQ1427" s="365"/>
      <c r="AR1427" s="82"/>
      <c r="AS1427" s="483"/>
      <c r="AT1427" s="82"/>
      <c r="AU1427" s="666"/>
      <c r="AV1427" s="449" t="s">
        <v>1579</v>
      </c>
    </row>
    <row r="1428" spans="1:48" ht="15" customHeight="1" outlineLevel="3" x14ac:dyDescent="0.25">
      <c r="A1428" s="63" t="str">
        <f t="shared" si="266"/>
        <v>4.16.3.8.1.58-64</v>
      </c>
      <c r="B1428" s="64">
        <v>4</v>
      </c>
      <c r="C1428" s="64">
        <v>16</v>
      </c>
      <c r="D1428" s="64">
        <v>3</v>
      </c>
      <c r="E1428" s="64">
        <v>8</v>
      </c>
      <c r="F1428" s="64">
        <v>1</v>
      </c>
      <c r="G1428" s="64" t="s">
        <v>64</v>
      </c>
      <c r="H1428" s="65"/>
      <c r="I1428" s="65"/>
      <c r="J1428" s="66"/>
      <c r="K1428" s="65" t="s">
        <v>1580</v>
      </c>
      <c r="L1428" s="64" t="s">
        <v>1576</v>
      </c>
      <c r="M1428" s="64" t="s">
        <v>144</v>
      </c>
      <c r="N1428" s="64" t="s">
        <v>265</v>
      </c>
      <c r="O1428" s="64" t="s">
        <v>1544</v>
      </c>
      <c r="P1428" s="64"/>
      <c r="Q1428" s="64"/>
      <c r="R1428" s="124">
        <v>12</v>
      </c>
      <c r="S1428" s="65"/>
      <c r="T1428" s="124"/>
      <c r="U1428" s="75"/>
      <c r="V1428" s="674">
        <v>0</v>
      </c>
      <c r="W1428" s="75"/>
      <c r="X1428" s="75"/>
      <c r="Y1428" s="834">
        <f>+AJ1428-V1428</f>
        <v>0</v>
      </c>
      <c r="Z1428" s="75"/>
      <c r="AA1428" s="75"/>
      <c r="AB1428" s="75"/>
      <c r="AC1428" s="97"/>
      <c r="AD1428" s="97"/>
      <c r="AE1428" s="591"/>
      <c r="AF1428" s="259" t="s">
        <v>1466</v>
      </c>
      <c r="AG1428" s="510">
        <v>0</v>
      </c>
      <c r="AH1428" s="370">
        <v>0</v>
      </c>
      <c r="AI1428" s="75"/>
      <c r="AJ1428" s="75"/>
      <c r="AK1428" s="75"/>
      <c r="AL1428" s="75"/>
      <c r="AM1428" s="75"/>
      <c r="AN1428" s="64" t="s">
        <v>181</v>
      </c>
      <c r="AO1428" s="64"/>
      <c r="AP1428" s="64"/>
      <c r="AQ1428" s="189"/>
      <c r="AR1428" s="64"/>
      <c r="AS1428" s="476"/>
      <c r="AT1428" s="64"/>
      <c r="AU1428" s="646"/>
      <c r="AV1428" s="185"/>
    </row>
    <row r="1429" spans="1:48" ht="15" customHeight="1" outlineLevel="3" x14ac:dyDescent="0.25">
      <c r="A1429" s="63" t="str">
        <f t="shared" si="266"/>
        <v>4.16.3.8.2.58-64</v>
      </c>
      <c r="B1429" s="64">
        <v>4</v>
      </c>
      <c r="C1429" s="64">
        <v>16</v>
      </c>
      <c r="D1429" s="64">
        <v>3</v>
      </c>
      <c r="E1429" s="64">
        <v>8</v>
      </c>
      <c r="F1429" s="64">
        <v>2</v>
      </c>
      <c r="G1429" s="64" t="s">
        <v>64</v>
      </c>
      <c r="H1429" s="65"/>
      <c r="I1429" s="65"/>
      <c r="J1429" s="66"/>
      <c r="K1429" s="65" t="s">
        <v>1605</v>
      </c>
      <c r="L1429" s="64" t="s">
        <v>1576</v>
      </c>
      <c r="M1429" s="64" t="s">
        <v>144</v>
      </c>
      <c r="N1429" s="64" t="s">
        <v>265</v>
      </c>
      <c r="O1429" s="64" t="s">
        <v>1544</v>
      </c>
      <c r="P1429" s="64"/>
      <c r="Q1429" s="64"/>
      <c r="R1429" s="124">
        <v>12</v>
      </c>
      <c r="S1429" s="65"/>
      <c r="T1429" s="124"/>
      <c r="U1429" s="75"/>
      <c r="V1429" s="674">
        <v>0</v>
      </c>
      <c r="W1429" s="75"/>
      <c r="X1429" s="75"/>
      <c r="Y1429" s="834">
        <f>+AJ1429-V1429</f>
        <v>0</v>
      </c>
      <c r="Z1429" s="75"/>
      <c r="AA1429" s="75"/>
      <c r="AB1429" s="75"/>
      <c r="AC1429" s="97"/>
      <c r="AD1429" s="97"/>
      <c r="AE1429" s="591"/>
      <c r="AF1429" s="259" t="s">
        <v>1606</v>
      </c>
      <c r="AG1429" s="510">
        <v>0</v>
      </c>
      <c r="AH1429" s="370">
        <v>0</v>
      </c>
      <c r="AI1429" s="75"/>
      <c r="AJ1429" s="75"/>
      <c r="AK1429" s="75"/>
      <c r="AL1429" s="75"/>
      <c r="AM1429" s="75"/>
      <c r="AN1429" s="64" t="s">
        <v>181</v>
      </c>
      <c r="AO1429" s="64"/>
      <c r="AP1429" s="64"/>
      <c r="AQ1429" s="189"/>
      <c r="AR1429" s="64"/>
      <c r="AS1429" s="476"/>
      <c r="AT1429" s="64"/>
      <c r="AU1429" s="646"/>
      <c r="AV1429" s="185"/>
    </row>
    <row r="1430" spans="1:48" ht="36.75" customHeight="1" outlineLevel="3" x14ac:dyDescent="0.25">
      <c r="A1430" s="63" t="str">
        <f t="shared" si="266"/>
        <v>4.16.3.8.3.58-64</v>
      </c>
      <c r="B1430" s="64">
        <v>4</v>
      </c>
      <c r="C1430" s="64">
        <v>16</v>
      </c>
      <c r="D1430" s="64">
        <v>3</v>
      </c>
      <c r="E1430" s="64">
        <v>8</v>
      </c>
      <c r="F1430" s="64">
        <v>3</v>
      </c>
      <c r="G1430" s="64" t="s">
        <v>64</v>
      </c>
      <c r="H1430" s="65"/>
      <c r="I1430" s="65"/>
      <c r="J1430" s="66"/>
      <c r="K1430" s="65" t="s">
        <v>1583</v>
      </c>
      <c r="L1430" s="64" t="s">
        <v>1475</v>
      </c>
      <c r="M1430" s="64" t="s">
        <v>1318</v>
      </c>
      <c r="N1430" s="64" t="s">
        <v>1223</v>
      </c>
      <c r="O1430" s="64" t="s">
        <v>1544</v>
      </c>
      <c r="P1430" s="69"/>
      <c r="Q1430" s="69"/>
      <c r="R1430" s="64">
        <v>12</v>
      </c>
      <c r="S1430" s="65" t="s">
        <v>1581</v>
      </c>
      <c r="T1430" s="64">
        <v>3</v>
      </c>
      <c r="U1430" s="75">
        <f>+$AH1430/4</f>
        <v>22500</v>
      </c>
      <c r="V1430" s="674">
        <v>0</v>
      </c>
      <c r="W1430" s="75">
        <v>3</v>
      </c>
      <c r="X1430" s="75">
        <f>+$AH1430/4</f>
        <v>22500</v>
      </c>
      <c r="Y1430" s="834">
        <f>+AJ1430-V1430</f>
        <v>30000</v>
      </c>
      <c r="Z1430" s="75">
        <v>3</v>
      </c>
      <c r="AA1430" s="75">
        <f>+$AH1430/4</f>
        <v>22500</v>
      </c>
      <c r="AB1430" s="75"/>
      <c r="AC1430" s="97">
        <v>3</v>
      </c>
      <c r="AD1430" s="75">
        <f>+$AH1430/4</f>
        <v>22500</v>
      </c>
      <c r="AE1430" s="592"/>
      <c r="AF1430" s="259" t="s">
        <v>1584</v>
      </c>
      <c r="AG1430" s="510">
        <f>12*15000/2</f>
        <v>90000</v>
      </c>
      <c r="AH1430" s="370">
        <f>12*15000/2</f>
        <v>90000</v>
      </c>
      <c r="AI1430" s="75"/>
      <c r="AJ1430" s="75">
        <f>15000+15000</f>
        <v>30000</v>
      </c>
      <c r="AK1430" s="75"/>
      <c r="AL1430" s="75"/>
      <c r="AM1430" s="75"/>
      <c r="AN1430" s="64" t="s">
        <v>181</v>
      </c>
      <c r="AO1430" s="313" t="s">
        <v>1819</v>
      </c>
      <c r="AP1430" s="313" t="s">
        <v>2160</v>
      </c>
      <c r="AQ1430" s="408" t="s">
        <v>2161</v>
      </c>
      <c r="AR1430" s="69">
        <v>44658</v>
      </c>
      <c r="AS1430" s="562">
        <v>45023</v>
      </c>
      <c r="AT1430" s="89" t="s">
        <v>2029</v>
      </c>
      <c r="AU1430" s="883" t="s">
        <v>2162</v>
      </c>
      <c r="AV1430" s="335" t="s">
        <v>1585</v>
      </c>
    </row>
    <row r="1431" spans="1:48" ht="15" customHeight="1" outlineLevel="3" x14ac:dyDescent="0.25">
      <c r="A1431" s="63" t="str">
        <f t="shared" si="266"/>
        <v>4.16.3.8.4.58-64</v>
      </c>
      <c r="B1431" s="64">
        <v>4</v>
      </c>
      <c r="C1431" s="64">
        <v>16</v>
      </c>
      <c r="D1431" s="64">
        <v>3</v>
      </c>
      <c r="E1431" s="64">
        <v>8</v>
      </c>
      <c r="F1431" s="64">
        <v>4</v>
      </c>
      <c r="G1431" s="64" t="s">
        <v>64</v>
      </c>
      <c r="H1431" s="65"/>
      <c r="I1431" s="65"/>
      <c r="J1431" s="66"/>
      <c r="K1431" s="65" t="s">
        <v>1586</v>
      </c>
      <c r="L1431" s="64" t="s">
        <v>1475</v>
      </c>
      <c r="M1431" s="64" t="s">
        <v>1318</v>
      </c>
      <c r="N1431" s="64" t="s">
        <v>1223</v>
      </c>
      <c r="O1431" s="64" t="s">
        <v>1544</v>
      </c>
      <c r="P1431" s="69"/>
      <c r="Q1431" s="69"/>
      <c r="R1431" s="171">
        <v>6</v>
      </c>
      <c r="S1431" s="65"/>
      <c r="T1431" s="64">
        <v>1</v>
      </c>
      <c r="U1431" s="75"/>
      <c r="V1431" s="674">
        <v>0</v>
      </c>
      <c r="W1431" s="75">
        <v>2</v>
      </c>
      <c r="X1431" s="75"/>
      <c r="Y1431" s="834">
        <f>+AJ1431-V1431</f>
        <v>0</v>
      </c>
      <c r="Z1431" s="75">
        <v>1</v>
      </c>
      <c r="AA1431" s="75"/>
      <c r="AB1431" s="75"/>
      <c r="AC1431" s="97">
        <v>2</v>
      </c>
      <c r="AD1431" s="97"/>
      <c r="AE1431" s="591"/>
      <c r="AF1431" s="259" t="s">
        <v>1587</v>
      </c>
      <c r="AG1431" s="510">
        <v>0</v>
      </c>
      <c r="AH1431" s="370">
        <v>0</v>
      </c>
      <c r="AI1431" s="75"/>
      <c r="AJ1431" s="75"/>
      <c r="AK1431" s="75"/>
      <c r="AL1431" s="75"/>
      <c r="AM1431" s="75"/>
      <c r="AN1431" s="64" t="s">
        <v>181</v>
      </c>
      <c r="AO1431" s="64"/>
      <c r="AP1431" s="64"/>
      <c r="AQ1431" s="189"/>
      <c r="AR1431" s="64"/>
      <c r="AS1431" s="476"/>
      <c r="AT1431" s="64"/>
      <c r="AU1431" s="646"/>
      <c r="AV1431" s="185"/>
    </row>
    <row r="1432" spans="1:48" ht="15" customHeight="1" outlineLevel="3" x14ac:dyDescent="0.25">
      <c r="A1432" s="63" t="str">
        <f t="shared" si="266"/>
        <v>4.16.3.8.5.58-64</v>
      </c>
      <c r="B1432" s="64">
        <v>4</v>
      </c>
      <c r="C1432" s="64">
        <v>16</v>
      </c>
      <c r="D1432" s="64">
        <v>3</v>
      </c>
      <c r="E1432" s="64">
        <v>8</v>
      </c>
      <c r="F1432" s="64">
        <v>5</v>
      </c>
      <c r="G1432" s="64" t="s">
        <v>64</v>
      </c>
      <c r="H1432" s="65"/>
      <c r="I1432" s="65"/>
      <c r="J1432" s="66"/>
      <c r="K1432" s="65" t="s">
        <v>1607</v>
      </c>
      <c r="L1432" s="64" t="s">
        <v>1475</v>
      </c>
      <c r="M1432" s="64" t="s">
        <v>1318</v>
      </c>
      <c r="N1432" s="64" t="s">
        <v>1249</v>
      </c>
      <c r="O1432" s="64" t="s">
        <v>1544</v>
      </c>
      <c r="P1432" s="64"/>
      <c r="Q1432" s="64"/>
      <c r="R1432" s="124">
        <v>2</v>
      </c>
      <c r="S1432" s="65"/>
      <c r="T1432" s="124">
        <v>2</v>
      </c>
      <c r="U1432" s="75"/>
      <c r="V1432" s="674">
        <v>0</v>
      </c>
      <c r="W1432" s="75"/>
      <c r="X1432" s="75"/>
      <c r="Y1432" s="834">
        <f>+AJ1432-V1432</f>
        <v>0</v>
      </c>
      <c r="Z1432" s="75"/>
      <c r="AA1432" s="75"/>
      <c r="AB1432" s="75"/>
      <c r="AC1432" s="97"/>
      <c r="AD1432" s="97"/>
      <c r="AE1432" s="591"/>
      <c r="AF1432" s="353" t="s">
        <v>1607</v>
      </c>
      <c r="AG1432" s="510">
        <v>0</v>
      </c>
      <c r="AH1432" s="370">
        <v>0</v>
      </c>
      <c r="AI1432" s="75"/>
      <c r="AJ1432" s="75"/>
      <c r="AK1432" s="75"/>
      <c r="AL1432" s="75"/>
      <c r="AM1432" s="75"/>
      <c r="AN1432" s="64" t="s">
        <v>181</v>
      </c>
      <c r="AO1432" s="64"/>
      <c r="AP1432" s="64"/>
      <c r="AQ1432" s="189"/>
      <c r="AR1432" s="64"/>
      <c r="AS1432" s="476"/>
      <c r="AT1432" s="64"/>
      <c r="AU1432" s="646"/>
      <c r="AV1432" s="185"/>
    </row>
    <row r="1433" spans="1:48" s="153" customFormat="1" ht="15" customHeight="1" x14ac:dyDescent="0.25">
      <c r="A1433" s="246" t="str">
        <f t="shared" si="266"/>
        <v>5.0.0.0.0.0</v>
      </c>
      <c r="B1433" s="44">
        <v>5</v>
      </c>
      <c r="C1433" s="44">
        <v>0</v>
      </c>
      <c r="D1433" s="44">
        <v>0</v>
      </c>
      <c r="E1433" s="44">
        <v>0</v>
      </c>
      <c r="F1433" s="44">
        <v>0</v>
      </c>
      <c r="G1433" s="44">
        <v>0</v>
      </c>
      <c r="H1433" s="1269" t="s">
        <v>1608</v>
      </c>
      <c r="I1433" s="1270"/>
      <c r="J1433" s="1270"/>
      <c r="K1433" s="1271"/>
      <c r="L1433" s="44" t="s">
        <v>1609</v>
      </c>
      <c r="M1433" s="44"/>
      <c r="N1433" s="44"/>
      <c r="O1433" s="44"/>
      <c r="P1433" s="44"/>
      <c r="Q1433" s="44"/>
      <c r="R1433" s="44"/>
      <c r="S1433" s="247"/>
      <c r="T1433" s="44"/>
      <c r="U1433" s="393">
        <f t="shared" ref="U1433:AG1433" si="295">+U1434</f>
        <v>0</v>
      </c>
      <c r="V1433" s="393">
        <f t="shared" si="295"/>
        <v>0</v>
      </c>
      <c r="W1433" s="393">
        <f t="shared" si="295"/>
        <v>0</v>
      </c>
      <c r="X1433" s="393">
        <f t="shared" si="295"/>
        <v>0</v>
      </c>
      <c r="Y1433" s="393">
        <f t="shared" si="295"/>
        <v>0</v>
      </c>
      <c r="Z1433" s="393">
        <f t="shared" si="295"/>
        <v>0</v>
      </c>
      <c r="AA1433" s="393">
        <f t="shared" si="295"/>
        <v>0</v>
      </c>
      <c r="AB1433" s="393">
        <f t="shared" si="295"/>
        <v>0</v>
      </c>
      <c r="AC1433" s="393">
        <f t="shared" si="295"/>
        <v>0</v>
      </c>
      <c r="AD1433" s="393">
        <f t="shared" si="295"/>
        <v>0</v>
      </c>
      <c r="AE1433" s="393">
        <f t="shared" si="295"/>
        <v>0</v>
      </c>
      <c r="AF1433" s="393">
        <f t="shared" si="295"/>
        <v>0</v>
      </c>
      <c r="AG1433" s="393">
        <f t="shared" si="295"/>
        <v>0</v>
      </c>
      <c r="AH1433" s="393">
        <f>+AH1434</f>
        <v>0</v>
      </c>
      <c r="AI1433" s="530">
        <f>+AI1434</f>
        <v>0</v>
      </c>
      <c r="AJ1433" s="530">
        <f>+AJ1434</f>
        <v>0</v>
      </c>
      <c r="AK1433" s="248"/>
      <c r="AL1433" s="248"/>
      <c r="AM1433" s="248"/>
      <c r="AN1433" s="44" t="s">
        <v>181</v>
      </c>
      <c r="AO1433" s="44"/>
      <c r="AP1433" s="44"/>
      <c r="AQ1433" s="420"/>
      <c r="AR1433" s="44"/>
      <c r="AS1433" s="486"/>
      <c r="AT1433" s="44"/>
      <c r="AU1433" s="658"/>
      <c r="AV1433" s="426"/>
    </row>
    <row r="1434" spans="1:48" s="153" customFormat="1" ht="30.75" customHeight="1" outlineLevel="1" x14ac:dyDescent="0.25">
      <c r="A1434" s="108" t="str">
        <f t="shared" si="266"/>
        <v>5.17.4.0.0.0</v>
      </c>
      <c r="B1434" s="109">
        <v>5</v>
      </c>
      <c r="C1434" s="109">
        <v>17</v>
      </c>
      <c r="D1434" s="109">
        <v>4</v>
      </c>
      <c r="E1434" s="109">
        <v>0</v>
      </c>
      <c r="F1434" s="109">
        <v>0</v>
      </c>
      <c r="G1434" s="109">
        <v>0</v>
      </c>
      <c r="H1434" s="110"/>
      <c r="I1434" s="1265" t="s">
        <v>1610</v>
      </c>
      <c r="J1434" s="1266"/>
      <c r="K1434" s="1267"/>
      <c r="L1434" s="109" t="s">
        <v>236</v>
      </c>
      <c r="M1434" s="109" t="s">
        <v>73</v>
      </c>
      <c r="N1434" s="109" t="s">
        <v>257</v>
      </c>
      <c r="O1434" s="109" t="s">
        <v>1611</v>
      </c>
      <c r="P1434" s="109"/>
      <c r="Q1434" s="109"/>
      <c r="R1434" s="109"/>
      <c r="S1434" s="110"/>
      <c r="T1434" s="109"/>
      <c r="U1434" s="514">
        <f t="shared" ref="U1434:AG1434" si="296">+U1435+U1439+U1443+U1451+U1461+U1469+U1477+U1481</f>
        <v>0</v>
      </c>
      <c r="V1434" s="695">
        <f t="shared" si="296"/>
        <v>0</v>
      </c>
      <c r="W1434" s="514">
        <f t="shared" si="296"/>
        <v>0</v>
      </c>
      <c r="X1434" s="514">
        <f t="shared" si="296"/>
        <v>0</v>
      </c>
      <c r="Y1434" s="514">
        <f t="shared" si="296"/>
        <v>0</v>
      </c>
      <c r="Z1434" s="514">
        <f t="shared" si="296"/>
        <v>0</v>
      </c>
      <c r="AA1434" s="514">
        <f t="shared" si="296"/>
        <v>0</v>
      </c>
      <c r="AB1434" s="514">
        <f t="shared" si="296"/>
        <v>0</v>
      </c>
      <c r="AC1434" s="514">
        <f t="shared" si="296"/>
        <v>0</v>
      </c>
      <c r="AD1434" s="514">
        <f t="shared" si="296"/>
        <v>0</v>
      </c>
      <c r="AE1434" s="514">
        <f t="shared" si="296"/>
        <v>0</v>
      </c>
      <c r="AF1434" s="514">
        <f t="shared" si="296"/>
        <v>0</v>
      </c>
      <c r="AG1434" s="514">
        <f t="shared" si="296"/>
        <v>0</v>
      </c>
      <c r="AH1434" s="514">
        <f>+AH1435+AH1439+AH1443+AH1451+AH1461+AH1469+AH1477+AH1481</f>
        <v>0</v>
      </c>
      <c r="AI1434" s="514">
        <f>+AI1435+AI1439+AI1443+AI1451+AI1461+AI1469+AI1477+AI1481</f>
        <v>0</v>
      </c>
      <c r="AJ1434" s="514">
        <f>+AJ1435+AJ1439+AJ1443+AJ1451+AJ1461+AJ1469+AJ1477+AJ1481</f>
        <v>0</v>
      </c>
      <c r="AK1434" s="112"/>
      <c r="AL1434" s="112"/>
      <c r="AM1434" s="112"/>
      <c r="AN1434" s="109" t="s">
        <v>181</v>
      </c>
      <c r="AO1434" s="109"/>
      <c r="AP1434" s="109"/>
      <c r="AQ1434" s="411"/>
      <c r="AR1434" s="109"/>
      <c r="AS1434" s="473"/>
      <c r="AT1434" s="109"/>
      <c r="AU1434" s="659"/>
      <c r="AV1434" s="445"/>
    </row>
    <row r="1435" spans="1:48" s="153" customFormat="1" outlineLevel="1" x14ac:dyDescent="0.25">
      <c r="A1435" s="148" t="str">
        <f t="shared" si="266"/>
        <v>5.17.4.1.0.0</v>
      </c>
      <c r="B1435" s="82">
        <v>5</v>
      </c>
      <c r="C1435" s="82">
        <v>17</v>
      </c>
      <c r="D1435" s="82">
        <v>4</v>
      </c>
      <c r="E1435" s="82">
        <v>1</v>
      </c>
      <c r="F1435" s="82">
        <v>0</v>
      </c>
      <c r="G1435" s="82">
        <v>0</v>
      </c>
      <c r="H1435" s="149"/>
      <c r="I1435" s="149"/>
      <c r="J1435" s="1260" t="s">
        <v>1612</v>
      </c>
      <c r="K1435" s="1259"/>
      <c r="L1435" s="82" t="s">
        <v>236</v>
      </c>
      <c r="M1435" s="82" t="s">
        <v>73</v>
      </c>
      <c r="N1435" s="82" t="s">
        <v>257</v>
      </c>
      <c r="O1435" s="82" t="s">
        <v>1613</v>
      </c>
      <c r="P1435" s="148"/>
      <c r="Q1435" s="148"/>
      <c r="R1435" s="82"/>
      <c r="S1435" s="149"/>
      <c r="T1435" s="82"/>
      <c r="U1435" s="512">
        <f>+SUM(U1436:U1438)</f>
        <v>0</v>
      </c>
      <c r="V1435" s="693">
        <f>+SUM(V1436:V1438)</f>
        <v>0</v>
      </c>
      <c r="W1435" s="152"/>
      <c r="X1435" s="152"/>
      <c r="Y1435" s="834">
        <f t="shared" ref="Y1435:Y1450" si="297">+AJ1435-V1435</f>
        <v>0</v>
      </c>
      <c r="Z1435" s="152"/>
      <c r="AA1435" s="152"/>
      <c r="AB1435" s="152"/>
      <c r="AC1435" s="257"/>
      <c r="AD1435" s="257"/>
      <c r="AE1435" s="611"/>
      <c r="AF1435" s="358"/>
      <c r="AG1435" s="512">
        <f>+SUM(AG1436:AG1438)</f>
        <v>0</v>
      </c>
      <c r="AH1435" s="512">
        <f>+SUM(AH1436:AH1438)</f>
        <v>0</v>
      </c>
      <c r="AI1435" s="512">
        <f>+SUM(AI1436:AI1438)</f>
        <v>0</v>
      </c>
      <c r="AJ1435" s="512">
        <f>+SUM(AJ1436:AJ1438)</f>
        <v>0</v>
      </c>
      <c r="AK1435" s="152"/>
      <c r="AL1435" s="152"/>
      <c r="AM1435" s="152"/>
      <c r="AN1435" s="82" t="s">
        <v>181</v>
      </c>
      <c r="AO1435" s="82"/>
      <c r="AP1435" s="82"/>
      <c r="AQ1435" s="365"/>
      <c r="AR1435" s="82"/>
      <c r="AS1435" s="483"/>
      <c r="AT1435" s="82"/>
      <c r="AU1435" s="666"/>
      <c r="AV1435" s="444"/>
    </row>
    <row r="1436" spans="1:48" ht="30" outlineLevel="2" x14ac:dyDescent="0.25">
      <c r="A1436" s="63" t="str">
        <f t="shared" si="266"/>
        <v>5.17.4.1.1.58</v>
      </c>
      <c r="B1436" s="64">
        <v>5</v>
      </c>
      <c r="C1436" s="64">
        <v>17</v>
      </c>
      <c r="D1436" s="64">
        <v>4</v>
      </c>
      <c r="E1436" s="64">
        <v>1</v>
      </c>
      <c r="F1436" s="64">
        <v>1</v>
      </c>
      <c r="G1436" s="64">
        <v>58</v>
      </c>
      <c r="H1436" s="65"/>
      <c r="I1436" s="65"/>
      <c r="J1436" s="65"/>
      <c r="K1436" s="67" t="s">
        <v>1616</v>
      </c>
      <c r="L1436" s="64" t="s">
        <v>236</v>
      </c>
      <c r="M1436" s="64" t="s">
        <v>73</v>
      </c>
      <c r="N1436" s="64" t="s">
        <v>257</v>
      </c>
      <c r="O1436" s="64" t="s">
        <v>1613</v>
      </c>
      <c r="P1436" s="64"/>
      <c r="Q1436" s="64"/>
      <c r="R1436" s="64"/>
      <c r="S1436" s="65"/>
      <c r="T1436" s="64"/>
      <c r="U1436" s="510">
        <v>0</v>
      </c>
      <c r="V1436" s="696">
        <v>0</v>
      </c>
      <c r="W1436" s="75"/>
      <c r="X1436" s="75"/>
      <c r="Y1436" s="834">
        <f t="shared" si="297"/>
        <v>0</v>
      </c>
      <c r="Z1436" s="75"/>
      <c r="AA1436" s="75"/>
      <c r="AB1436" s="75"/>
      <c r="AC1436" s="97"/>
      <c r="AD1436" s="97"/>
      <c r="AE1436" s="591"/>
      <c r="AF1436" s="259"/>
      <c r="AG1436" s="510">
        <v>0</v>
      </c>
      <c r="AH1436" s="510">
        <v>0</v>
      </c>
      <c r="AI1436" s="75"/>
      <c r="AJ1436" s="75"/>
      <c r="AK1436" s="75"/>
      <c r="AL1436" s="75"/>
      <c r="AM1436" s="75"/>
      <c r="AN1436" s="64" t="s">
        <v>181</v>
      </c>
      <c r="AO1436" s="64"/>
      <c r="AP1436" s="64"/>
      <c r="AQ1436" s="189"/>
      <c r="AR1436" s="64"/>
      <c r="AS1436" s="476"/>
      <c r="AT1436" s="64"/>
      <c r="AU1436" s="646"/>
      <c r="AV1436" s="185"/>
    </row>
    <row r="1437" spans="1:48" ht="45" outlineLevel="2" x14ac:dyDescent="0.25">
      <c r="A1437" s="63" t="str">
        <f t="shared" si="266"/>
        <v>5.17.4.1.2.58</v>
      </c>
      <c r="B1437" s="64">
        <v>5</v>
      </c>
      <c r="C1437" s="64">
        <v>17</v>
      </c>
      <c r="D1437" s="64">
        <v>4</v>
      </c>
      <c r="E1437" s="64">
        <v>1</v>
      </c>
      <c r="F1437" s="64">
        <v>2</v>
      </c>
      <c r="G1437" s="64">
        <v>58</v>
      </c>
      <c r="H1437" s="65"/>
      <c r="I1437" s="65"/>
      <c r="J1437" s="65"/>
      <c r="K1437" s="67" t="s">
        <v>1614</v>
      </c>
      <c r="L1437" s="64" t="s">
        <v>236</v>
      </c>
      <c r="M1437" s="64" t="s">
        <v>73</v>
      </c>
      <c r="N1437" s="64" t="s">
        <v>257</v>
      </c>
      <c r="O1437" s="64" t="s">
        <v>1613</v>
      </c>
      <c r="P1437" s="64"/>
      <c r="Q1437" s="64"/>
      <c r="R1437" s="64"/>
      <c r="S1437" s="65"/>
      <c r="T1437" s="64"/>
      <c r="U1437" s="510">
        <v>0</v>
      </c>
      <c r="V1437" s="696">
        <v>0</v>
      </c>
      <c r="W1437" s="75"/>
      <c r="X1437" s="75"/>
      <c r="Y1437" s="834">
        <f t="shared" si="297"/>
        <v>0</v>
      </c>
      <c r="Z1437" s="75"/>
      <c r="AA1437" s="75"/>
      <c r="AB1437" s="75"/>
      <c r="AC1437" s="97"/>
      <c r="AD1437" s="97"/>
      <c r="AE1437" s="591"/>
      <c r="AF1437" s="259"/>
      <c r="AG1437" s="510">
        <v>0</v>
      </c>
      <c r="AH1437" s="510">
        <v>0</v>
      </c>
      <c r="AI1437" s="75"/>
      <c r="AJ1437" s="75"/>
      <c r="AK1437" s="75"/>
      <c r="AL1437" s="75"/>
      <c r="AM1437" s="75"/>
      <c r="AN1437" s="64" t="s">
        <v>181</v>
      </c>
      <c r="AO1437" s="64"/>
      <c r="AP1437" s="64"/>
      <c r="AQ1437" s="189"/>
      <c r="AR1437" s="64"/>
      <c r="AS1437" s="476"/>
      <c r="AT1437" s="64"/>
      <c r="AU1437" s="646"/>
      <c r="AV1437" s="185"/>
    </row>
    <row r="1438" spans="1:48" ht="19.5" customHeight="1" outlineLevel="2" x14ac:dyDescent="0.25">
      <c r="A1438" s="63" t="str">
        <f t="shared" si="266"/>
        <v>5.17.4.1.3.58</v>
      </c>
      <c r="B1438" s="293">
        <v>5</v>
      </c>
      <c r="C1438" s="293">
        <v>17</v>
      </c>
      <c r="D1438" s="293">
        <v>4</v>
      </c>
      <c r="E1438" s="293">
        <v>1</v>
      </c>
      <c r="F1438" s="293">
        <v>3</v>
      </c>
      <c r="G1438" s="293">
        <v>58</v>
      </c>
      <c r="H1438" s="65"/>
      <c r="I1438" s="65"/>
      <c r="J1438" s="65"/>
      <c r="K1438" s="65" t="s">
        <v>1878</v>
      </c>
      <c r="L1438" s="64" t="s">
        <v>236</v>
      </c>
      <c r="M1438" s="64" t="s">
        <v>73</v>
      </c>
      <c r="N1438" s="64" t="s">
        <v>257</v>
      </c>
      <c r="O1438" s="64" t="s">
        <v>1613</v>
      </c>
      <c r="P1438" s="64"/>
      <c r="Q1438" s="64"/>
      <c r="R1438" s="64"/>
      <c r="S1438" s="65"/>
      <c r="T1438" s="64"/>
      <c r="U1438" s="510">
        <v>0</v>
      </c>
      <c r="V1438" s="696">
        <v>0</v>
      </c>
      <c r="W1438" s="75"/>
      <c r="X1438" s="75"/>
      <c r="Y1438" s="834">
        <f t="shared" si="297"/>
        <v>0</v>
      </c>
      <c r="Z1438" s="75"/>
      <c r="AA1438" s="75"/>
      <c r="AB1438" s="75"/>
      <c r="AC1438" s="97"/>
      <c r="AD1438" s="97"/>
      <c r="AE1438" s="591"/>
      <c r="AF1438" s="259"/>
      <c r="AG1438" s="510">
        <v>0</v>
      </c>
      <c r="AH1438" s="510">
        <v>0</v>
      </c>
      <c r="AI1438" s="75"/>
      <c r="AJ1438" s="75"/>
      <c r="AK1438" s="75"/>
      <c r="AL1438" s="75"/>
      <c r="AM1438" s="75"/>
      <c r="AN1438" s="64" t="s">
        <v>181</v>
      </c>
      <c r="AO1438" s="64"/>
      <c r="AP1438" s="64"/>
      <c r="AQ1438" s="189"/>
      <c r="AR1438" s="64"/>
      <c r="AS1438" s="476"/>
      <c r="AT1438" s="64"/>
      <c r="AU1438" s="646"/>
      <c r="AV1438" s="185"/>
    </row>
    <row r="1439" spans="1:48" s="153" customFormat="1" ht="15" customHeight="1" outlineLevel="1" x14ac:dyDescent="0.25">
      <c r="A1439" s="148" t="str">
        <f t="shared" si="266"/>
        <v>5.17.4.2.0.0</v>
      </c>
      <c r="B1439" s="82">
        <v>5</v>
      </c>
      <c r="C1439" s="82">
        <v>17</v>
      </c>
      <c r="D1439" s="82">
        <v>4</v>
      </c>
      <c r="E1439" s="82">
        <v>2</v>
      </c>
      <c r="F1439" s="82">
        <v>0</v>
      </c>
      <c r="G1439" s="82">
        <v>0</v>
      </c>
      <c r="H1439" s="149"/>
      <c r="I1439" s="149"/>
      <c r="J1439" s="1260" t="s">
        <v>1615</v>
      </c>
      <c r="K1439" s="1259"/>
      <c r="L1439" s="82" t="s">
        <v>236</v>
      </c>
      <c r="M1439" s="82" t="s">
        <v>977</v>
      </c>
      <c r="N1439" s="82" t="s">
        <v>257</v>
      </c>
      <c r="O1439" s="82" t="s">
        <v>1613</v>
      </c>
      <c r="P1439" s="294"/>
      <c r="Q1439" s="294"/>
      <c r="R1439" s="82"/>
      <c r="S1439" s="149"/>
      <c r="T1439" s="82"/>
      <c r="U1439" s="512">
        <f>+SUM(U1440:U1442)</f>
        <v>0</v>
      </c>
      <c r="V1439" s="693">
        <f>+SUM(V1440:V1442)</f>
        <v>0</v>
      </c>
      <c r="W1439" s="152"/>
      <c r="X1439" s="152"/>
      <c r="Y1439" s="834">
        <f t="shared" si="297"/>
        <v>0</v>
      </c>
      <c r="Z1439" s="152"/>
      <c r="AA1439" s="152"/>
      <c r="AB1439" s="152"/>
      <c r="AC1439" s="257"/>
      <c r="AD1439" s="257"/>
      <c r="AE1439" s="611"/>
      <c r="AF1439" s="358"/>
      <c r="AG1439" s="512">
        <f>+SUM(AG1440:AG1442)</f>
        <v>0</v>
      </c>
      <c r="AH1439" s="512">
        <f>+SUM(AH1440:AH1442)</f>
        <v>0</v>
      </c>
      <c r="AI1439" s="512">
        <f>+SUM(AI1440:AI1442)</f>
        <v>0</v>
      </c>
      <c r="AJ1439" s="512">
        <f>+SUM(AJ1440:AJ1442)</f>
        <v>0</v>
      </c>
      <c r="AK1439" s="152"/>
      <c r="AL1439" s="152"/>
      <c r="AM1439" s="152"/>
      <c r="AN1439" s="82" t="s">
        <v>181</v>
      </c>
      <c r="AO1439" s="82"/>
      <c r="AP1439" s="82"/>
      <c r="AQ1439" s="365"/>
      <c r="AR1439" s="82"/>
      <c r="AS1439" s="483"/>
      <c r="AT1439" s="82"/>
      <c r="AU1439" s="666"/>
      <c r="AV1439" s="444"/>
    </row>
    <row r="1440" spans="1:48" ht="29.25" customHeight="1" outlineLevel="2" x14ac:dyDescent="0.25">
      <c r="A1440" s="63" t="str">
        <f t="shared" si="266"/>
        <v>5.17.4.2.1.59</v>
      </c>
      <c r="B1440" s="64">
        <v>5</v>
      </c>
      <c r="C1440" s="64">
        <v>17</v>
      </c>
      <c r="D1440" s="64">
        <v>4</v>
      </c>
      <c r="E1440" s="64">
        <v>2</v>
      </c>
      <c r="F1440" s="64">
        <v>1</v>
      </c>
      <c r="G1440" s="64">
        <v>59</v>
      </c>
      <c r="H1440" s="65"/>
      <c r="I1440" s="65"/>
      <c r="J1440" s="66"/>
      <c r="K1440" s="67" t="s">
        <v>1616</v>
      </c>
      <c r="L1440" s="64" t="s">
        <v>236</v>
      </c>
      <c r="M1440" s="64" t="s">
        <v>73</v>
      </c>
      <c r="N1440" s="64" t="s">
        <v>257</v>
      </c>
      <c r="O1440" s="64" t="s">
        <v>1613</v>
      </c>
      <c r="P1440" s="64"/>
      <c r="Q1440" s="64"/>
      <c r="R1440" s="64"/>
      <c r="S1440" s="65"/>
      <c r="T1440" s="64"/>
      <c r="U1440" s="510">
        <v>0</v>
      </c>
      <c r="V1440" s="696">
        <v>0</v>
      </c>
      <c r="W1440" s="75"/>
      <c r="X1440" s="75"/>
      <c r="Y1440" s="834">
        <f t="shared" si="297"/>
        <v>0</v>
      </c>
      <c r="Z1440" s="75"/>
      <c r="AA1440" s="75"/>
      <c r="AB1440" s="75"/>
      <c r="AC1440" s="97"/>
      <c r="AD1440" s="97"/>
      <c r="AE1440" s="591"/>
      <c r="AF1440" s="259"/>
      <c r="AG1440" s="510">
        <v>0</v>
      </c>
      <c r="AH1440" s="510">
        <v>0</v>
      </c>
      <c r="AI1440" s="75"/>
      <c r="AJ1440" s="75"/>
      <c r="AK1440" s="75"/>
      <c r="AL1440" s="75"/>
      <c r="AM1440" s="75"/>
      <c r="AN1440" s="64" t="s">
        <v>181</v>
      </c>
      <c r="AO1440" s="64"/>
      <c r="AP1440" s="64"/>
      <c r="AQ1440" s="189"/>
      <c r="AR1440" s="64"/>
      <c r="AS1440" s="476"/>
      <c r="AT1440" s="64"/>
      <c r="AU1440" s="646"/>
      <c r="AV1440" s="185"/>
    </row>
    <row r="1441" spans="1:48" ht="33" customHeight="1" outlineLevel="2" x14ac:dyDescent="0.25">
      <c r="A1441" s="63" t="str">
        <f t="shared" si="266"/>
        <v>5.17.4.2.2.59</v>
      </c>
      <c r="B1441" s="64">
        <v>5</v>
      </c>
      <c r="C1441" s="64">
        <v>17</v>
      </c>
      <c r="D1441" s="64">
        <v>4</v>
      </c>
      <c r="E1441" s="64">
        <v>2</v>
      </c>
      <c r="F1441" s="64">
        <v>2</v>
      </c>
      <c r="G1441" s="64">
        <v>59</v>
      </c>
      <c r="H1441" s="65"/>
      <c r="I1441" s="65"/>
      <c r="J1441" s="66"/>
      <c r="K1441" s="67" t="s">
        <v>1617</v>
      </c>
      <c r="L1441" s="64" t="s">
        <v>236</v>
      </c>
      <c r="M1441" s="64" t="s">
        <v>73</v>
      </c>
      <c r="N1441" s="64" t="s">
        <v>257</v>
      </c>
      <c r="O1441" s="64" t="s">
        <v>1613</v>
      </c>
      <c r="P1441" s="64"/>
      <c r="Q1441" s="64"/>
      <c r="R1441" s="64"/>
      <c r="S1441" s="65"/>
      <c r="T1441" s="64"/>
      <c r="U1441" s="510">
        <v>0</v>
      </c>
      <c r="V1441" s="696">
        <v>0</v>
      </c>
      <c r="W1441" s="75"/>
      <c r="X1441" s="75"/>
      <c r="Y1441" s="834">
        <f t="shared" si="297"/>
        <v>0</v>
      </c>
      <c r="Z1441" s="75"/>
      <c r="AA1441" s="75"/>
      <c r="AB1441" s="75"/>
      <c r="AC1441" s="97"/>
      <c r="AD1441" s="97"/>
      <c r="AE1441" s="591"/>
      <c r="AF1441" s="259"/>
      <c r="AG1441" s="510">
        <v>0</v>
      </c>
      <c r="AH1441" s="510">
        <v>0</v>
      </c>
      <c r="AI1441" s="75"/>
      <c r="AJ1441" s="75"/>
      <c r="AK1441" s="75"/>
      <c r="AL1441" s="75"/>
      <c r="AM1441" s="75"/>
      <c r="AN1441" s="64" t="s">
        <v>181</v>
      </c>
      <c r="AO1441" s="64"/>
      <c r="AP1441" s="64"/>
      <c r="AQ1441" s="189"/>
      <c r="AR1441" s="64"/>
      <c r="AS1441" s="476"/>
      <c r="AT1441" s="64"/>
      <c r="AU1441" s="646"/>
      <c r="AV1441" s="185"/>
    </row>
    <row r="1442" spans="1:48" ht="33" customHeight="1" outlineLevel="2" x14ac:dyDescent="0.25">
      <c r="A1442" s="63" t="str">
        <f t="shared" si="266"/>
        <v>5.17.4.2.3.59</v>
      </c>
      <c r="B1442" s="64">
        <v>5</v>
      </c>
      <c r="C1442" s="64">
        <v>17</v>
      </c>
      <c r="D1442" s="64">
        <v>4</v>
      </c>
      <c r="E1442" s="64">
        <v>2</v>
      </c>
      <c r="F1442" s="64">
        <v>3</v>
      </c>
      <c r="G1442" s="64">
        <v>59</v>
      </c>
      <c r="H1442" s="65"/>
      <c r="I1442" s="65"/>
      <c r="J1442" s="66"/>
      <c r="K1442" s="67" t="s">
        <v>1618</v>
      </c>
      <c r="L1442" s="64" t="s">
        <v>236</v>
      </c>
      <c r="M1442" s="64" t="s">
        <v>73</v>
      </c>
      <c r="N1442" s="64" t="s">
        <v>257</v>
      </c>
      <c r="O1442" s="64" t="s">
        <v>1613</v>
      </c>
      <c r="P1442" s="64"/>
      <c r="Q1442" s="64"/>
      <c r="R1442" s="64"/>
      <c r="S1442" s="65"/>
      <c r="T1442" s="64"/>
      <c r="U1442" s="510">
        <v>0</v>
      </c>
      <c r="V1442" s="696">
        <v>0</v>
      </c>
      <c r="W1442" s="75"/>
      <c r="X1442" s="75"/>
      <c r="Y1442" s="834">
        <f t="shared" si="297"/>
        <v>0</v>
      </c>
      <c r="Z1442" s="75"/>
      <c r="AA1442" s="75"/>
      <c r="AB1442" s="75"/>
      <c r="AC1442" s="97"/>
      <c r="AD1442" s="97"/>
      <c r="AE1442" s="591"/>
      <c r="AF1442" s="259"/>
      <c r="AG1442" s="510">
        <v>0</v>
      </c>
      <c r="AH1442" s="510">
        <v>0</v>
      </c>
      <c r="AI1442" s="75"/>
      <c r="AJ1442" s="75"/>
      <c r="AK1442" s="75"/>
      <c r="AL1442" s="75"/>
      <c r="AM1442" s="75"/>
      <c r="AN1442" s="64" t="s">
        <v>181</v>
      </c>
      <c r="AO1442" s="64"/>
      <c r="AP1442" s="64"/>
      <c r="AQ1442" s="189"/>
      <c r="AR1442" s="64"/>
      <c r="AS1442" s="476"/>
      <c r="AT1442" s="64"/>
      <c r="AU1442" s="646"/>
      <c r="AV1442" s="185"/>
    </row>
    <row r="1443" spans="1:48" s="153" customFormat="1" outlineLevel="1" x14ac:dyDescent="0.25">
      <c r="A1443" s="148" t="str">
        <f t="shared" si="266"/>
        <v>5.17.4.3.0.0</v>
      </c>
      <c r="B1443" s="82">
        <v>5</v>
      </c>
      <c r="C1443" s="82">
        <v>17</v>
      </c>
      <c r="D1443" s="82">
        <v>4</v>
      </c>
      <c r="E1443" s="82">
        <v>3</v>
      </c>
      <c r="F1443" s="82">
        <v>0</v>
      </c>
      <c r="G1443" s="82">
        <v>0</v>
      </c>
      <c r="H1443" s="149"/>
      <c r="I1443" s="149"/>
      <c r="J1443" s="1260" t="s">
        <v>1619</v>
      </c>
      <c r="K1443" s="1259"/>
      <c r="L1443" s="82" t="s">
        <v>236</v>
      </c>
      <c r="M1443" s="82" t="s">
        <v>73</v>
      </c>
      <c r="N1443" s="82" t="s">
        <v>257</v>
      </c>
      <c r="O1443" s="82" t="s">
        <v>1613</v>
      </c>
      <c r="P1443" s="294"/>
      <c r="Q1443" s="294"/>
      <c r="R1443" s="82"/>
      <c r="S1443" s="149"/>
      <c r="T1443" s="82"/>
      <c r="U1443" s="512">
        <f>+SUM(U1444:U1450)</f>
        <v>0</v>
      </c>
      <c r="V1443" s="693">
        <f>+SUM(V1444:V1450)</f>
        <v>0</v>
      </c>
      <c r="W1443" s="152"/>
      <c r="X1443" s="152"/>
      <c r="Y1443" s="834">
        <f t="shared" si="297"/>
        <v>0</v>
      </c>
      <c r="Z1443" s="152"/>
      <c r="AA1443" s="152"/>
      <c r="AB1443" s="152"/>
      <c r="AC1443" s="257"/>
      <c r="AD1443" s="257"/>
      <c r="AE1443" s="611"/>
      <c r="AF1443" s="358"/>
      <c r="AG1443" s="512">
        <f>+SUM(AG1444:AG1450)</f>
        <v>0</v>
      </c>
      <c r="AH1443" s="512">
        <f>+SUM(AH1444:AH1450)</f>
        <v>0</v>
      </c>
      <c r="AI1443" s="512">
        <f>+SUM(AI1444:AI1450)</f>
        <v>0</v>
      </c>
      <c r="AJ1443" s="512">
        <f>+SUM(AJ1444:AJ1450)</f>
        <v>0</v>
      </c>
      <c r="AK1443" s="152"/>
      <c r="AL1443" s="152"/>
      <c r="AM1443" s="152"/>
      <c r="AN1443" s="82" t="s">
        <v>181</v>
      </c>
      <c r="AO1443" s="82"/>
      <c r="AP1443" s="82"/>
      <c r="AQ1443" s="365"/>
      <c r="AR1443" s="82"/>
      <c r="AS1443" s="483"/>
      <c r="AT1443" s="82"/>
      <c r="AU1443" s="666"/>
      <c r="AV1443" s="444"/>
    </row>
    <row r="1444" spans="1:48" ht="30" outlineLevel="2" x14ac:dyDescent="0.25">
      <c r="A1444" s="63" t="str">
        <f t="shared" si="266"/>
        <v>5.17.4.3.1.63</v>
      </c>
      <c r="B1444" s="64">
        <v>5</v>
      </c>
      <c r="C1444" s="64">
        <v>17</v>
      </c>
      <c r="D1444" s="64">
        <v>4</v>
      </c>
      <c r="E1444" s="64">
        <v>3</v>
      </c>
      <c r="F1444" s="64">
        <v>1</v>
      </c>
      <c r="G1444" s="64">
        <v>63</v>
      </c>
      <c r="H1444" s="65"/>
      <c r="I1444" s="65"/>
      <c r="J1444" s="65"/>
      <c r="K1444" s="67" t="s">
        <v>1616</v>
      </c>
      <c r="L1444" s="64" t="s">
        <v>236</v>
      </c>
      <c r="M1444" s="64" t="s">
        <v>73</v>
      </c>
      <c r="N1444" s="64" t="s">
        <v>257</v>
      </c>
      <c r="O1444" s="64" t="s">
        <v>1613</v>
      </c>
      <c r="P1444" s="64"/>
      <c r="Q1444" s="64"/>
      <c r="R1444" s="64"/>
      <c r="S1444" s="65"/>
      <c r="T1444" s="64"/>
      <c r="U1444" s="510">
        <v>0</v>
      </c>
      <c r="V1444" s="696">
        <v>0</v>
      </c>
      <c r="W1444" s="75"/>
      <c r="X1444" s="75"/>
      <c r="Y1444" s="834">
        <f t="shared" si="297"/>
        <v>0</v>
      </c>
      <c r="Z1444" s="75"/>
      <c r="AA1444" s="75"/>
      <c r="AB1444" s="75"/>
      <c r="AC1444" s="97"/>
      <c r="AD1444" s="97"/>
      <c r="AE1444" s="591"/>
      <c r="AF1444" s="259"/>
      <c r="AG1444" s="510">
        <v>0</v>
      </c>
      <c r="AH1444" s="510">
        <v>0</v>
      </c>
      <c r="AI1444" s="75"/>
      <c r="AJ1444" s="75"/>
      <c r="AK1444" s="75"/>
      <c r="AL1444" s="75"/>
      <c r="AM1444" s="75"/>
      <c r="AN1444" s="64" t="s">
        <v>181</v>
      </c>
      <c r="AO1444" s="64"/>
      <c r="AP1444" s="64"/>
      <c r="AQ1444" s="189"/>
      <c r="AR1444" s="64"/>
      <c r="AS1444" s="476"/>
      <c r="AT1444" s="64"/>
      <c r="AU1444" s="646"/>
      <c r="AV1444" s="185"/>
    </row>
    <row r="1445" spans="1:48" ht="30" outlineLevel="2" x14ac:dyDescent="0.25">
      <c r="A1445" s="63" t="str">
        <f t="shared" si="266"/>
        <v>5.17.4.3.2.63</v>
      </c>
      <c r="B1445" s="64">
        <v>5</v>
      </c>
      <c r="C1445" s="64">
        <v>17</v>
      </c>
      <c r="D1445" s="64">
        <v>4</v>
      </c>
      <c r="E1445" s="64">
        <v>3</v>
      </c>
      <c r="F1445" s="64">
        <v>2</v>
      </c>
      <c r="G1445" s="64">
        <v>63</v>
      </c>
      <c r="H1445" s="65"/>
      <c r="I1445" s="65"/>
      <c r="J1445" s="65"/>
      <c r="K1445" s="67" t="s">
        <v>1617</v>
      </c>
      <c r="L1445" s="64" t="s">
        <v>236</v>
      </c>
      <c r="M1445" s="64" t="s">
        <v>73</v>
      </c>
      <c r="N1445" s="64" t="s">
        <v>257</v>
      </c>
      <c r="O1445" s="64" t="s">
        <v>1613</v>
      </c>
      <c r="P1445" s="64"/>
      <c r="Q1445" s="64"/>
      <c r="R1445" s="64"/>
      <c r="S1445" s="65"/>
      <c r="T1445" s="64"/>
      <c r="U1445" s="510">
        <v>0</v>
      </c>
      <c r="V1445" s="696">
        <v>0</v>
      </c>
      <c r="W1445" s="75"/>
      <c r="X1445" s="75"/>
      <c r="Y1445" s="834">
        <f t="shared" si="297"/>
        <v>0</v>
      </c>
      <c r="Z1445" s="75"/>
      <c r="AA1445" s="75"/>
      <c r="AB1445" s="75"/>
      <c r="AC1445" s="97"/>
      <c r="AD1445" s="97"/>
      <c r="AE1445" s="591"/>
      <c r="AF1445" s="259"/>
      <c r="AG1445" s="510">
        <v>0</v>
      </c>
      <c r="AH1445" s="510">
        <v>0</v>
      </c>
      <c r="AI1445" s="75"/>
      <c r="AJ1445" s="75"/>
      <c r="AK1445" s="75"/>
      <c r="AL1445" s="75"/>
      <c r="AM1445" s="75"/>
      <c r="AN1445" s="64" t="s">
        <v>181</v>
      </c>
      <c r="AO1445" s="64"/>
      <c r="AP1445" s="64"/>
      <c r="AQ1445" s="189"/>
      <c r="AR1445" s="64"/>
      <c r="AS1445" s="476"/>
      <c r="AT1445" s="64"/>
      <c r="AU1445" s="646"/>
      <c r="AV1445" s="185"/>
    </row>
    <row r="1446" spans="1:48" ht="15" customHeight="1" outlineLevel="2" x14ac:dyDescent="0.25">
      <c r="A1446" s="63" t="str">
        <f t="shared" si="266"/>
        <v>5.17.4.3.3.63</v>
      </c>
      <c r="B1446" s="64">
        <v>5</v>
      </c>
      <c r="C1446" s="64">
        <v>17</v>
      </c>
      <c r="D1446" s="64">
        <v>4</v>
      </c>
      <c r="E1446" s="64">
        <v>3</v>
      </c>
      <c r="F1446" s="64">
        <v>3</v>
      </c>
      <c r="G1446" s="64">
        <v>63</v>
      </c>
      <c r="H1446" s="65"/>
      <c r="I1446" s="65"/>
      <c r="J1446" s="66"/>
      <c r="K1446" s="65" t="s">
        <v>1620</v>
      </c>
      <c r="L1446" s="64" t="s">
        <v>236</v>
      </c>
      <c r="M1446" s="64" t="s">
        <v>73</v>
      </c>
      <c r="N1446" s="64" t="s">
        <v>257</v>
      </c>
      <c r="O1446" s="64" t="s">
        <v>1613</v>
      </c>
      <c r="P1446" s="64"/>
      <c r="Q1446" s="64"/>
      <c r="R1446" s="64"/>
      <c r="S1446" s="65"/>
      <c r="T1446" s="64"/>
      <c r="U1446" s="510">
        <v>0</v>
      </c>
      <c r="V1446" s="696">
        <v>0</v>
      </c>
      <c r="W1446" s="75"/>
      <c r="X1446" s="75"/>
      <c r="Y1446" s="834">
        <f t="shared" si="297"/>
        <v>0</v>
      </c>
      <c r="Z1446" s="75"/>
      <c r="AA1446" s="75"/>
      <c r="AB1446" s="75"/>
      <c r="AC1446" s="97"/>
      <c r="AD1446" s="97"/>
      <c r="AE1446" s="591"/>
      <c r="AF1446" s="259"/>
      <c r="AG1446" s="510">
        <v>0</v>
      </c>
      <c r="AH1446" s="510">
        <v>0</v>
      </c>
      <c r="AI1446" s="75"/>
      <c r="AJ1446" s="75"/>
      <c r="AK1446" s="75"/>
      <c r="AL1446" s="75"/>
      <c r="AM1446" s="75"/>
      <c r="AN1446" s="64" t="s">
        <v>181</v>
      </c>
      <c r="AO1446" s="64"/>
      <c r="AP1446" s="64"/>
      <c r="AQ1446" s="189"/>
      <c r="AR1446" s="64"/>
      <c r="AS1446" s="476"/>
      <c r="AT1446" s="64"/>
      <c r="AU1446" s="646"/>
      <c r="AV1446" s="185"/>
    </row>
    <row r="1447" spans="1:48" ht="15" customHeight="1" outlineLevel="2" x14ac:dyDescent="0.25">
      <c r="A1447" s="63" t="str">
        <f t="shared" si="266"/>
        <v>5.17.4.3.4.63</v>
      </c>
      <c r="B1447" s="64">
        <v>5</v>
      </c>
      <c r="C1447" s="64">
        <v>17</v>
      </c>
      <c r="D1447" s="64">
        <v>4</v>
      </c>
      <c r="E1447" s="64">
        <v>3</v>
      </c>
      <c r="F1447" s="64">
        <v>4</v>
      </c>
      <c r="G1447" s="64">
        <v>63</v>
      </c>
      <c r="H1447" s="65"/>
      <c r="I1447" s="65"/>
      <c r="J1447" s="66"/>
      <c r="K1447" s="65" t="s">
        <v>1621</v>
      </c>
      <c r="L1447" s="64" t="s">
        <v>236</v>
      </c>
      <c r="M1447" s="64" t="s">
        <v>73</v>
      </c>
      <c r="N1447" s="64" t="s">
        <v>257</v>
      </c>
      <c r="O1447" s="64" t="s">
        <v>1613</v>
      </c>
      <c r="P1447" s="64"/>
      <c r="Q1447" s="64"/>
      <c r="R1447" s="64"/>
      <c r="S1447" s="65"/>
      <c r="T1447" s="64"/>
      <c r="U1447" s="510">
        <v>0</v>
      </c>
      <c r="V1447" s="696">
        <v>0</v>
      </c>
      <c r="W1447" s="75"/>
      <c r="X1447" s="75"/>
      <c r="Y1447" s="834">
        <f t="shared" si="297"/>
        <v>0</v>
      </c>
      <c r="Z1447" s="75"/>
      <c r="AA1447" s="75"/>
      <c r="AB1447" s="75"/>
      <c r="AC1447" s="97"/>
      <c r="AD1447" s="97"/>
      <c r="AE1447" s="591"/>
      <c r="AF1447" s="259"/>
      <c r="AG1447" s="510">
        <v>0</v>
      </c>
      <c r="AH1447" s="510">
        <v>0</v>
      </c>
      <c r="AI1447" s="75"/>
      <c r="AJ1447" s="75"/>
      <c r="AK1447" s="75"/>
      <c r="AL1447" s="75"/>
      <c r="AM1447" s="75"/>
      <c r="AN1447" s="64" t="s">
        <v>181</v>
      </c>
      <c r="AO1447" s="64"/>
      <c r="AP1447" s="64"/>
      <c r="AQ1447" s="189"/>
      <c r="AR1447" s="64"/>
      <c r="AS1447" s="476"/>
      <c r="AT1447" s="64"/>
      <c r="AU1447" s="646"/>
      <c r="AV1447" s="185"/>
    </row>
    <row r="1448" spans="1:48" ht="15" customHeight="1" outlineLevel="2" x14ac:dyDescent="0.25">
      <c r="A1448" s="63" t="str">
        <f t="shared" si="266"/>
        <v>5.17.4.3.5.63</v>
      </c>
      <c r="B1448" s="64">
        <v>5</v>
      </c>
      <c r="C1448" s="64">
        <v>17</v>
      </c>
      <c r="D1448" s="64">
        <v>4</v>
      </c>
      <c r="E1448" s="64">
        <v>3</v>
      </c>
      <c r="F1448" s="64">
        <v>5</v>
      </c>
      <c r="G1448" s="64">
        <v>63</v>
      </c>
      <c r="H1448" s="65"/>
      <c r="I1448" s="65"/>
      <c r="J1448" s="66"/>
      <c r="K1448" s="65" t="s">
        <v>1622</v>
      </c>
      <c r="L1448" s="64" t="s">
        <v>236</v>
      </c>
      <c r="M1448" s="64" t="s">
        <v>73</v>
      </c>
      <c r="N1448" s="64" t="s">
        <v>257</v>
      </c>
      <c r="O1448" s="64" t="s">
        <v>1613</v>
      </c>
      <c r="P1448" s="64"/>
      <c r="Q1448" s="64"/>
      <c r="R1448" s="64"/>
      <c r="S1448" s="65"/>
      <c r="T1448" s="64"/>
      <c r="U1448" s="510">
        <v>0</v>
      </c>
      <c r="V1448" s="696">
        <v>0</v>
      </c>
      <c r="W1448" s="75"/>
      <c r="X1448" s="75"/>
      <c r="Y1448" s="834">
        <f t="shared" si="297"/>
        <v>0</v>
      </c>
      <c r="Z1448" s="75"/>
      <c r="AA1448" s="75"/>
      <c r="AB1448" s="75"/>
      <c r="AC1448" s="97"/>
      <c r="AD1448" s="97"/>
      <c r="AE1448" s="591"/>
      <c r="AF1448" s="259"/>
      <c r="AG1448" s="510">
        <v>0</v>
      </c>
      <c r="AH1448" s="510">
        <v>0</v>
      </c>
      <c r="AI1448" s="75"/>
      <c r="AJ1448" s="75"/>
      <c r="AK1448" s="75"/>
      <c r="AL1448" s="75"/>
      <c r="AM1448" s="75"/>
      <c r="AN1448" s="64" t="s">
        <v>181</v>
      </c>
      <c r="AO1448" s="64"/>
      <c r="AP1448" s="64"/>
      <c r="AQ1448" s="189"/>
      <c r="AR1448" s="64"/>
      <c r="AS1448" s="476"/>
      <c r="AT1448" s="64"/>
      <c r="AU1448" s="646"/>
      <c r="AV1448" s="185"/>
    </row>
    <row r="1449" spans="1:48" ht="35.25" customHeight="1" outlineLevel="2" x14ac:dyDescent="0.25">
      <c r="A1449" s="63" t="str">
        <f t="shared" si="266"/>
        <v>5.17.4.3.6.63</v>
      </c>
      <c r="B1449" s="64">
        <v>5</v>
      </c>
      <c r="C1449" s="64">
        <v>17</v>
      </c>
      <c r="D1449" s="64">
        <v>4</v>
      </c>
      <c r="E1449" s="64">
        <v>3</v>
      </c>
      <c r="F1449" s="64">
        <v>6</v>
      </c>
      <c r="G1449" s="64">
        <v>63</v>
      </c>
      <c r="H1449" s="65"/>
      <c r="I1449" s="65"/>
      <c r="J1449" s="66"/>
      <c r="K1449" s="67" t="s">
        <v>1623</v>
      </c>
      <c r="L1449" s="64" t="s">
        <v>236</v>
      </c>
      <c r="M1449" s="64" t="s">
        <v>73</v>
      </c>
      <c r="N1449" s="64" t="s">
        <v>257</v>
      </c>
      <c r="O1449" s="64" t="s">
        <v>1613</v>
      </c>
      <c r="P1449" s="64"/>
      <c r="Q1449" s="64"/>
      <c r="R1449" s="64"/>
      <c r="S1449" s="65"/>
      <c r="T1449" s="64"/>
      <c r="U1449" s="510">
        <v>0</v>
      </c>
      <c r="V1449" s="696">
        <v>0</v>
      </c>
      <c r="W1449" s="75"/>
      <c r="X1449" s="75"/>
      <c r="Y1449" s="834">
        <f t="shared" si="297"/>
        <v>0</v>
      </c>
      <c r="Z1449" s="75"/>
      <c r="AA1449" s="75"/>
      <c r="AB1449" s="75"/>
      <c r="AC1449" s="97"/>
      <c r="AD1449" s="97"/>
      <c r="AE1449" s="591"/>
      <c r="AF1449" s="259"/>
      <c r="AG1449" s="510">
        <v>0</v>
      </c>
      <c r="AH1449" s="510">
        <v>0</v>
      </c>
      <c r="AI1449" s="75"/>
      <c r="AJ1449" s="75"/>
      <c r="AK1449" s="75"/>
      <c r="AL1449" s="75"/>
      <c r="AM1449" s="75"/>
      <c r="AN1449" s="64" t="s">
        <v>181</v>
      </c>
      <c r="AO1449" s="64"/>
      <c r="AP1449" s="64"/>
      <c r="AQ1449" s="189"/>
      <c r="AR1449" s="64"/>
      <c r="AS1449" s="476"/>
      <c r="AT1449" s="64"/>
      <c r="AU1449" s="646"/>
      <c r="AV1449" s="185"/>
    </row>
    <row r="1450" spans="1:48" ht="39" customHeight="1" outlineLevel="2" x14ac:dyDescent="0.25">
      <c r="A1450" s="63" t="str">
        <f t="shared" si="266"/>
        <v>5.17.4.3.7.63</v>
      </c>
      <c r="B1450" s="64">
        <v>5</v>
      </c>
      <c r="C1450" s="64">
        <v>17</v>
      </c>
      <c r="D1450" s="64">
        <v>4</v>
      </c>
      <c r="E1450" s="64">
        <v>3</v>
      </c>
      <c r="F1450" s="64">
        <v>7</v>
      </c>
      <c r="G1450" s="64">
        <v>63</v>
      </c>
      <c r="H1450" s="65"/>
      <c r="I1450" s="65"/>
      <c r="J1450" s="65"/>
      <c r="K1450" s="67" t="s">
        <v>1624</v>
      </c>
      <c r="L1450" s="64" t="s">
        <v>236</v>
      </c>
      <c r="M1450" s="64" t="s">
        <v>73</v>
      </c>
      <c r="N1450" s="64" t="s">
        <v>226</v>
      </c>
      <c r="O1450" s="64" t="s">
        <v>1613</v>
      </c>
      <c r="P1450" s="170"/>
      <c r="Q1450" s="295"/>
      <c r="R1450" s="64"/>
      <c r="S1450" s="65"/>
      <c r="T1450" s="64"/>
      <c r="U1450" s="510">
        <v>0</v>
      </c>
      <c r="V1450" s="696">
        <v>0</v>
      </c>
      <c r="W1450" s="75"/>
      <c r="X1450" s="75"/>
      <c r="Y1450" s="834">
        <f t="shared" si="297"/>
        <v>0</v>
      </c>
      <c r="Z1450" s="75"/>
      <c r="AA1450" s="75"/>
      <c r="AB1450" s="75"/>
      <c r="AC1450" s="97"/>
      <c r="AD1450" s="97"/>
      <c r="AE1450" s="591"/>
      <c r="AF1450" s="259"/>
      <c r="AG1450" s="510">
        <v>0</v>
      </c>
      <c r="AH1450" s="510">
        <v>0</v>
      </c>
      <c r="AI1450" s="75"/>
      <c r="AJ1450" s="75"/>
      <c r="AK1450" s="75"/>
      <c r="AL1450" s="75"/>
      <c r="AM1450" s="75"/>
      <c r="AN1450" s="64" t="s">
        <v>181</v>
      </c>
      <c r="AO1450" s="64"/>
      <c r="AP1450" s="64"/>
      <c r="AQ1450" s="189"/>
      <c r="AR1450" s="64"/>
      <c r="AS1450" s="476"/>
      <c r="AT1450" s="64"/>
      <c r="AU1450" s="646"/>
      <c r="AV1450" s="185"/>
    </row>
    <row r="1451" spans="1:48" s="153" customFormat="1" ht="15" customHeight="1" outlineLevel="1" x14ac:dyDescent="0.25">
      <c r="A1451" s="148" t="str">
        <f t="shared" si="266"/>
        <v>5.17.4.4.0.0</v>
      </c>
      <c r="B1451" s="82">
        <v>5</v>
      </c>
      <c r="C1451" s="82">
        <v>17</v>
      </c>
      <c r="D1451" s="82">
        <v>4</v>
      </c>
      <c r="E1451" s="82">
        <v>4</v>
      </c>
      <c r="F1451" s="82">
        <v>0</v>
      </c>
      <c r="G1451" s="82">
        <v>0</v>
      </c>
      <c r="H1451" s="149"/>
      <c r="I1451" s="149"/>
      <c r="J1451" s="1260" t="s">
        <v>1625</v>
      </c>
      <c r="K1451" s="1259"/>
      <c r="L1451" s="82" t="s">
        <v>236</v>
      </c>
      <c r="M1451" s="82" t="s">
        <v>73</v>
      </c>
      <c r="N1451" s="82" t="s">
        <v>257</v>
      </c>
      <c r="O1451" s="82" t="s">
        <v>1613</v>
      </c>
      <c r="P1451" s="294"/>
      <c r="Q1451" s="294"/>
      <c r="R1451" s="82"/>
      <c r="S1451" s="149"/>
      <c r="T1451" s="82"/>
      <c r="U1451" s="512">
        <f>+SUM(U1452:U1460)</f>
        <v>0</v>
      </c>
      <c r="V1451" s="693">
        <f>+SUM(V1452:V1460)</f>
        <v>0</v>
      </c>
      <c r="W1451" s="152"/>
      <c r="X1451" s="152"/>
      <c r="Y1451" s="152"/>
      <c r="Z1451" s="152"/>
      <c r="AA1451" s="152"/>
      <c r="AB1451" s="152"/>
      <c r="AC1451" s="257"/>
      <c r="AD1451" s="257"/>
      <c r="AE1451" s="611"/>
      <c r="AF1451" s="358"/>
      <c r="AG1451" s="512">
        <f>+SUM(AG1452:AG1460)</f>
        <v>0</v>
      </c>
      <c r="AH1451" s="512">
        <f>+SUM(AH1452:AH1460)</f>
        <v>0</v>
      </c>
      <c r="AI1451" s="512">
        <f>+SUM(AI1452:AI1460)</f>
        <v>0</v>
      </c>
      <c r="AJ1451" s="512">
        <f>+SUM(AJ1452:AJ1460)</f>
        <v>0</v>
      </c>
      <c r="AK1451" s="152"/>
      <c r="AL1451" s="152"/>
      <c r="AM1451" s="152"/>
      <c r="AN1451" s="82" t="s">
        <v>181</v>
      </c>
      <c r="AO1451" s="82"/>
      <c r="AP1451" s="82"/>
      <c r="AQ1451" s="365"/>
      <c r="AR1451" s="82"/>
      <c r="AS1451" s="483"/>
      <c r="AT1451" s="82"/>
      <c r="AU1451" s="666"/>
      <c r="AV1451" s="444"/>
    </row>
    <row r="1452" spans="1:48" ht="30" outlineLevel="3" x14ac:dyDescent="0.25">
      <c r="A1452" s="63" t="str">
        <f t="shared" si="266"/>
        <v>5.17.4.4.1.64</v>
      </c>
      <c r="B1452" s="64">
        <v>5</v>
      </c>
      <c r="C1452" s="64">
        <v>17</v>
      </c>
      <c r="D1452" s="64">
        <v>4</v>
      </c>
      <c r="E1452" s="64">
        <v>4</v>
      </c>
      <c r="F1452" s="64">
        <v>1</v>
      </c>
      <c r="G1452" s="64">
        <v>64</v>
      </c>
      <c r="H1452" s="65"/>
      <c r="I1452" s="65"/>
      <c r="J1452" s="66"/>
      <c r="K1452" s="67" t="s">
        <v>1616</v>
      </c>
      <c r="L1452" s="64" t="s">
        <v>236</v>
      </c>
      <c r="M1452" s="64" t="s">
        <v>73</v>
      </c>
      <c r="N1452" s="64" t="s">
        <v>257</v>
      </c>
      <c r="O1452" s="64" t="s">
        <v>1613</v>
      </c>
      <c r="P1452" s="64"/>
      <c r="Q1452" s="64"/>
      <c r="R1452" s="64"/>
      <c r="S1452" s="65"/>
      <c r="T1452" s="64"/>
      <c r="U1452" s="510">
        <v>0</v>
      </c>
      <c r="V1452" s="696">
        <v>0</v>
      </c>
      <c r="W1452" s="75"/>
      <c r="X1452" s="75"/>
      <c r="Y1452" s="834">
        <f t="shared" ref="Y1452:Y1460" si="298">+AJ1452-V1452</f>
        <v>0</v>
      </c>
      <c r="Z1452" s="75"/>
      <c r="AA1452" s="75"/>
      <c r="AB1452" s="75"/>
      <c r="AC1452" s="97"/>
      <c r="AD1452" s="97"/>
      <c r="AE1452" s="591"/>
      <c r="AF1452" s="259"/>
      <c r="AG1452" s="510">
        <v>0</v>
      </c>
      <c r="AH1452" s="510">
        <v>0</v>
      </c>
      <c r="AI1452" s="75"/>
      <c r="AJ1452" s="75"/>
      <c r="AK1452" s="75"/>
      <c r="AL1452" s="75"/>
      <c r="AM1452" s="75"/>
      <c r="AN1452" s="64" t="s">
        <v>181</v>
      </c>
      <c r="AO1452" s="64"/>
      <c r="AP1452" s="64"/>
      <c r="AQ1452" s="189"/>
      <c r="AR1452" s="64"/>
      <c r="AS1452" s="476"/>
      <c r="AT1452" s="64"/>
      <c r="AU1452" s="646"/>
      <c r="AV1452" s="185"/>
    </row>
    <row r="1453" spans="1:48" ht="31.5" customHeight="1" outlineLevel="3" x14ac:dyDescent="0.25">
      <c r="A1453" s="63" t="str">
        <f t="shared" si="266"/>
        <v>5.17.4.4.2.64</v>
      </c>
      <c r="B1453" s="64">
        <v>5</v>
      </c>
      <c r="C1453" s="64">
        <v>17</v>
      </c>
      <c r="D1453" s="64">
        <v>4</v>
      </c>
      <c r="E1453" s="64">
        <v>4</v>
      </c>
      <c r="F1453" s="64">
        <v>2</v>
      </c>
      <c r="G1453" s="64">
        <v>64</v>
      </c>
      <c r="H1453" s="65"/>
      <c r="I1453" s="65"/>
      <c r="J1453" s="66"/>
      <c r="K1453" s="67" t="s">
        <v>1617</v>
      </c>
      <c r="L1453" s="64" t="s">
        <v>236</v>
      </c>
      <c r="M1453" s="64" t="s">
        <v>73</v>
      </c>
      <c r="N1453" s="64" t="s">
        <v>257</v>
      </c>
      <c r="O1453" s="64" t="s">
        <v>1613</v>
      </c>
      <c r="P1453" s="64"/>
      <c r="Q1453" s="64"/>
      <c r="R1453" s="64"/>
      <c r="S1453" s="65"/>
      <c r="T1453" s="64"/>
      <c r="U1453" s="510">
        <v>0</v>
      </c>
      <c r="V1453" s="696">
        <v>0</v>
      </c>
      <c r="W1453" s="75"/>
      <c r="X1453" s="75"/>
      <c r="Y1453" s="834">
        <f t="shared" si="298"/>
        <v>0</v>
      </c>
      <c r="Z1453" s="75"/>
      <c r="AA1453" s="75"/>
      <c r="AB1453" s="75"/>
      <c r="AC1453" s="97"/>
      <c r="AD1453" s="97"/>
      <c r="AE1453" s="591"/>
      <c r="AF1453" s="259"/>
      <c r="AG1453" s="510">
        <v>0</v>
      </c>
      <c r="AH1453" s="510">
        <v>0</v>
      </c>
      <c r="AI1453" s="75"/>
      <c r="AJ1453" s="75"/>
      <c r="AK1453" s="75"/>
      <c r="AL1453" s="75"/>
      <c r="AM1453" s="75"/>
      <c r="AN1453" s="64" t="s">
        <v>181</v>
      </c>
      <c r="AO1453" s="64"/>
      <c r="AP1453" s="64"/>
      <c r="AQ1453" s="189"/>
      <c r="AR1453" s="64"/>
      <c r="AS1453" s="476"/>
      <c r="AT1453" s="64"/>
      <c r="AU1453" s="646"/>
      <c r="AV1453" s="185"/>
    </row>
    <row r="1454" spans="1:48" ht="30" customHeight="1" outlineLevel="3" x14ac:dyDescent="0.25">
      <c r="A1454" s="63" t="str">
        <f t="shared" si="266"/>
        <v>5.17.4.4.3.64</v>
      </c>
      <c r="B1454" s="64">
        <v>5</v>
      </c>
      <c r="C1454" s="64">
        <v>17</v>
      </c>
      <c r="D1454" s="64">
        <v>4</v>
      </c>
      <c r="E1454" s="64">
        <v>4</v>
      </c>
      <c r="F1454" s="64">
        <v>3</v>
      </c>
      <c r="G1454" s="64">
        <v>64</v>
      </c>
      <c r="H1454" s="65"/>
      <c r="I1454" s="65"/>
      <c r="J1454" s="65"/>
      <c r="K1454" s="67" t="s">
        <v>1623</v>
      </c>
      <c r="L1454" s="64" t="s">
        <v>236</v>
      </c>
      <c r="M1454" s="64" t="s">
        <v>73</v>
      </c>
      <c r="N1454" s="64" t="s">
        <v>257</v>
      </c>
      <c r="O1454" s="64" t="s">
        <v>1613</v>
      </c>
      <c r="P1454" s="64"/>
      <c r="Q1454" s="64"/>
      <c r="R1454" s="64"/>
      <c r="S1454" s="65"/>
      <c r="T1454" s="64"/>
      <c r="U1454" s="510">
        <v>0</v>
      </c>
      <c r="V1454" s="696">
        <v>0</v>
      </c>
      <c r="W1454" s="75"/>
      <c r="X1454" s="75"/>
      <c r="Y1454" s="834">
        <f t="shared" si="298"/>
        <v>0</v>
      </c>
      <c r="Z1454" s="75"/>
      <c r="AA1454" s="75"/>
      <c r="AB1454" s="75"/>
      <c r="AC1454" s="97"/>
      <c r="AD1454" s="97"/>
      <c r="AE1454" s="591"/>
      <c r="AF1454" s="259"/>
      <c r="AG1454" s="510">
        <v>0</v>
      </c>
      <c r="AH1454" s="510">
        <v>0</v>
      </c>
      <c r="AI1454" s="75"/>
      <c r="AJ1454" s="75"/>
      <c r="AK1454" s="75"/>
      <c r="AL1454" s="75"/>
      <c r="AM1454" s="75"/>
      <c r="AN1454" s="64" t="s">
        <v>181</v>
      </c>
      <c r="AO1454" s="64"/>
      <c r="AP1454" s="64"/>
      <c r="AQ1454" s="189"/>
      <c r="AR1454" s="64"/>
      <c r="AS1454" s="476"/>
      <c r="AT1454" s="64"/>
      <c r="AU1454" s="646"/>
      <c r="AV1454" s="185"/>
    </row>
    <row r="1455" spans="1:48" ht="18" customHeight="1" outlineLevel="3" x14ac:dyDescent="0.25">
      <c r="A1455" s="63" t="str">
        <f t="shared" si="266"/>
        <v>5.17.4.4.4.64</v>
      </c>
      <c r="B1455" s="64">
        <v>5</v>
      </c>
      <c r="C1455" s="64">
        <v>17</v>
      </c>
      <c r="D1455" s="64">
        <v>4</v>
      </c>
      <c r="E1455" s="64">
        <v>4</v>
      </c>
      <c r="F1455" s="64">
        <v>4</v>
      </c>
      <c r="G1455" s="64">
        <v>64</v>
      </c>
      <c r="H1455" s="65"/>
      <c r="I1455" s="65"/>
      <c r="J1455" s="65"/>
      <c r="K1455" s="65" t="s">
        <v>1626</v>
      </c>
      <c r="L1455" s="64" t="s">
        <v>236</v>
      </c>
      <c r="M1455" s="64" t="s">
        <v>73</v>
      </c>
      <c r="N1455" s="64" t="s">
        <v>257</v>
      </c>
      <c r="O1455" s="64" t="s">
        <v>1613</v>
      </c>
      <c r="P1455" s="64"/>
      <c r="Q1455" s="64"/>
      <c r="R1455" s="64"/>
      <c r="S1455" s="65"/>
      <c r="T1455" s="64"/>
      <c r="U1455" s="510">
        <v>0</v>
      </c>
      <c r="V1455" s="696">
        <v>0</v>
      </c>
      <c r="W1455" s="75"/>
      <c r="X1455" s="75"/>
      <c r="Y1455" s="834">
        <f t="shared" si="298"/>
        <v>0</v>
      </c>
      <c r="Z1455" s="75"/>
      <c r="AA1455" s="75"/>
      <c r="AB1455" s="75"/>
      <c r="AC1455" s="97"/>
      <c r="AD1455" s="97"/>
      <c r="AE1455" s="591"/>
      <c r="AF1455" s="259"/>
      <c r="AG1455" s="510">
        <v>0</v>
      </c>
      <c r="AH1455" s="510">
        <v>0</v>
      </c>
      <c r="AI1455" s="75"/>
      <c r="AJ1455" s="75"/>
      <c r="AK1455" s="75"/>
      <c r="AL1455" s="75"/>
      <c r="AM1455" s="75"/>
      <c r="AN1455" s="64" t="s">
        <v>181</v>
      </c>
      <c r="AO1455" s="64"/>
      <c r="AP1455" s="64"/>
      <c r="AQ1455" s="189"/>
      <c r="AR1455" s="64"/>
      <c r="AS1455" s="476"/>
      <c r="AT1455" s="64"/>
      <c r="AU1455" s="646"/>
      <c r="AV1455" s="185"/>
    </row>
    <row r="1456" spans="1:48" ht="30" outlineLevel="3" x14ac:dyDescent="0.25">
      <c r="A1456" s="63" t="str">
        <f t="shared" si="266"/>
        <v>5.17.4.4.5.64</v>
      </c>
      <c r="B1456" s="64">
        <v>5</v>
      </c>
      <c r="C1456" s="64">
        <v>17</v>
      </c>
      <c r="D1456" s="64">
        <v>4</v>
      </c>
      <c r="E1456" s="64">
        <v>4</v>
      </c>
      <c r="F1456" s="64">
        <v>5</v>
      </c>
      <c r="G1456" s="64">
        <v>64</v>
      </c>
      <c r="H1456" s="65"/>
      <c r="I1456" s="65"/>
      <c r="J1456" s="66"/>
      <c r="K1456" s="67" t="s">
        <v>1627</v>
      </c>
      <c r="L1456" s="64" t="s">
        <v>236</v>
      </c>
      <c r="M1456" s="64" t="s">
        <v>73</v>
      </c>
      <c r="N1456" s="64" t="s">
        <v>257</v>
      </c>
      <c r="O1456" s="64" t="s">
        <v>1613</v>
      </c>
      <c r="P1456" s="64"/>
      <c r="Q1456" s="64"/>
      <c r="R1456" s="64"/>
      <c r="S1456" s="65"/>
      <c r="T1456" s="64"/>
      <c r="U1456" s="510">
        <v>0</v>
      </c>
      <c r="V1456" s="696">
        <v>0</v>
      </c>
      <c r="W1456" s="75"/>
      <c r="X1456" s="75"/>
      <c r="Y1456" s="834">
        <f t="shared" si="298"/>
        <v>0</v>
      </c>
      <c r="Z1456" s="75"/>
      <c r="AA1456" s="75"/>
      <c r="AB1456" s="75"/>
      <c r="AC1456" s="97"/>
      <c r="AD1456" s="97"/>
      <c r="AE1456" s="591"/>
      <c r="AF1456" s="259"/>
      <c r="AG1456" s="510">
        <v>0</v>
      </c>
      <c r="AH1456" s="510">
        <v>0</v>
      </c>
      <c r="AI1456" s="75"/>
      <c r="AJ1456" s="75"/>
      <c r="AK1456" s="75"/>
      <c r="AL1456" s="75"/>
      <c r="AM1456" s="75"/>
      <c r="AN1456" s="64" t="s">
        <v>181</v>
      </c>
      <c r="AO1456" s="64"/>
      <c r="AP1456" s="64"/>
      <c r="AQ1456" s="189"/>
      <c r="AR1456" s="64"/>
      <c r="AS1456" s="476"/>
      <c r="AT1456" s="64"/>
      <c r="AU1456" s="646"/>
      <c r="AV1456" s="185"/>
    </row>
    <row r="1457" spans="1:48" ht="52.5" customHeight="1" outlineLevel="3" x14ac:dyDescent="0.25">
      <c r="A1457" s="63" t="str">
        <f t="shared" si="266"/>
        <v>5.17.4.4.6.64</v>
      </c>
      <c r="B1457" s="64">
        <v>5</v>
      </c>
      <c r="C1457" s="64">
        <v>17</v>
      </c>
      <c r="D1457" s="64">
        <v>4</v>
      </c>
      <c r="E1457" s="64">
        <v>4</v>
      </c>
      <c r="F1457" s="64">
        <v>6</v>
      </c>
      <c r="G1457" s="64">
        <v>64</v>
      </c>
      <c r="H1457" s="65"/>
      <c r="I1457" s="65"/>
      <c r="J1457" s="66"/>
      <c r="K1457" s="65" t="s">
        <v>1628</v>
      </c>
      <c r="L1457" s="64" t="s">
        <v>236</v>
      </c>
      <c r="M1457" s="64" t="s">
        <v>73</v>
      </c>
      <c r="N1457" s="64" t="s">
        <v>257</v>
      </c>
      <c r="O1457" s="64" t="s">
        <v>1613</v>
      </c>
      <c r="P1457" s="64"/>
      <c r="Q1457" s="64"/>
      <c r="R1457" s="64"/>
      <c r="S1457" s="65"/>
      <c r="T1457" s="64"/>
      <c r="U1457" s="510">
        <v>0</v>
      </c>
      <c r="V1457" s="696">
        <v>0</v>
      </c>
      <c r="W1457" s="75"/>
      <c r="X1457" s="75"/>
      <c r="Y1457" s="834">
        <f t="shared" si="298"/>
        <v>0</v>
      </c>
      <c r="Z1457" s="75"/>
      <c r="AA1457" s="75"/>
      <c r="AB1457" s="75"/>
      <c r="AC1457" s="97"/>
      <c r="AD1457" s="97"/>
      <c r="AE1457" s="591"/>
      <c r="AF1457" s="259"/>
      <c r="AG1457" s="510">
        <v>0</v>
      </c>
      <c r="AH1457" s="510">
        <v>0</v>
      </c>
      <c r="AI1457" s="75"/>
      <c r="AJ1457" s="75"/>
      <c r="AK1457" s="75"/>
      <c r="AL1457" s="75"/>
      <c r="AM1457" s="75"/>
      <c r="AN1457" s="64" t="s">
        <v>181</v>
      </c>
      <c r="AO1457" s="64"/>
      <c r="AP1457" s="64"/>
      <c r="AQ1457" s="189"/>
      <c r="AR1457" s="64"/>
      <c r="AS1457" s="476"/>
      <c r="AT1457" s="64"/>
      <c r="AU1457" s="646"/>
      <c r="AV1457" s="335" t="s">
        <v>1629</v>
      </c>
    </row>
    <row r="1458" spans="1:48" ht="42.75" customHeight="1" outlineLevel="3" x14ac:dyDescent="0.25">
      <c r="A1458" s="63" t="str">
        <f t="shared" si="266"/>
        <v>5.17.4.4.7.64</v>
      </c>
      <c r="B1458" s="64">
        <v>5</v>
      </c>
      <c r="C1458" s="64">
        <v>17</v>
      </c>
      <c r="D1458" s="64">
        <v>4</v>
      </c>
      <c r="E1458" s="64">
        <v>4</v>
      </c>
      <c r="F1458" s="64">
        <v>7</v>
      </c>
      <c r="G1458" s="64">
        <v>64</v>
      </c>
      <c r="H1458" s="65"/>
      <c r="I1458" s="65"/>
      <c r="J1458" s="66"/>
      <c r="K1458" s="67" t="s">
        <v>1630</v>
      </c>
      <c r="L1458" s="64" t="s">
        <v>236</v>
      </c>
      <c r="M1458" s="64" t="s">
        <v>73</v>
      </c>
      <c r="N1458" s="64" t="s">
        <v>257</v>
      </c>
      <c r="O1458" s="64" t="s">
        <v>1613</v>
      </c>
      <c r="P1458" s="64"/>
      <c r="Q1458" s="64"/>
      <c r="R1458" s="64"/>
      <c r="S1458" s="65"/>
      <c r="T1458" s="64"/>
      <c r="U1458" s="510">
        <v>0</v>
      </c>
      <c r="V1458" s="696">
        <v>0</v>
      </c>
      <c r="W1458" s="75"/>
      <c r="X1458" s="75"/>
      <c r="Y1458" s="834">
        <f t="shared" si="298"/>
        <v>0</v>
      </c>
      <c r="Z1458" s="75"/>
      <c r="AA1458" s="75"/>
      <c r="AB1458" s="75"/>
      <c r="AC1458" s="97"/>
      <c r="AD1458" s="97"/>
      <c r="AE1458" s="591"/>
      <c r="AF1458" s="259"/>
      <c r="AG1458" s="510">
        <v>0</v>
      </c>
      <c r="AH1458" s="510">
        <v>0</v>
      </c>
      <c r="AI1458" s="75"/>
      <c r="AJ1458" s="75">
        <v>0</v>
      </c>
      <c r="AK1458" s="75"/>
      <c r="AL1458" s="75"/>
      <c r="AM1458" s="75"/>
      <c r="AN1458" s="64" t="s">
        <v>181</v>
      </c>
      <c r="AO1458" s="64" t="s">
        <v>1819</v>
      </c>
      <c r="AP1458" s="64" t="s">
        <v>2041</v>
      </c>
      <c r="AQ1458" s="873" t="s">
        <v>2042</v>
      </c>
      <c r="AR1458" s="69">
        <v>44042</v>
      </c>
      <c r="AS1458" s="865">
        <v>44546</v>
      </c>
      <c r="AT1458" s="69">
        <v>44550</v>
      </c>
      <c r="AU1458" s="860"/>
      <c r="AV1458" s="185" t="s">
        <v>2040</v>
      </c>
    </row>
    <row r="1459" spans="1:48" ht="43.5" customHeight="1" outlineLevel="3" x14ac:dyDescent="0.25">
      <c r="A1459" s="63" t="str">
        <f t="shared" si="266"/>
        <v>5.17.4.4.8.64</v>
      </c>
      <c r="B1459" s="64">
        <v>5</v>
      </c>
      <c r="C1459" s="64">
        <v>17</v>
      </c>
      <c r="D1459" s="64">
        <v>4</v>
      </c>
      <c r="E1459" s="64">
        <v>4</v>
      </c>
      <c r="F1459" s="64">
        <v>8</v>
      </c>
      <c r="G1459" s="64">
        <v>64</v>
      </c>
      <c r="H1459" s="65"/>
      <c r="I1459" s="65"/>
      <c r="J1459" s="66"/>
      <c r="K1459" s="67" t="s">
        <v>1631</v>
      </c>
      <c r="L1459" s="64" t="s">
        <v>236</v>
      </c>
      <c r="M1459" s="64" t="s">
        <v>73</v>
      </c>
      <c r="N1459" s="64" t="s">
        <v>257</v>
      </c>
      <c r="O1459" s="64" t="s">
        <v>1613</v>
      </c>
      <c r="P1459" s="64"/>
      <c r="Q1459" s="64"/>
      <c r="R1459" s="64"/>
      <c r="S1459" s="65"/>
      <c r="T1459" s="64"/>
      <c r="U1459" s="510">
        <v>0</v>
      </c>
      <c r="V1459" s="696">
        <v>0</v>
      </c>
      <c r="W1459" s="75"/>
      <c r="X1459" s="75"/>
      <c r="Y1459" s="834">
        <f t="shared" si="298"/>
        <v>0</v>
      </c>
      <c r="Z1459" s="75"/>
      <c r="AA1459" s="75"/>
      <c r="AB1459" s="75"/>
      <c r="AC1459" s="97"/>
      <c r="AD1459" s="97"/>
      <c r="AE1459" s="591"/>
      <c r="AF1459" s="259"/>
      <c r="AG1459" s="510">
        <v>0</v>
      </c>
      <c r="AH1459" s="510">
        <v>0</v>
      </c>
      <c r="AI1459" s="75"/>
      <c r="AJ1459" s="75"/>
      <c r="AK1459" s="75"/>
      <c r="AL1459" s="75"/>
      <c r="AM1459" s="75"/>
      <c r="AN1459" s="64" t="s">
        <v>181</v>
      </c>
      <c r="AO1459" s="64"/>
      <c r="AP1459" s="64"/>
      <c r="AQ1459" s="189"/>
      <c r="AR1459" s="64"/>
      <c r="AS1459" s="476"/>
      <c r="AT1459" s="64"/>
      <c r="AU1459" s="646"/>
      <c r="AV1459" s="185"/>
    </row>
    <row r="1460" spans="1:48" ht="57.75" customHeight="1" outlineLevel="3" x14ac:dyDescent="0.25">
      <c r="A1460" s="63" t="str">
        <f t="shared" si="266"/>
        <v>5.17.4.4.9.64</v>
      </c>
      <c r="B1460" s="293">
        <v>5</v>
      </c>
      <c r="C1460" s="64">
        <v>17</v>
      </c>
      <c r="D1460" s="293">
        <v>4</v>
      </c>
      <c r="E1460" s="293">
        <v>4</v>
      </c>
      <c r="F1460" s="293">
        <v>9</v>
      </c>
      <c r="G1460" s="293">
        <v>64</v>
      </c>
      <c r="H1460" s="121"/>
      <c r="I1460" s="65"/>
      <c r="J1460" s="65"/>
      <c r="K1460" s="67" t="s">
        <v>1632</v>
      </c>
      <c r="L1460" s="64" t="s">
        <v>236</v>
      </c>
      <c r="M1460" s="64" t="s">
        <v>73</v>
      </c>
      <c r="N1460" s="293" t="s">
        <v>74</v>
      </c>
      <c r="O1460" s="64" t="s">
        <v>1613</v>
      </c>
      <c r="P1460" s="293"/>
      <c r="Q1460" s="293"/>
      <c r="R1460" s="293"/>
      <c r="S1460" s="170"/>
      <c r="T1460" s="293"/>
      <c r="U1460" s="510">
        <v>0</v>
      </c>
      <c r="V1460" s="696">
        <v>0</v>
      </c>
      <c r="W1460" s="79"/>
      <c r="X1460" s="79"/>
      <c r="Y1460" s="834">
        <f t="shared" si="298"/>
        <v>0</v>
      </c>
      <c r="Z1460" s="79"/>
      <c r="AA1460" s="79"/>
      <c r="AB1460" s="79"/>
      <c r="AC1460" s="296"/>
      <c r="AD1460" s="296"/>
      <c r="AE1460" s="618"/>
      <c r="AF1460" s="353"/>
      <c r="AG1460" s="510">
        <v>0</v>
      </c>
      <c r="AH1460" s="510">
        <v>0</v>
      </c>
      <c r="AI1460" s="75"/>
      <c r="AJ1460" s="75"/>
      <c r="AK1460" s="75"/>
      <c r="AL1460" s="75"/>
      <c r="AM1460" s="75"/>
      <c r="AN1460" s="64" t="s">
        <v>181</v>
      </c>
      <c r="AO1460" s="64"/>
      <c r="AP1460" s="64"/>
      <c r="AQ1460" s="189"/>
      <c r="AR1460" s="64"/>
      <c r="AS1460" s="476"/>
      <c r="AT1460" s="64"/>
      <c r="AU1460" s="646"/>
      <c r="AV1460" s="441"/>
    </row>
    <row r="1461" spans="1:48" s="153" customFormat="1" ht="15" customHeight="1" outlineLevel="1" x14ac:dyDescent="0.25">
      <c r="A1461" s="148" t="str">
        <f t="shared" si="266"/>
        <v>5.17.4.6.0.0</v>
      </c>
      <c r="B1461" s="82">
        <v>5</v>
      </c>
      <c r="C1461" s="82">
        <v>17</v>
      </c>
      <c r="D1461" s="82">
        <v>4</v>
      </c>
      <c r="E1461" s="82">
        <v>6</v>
      </c>
      <c r="F1461" s="82">
        <v>0</v>
      </c>
      <c r="G1461" s="82">
        <v>0</v>
      </c>
      <c r="H1461" s="149"/>
      <c r="I1461" s="149"/>
      <c r="J1461" s="1272" t="s">
        <v>1633</v>
      </c>
      <c r="K1461" s="1273"/>
      <c r="L1461" s="82" t="s">
        <v>236</v>
      </c>
      <c r="M1461" s="82" t="s">
        <v>73</v>
      </c>
      <c r="N1461" s="82" t="s">
        <v>257</v>
      </c>
      <c r="O1461" s="82" t="s">
        <v>1613</v>
      </c>
      <c r="P1461" s="294"/>
      <c r="Q1461" s="294"/>
      <c r="R1461" s="82"/>
      <c r="S1461" s="149"/>
      <c r="T1461" s="82"/>
      <c r="U1461" s="512">
        <f>+SUM(U1462:U1468)</f>
        <v>0</v>
      </c>
      <c r="V1461" s="693">
        <f>+SUM(V1462:V1468)</f>
        <v>0</v>
      </c>
      <c r="W1461" s="152"/>
      <c r="X1461" s="152"/>
      <c r="Y1461" s="152"/>
      <c r="Z1461" s="152"/>
      <c r="AA1461" s="152"/>
      <c r="AB1461" s="152"/>
      <c r="AC1461" s="257"/>
      <c r="AD1461" s="257"/>
      <c r="AE1461" s="611"/>
      <c r="AF1461" s="358"/>
      <c r="AG1461" s="512">
        <f>+SUM(AG1462:AG1468)</f>
        <v>0</v>
      </c>
      <c r="AH1461" s="512">
        <f>+SUM(AH1462:AH1468)</f>
        <v>0</v>
      </c>
      <c r="AI1461" s="512">
        <f>+SUM(AI1462:AI1468)</f>
        <v>0</v>
      </c>
      <c r="AJ1461" s="512">
        <f>+SUM(AJ1462:AJ1468)</f>
        <v>0</v>
      </c>
      <c r="AK1461" s="152"/>
      <c r="AL1461" s="152"/>
      <c r="AM1461" s="152"/>
      <c r="AN1461" s="82" t="s">
        <v>181</v>
      </c>
      <c r="AO1461" s="82"/>
      <c r="AP1461" s="82"/>
      <c r="AQ1461" s="365"/>
      <c r="AR1461" s="82"/>
      <c r="AS1461" s="483"/>
      <c r="AT1461" s="82"/>
      <c r="AU1461" s="666"/>
      <c r="AV1461" s="444"/>
    </row>
    <row r="1462" spans="1:48" ht="30" outlineLevel="2" x14ac:dyDescent="0.25">
      <c r="A1462" s="63" t="str">
        <f t="shared" si="266"/>
        <v>5.17.4.6.1.61</v>
      </c>
      <c r="B1462" s="64">
        <v>5</v>
      </c>
      <c r="C1462" s="64">
        <v>17</v>
      </c>
      <c r="D1462" s="64">
        <v>4</v>
      </c>
      <c r="E1462" s="64">
        <v>6</v>
      </c>
      <c r="F1462" s="64">
        <v>1</v>
      </c>
      <c r="G1462" s="64">
        <v>61</v>
      </c>
      <c r="H1462" s="65"/>
      <c r="I1462" s="65"/>
      <c r="J1462" s="65"/>
      <c r="K1462" s="67" t="s">
        <v>1634</v>
      </c>
      <c r="L1462" s="64" t="s">
        <v>236</v>
      </c>
      <c r="M1462" s="64" t="s">
        <v>73</v>
      </c>
      <c r="N1462" s="64" t="s">
        <v>257</v>
      </c>
      <c r="O1462" s="64" t="s">
        <v>74</v>
      </c>
      <c r="P1462" s="64"/>
      <c r="Q1462" s="64"/>
      <c r="R1462" s="64"/>
      <c r="S1462" s="65"/>
      <c r="T1462" s="64"/>
      <c r="U1462" s="510">
        <v>0</v>
      </c>
      <c r="V1462" s="696">
        <v>0</v>
      </c>
      <c r="W1462" s="75"/>
      <c r="X1462" s="75"/>
      <c r="Y1462" s="834">
        <f t="shared" ref="Y1462:Y1468" si="299">+AJ1462-V1462</f>
        <v>0</v>
      </c>
      <c r="Z1462" s="75"/>
      <c r="AA1462" s="75"/>
      <c r="AB1462" s="75"/>
      <c r="AC1462" s="97"/>
      <c r="AD1462" s="97"/>
      <c r="AE1462" s="591"/>
      <c r="AF1462" s="259"/>
      <c r="AG1462" s="510">
        <v>0</v>
      </c>
      <c r="AH1462" s="510">
        <v>0</v>
      </c>
      <c r="AI1462" s="75"/>
      <c r="AJ1462" s="75"/>
      <c r="AK1462" s="75"/>
      <c r="AL1462" s="75"/>
      <c r="AM1462" s="75"/>
      <c r="AN1462" s="64" t="s">
        <v>181</v>
      </c>
      <c r="AO1462" s="64"/>
      <c r="AP1462" s="64"/>
      <c r="AQ1462" s="189"/>
      <c r="AR1462" s="64"/>
      <c r="AS1462" s="476"/>
      <c r="AT1462" s="64"/>
      <c r="AU1462" s="646"/>
      <c r="AV1462" s="185"/>
    </row>
    <row r="1463" spans="1:48" ht="25.5" customHeight="1" outlineLevel="2" x14ac:dyDescent="0.25">
      <c r="A1463" s="63" t="str">
        <f t="shared" si="266"/>
        <v>5.17.4.6.2.61</v>
      </c>
      <c r="B1463" s="64">
        <v>5</v>
      </c>
      <c r="C1463" s="64">
        <v>17</v>
      </c>
      <c r="D1463" s="64">
        <v>4</v>
      </c>
      <c r="E1463" s="64">
        <v>6</v>
      </c>
      <c r="F1463" s="64">
        <v>2</v>
      </c>
      <c r="G1463" s="64">
        <v>61</v>
      </c>
      <c r="H1463" s="65"/>
      <c r="I1463" s="65"/>
      <c r="J1463" s="65"/>
      <c r="K1463" s="65" t="s">
        <v>1623</v>
      </c>
      <c r="L1463" s="64" t="s">
        <v>236</v>
      </c>
      <c r="M1463" s="64" t="s">
        <v>73</v>
      </c>
      <c r="N1463" s="64" t="s">
        <v>257</v>
      </c>
      <c r="O1463" s="64" t="s">
        <v>74</v>
      </c>
      <c r="P1463" s="64"/>
      <c r="Q1463" s="64"/>
      <c r="R1463" s="64"/>
      <c r="S1463" s="65"/>
      <c r="T1463" s="64"/>
      <c r="U1463" s="510">
        <v>0</v>
      </c>
      <c r="V1463" s="696">
        <v>0</v>
      </c>
      <c r="W1463" s="75"/>
      <c r="X1463" s="75"/>
      <c r="Y1463" s="834">
        <f t="shared" si="299"/>
        <v>0</v>
      </c>
      <c r="Z1463" s="75"/>
      <c r="AA1463" s="75"/>
      <c r="AB1463" s="75"/>
      <c r="AC1463" s="97"/>
      <c r="AD1463" s="97"/>
      <c r="AE1463" s="591"/>
      <c r="AF1463" s="259"/>
      <c r="AG1463" s="510">
        <v>0</v>
      </c>
      <c r="AH1463" s="510">
        <v>0</v>
      </c>
      <c r="AI1463" s="75"/>
      <c r="AJ1463" s="75"/>
      <c r="AK1463" s="75"/>
      <c r="AL1463" s="75"/>
      <c r="AM1463" s="75"/>
      <c r="AN1463" s="64" t="s">
        <v>181</v>
      </c>
      <c r="AO1463" s="64"/>
      <c r="AP1463" s="64"/>
      <c r="AQ1463" s="189"/>
      <c r="AR1463" s="64"/>
      <c r="AS1463" s="476"/>
      <c r="AT1463" s="64"/>
      <c r="AU1463" s="646"/>
      <c r="AV1463" s="185"/>
    </row>
    <row r="1464" spans="1:48" ht="30" outlineLevel="2" x14ac:dyDescent="0.25">
      <c r="A1464" s="63" t="str">
        <f t="shared" si="266"/>
        <v>5.17.4.6.3.61</v>
      </c>
      <c r="B1464" s="64">
        <v>5</v>
      </c>
      <c r="C1464" s="64">
        <v>17</v>
      </c>
      <c r="D1464" s="64">
        <v>4</v>
      </c>
      <c r="E1464" s="64">
        <v>6</v>
      </c>
      <c r="F1464" s="64">
        <v>3</v>
      </c>
      <c r="G1464" s="64">
        <v>61</v>
      </c>
      <c r="H1464" s="65"/>
      <c r="I1464" s="65"/>
      <c r="J1464" s="66"/>
      <c r="K1464" s="67" t="s">
        <v>1880</v>
      </c>
      <c r="L1464" s="64" t="s">
        <v>236</v>
      </c>
      <c r="M1464" s="64" t="s">
        <v>73</v>
      </c>
      <c r="N1464" s="64" t="s">
        <v>257</v>
      </c>
      <c r="O1464" s="64" t="s">
        <v>74</v>
      </c>
      <c r="P1464" s="64"/>
      <c r="Q1464" s="64"/>
      <c r="R1464" s="64"/>
      <c r="S1464" s="65"/>
      <c r="T1464" s="64"/>
      <c r="U1464" s="510">
        <v>0</v>
      </c>
      <c r="V1464" s="696">
        <v>0</v>
      </c>
      <c r="W1464" s="75"/>
      <c r="X1464" s="75"/>
      <c r="Y1464" s="834">
        <f t="shared" si="299"/>
        <v>0</v>
      </c>
      <c r="Z1464" s="75"/>
      <c r="AA1464" s="75"/>
      <c r="AB1464" s="75"/>
      <c r="AC1464" s="97"/>
      <c r="AD1464" s="97"/>
      <c r="AE1464" s="591"/>
      <c r="AF1464" s="259"/>
      <c r="AG1464" s="510">
        <v>0</v>
      </c>
      <c r="AH1464" s="510">
        <v>0</v>
      </c>
      <c r="AI1464" s="75"/>
      <c r="AJ1464" s="75"/>
      <c r="AK1464" s="75"/>
      <c r="AL1464" s="75"/>
      <c r="AM1464" s="75"/>
      <c r="AN1464" s="64" t="s">
        <v>181</v>
      </c>
      <c r="AO1464" s="64"/>
      <c r="AP1464" s="64"/>
      <c r="AQ1464" s="189"/>
      <c r="AR1464" s="64"/>
      <c r="AS1464" s="476"/>
      <c r="AT1464" s="64"/>
      <c r="AU1464" s="646"/>
      <c r="AV1464" s="185"/>
    </row>
    <row r="1465" spans="1:48" ht="30.75" customHeight="1" outlineLevel="2" x14ac:dyDescent="0.25">
      <c r="A1465" s="63" t="str">
        <f t="shared" si="266"/>
        <v>5.17.4.6.4.61</v>
      </c>
      <c r="B1465" s="64">
        <v>5</v>
      </c>
      <c r="C1465" s="64">
        <v>17</v>
      </c>
      <c r="D1465" s="64">
        <v>4</v>
      </c>
      <c r="E1465" s="64">
        <v>6</v>
      </c>
      <c r="F1465" s="64">
        <v>4</v>
      </c>
      <c r="G1465" s="64">
        <v>61</v>
      </c>
      <c r="H1465" s="65"/>
      <c r="I1465" s="65"/>
      <c r="J1465" s="66"/>
      <c r="K1465" s="65" t="s">
        <v>1635</v>
      </c>
      <c r="L1465" s="64" t="s">
        <v>236</v>
      </c>
      <c r="M1465" s="64" t="s">
        <v>73</v>
      </c>
      <c r="N1465" s="64" t="s">
        <v>257</v>
      </c>
      <c r="O1465" s="64" t="s">
        <v>74</v>
      </c>
      <c r="P1465" s="64"/>
      <c r="Q1465" s="64"/>
      <c r="R1465" s="64"/>
      <c r="S1465" s="65"/>
      <c r="T1465" s="64"/>
      <c r="U1465" s="510">
        <v>0</v>
      </c>
      <c r="V1465" s="696">
        <v>0</v>
      </c>
      <c r="W1465" s="75"/>
      <c r="X1465" s="75"/>
      <c r="Y1465" s="834">
        <f t="shared" si="299"/>
        <v>0</v>
      </c>
      <c r="Z1465" s="75"/>
      <c r="AA1465" s="75"/>
      <c r="AB1465" s="75"/>
      <c r="AC1465" s="97"/>
      <c r="AD1465" s="97"/>
      <c r="AE1465" s="591"/>
      <c r="AF1465" s="259"/>
      <c r="AG1465" s="510">
        <v>0</v>
      </c>
      <c r="AH1465" s="510">
        <v>0</v>
      </c>
      <c r="AI1465" s="75"/>
      <c r="AJ1465" s="75"/>
      <c r="AK1465" s="75"/>
      <c r="AL1465" s="75"/>
      <c r="AM1465" s="75"/>
      <c r="AN1465" s="64" t="s">
        <v>181</v>
      </c>
      <c r="AO1465" s="64"/>
      <c r="AP1465" s="64"/>
      <c r="AQ1465" s="189"/>
      <c r="AR1465" s="64"/>
      <c r="AS1465" s="476"/>
      <c r="AT1465" s="64"/>
      <c r="AU1465" s="646"/>
      <c r="AV1465" s="185"/>
    </row>
    <row r="1466" spans="1:48" ht="30" outlineLevel="2" x14ac:dyDescent="0.25">
      <c r="A1466" s="63" t="str">
        <f t="shared" si="266"/>
        <v>5.17.4.6.5.61</v>
      </c>
      <c r="B1466" s="64">
        <v>5</v>
      </c>
      <c r="C1466" s="64">
        <v>17</v>
      </c>
      <c r="D1466" s="64">
        <v>4</v>
      </c>
      <c r="E1466" s="64">
        <v>6</v>
      </c>
      <c r="F1466" s="64">
        <v>5</v>
      </c>
      <c r="G1466" s="64">
        <v>61</v>
      </c>
      <c r="H1466" s="65"/>
      <c r="I1466" s="65"/>
      <c r="J1466" s="66"/>
      <c r="K1466" s="67" t="s">
        <v>1636</v>
      </c>
      <c r="L1466" s="64" t="s">
        <v>236</v>
      </c>
      <c r="M1466" s="64" t="s">
        <v>73</v>
      </c>
      <c r="N1466" s="64" t="s">
        <v>257</v>
      </c>
      <c r="O1466" s="64" t="s">
        <v>74</v>
      </c>
      <c r="P1466" s="64"/>
      <c r="Q1466" s="64"/>
      <c r="R1466" s="64"/>
      <c r="S1466" s="65"/>
      <c r="T1466" s="64"/>
      <c r="U1466" s="510">
        <v>0</v>
      </c>
      <c r="V1466" s="696">
        <v>0</v>
      </c>
      <c r="W1466" s="75"/>
      <c r="X1466" s="75"/>
      <c r="Y1466" s="834">
        <f t="shared" si="299"/>
        <v>0</v>
      </c>
      <c r="Z1466" s="75"/>
      <c r="AA1466" s="75"/>
      <c r="AB1466" s="75"/>
      <c r="AC1466" s="97"/>
      <c r="AD1466" s="97"/>
      <c r="AE1466" s="591"/>
      <c r="AF1466" s="259"/>
      <c r="AG1466" s="510">
        <v>0</v>
      </c>
      <c r="AH1466" s="510">
        <v>0</v>
      </c>
      <c r="AI1466" s="75"/>
      <c r="AJ1466" s="75"/>
      <c r="AK1466" s="75"/>
      <c r="AL1466" s="75"/>
      <c r="AM1466" s="75"/>
      <c r="AN1466" s="64" t="s">
        <v>181</v>
      </c>
      <c r="AO1466" s="64"/>
      <c r="AP1466" s="64"/>
      <c r="AQ1466" s="189"/>
      <c r="AR1466" s="64"/>
      <c r="AS1466" s="476"/>
      <c r="AT1466" s="64"/>
      <c r="AU1466" s="646"/>
      <c r="AV1466" s="185"/>
    </row>
    <row r="1467" spans="1:48" ht="21" customHeight="1" outlineLevel="2" x14ac:dyDescent="0.25">
      <c r="A1467" s="63" t="str">
        <f t="shared" si="266"/>
        <v>5.17.4.6.6.61</v>
      </c>
      <c r="B1467" s="64">
        <v>5</v>
      </c>
      <c r="C1467" s="64">
        <v>17</v>
      </c>
      <c r="D1467" s="64">
        <v>4</v>
      </c>
      <c r="E1467" s="64">
        <v>6</v>
      </c>
      <c r="F1467" s="64">
        <v>6</v>
      </c>
      <c r="G1467" s="64">
        <v>61</v>
      </c>
      <c r="H1467" s="65"/>
      <c r="I1467" s="65"/>
      <c r="J1467" s="66"/>
      <c r="K1467" s="65" t="s">
        <v>1637</v>
      </c>
      <c r="L1467" s="64" t="s">
        <v>236</v>
      </c>
      <c r="M1467" s="64" t="s">
        <v>73</v>
      </c>
      <c r="N1467" s="64" t="s">
        <v>257</v>
      </c>
      <c r="O1467" s="64" t="s">
        <v>74</v>
      </c>
      <c r="P1467" s="64"/>
      <c r="Q1467" s="64"/>
      <c r="R1467" s="64"/>
      <c r="S1467" s="65"/>
      <c r="T1467" s="64"/>
      <c r="U1467" s="510">
        <v>0</v>
      </c>
      <c r="V1467" s="696">
        <v>0</v>
      </c>
      <c r="W1467" s="75"/>
      <c r="X1467" s="75"/>
      <c r="Y1467" s="834">
        <f t="shared" si="299"/>
        <v>0</v>
      </c>
      <c r="Z1467" s="75"/>
      <c r="AA1467" s="75"/>
      <c r="AB1467" s="75"/>
      <c r="AC1467" s="97"/>
      <c r="AD1467" s="97"/>
      <c r="AE1467" s="591"/>
      <c r="AF1467" s="259"/>
      <c r="AG1467" s="510">
        <v>0</v>
      </c>
      <c r="AH1467" s="510">
        <v>0</v>
      </c>
      <c r="AI1467" s="75"/>
      <c r="AJ1467" s="75"/>
      <c r="AK1467" s="75"/>
      <c r="AL1467" s="75"/>
      <c r="AM1467" s="75"/>
      <c r="AN1467" s="64" t="s">
        <v>181</v>
      </c>
      <c r="AO1467" s="64"/>
      <c r="AP1467" s="64"/>
      <c r="AQ1467" s="189"/>
      <c r="AR1467" s="64"/>
      <c r="AS1467" s="476"/>
      <c r="AT1467" s="64"/>
      <c r="AU1467" s="646"/>
      <c r="AV1467" s="185"/>
    </row>
    <row r="1468" spans="1:48" ht="21.75" customHeight="1" outlineLevel="2" x14ac:dyDescent="0.25">
      <c r="A1468" s="63" t="str">
        <f t="shared" si="266"/>
        <v>5.17.4.6.7.61</v>
      </c>
      <c r="B1468" s="64">
        <v>5</v>
      </c>
      <c r="C1468" s="64">
        <v>17</v>
      </c>
      <c r="D1468" s="64">
        <v>4</v>
      </c>
      <c r="E1468" s="64">
        <v>6</v>
      </c>
      <c r="F1468" s="64">
        <v>7</v>
      </c>
      <c r="G1468" s="64">
        <v>61</v>
      </c>
      <c r="H1468" s="65"/>
      <c r="I1468" s="65"/>
      <c r="J1468" s="66"/>
      <c r="K1468" s="65" t="s">
        <v>1638</v>
      </c>
      <c r="L1468" s="64" t="s">
        <v>236</v>
      </c>
      <c r="M1468" s="64" t="s">
        <v>73</v>
      </c>
      <c r="N1468" s="64" t="s">
        <v>257</v>
      </c>
      <c r="O1468" s="64" t="s">
        <v>74</v>
      </c>
      <c r="P1468" s="64"/>
      <c r="Q1468" s="64"/>
      <c r="R1468" s="64"/>
      <c r="S1468" s="65"/>
      <c r="T1468" s="64"/>
      <c r="U1468" s="510">
        <v>0</v>
      </c>
      <c r="V1468" s="696">
        <v>0</v>
      </c>
      <c r="W1468" s="75"/>
      <c r="X1468" s="75"/>
      <c r="Y1468" s="834">
        <f t="shared" si="299"/>
        <v>0</v>
      </c>
      <c r="Z1468" s="75"/>
      <c r="AA1468" s="75"/>
      <c r="AB1468" s="75"/>
      <c r="AC1468" s="97"/>
      <c r="AD1468" s="97"/>
      <c r="AE1468" s="591"/>
      <c r="AF1468" s="259"/>
      <c r="AG1468" s="510">
        <v>0</v>
      </c>
      <c r="AH1468" s="510">
        <v>0</v>
      </c>
      <c r="AI1468" s="75"/>
      <c r="AJ1468" s="75"/>
      <c r="AK1468" s="75"/>
      <c r="AL1468" s="75"/>
      <c r="AM1468" s="75"/>
      <c r="AN1468" s="64" t="s">
        <v>181</v>
      </c>
      <c r="AO1468" s="64"/>
      <c r="AP1468" s="64"/>
      <c r="AQ1468" s="189"/>
      <c r="AR1468" s="64"/>
      <c r="AS1468" s="476"/>
      <c r="AT1468" s="64"/>
      <c r="AU1468" s="646"/>
      <c r="AV1468" s="185"/>
    </row>
    <row r="1469" spans="1:48" s="153" customFormat="1" ht="15" customHeight="1" outlineLevel="1" x14ac:dyDescent="0.25">
      <c r="A1469" s="148" t="str">
        <f t="shared" si="266"/>
        <v>5.17.4.5.0.0</v>
      </c>
      <c r="B1469" s="82">
        <v>5</v>
      </c>
      <c r="C1469" s="82">
        <v>17</v>
      </c>
      <c r="D1469" s="82">
        <v>4</v>
      </c>
      <c r="E1469" s="82">
        <v>5</v>
      </c>
      <c r="F1469" s="82">
        <v>0</v>
      </c>
      <c r="G1469" s="82">
        <v>0</v>
      </c>
      <c r="H1469" s="149"/>
      <c r="I1469" s="149"/>
      <c r="J1469" s="1260" t="s">
        <v>1639</v>
      </c>
      <c r="K1469" s="1259"/>
      <c r="L1469" s="82" t="s">
        <v>236</v>
      </c>
      <c r="M1469" s="82" t="s">
        <v>73</v>
      </c>
      <c r="N1469" s="82" t="s">
        <v>257</v>
      </c>
      <c r="O1469" s="82" t="s">
        <v>1613</v>
      </c>
      <c r="P1469" s="294"/>
      <c r="Q1469" s="294"/>
      <c r="R1469" s="82"/>
      <c r="S1469" s="149"/>
      <c r="T1469" s="82"/>
      <c r="U1469" s="512">
        <f>+SUM(U1470:U1476)</f>
        <v>0</v>
      </c>
      <c r="V1469" s="693">
        <f>+SUM(V1470:V1476)</f>
        <v>0</v>
      </c>
      <c r="W1469" s="152"/>
      <c r="X1469" s="152"/>
      <c r="Y1469" s="152"/>
      <c r="Z1469" s="152"/>
      <c r="AA1469" s="152"/>
      <c r="AB1469" s="152"/>
      <c r="AC1469" s="257"/>
      <c r="AD1469" s="257"/>
      <c r="AE1469" s="611"/>
      <c r="AF1469" s="358"/>
      <c r="AG1469" s="512">
        <f>+SUM(AG1470:AG1476)</f>
        <v>0</v>
      </c>
      <c r="AH1469" s="512">
        <f>+SUM(AH1470:AH1476)</f>
        <v>0</v>
      </c>
      <c r="AI1469" s="512">
        <f>+SUM(AI1470:AI1476)</f>
        <v>0</v>
      </c>
      <c r="AJ1469" s="512">
        <f>+SUM(AJ1470:AJ1476)</f>
        <v>0</v>
      </c>
      <c r="AK1469" s="152"/>
      <c r="AL1469" s="152"/>
      <c r="AM1469" s="152"/>
      <c r="AN1469" s="82" t="s">
        <v>181</v>
      </c>
      <c r="AO1469" s="82"/>
      <c r="AP1469" s="82"/>
      <c r="AQ1469" s="365"/>
      <c r="AR1469" s="82"/>
      <c r="AS1469" s="483"/>
      <c r="AT1469" s="82"/>
      <c r="AU1469" s="666"/>
      <c r="AV1469" s="444"/>
    </row>
    <row r="1470" spans="1:48" ht="30" customHeight="1" outlineLevel="2" x14ac:dyDescent="0.25">
      <c r="A1470" s="63" t="str">
        <f>CONCATENATE(B1470,".",C1470,".",D1470,".",E1470,".",F1470,".",G1470)</f>
        <v>5.17.4.5.1.62</v>
      </c>
      <c r="B1470" s="64">
        <v>5</v>
      </c>
      <c r="C1470" s="64">
        <v>17</v>
      </c>
      <c r="D1470" s="64">
        <v>4</v>
      </c>
      <c r="E1470" s="64">
        <v>5</v>
      </c>
      <c r="F1470" s="64">
        <v>1</v>
      </c>
      <c r="G1470" s="64">
        <v>62</v>
      </c>
      <c r="H1470" s="65"/>
      <c r="I1470" s="65"/>
      <c r="J1470" s="65"/>
      <c r="K1470" s="67" t="s">
        <v>1616</v>
      </c>
      <c r="L1470" s="64" t="s">
        <v>236</v>
      </c>
      <c r="M1470" s="64" t="s">
        <v>73</v>
      </c>
      <c r="N1470" s="64" t="s">
        <v>257</v>
      </c>
      <c r="O1470" s="64" t="s">
        <v>74</v>
      </c>
      <c r="P1470" s="64"/>
      <c r="Q1470" s="64"/>
      <c r="R1470" s="64"/>
      <c r="S1470" s="65"/>
      <c r="T1470" s="64"/>
      <c r="U1470" s="510">
        <v>0</v>
      </c>
      <c r="V1470" s="696">
        <v>0</v>
      </c>
      <c r="W1470" s="75"/>
      <c r="X1470" s="75"/>
      <c r="Y1470" s="834">
        <f t="shared" ref="Y1470:Y1476" si="300">+AJ1470-V1470</f>
        <v>0</v>
      </c>
      <c r="Z1470" s="75"/>
      <c r="AA1470" s="75"/>
      <c r="AB1470" s="75"/>
      <c r="AC1470" s="97"/>
      <c r="AD1470" s="97"/>
      <c r="AE1470" s="591"/>
      <c r="AF1470" s="259"/>
      <c r="AG1470" s="510">
        <v>0</v>
      </c>
      <c r="AH1470" s="510">
        <v>0</v>
      </c>
      <c r="AI1470" s="75"/>
      <c r="AJ1470" s="75"/>
      <c r="AK1470" s="75"/>
      <c r="AL1470" s="75"/>
      <c r="AM1470" s="75"/>
      <c r="AN1470" s="64" t="s">
        <v>181</v>
      </c>
      <c r="AO1470" s="64"/>
      <c r="AP1470" s="64"/>
      <c r="AQ1470" s="189"/>
      <c r="AR1470" s="64"/>
      <c r="AS1470" s="476"/>
      <c r="AT1470" s="64"/>
      <c r="AU1470" s="646"/>
      <c r="AV1470" s="185"/>
    </row>
    <row r="1471" spans="1:48" ht="33" customHeight="1" outlineLevel="2" x14ac:dyDescent="0.25">
      <c r="A1471" s="63" t="str">
        <f t="shared" si="266"/>
        <v>5.17.4.5.2.62</v>
      </c>
      <c r="B1471" s="64">
        <v>5</v>
      </c>
      <c r="C1471" s="64">
        <v>17</v>
      </c>
      <c r="D1471" s="64">
        <v>4</v>
      </c>
      <c r="E1471" s="64">
        <v>5</v>
      </c>
      <c r="F1471" s="64">
        <v>2</v>
      </c>
      <c r="G1471" s="64">
        <v>62</v>
      </c>
      <c r="H1471" s="65"/>
      <c r="I1471" s="65"/>
      <c r="J1471" s="65"/>
      <c r="K1471" s="67" t="s">
        <v>1617</v>
      </c>
      <c r="L1471" s="64" t="s">
        <v>236</v>
      </c>
      <c r="M1471" s="64" t="s">
        <v>73</v>
      </c>
      <c r="N1471" s="64" t="s">
        <v>257</v>
      </c>
      <c r="O1471" s="64" t="s">
        <v>74</v>
      </c>
      <c r="P1471" s="64"/>
      <c r="Q1471" s="64"/>
      <c r="R1471" s="64"/>
      <c r="S1471" s="65"/>
      <c r="T1471" s="64"/>
      <c r="U1471" s="510">
        <v>0</v>
      </c>
      <c r="V1471" s="696">
        <v>0</v>
      </c>
      <c r="W1471" s="75"/>
      <c r="X1471" s="75"/>
      <c r="Y1471" s="834">
        <f t="shared" si="300"/>
        <v>0</v>
      </c>
      <c r="Z1471" s="75"/>
      <c r="AA1471" s="75"/>
      <c r="AB1471" s="75"/>
      <c r="AC1471" s="97"/>
      <c r="AD1471" s="97"/>
      <c r="AE1471" s="591"/>
      <c r="AF1471" s="259"/>
      <c r="AG1471" s="510">
        <v>0</v>
      </c>
      <c r="AH1471" s="510">
        <v>0</v>
      </c>
      <c r="AI1471" s="75"/>
      <c r="AJ1471" s="75"/>
      <c r="AK1471" s="75"/>
      <c r="AL1471" s="75"/>
      <c r="AM1471" s="75"/>
      <c r="AN1471" s="64" t="s">
        <v>181</v>
      </c>
      <c r="AO1471" s="64"/>
      <c r="AP1471" s="64"/>
      <c r="AQ1471" s="189"/>
      <c r="AR1471" s="64"/>
      <c r="AS1471" s="476"/>
      <c r="AT1471" s="64"/>
      <c r="AU1471" s="646"/>
      <c r="AV1471" s="185"/>
    </row>
    <row r="1472" spans="1:48" ht="15" customHeight="1" outlineLevel="2" x14ac:dyDescent="0.25">
      <c r="A1472" s="63" t="str">
        <f t="shared" si="266"/>
        <v>5.17.4.5.3.62</v>
      </c>
      <c r="B1472" s="64">
        <v>5</v>
      </c>
      <c r="C1472" s="64">
        <v>17</v>
      </c>
      <c r="D1472" s="64">
        <v>4</v>
      </c>
      <c r="E1472" s="64">
        <v>5</v>
      </c>
      <c r="F1472" s="64">
        <v>3</v>
      </c>
      <c r="G1472" s="64">
        <v>62</v>
      </c>
      <c r="H1472" s="65"/>
      <c r="I1472" s="65"/>
      <c r="J1472" s="65"/>
      <c r="K1472" s="65" t="s">
        <v>1881</v>
      </c>
      <c r="L1472" s="64" t="s">
        <v>236</v>
      </c>
      <c r="M1472" s="64" t="s">
        <v>73</v>
      </c>
      <c r="N1472" s="64" t="s">
        <v>257</v>
      </c>
      <c r="O1472" s="64" t="s">
        <v>74</v>
      </c>
      <c r="P1472" s="64"/>
      <c r="Q1472" s="64"/>
      <c r="R1472" s="64"/>
      <c r="S1472" s="65"/>
      <c r="T1472" s="64"/>
      <c r="U1472" s="510">
        <v>0</v>
      </c>
      <c r="V1472" s="696">
        <v>0</v>
      </c>
      <c r="W1472" s="75"/>
      <c r="X1472" s="75"/>
      <c r="Y1472" s="834">
        <f t="shared" si="300"/>
        <v>0</v>
      </c>
      <c r="Z1472" s="75"/>
      <c r="AA1472" s="75"/>
      <c r="AB1472" s="75"/>
      <c r="AC1472" s="97"/>
      <c r="AD1472" s="97"/>
      <c r="AE1472" s="591"/>
      <c r="AF1472" s="259"/>
      <c r="AG1472" s="510">
        <v>0</v>
      </c>
      <c r="AH1472" s="510">
        <v>0</v>
      </c>
      <c r="AI1472" s="75"/>
      <c r="AJ1472" s="75"/>
      <c r="AK1472" s="75"/>
      <c r="AL1472" s="75"/>
      <c r="AM1472" s="75"/>
      <c r="AN1472" s="64" t="s">
        <v>181</v>
      </c>
      <c r="AO1472" s="64"/>
      <c r="AP1472" s="64"/>
      <c r="AQ1472" s="189"/>
      <c r="AR1472" s="64"/>
      <c r="AS1472" s="476"/>
      <c r="AT1472" s="64"/>
      <c r="AU1472" s="646"/>
      <c r="AV1472" s="185"/>
    </row>
    <row r="1473" spans="1:48" ht="15" customHeight="1" outlineLevel="2" x14ac:dyDescent="0.25">
      <c r="A1473" s="63" t="str">
        <f t="shared" si="266"/>
        <v>5.17.4.5.4.62</v>
      </c>
      <c r="B1473" s="64">
        <v>5</v>
      </c>
      <c r="C1473" s="64">
        <v>17</v>
      </c>
      <c r="D1473" s="64">
        <v>4</v>
      </c>
      <c r="E1473" s="64">
        <v>5</v>
      </c>
      <c r="F1473" s="64">
        <v>4</v>
      </c>
      <c r="G1473" s="64">
        <v>62</v>
      </c>
      <c r="H1473" s="65"/>
      <c r="I1473" s="65"/>
      <c r="J1473" s="65"/>
      <c r="K1473" s="65" t="s">
        <v>1640</v>
      </c>
      <c r="L1473" s="64" t="s">
        <v>236</v>
      </c>
      <c r="M1473" s="64" t="s">
        <v>73</v>
      </c>
      <c r="N1473" s="64" t="s">
        <v>257</v>
      </c>
      <c r="O1473" s="64" t="s">
        <v>74</v>
      </c>
      <c r="P1473" s="64"/>
      <c r="Q1473" s="64"/>
      <c r="R1473" s="64"/>
      <c r="S1473" s="65"/>
      <c r="T1473" s="64"/>
      <c r="U1473" s="510">
        <v>0</v>
      </c>
      <c r="V1473" s="696">
        <v>0</v>
      </c>
      <c r="W1473" s="75"/>
      <c r="X1473" s="75"/>
      <c r="Y1473" s="834">
        <f t="shared" si="300"/>
        <v>0</v>
      </c>
      <c r="Z1473" s="75"/>
      <c r="AA1473" s="75"/>
      <c r="AB1473" s="75"/>
      <c r="AC1473" s="97"/>
      <c r="AD1473" s="97"/>
      <c r="AE1473" s="591"/>
      <c r="AF1473" s="259"/>
      <c r="AG1473" s="510">
        <v>0</v>
      </c>
      <c r="AH1473" s="510">
        <v>0</v>
      </c>
      <c r="AI1473" s="75"/>
      <c r="AJ1473" s="75"/>
      <c r="AK1473" s="75"/>
      <c r="AL1473" s="75"/>
      <c r="AM1473" s="75"/>
      <c r="AN1473" s="64" t="s">
        <v>181</v>
      </c>
      <c r="AO1473" s="64"/>
      <c r="AP1473" s="64"/>
      <c r="AQ1473" s="189"/>
      <c r="AR1473" s="64"/>
      <c r="AS1473" s="476"/>
      <c r="AT1473" s="64"/>
      <c r="AU1473" s="646"/>
      <c r="AV1473" s="185"/>
    </row>
    <row r="1474" spans="1:48" ht="15" customHeight="1" outlineLevel="2" x14ac:dyDescent="0.25">
      <c r="A1474" s="63" t="str">
        <f t="shared" si="266"/>
        <v>5.17.4.5.5.62</v>
      </c>
      <c r="B1474" s="64">
        <v>5</v>
      </c>
      <c r="C1474" s="64">
        <v>17</v>
      </c>
      <c r="D1474" s="64">
        <v>4</v>
      </c>
      <c r="E1474" s="64">
        <v>5</v>
      </c>
      <c r="F1474" s="64">
        <v>5</v>
      </c>
      <c r="G1474" s="64">
        <v>62</v>
      </c>
      <c r="H1474" s="65"/>
      <c r="I1474" s="65"/>
      <c r="J1474" s="65"/>
      <c r="K1474" s="65" t="s">
        <v>1622</v>
      </c>
      <c r="L1474" s="64" t="s">
        <v>236</v>
      </c>
      <c r="M1474" s="64" t="s">
        <v>73</v>
      </c>
      <c r="N1474" s="64" t="s">
        <v>257</v>
      </c>
      <c r="O1474" s="64" t="s">
        <v>74</v>
      </c>
      <c r="P1474" s="64"/>
      <c r="Q1474" s="64"/>
      <c r="R1474" s="64"/>
      <c r="S1474" s="65"/>
      <c r="T1474" s="64"/>
      <c r="U1474" s="510">
        <v>0</v>
      </c>
      <c r="V1474" s="696">
        <v>0</v>
      </c>
      <c r="W1474" s="75"/>
      <c r="X1474" s="75"/>
      <c r="Y1474" s="834">
        <f t="shared" si="300"/>
        <v>0</v>
      </c>
      <c r="Z1474" s="75"/>
      <c r="AA1474" s="75"/>
      <c r="AB1474" s="75"/>
      <c r="AC1474" s="97"/>
      <c r="AD1474" s="97"/>
      <c r="AE1474" s="591"/>
      <c r="AF1474" s="259"/>
      <c r="AG1474" s="510">
        <v>0</v>
      </c>
      <c r="AH1474" s="510">
        <v>0</v>
      </c>
      <c r="AI1474" s="75"/>
      <c r="AJ1474" s="75"/>
      <c r="AK1474" s="75"/>
      <c r="AL1474" s="75"/>
      <c r="AM1474" s="75"/>
      <c r="AN1474" s="64" t="s">
        <v>181</v>
      </c>
      <c r="AO1474" s="64"/>
      <c r="AP1474" s="64"/>
      <c r="AQ1474" s="189"/>
      <c r="AR1474" s="64"/>
      <c r="AS1474" s="476"/>
      <c r="AT1474" s="64"/>
      <c r="AU1474" s="646"/>
      <c r="AV1474" s="185"/>
    </row>
    <row r="1475" spans="1:48" ht="15" customHeight="1" outlineLevel="2" x14ac:dyDescent="0.25">
      <c r="A1475" s="63" t="str">
        <f t="shared" si="266"/>
        <v>5.17.4.5.6.62</v>
      </c>
      <c r="B1475" s="64">
        <v>5</v>
      </c>
      <c r="C1475" s="64">
        <v>17</v>
      </c>
      <c r="D1475" s="64">
        <v>4</v>
      </c>
      <c r="E1475" s="64">
        <v>5</v>
      </c>
      <c r="F1475" s="64">
        <v>6</v>
      </c>
      <c r="G1475" s="64">
        <v>62</v>
      </c>
      <c r="H1475" s="65"/>
      <c r="I1475" s="65"/>
      <c r="J1475" s="65"/>
      <c r="K1475" s="65" t="s">
        <v>1641</v>
      </c>
      <c r="L1475" s="64" t="s">
        <v>236</v>
      </c>
      <c r="M1475" s="64" t="s">
        <v>73</v>
      </c>
      <c r="N1475" s="64" t="s">
        <v>257</v>
      </c>
      <c r="O1475" s="64" t="s">
        <v>74</v>
      </c>
      <c r="P1475" s="64"/>
      <c r="Q1475" s="64"/>
      <c r="R1475" s="64"/>
      <c r="S1475" s="65"/>
      <c r="T1475" s="64"/>
      <c r="U1475" s="510">
        <v>0</v>
      </c>
      <c r="V1475" s="696">
        <v>0</v>
      </c>
      <c r="W1475" s="75"/>
      <c r="X1475" s="75"/>
      <c r="Y1475" s="834">
        <f t="shared" si="300"/>
        <v>0</v>
      </c>
      <c r="Z1475" s="75"/>
      <c r="AA1475" s="75"/>
      <c r="AB1475" s="75"/>
      <c r="AC1475" s="97"/>
      <c r="AD1475" s="97"/>
      <c r="AE1475" s="591"/>
      <c r="AF1475" s="259"/>
      <c r="AG1475" s="510">
        <v>0</v>
      </c>
      <c r="AH1475" s="510">
        <v>0</v>
      </c>
      <c r="AI1475" s="75"/>
      <c r="AJ1475" s="75"/>
      <c r="AK1475" s="75"/>
      <c r="AL1475" s="75"/>
      <c r="AM1475" s="75"/>
      <c r="AN1475" s="64" t="s">
        <v>181</v>
      </c>
      <c r="AO1475" s="64"/>
      <c r="AP1475" s="64"/>
      <c r="AQ1475" s="189"/>
      <c r="AR1475" s="64"/>
      <c r="AS1475" s="476"/>
      <c r="AT1475" s="64"/>
      <c r="AU1475" s="646"/>
      <c r="AV1475" s="185"/>
    </row>
    <row r="1476" spans="1:48" ht="15" customHeight="1" outlineLevel="2" x14ac:dyDescent="0.25">
      <c r="A1476" s="63" t="str">
        <f t="shared" si="266"/>
        <v>5.17.4.5.7.62</v>
      </c>
      <c r="B1476" s="293">
        <v>5</v>
      </c>
      <c r="C1476" s="64">
        <v>17</v>
      </c>
      <c r="D1476" s="293">
        <v>4</v>
      </c>
      <c r="E1476" s="293">
        <v>5</v>
      </c>
      <c r="F1476" s="293">
        <v>7</v>
      </c>
      <c r="G1476" s="293">
        <v>62</v>
      </c>
      <c r="H1476" s="121"/>
      <c r="I1476" s="65"/>
      <c r="J1476" s="65"/>
      <c r="K1476" s="65" t="s">
        <v>1879</v>
      </c>
      <c r="L1476" s="64" t="s">
        <v>236</v>
      </c>
      <c r="M1476" s="64" t="s">
        <v>73</v>
      </c>
      <c r="N1476" s="64" t="s">
        <v>257</v>
      </c>
      <c r="O1476" s="64" t="s">
        <v>74</v>
      </c>
      <c r="P1476" s="293"/>
      <c r="Q1476" s="293"/>
      <c r="R1476" s="293"/>
      <c r="S1476" s="170"/>
      <c r="T1476" s="293"/>
      <c r="U1476" s="510">
        <v>0</v>
      </c>
      <c r="V1476" s="696">
        <v>0</v>
      </c>
      <c r="W1476" s="79"/>
      <c r="X1476" s="79"/>
      <c r="Y1476" s="834">
        <f t="shared" si="300"/>
        <v>0</v>
      </c>
      <c r="Z1476" s="79"/>
      <c r="AA1476" s="79"/>
      <c r="AB1476" s="79"/>
      <c r="AC1476" s="296"/>
      <c r="AD1476" s="296"/>
      <c r="AE1476" s="618"/>
      <c r="AF1476" s="353"/>
      <c r="AG1476" s="510">
        <v>0</v>
      </c>
      <c r="AH1476" s="510">
        <v>0</v>
      </c>
      <c r="AI1476" s="75"/>
      <c r="AJ1476" s="75"/>
      <c r="AK1476" s="75"/>
      <c r="AL1476" s="75"/>
      <c r="AM1476" s="75"/>
      <c r="AN1476" s="64" t="s">
        <v>181</v>
      </c>
      <c r="AO1476" s="64"/>
      <c r="AP1476" s="64"/>
      <c r="AQ1476" s="189"/>
      <c r="AR1476" s="64"/>
      <c r="AS1476" s="476"/>
      <c r="AT1476" s="64"/>
      <c r="AU1476" s="646"/>
      <c r="AV1476" s="441"/>
    </row>
    <row r="1477" spans="1:48" s="153" customFormat="1" ht="15" customHeight="1" outlineLevel="1" x14ac:dyDescent="0.25">
      <c r="A1477" s="148" t="str">
        <f t="shared" si="266"/>
        <v>5.17.4.7.0.0</v>
      </c>
      <c r="B1477" s="82">
        <v>5</v>
      </c>
      <c r="C1477" s="82">
        <v>17</v>
      </c>
      <c r="D1477" s="82">
        <v>4</v>
      </c>
      <c r="E1477" s="82">
        <v>7</v>
      </c>
      <c r="F1477" s="82">
        <v>0</v>
      </c>
      <c r="G1477" s="82">
        <v>0</v>
      </c>
      <c r="H1477" s="149"/>
      <c r="I1477" s="149"/>
      <c r="J1477" s="1260" t="s">
        <v>1642</v>
      </c>
      <c r="K1477" s="1259"/>
      <c r="L1477" s="82" t="s">
        <v>236</v>
      </c>
      <c r="M1477" s="82" t="s">
        <v>73</v>
      </c>
      <c r="N1477" s="82" t="s">
        <v>257</v>
      </c>
      <c r="O1477" s="82" t="s">
        <v>1613</v>
      </c>
      <c r="P1477" s="294"/>
      <c r="Q1477" s="294"/>
      <c r="R1477" s="82"/>
      <c r="S1477" s="149"/>
      <c r="T1477" s="82"/>
      <c r="U1477" s="512">
        <f>+SUM(U1478:U1480)</f>
        <v>0</v>
      </c>
      <c r="V1477" s="693">
        <f>+SUM(V1478:V1480)</f>
        <v>0</v>
      </c>
      <c r="W1477" s="152"/>
      <c r="X1477" s="152"/>
      <c r="Y1477" s="152"/>
      <c r="Z1477" s="152"/>
      <c r="AA1477" s="152"/>
      <c r="AB1477" s="152"/>
      <c r="AC1477" s="257"/>
      <c r="AD1477" s="257"/>
      <c r="AE1477" s="611"/>
      <c r="AF1477" s="358"/>
      <c r="AG1477" s="512">
        <f>+SUM(AG1478:AG1480)</f>
        <v>0</v>
      </c>
      <c r="AH1477" s="512">
        <f>+SUM(AH1478:AH1480)</f>
        <v>0</v>
      </c>
      <c r="AI1477" s="512">
        <f>+SUM(AI1478:AI1480)</f>
        <v>0</v>
      </c>
      <c r="AJ1477" s="512">
        <f>+SUM(AJ1478:AJ1480)</f>
        <v>0</v>
      </c>
      <c r="AK1477" s="152"/>
      <c r="AL1477" s="152"/>
      <c r="AM1477" s="152"/>
      <c r="AN1477" s="82" t="s">
        <v>181</v>
      </c>
      <c r="AO1477" s="82"/>
      <c r="AP1477" s="82"/>
      <c r="AQ1477" s="365"/>
      <c r="AR1477" s="82"/>
      <c r="AS1477" s="483"/>
      <c r="AT1477" s="82"/>
      <c r="AU1477" s="666"/>
      <c r="AV1477" s="444"/>
    </row>
    <row r="1478" spans="1:48" ht="15" customHeight="1" outlineLevel="2" x14ac:dyDescent="0.25">
      <c r="A1478" s="63" t="str">
        <f t="shared" si="266"/>
        <v>5.17.4.7.1.60</v>
      </c>
      <c r="B1478" s="64">
        <v>5</v>
      </c>
      <c r="C1478" s="64">
        <v>17</v>
      </c>
      <c r="D1478" s="64">
        <v>4</v>
      </c>
      <c r="E1478" s="64">
        <v>7</v>
      </c>
      <c r="F1478" s="64">
        <v>1</v>
      </c>
      <c r="G1478" s="64">
        <v>60</v>
      </c>
      <c r="H1478" s="65"/>
      <c r="I1478" s="65"/>
      <c r="J1478" s="65"/>
      <c r="K1478" s="65" t="s">
        <v>1643</v>
      </c>
      <c r="L1478" s="64" t="s">
        <v>236</v>
      </c>
      <c r="M1478" s="64" t="s">
        <v>73</v>
      </c>
      <c r="N1478" s="64" t="s">
        <v>257</v>
      </c>
      <c r="O1478" s="64" t="s">
        <v>74</v>
      </c>
      <c r="P1478" s="64"/>
      <c r="Q1478" s="64"/>
      <c r="R1478" s="64"/>
      <c r="S1478" s="65"/>
      <c r="T1478" s="64"/>
      <c r="U1478" s="510">
        <v>0</v>
      </c>
      <c r="V1478" s="696">
        <v>0</v>
      </c>
      <c r="W1478" s="75"/>
      <c r="X1478" s="75"/>
      <c r="Y1478" s="834">
        <f>+AJ1478-V1478</f>
        <v>0</v>
      </c>
      <c r="Z1478" s="75"/>
      <c r="AA1478" s="75"/>
      <c r="AB1478" s="75"/>
      <c r="AC1478" s="97"/>
      <c r="AD1478" s="97"/>
      <c r="AE1478" s="591"/>
      <c r="AF1478" s="259"/>
      <c r="AG1478" s="510">
        <v>0</v>
      </c>
      <c r="AH1478" s="510">
        <v>0</v>
      </c>
      <c r="AI1478" s="75"/>
      <c r="AJ1478" s="75"/>
      <c r="AK1478" s="75"/>
      <c r="AL1478" s="75"/>
      <c r="AM1478" s="75"/>
      <c r="AN1478" s="64" t="s">
        <v>181</v>
      </c>
      <c r="AO1478" s="64"/>
      <c r="AP1478" s="64"/>
      <c r="AQ1478" s="189"/>
      <c r="AR1478" s="64"/>
      <c r="AS1478" s="476"/>
      <c r="AT1478" s="64"/>
      <c r="AU1478" s="646"/>
      <c r="AV1478" s="185"/>
    </row>
    <row r="1479" spans="1:48" ht="24" customHeight="1" outlineLevel="2" x14ac:dyDescent="0.25">
      <c r="A1479" s="63" t="str">
        <f t="shared" si="266"/>
        <v>5.17.4.7.2.60</v>
      </c>
      <c r="B1479" s="64">
        <v>5</v>
      </c>
      <c r="C1479" s="64">
        <v>17</v>
      </c>
      <c r="D1479" s="64">
        <v>4</v>
      </c>
      <c r="E1479" s="64">
        <v>7</v>
      </c>
      <c r="F1479" s="64">
        <v>2</v>
      </c>
      <c r="G1479" s="64">
        <v>60</v>
      </c>
      <c r="H1479" s="65"/>
      <c r="I1479" s="65"/>
      <c r="J1479" s="65"/>
      <c r="K1479" s="65" t="s">
        <v>1622</v>
      </c>
      <c r="L1479" s="64" t="s">
        <v>236</v>
      </c>
      <c r="M1479" s="64" t="s">
        <v>73</v>
      </c>
      <c r="N1479" s="64" t="s">
        <v>257</v>
      </c>
      <c r="O1479" s="64" t="s">
        <v>74</v>
      </c>
      <c r="P1479" s="64"/>
      <c r="Q1479" s="64"/>
      <c r="R1479" s="64"/>
      <c r="S1479" s="65"/>
      <c r="T1479" s="64"/>
      <c r="U1479" s="510">
        <v>0</v>
      </c>
      <c r="V1479" s="696">
        <v>0</v>
      </c>
      <c r="W1479" s="75"/>
      <c r="X1479" s="75"/>
      <c r="Y1479" s="834">
        <f>+AJ1479-V1479</f>
        <v>0</v>
      </c>
      <c r="Z1479" s="75"/>
      <c r="AA1479" s="75"/>
      <c r="AB1479" s="75"/>
      <c r="AC1479" s="97"/>
      <c r="AD1479" s="97"/>
      <c r="AE1479" s="591"/>
      <c r="AF1479" s="259"/>
      <c r="AG1479" s="510">
        <v>0</v>
      </c>
      <c r="AH1479" s="510">
        <v>0</v>
      </c>
      <c r="AI1479" s="75"/>
      <c r="AJ1479" s="75"/>
      <c r="AK1479" s="75"/>
      <c r="AL1479" s="75"/>
      <c r="AM1479" s="75"/>
      <c r="AN1479" s="64" t="s">
        <v>181</v>
      </c>
      <c r="AO1479" s="64"/>
      <c r="AP1479" s="64"/>
      <c r="AQ1479" s="189"/>
      <c r="AR1479" s="64"/>
      <c r="AS1479" s="476"/>
      <c r="AT1479" s="64"/>
      <c r="AU1479" s="646"/>
      <c r="AV1479" s="185"/>
    </row>
    <row r="1480" spans="1:48" ht="30" customHeight="1" outlineLevel="2" x14ac:dyDescent="0.25">
      <c r="A1480" s="63" t="str">
        <f t="shared" si="266"/>
        <v>5.17.4.7.3.60</v>
      </c>
      <c r="B1480" s="64">
        <v>5</v>
      </c>
      <c r="C1480" s="64">
        <v>17</v>
      </c>
      <c r="D1480" s="64">
        <v>4</v>
      </c>
      <c r="E1480" s="64">
        <v>7</v>
      </c>
      <c r="F1480" s="64">
        <v>3</v>
      </c>
      <c r="G1480" s="64">
        <v>60</v>
      </c>
      <c r="H1480" s="65"/>
      <c r="I1480" s="65"/>
      <c r="J1480" s="65"/>
      <c r="K1480" s="67" t="s">
        <v>1636</v>
      </c>
      <c r="L1480" s="64" t="s">
        <v>236</v>
      </c>
      <c r="M1480" s="64" t="s">
        <v>73</v>
      </c>
      <c r="N1480" s="64" t="s">
        <v>257</v>
      </c>
      <c r="O1480" s="64" t="s">
        <v>74</v>
      </c>
      <c r="P1480" s="64"/>
      <c r="Q1480" s="64"/>
      <c r="R1480" s="64"/>
      <c r="S1480" s="65"/>
      <c r="T1480" s="64"/>
      <c r="U1480" s="510">
        <v>0</v>
      </c>
      <c r="V1480" s="696">
        <v>0</v>
      </c>
      <c r="W1480" s="75"/>
      <c r="X1480" s="75"/>
      <c r="Y1480" s="834">
        <f>+AJ1480-V1480</f>
        <v>0</v>
      </c>
      <c r="Z1480" s="75"/>
      <c r="AA1480" s="75"/>
      <c r="AB1480" s="75"/>
      <c r="AC1480" s="97"/>
      <c r="AD1480" s="97"/>
      <c r="AE1480" s="591"/>
      <c r="AF1480" s="259"/>
      <c r="AG1480" s="510">
        <v>0</v>
      </c>
      <c r="AH1480" s="510">
        <v>0</v>
      </c>
      <c r="AI1480" s="75"/>
      <c r="AJ1480" s="75"/>
      <c r="AK1480" s="75"/>
      <c r="AL1480" s="75"/>
      <c r="AM1480" s="75"/>
      <c r="AN1480" s="64" t="s">
        <v>181</v>
      </c>
      <c r="AO1480" s="64"/>
      <c r="AP1480" s="64"/>
      <c r="AQ1480" s="189"/>
      <c r="AR1480" s="64"/>
      <c r="AS1480" s="476"/>
      <c r="AT1480" s="64"/>
      <c r="AU1480" s="646"/>
      <c r="AV1480" s="185"/>
    </row>
    <row r="1481" spans="1:48" s="153" customFormat="1" outlineLevel="1" x14ac:dyDescent="0.25">
      <c r="A1481" s="148" t="str">
        <f t="shared" si="266"/>
        <v>5.17.4.8.0.0</v>
      </c>
      <c r="B1481" s="82">
        <v>5</v>
      </c>
      <c r="C1481" s="82">
        <v>17</v>
      </c>
      <c r="D1481" s="82">
        <v>4</v>
      </c>
      <c r="E1481" s="82">
        <v>8</v>
      </c>
      <c r="F1481" s="82">
        <v>0</v>
      </c>
      <c r="G1481" s="82">
        <v>0</v>
      </c>
      <c r="H1481" s="149"/>
      <c r="I1481" s="149"/>
      <c r="J1481" s="1260" t="s">
        <v>1644</v>
      </c>
      <c r="K1481" s="1259"/>
      <c r="L1481" s="82" t="s">
        <v>236</v>
      </c>
      <c r="M1481" s="82" t="s">
        <v>73</v>
      </c>
      <c r="N1481" s="82" t="s">
        <v>257</v>
      </c>
      <c r="O1481" s="82" t="s">
        <v>1613</v>
      </c>
      <c r="P1481" s="294"/>
      <c r="Q1481" s="294"/>
      <c r="R1481" s="82"/>
      <c r="S1481" s="149"/>
      <c r="T1481" s="82"/>
      <c r="U1481" s="512">
        <f t="shared" ref="U1481:V1481" si="301">+U1482</f>
        <v>0</v>
      </c>
      <c r="V1481" s="693">
        <f t="shared" si="301"/>
        <v>0</v>
      </c>
      <c r="W1481" s="152"/>
      <c r="X1481" s="152"/>
      <c r="Y1481" s="152"/>
      <c r="Z1481" s="152"/>
      <c r="AA1481" s="152"/>
      <c r="AB1481" s="152"/>
      <c r="AC1481" s="257"/>
      <c r="AD1481" s="257"/>
      <c r="AE1481" s="611"/>
      <c r="AF1481" s="358"/>
      <c r="AG1481" s="512">
        <f t="shared" ref="AG1481:AM1481" si="302">+AG1482</f>
        <v>0</v>
      </c>
      <c r="AH1481" s="512">
        <f t="shared" si="302"/>
        <v>0</v>
      </c>
      <c r="AI1481" s="512">
        <f t="shared" si="302"/>
        <v>0</v>
      </c>
      <c r="AJ1481" s="512">
        <f t="shared" si="302"/>
        <v>0</v>
      </c>
      <c r="AK1481" s="512">
        <f t="shared" si="302"/>
        <v>0</v>
      </c>
      <c r="AL1481" s="512">
        <f t="shared" si="302"/>
        <v>0</v>
      </c>
      <c r="AM1481" s="512">
        <f t="shared" si="302"/>
        <v>0</v>
      </c>
      <c r="AN1481" s="82" t="s">
        <v>181</v>
      </c>
      <c r="AO1481" s="82"/>
      <c r="AP1481" s="82"/>
      <c r="AQ1481" s="365"/>
      <c r="AR1481" s="82"/>
      <c r="AS1481" s="483"/>
      <c r="AT1481" s="82"/>
      <c r="AU1481" s="666"/>
      <c r="AV1481" s="444"/>
    </row>
    <row r="1482" spans="1:48" ht="15" customHeight="1" outlineLevel="2" x14ac:dyDescent="0.25">
      <c r="A1482" s="63" t="str">
        <f t="shared" si="266"/>
        <v>5.17.4.8.1.58-64</v>
      </c>
      <c r="B1482" s="64">
        <v>5</v>
      </c>
      <c r="C1482" s="64">
        <v>17</v>
      </c>
      <c r="D1482" s="64">
        <v>4</v>
      </c>
      <c r="E1482" s="64">
        <v>8</v>
      </c>
      <c r="F1482" s="64">
        <v>1</v>
      </c>
      <c r="G1482" s="64" t="s">
        <v>64</v>
      </c>
      <c r="H1482" s="65"/>
      <c r="I1482" s="65"/>
      <c r="J1482" s="65"/>
      <c r="K1482" s="65" t="s">
        <v>1645</v>
      </c>
      <c r="L1482" s="64" t="s">
        <v>236</v>
      </c>
      <c r="M1482" s="64" t="s">
        <v>73</v>
      </c>
      <c r="N1482" s="64" t="s">
        <v>257</v>
      </c>
      <c r="O1482" s="64" t="s">
        <v>1613</v>
      </c>
      <c r="P1482" s="64"/>
      <c r="Q1482" s="64"/>
      <c r="R1482" s="64"/>
      <c r="S1482" s="65"/>
      <c r="T1482" s="64"/>
      <c r="U1482" s="510">
        <v>0</v>
      </c>
      <c r="V1482" s="696">
        <v>0</v>
      </c>
      <c r="W1482" s="75"/>
      <c r="X1482" s="75"/>
      <c r="Y1482" s="834">
        <f>+AJ1482-V1482</f>
        <v>0</v>
      </c>
      <c r="Z1482" s="75"/>
      <c r="AA1482" s="75"/>
      <c r="AB1482" s="75"/>
      <c r="AC1482" s="97"/>
      <c r="AD1482" s="97"/>
      <c r="AE1482" s="591"/>
      <c r="AF1482" s="259"/>
      <c r="AG1482" s="510">
        <v>0</v>
      </c>
      <c r="AH1482" s="510">
        <v>0</v>
      </c>
      <c r="AI1482" s="75"/>
      <c r="AJ1482" s="75"/>
      <c r="AK1482" s="75"/>
      <c r="AL1482" s="75"/>
      <c r="AM1482" s="75"/>
      <c r="AN1482" s="64" t="s">
        <v>181</v>
      </c>
      <c r="AO1482" s="64"/>
      <c r="AP1482" s="64"/>
      <c r="AQ1482" s="189"/>
      <c r="AR1482" s="64"/>
      <c r="AS1482" s="476"/>
      <c r="AT1482" s="64"/>
      <c r="AU1482" s="646"/>
      <c r="AV1482" s="185"/>
    </row>
    <row r="1483" spans="1:48" s="153" customFormat="1" outlineLevel="1" x14ac:dyDescent="0.25">
      <c r="A1483" s="108" t="str">
        <f t="shared" si="266"/>
        <v>5.18.4.0.0.0</v>
      </c>
      <c r="B1483" s="109">
        <v>5</v>
      </c>
      <c r="C1483" s="109">
        <v>18</v>
      </c>
      <c r="D1483" s="109">
        <v>4</v>
      </c>
      <c r="E1483" s="109">
        <v>0</v>
      </c>
      <c r="F1483" s="109">
        <v>0</v>
      </c>
      <c r="G1483" s="109">
        <v>0</v>
      </c>
      <c r="H1483" s="110"/>
      <c r="I1483" s="1265" t="s">
        <v>1646</v>
      </c>
      <c r="J1483" s="1266"/>
      <c r="K1483" s="1267"/>
      <c r="L1483" s="109" t="s">
        <v>612</v>
      </c>
      <c r="M1483" s="109" t="s">
        <v>73</v>
      </c>
      <c r="N1483" s="109" t="s">
        <v>257</v>
      </c>
      <c r="O1483" s="109" t="s">
        <v>1647</v>
      </c>
      <c r="P1483" s="109"/>
      <c r="Q1483" s="109"/>
      <c r="R1483" s="109"/>
      <c r="S1483" s="110"/>
      <c r="T1483" s="109"/>
      <c r="U1483" s="514">
        <v>0</v>
      </c>
      <c r="V1483" s="695">
        <v>0</v>
      </c>
      <c r="W1483" s="112"/>
      <c r="X1483" s="112"/>
      <c r="Y1483" s="112"/>
      <c r="Z1483" s="112"/>
      <c r="AA1483" s="112"/>
      <c r="AB1483" s="112"/>
      <c r="AC1483" s="117"/>
      <c r="AD1483" s="117"/>
      <c r="AE1483" s="617"/>
      <c r="AF1483" s="333"/>
      <c r="AG1483" s="514">
        <v>0</v>
      </c>
      <c r="AH1483" s="514">
        <v>0</v>
      </c>
      <c r="AI1483" s="514">
        <v>0</v>
      </c>
      <c r="AJ1483" s="514">
        <v>0</v>
      </c>
      <c r="AK1483" s="112"/>
      <c r="AL1483" s="112"/>
      <c r="AM1483" s="112"/>
      <c r="AN1483" s="109" t="s">
        <v>181</v>
      </c>
      <c r="AO1483" s="109"/>
      <c r="AP1483" s="109"/>
      <c r="AQ1483" s="411"/>
      <c r="AR1483" s="109"/>
      <c r="AS1483" s="473"/>
      <c r="AT1483" s="109"/>
      <c r="AU1483" s="659"/>
      <c r="AV1483" s="445"/>
    </row>
    <row r="1484" spans="1:48" outlineLevel="1" x14ac:dyDescent="0.25">
      <c r="A1484" s="90" t="str">
        <f t="shared" si="266"/>
        <v>5.18.4.1.1.0</v>
      </c>
      <c r="B1484" s="64">
        <v>5</v>
      </c>
      <c r="C1484" s="64">
        <v>18</v>
      </c>
      <c r="D1484" s="64">
        <v>4</v>
      </c>
      <c r="E1484" s="64">
        <v>1</v>
      </c>
      <c r="F1484" s="64">
        <v>1</v>
      </c>
      <c r="G1484" s="64">
        <v>0</v>
      </c>
      <c r="H1484" s="65"/>
      <c r="I1484" s="65"/>
      <c r="J1484" s="1268" t="s">
        <v>1648</v>
      </c>
      <c r="K1484" s="1268"/>
      <c r="L1484" s="64" t="s">
        <v>612</v>
      </c>
      <c r="M1484" s="64" t="s">
        <v>1649</v>
      </c>
      <c r="N1484" s="64" t="s">
        <v>257</v>
      </c>
      <c r="O1484" s="64" t="s">
        <v>1613</v>
      </c>
      <c r="P1484" s="64"/>
      <c r="Q1484" s="64"/>
      <c r="R1484" s="64"/>
      <c r="S1484" s="170"/>
      <c r="T1484" s="64"/>
      <c r="U1484" s="510">
        <v>0</v>
      </c>
      <c r="V1484" s="696">
        <v>0</v>
      </c>
      <c r="W1484" s="75"/>
      <c r="X1484" s="75"/>
      <c r="Y1484" s="834">
        <f>+AJ1484-V1484</f>
        <v>0</v>
      </c>
      <c r="Z1484" s="75"/>
      <c r="AA1484" s="75"/>
      <c r="AB1484" s="75"/>
      <c r="AC1484" s="97"/>
      <c r="AD1484" s="97"/>
      <c r="AE1484" s="591"/>
      <c r="AF1484" s="353"/>
      <c r="AG1484" s="510">
        <v>0</v>
      </c>
      <c r="AH1484" s="510">
        <v>0</v>
      </c>
      <c r="AI1484" s="75"/>
      <c r="AJ1484" s="75"/>
      <c r="AK1484" s="75"/>
      <c r="AL1484" s="75"/>
      <c r="AM1484" s="75"/>
      <c r="AN1484" s="64" t="s">
        <v>181</v>
      </c>
      <c r="AO1484" s="64"/>
      <c r="AP1484" s="64"/>
      <c r="AQ1484" s="189"/>
      <c r="AR1484" s="64"/>
      <c r="AS1484" s="476"/>
      <c r="AT1484" s="64"/>
      <c r="AU1484" s="646"/>
      <c r="AV1484" s="441"/>
    </row>
    <row r="1485" spans="1:48" s="153" customFormat="1" x14ac:dyDescent="0.25">
      <c r="A1485" s="246" t="str">
        <f t="shared" si="266"/>
        <v>6.0.0.0.0.0</v>
      </c>
      <c r="B1485" s="44">
        <v>6</v>
      </c>
      <c r="C1485" s="44">
        <v>0</v>
      </c>
      <c r="D1485" s="44">
        <v>0</v>
      </c>
      <c r="E1485" s="44">
        <v>0</v>
      </c>
      <c r="F1485" s="44">
        <v>0</v>
      </c>
      <c r="G1485" s="44">
        <v>0</v>
      </c>
      <c r="H1485" s="1269" t="s">
        <v>1650</v>
      </c>
      <c r="I1485" s="1270"/>
      <c r="J1485" s="1270"/>
      <c r="K1485" s="1271"/>
      <c r="L1485" s="44" t="s">
        <v>236</v>
      </c>
      <c r="M1485" s="44" t="s">
        <v>1651</v>
      </c>
      <c r="N1485" s="44" t="s">
        <v>226</v>
      </c>
      <c r="O1485" s="44" t="s">
        <v>224</v>
      </c>
      <c r="P1485" s="297">
        <v>44197</v>
      </c>
      <c r="Q1485" s="297">
        <v>44561</v>
      </c>
      <c r="R1485" s="44">
        <f>+R1486</f>
        <v>84</v>
      </c>
      <c r="S1485" s="247" t="s">
        <v>299</v>
      </c>
      <c r="T1485" s="44">
        <f t="shared" ref="T1485:AA1485" si="303">+T1486</f>
        <v>21</v>
      </c>
      <c r="U1485" s="393">
        <f>+SUM(U1486)</f>
        <v>0</v>
      </c>
      <c r="V1485" s="694">
        <f>+SUM(V1486)</f>
        <v>0</v>
      </c>
      <c r="W1485" s="248">
        <f t="shared" si="303"/>
        <v>21</v>
      </c>
      <c r="X1485" s="248">
        <f t="shared" si="303"/>
        <v>0</v>
      </c>
      <c r="Y1485" s="248">
        <f t="shared" si="303"/>
        <v>0</v>
      </c>
      <c r="Z1485" s="248">
        <f t="shared" si="303"/>
        <v>21</v>
      </c>
      <c r="AA1485" s="248">
        <f t="shared" si="303"/>
        <v>0</v>
      </c>
      <c r="AB1485" s="248"/>
      <c r="AC1485" s="292">
        <f>+AC1495</f>
        <v>0</v>
      </c>
      <c r="AD1485" s="248">
        <f>+AD1486</f>
        <v>0</v>
      </c>
      <c r="AE1485" s="273"/>
      <c r="AF1485" s="332"/>
      <c r="AG1485" s="530">
        <f>+SUM(AG1486)</f>
        <v>1999999.9600000002</v>
      </c>
      <c r="AH1485" s="393">
        <f>+SUM(AH1486)</f>
        <v>0</v>
      </c>
      <c r="AI1485" s="530">
        <f>+SUM(AI1486)</f>
        <v>0</v>
      </c>
      <c r="AJ1485" s="530">
        <f>+SUM(AJ1486)</f>
        <v>76348.81</v>
      </c>
      <c r="AK1485" s="248"/>
      <c r="AL1485" s="248"/>
      <c r="AM1485" s="248"/>
      <c r="AN1485" s="44" t="s">
        <v>181</v>
      </c>
      <c r="AO1485" s="44"/>
      <c r="AP1485" s="44"/>
      <c r="AQ1485" s="420"/>
      <c r="AR1485" s="44"/>
      <c r="AS1485" s="486"/>
      <c r="AT1485" s="44"/>
      <c r="AU1485" s="658"/>
      <c r="AV1485" s="426" t="s">
        <v>1652</v>
      </c>
    </row>
    <row r="1486" spans="1:48" s="153" customFormat="1" outlineLevel="1" x14ac:dyDescent="0.25">
      <c r="A1486" s="108" t="str">
        <f t="shared" si="266"/>
        <v>6.19.4.0.0.0</v>
      </c>
      <c r="B1486" s="109">
        <v>6</v>
      </c>
      <c r="C1486" s="109">
        <v>19</v>
      </c>
      <c r="D1486" s="109">
        <v>4</v>
      </c>
      <c r="E1486" s="109">
        <v>0</v>
      </c>
      <c r="F1486" s="109">
        <v>0</v>
      </c>
      <c r="G1486" s="109">
        <v>0</v>
      </c>
      <c r="H1486" s="110"/>
      <c r="I1486" s="1258" t="s">
        <v>1653</v>
      </c>
      <c r="J1486" s="1259"/>
      <c r="K1486" s="1259"/>
      <c r="L1486" s="109" t="s">
        <v>224</v>
      </c>
      <c r="M1486" s="109" t="s">
        <v>1654</v>
      </c>
      <c r="N1486" s="109" t="s">
        <v>226</v>
      </c>
      <c r="O1486" s="109" t="s">
        <v>224</v>
      </c>
      <c r="P1486" s="111">
        <v>44197</v>
      </c>
      <c r="Q1486" s="109" t="s">
        <v>1655</v>
      </c>
      <c r="R1486" s="109">
        <f>+R1487+R1495</f>
        <v>84</v>
      </c>
      <c r="S1486" s="110" t="s">
        <v>299</v>
      </c>
      <c r="T1486" s="109">
        <f t="shared" ref="T1486:AD1486" si="304">+T1487+T1495</f>
        <v>21</v>
      </c>
      <c r="U1486" s="514">
        <f t="shared" ref="U1486:V1486" si="305">+U1495+U1487</f>
        <v>0</v>
      </c>
      <c r="V1486" s="695">
        <f t="shared" si="305"/>
        <v>0</v>
      </c>
      <c r="W1486" s="112">
        <f t="shared" si="304"/>
        <v>21</v>
      </c>
      <c r="X1486" s="112">
        <f t="shared" si="304"/>
        <v>0</v>
      </c>
      <c r="Y1486" s="832">
        <f t="shared" si="304"/>
        <v>0</v>
      </c>
      <c r="Z1486" s="112">
        <f t="shared" si="304"/>
        <v>21</v>
      </c>
      <c r="AA1486" s="112">
        <f t="shared" si="304"/>
        <v>0</v>
      </c>
      <c r="AB1486" s="112"/>
      <c r="AC1486" s="117">
        <f t="shared" si="304"/>
        <v>21</v>
      </c>
      <c r="AD1486" s="112">
        <f t="shared" si="304"/>
        <v>0</v>
      </c>
      <c r="AE1486" s="574"/>
      <c r="AF1486" s="333"/>
      <c r="AG1486" s="514">
        <f t="shared" ref="AG1486:AM1486" si="306">+AG1495+AG1487</f>
        <v>1999999.9600000002</v>
      </c>
      <c r="AH1486" s="514">
        <f t="shared" si="306"/>
        <v>0</v>
      </c>
      <c r="AI1486" s="514">
        <f t="shared" si="306"/>
        <v>0</v>
      </c>
      <c r="AJ1486" s="514">
        <f>+AJ1495+AJ1487</f>
        <v>76348.81</v>
      </c>
      <c r="AK1486" s="514">
        <f t="shared" si="306"/>
        <v>0</v>
      </c>
      <c r="AL1486" s="514">
        <f t="shared" si="306"/>
        <v>0</v>
      </c>
      <c r="AM1486" s="514">
        <f t="shared" si="306"/>
        <v>0</v>
      </c>
      <c r="AN1486" s="109" t="s">
        <v>181</v>
      </c>
      <c r="AO1486" s="109"/>
      <c r="AP1486" s="109"/>
      <c r="AQ1486" s="411"/>
      <c r="AR1486" s="109"/>
      <c r="AS1486" s="473"/>
      <c r="AT1486" s="109"/>
      <c r="AU1486" s="659"/>
      <c r="AV1486" s="445"/>
    </row>
    <row r="1487" spans="1:48" s="153" customFormat="1" outlineLevel="1" x14ac:dyDescent="0.25">
      <c r="A1487" s="148" t="str">
        <f t="shared" si="266"/>
        <v>6.19.4.1.0.0</v>
      </c>
      <c r="B1487" s="82">
        <v>6</v>
      </c>
      <c r="C1487" s="82">
        <v>19</v>
      </c>
      <c r="D1487" s="82">
        <v>4</v>
      </c>
      <c r="E1487" s="82">
        <v>1</v>
      </c>
      <c r="F1487" s="82">
        <v>0</v>
      </c>
      <c r="G1487" s="82">
        <v>0</v>
      </c>
      <c r="H1487" s="149"/>
      <c r="I1487" s="149"/>
      <c r="J1487" s="1260" t="s">
        <v>1656</v>
      </c>
      <c r="K1487" s="1259"/>
      <c r="L1487" s="82" t="s">
        <v>224</v>
      </c>
      <c r="M1487" s="82" t="s">
        <v>1654</v>
      </c>
      <c r="N1487" s="82" t="s">
        <v>1657</v>
      </c>
      <c r="O1487" s="82" t="s">
        <v>224</v>
      </c>
      <c r="P1487" s="84">
        <v>44197</v>
      </c>
      <c r="Q1487" s="84">
        <v>44561</v>
      </c>
      <c r="R1487" s="82">
        <f>+SUM(R1488:R1494)</f>
        <v>84</v>
      </c>
      <c r="S1487" s="149" t="s">
        <v>299</v>
      </c>
      <c r="T1487" s="82">
        <f>+SUM(T1488:T1494)</f>
        <v>21</v>
      </c>
      <c r="U1487" s="512">
        <f>+SUM(U1488:U1494)</f>
        <v>0</v>
      </c>
      <c r="V1487" s="693">
        <f>+SUM(V1488:V1494)</f>
        <v>0</v>
      </c>
      <c r="W1487" s="152">
        <f>+SUM(W1488:W1494)</f>
        <v>21</v>
      </c>
      <c r="X1487" s="152">
        <f>SUM(X1488:X1494)</f>
        <v>0</v>
      </c>
      <c r="Y1487" s="844">
        <f>SUM(Y1488:Y1494)</f>
        <v>0</v>
      </c>
      <c r="Z1487" s="152">
        <f>+SUM(Z1488:Z1494)</f>
        <v>21</v>
      </c>
      <c r="AA1487" s="152">
        <f>SUM(AA1488:AA1494)</f>
        <v>0</v>
      </c>
      <c r="AB1487" s="152"/>
      <c r="AC1487" s="257">
        <f>+SUM(AC1488:AC1494)</f>
        <v>21</v>
      </c>
      <c r="AD1487" s="152">
        <f>SUM(AD1488:AD1494)</f>
        <v>0</v>
      </c>
      <c r="AE1487" s="597"/>
      <c r="AF1487" s="358"/>
      <c r="AG1487" s="512">
        <f>+SUM(AG1488:AG1494)</f>
        <v>1999999.9600000002</v>
      </c>
      <c r="AH1487" s="512">
        <f>+SUM(AH1488:AH1494)</f>
        <v>0</v>
      </c>
      <c r="AI1487" s="512">
        <f>+SUM(AI1488:AI1494)</f>
        <v>0</v>
      </c>
      <c r="AJ1487" s="512">
        <f>+SUM(AJ1488:AJ1494)</f>
        <v>0</v>
      </c>
      <c r="AK1487" s="152"/>
      <c r="AL1487" s="152"/>
      <c r="AM1487" s="152"/>
      <c r="AN1487" s="82" t="s">
        <v>181</v>
      </c>
      <c r="AO1487" s="82"/>
      <c r="AP1487" s="82"/>
      <c r="AQ1487" s="365"/>
      <c r="AR1487" s="82"/>
      <c r="AS1487" s="483"/>
      <c r="AT1487" s="82"/>
      <c r="AU1487" s="666"/>
      <c r="AV1487" s="444"/>
    </row>
    <row r="1488" spans="1:48" outlineLevel="2" x14ac:dyDescent="0.25">
      <c r="A1488" s="63" t="str">
        <f t="shared" si="266"/>
        <v>6.19.4.1.1.59</v>
      </c>
      <c r="B1488" s="64">
        <v>6</v>
      </c>
      <c r="C1488" s="64">
        <v>19</v>
      </c>
      <c r="D1488" s="64">
        <v>4</v>
      </c>
      <c r="E1488" s="64">
        <v>1</v>
      </c>
      <c r="F1488" s="64">
        <v>1</v>
      </c>
      <c r="G1488" s="64">
        <v>59</v>
      </c>
      <c r="H1488" s="65"/>
      <c r="I1488" s="65"/>
      <c r="J1488" s="65"/>
      <c r="K1488" s="65" t="s">
        <v>1658</v>
      </c>
      <c r="L1488" s="64" t="s">
        <v>224</v>
      </c>
      <c r="M1488" s="64" t="s">
        <v>1654</v>
      </c>
      <c r="N1488" s="64" t="s">
        <v>1657</v>
      </c>
      <c r="O1488" s="64" t="s">
        <v>224</v>
      </c>
      <c r="P1488" s="69">
        <v>44197</v>
      </c>
      <c r="Q1488" s="69">
        <v>44561</v>
      </c>
      <c r="R1488" s="64">
        <v>12</v>
      </c>
      <c r="S1488" s="65" t="s">
        <v>299</v>
      </c>
      <c r="T1488" s="64">
        <v>3</v>
      </c>
      <c r="U1488" s="370">
        <v>0</v>
      </c>
      <c r="V1488" s="687">
        <v>0</v>
      </c>
      <c r="W1488" s="75">
        <v>3</v>
      </c>
      <c r="X1488" s="75"/>
      <c r="Y1488" s="834">
        <f t="shared" ref="Y1488:Y1494" si="307">+AJ1488-V1488</f>
        <v>0</v>
      </c>
      <c r="Z1488" s="75">
        <v>3</v>
      </c>
      <c r="AA1488" s="75"/>
      <c r="AB1488" s="75"/>
      <c r="AC1488" s="97">
        <v>3</v>
      </c>
      <c r="AD1488" s="97"/>
      <c r="AE1488" s="591"/>
      <c r="AF1488" s="343" t="s">
        <v>1659</v>
      </c>
      <c r="AG1488" s="509">
        <v>285714.28000000003</v>
      </c>
      <c r="AH1488" s="370">
        <v>0</v>
      </c>
      <c r="AI1488" s="75"/>
      <c r="AJ1488" s="75"/>
      <c r="AK1488" s="75"/>
      <c r="AL1488" s="75"/>
      <c r="AM1488" s="75"/>
      <c r="AN1488" s="64" t="s">
        <v>181</v>
      </c>
      <c r="AO1488" s="64"/>
      <c r="AP1488" s="64"/>
      <c r="AQ1488" s="189"/>
      <c r="AR1488" s="64"/>
      <c r="AS1488" s="476"/>
      <c r="AT1488" s="64"/>
      <c r="AU1488" s="646"/>
      <c r="AV1488" s="185"/>
    </row>
    <row r="1489" spans="1:114" outlineLevel="2" x14ac:dyDescent="0.25">
      <c r="A1489" s="63" t="str">
        <f t="shared" si="266"/>
        <v>6.19.4.1.2.63</v>
      </c>
      <c r="B1489" s="64">
        <v>6</v>
      </c>
      <c r="C1489" s="64">
        <v>19</v>
      </c>
      <c r="D1489" s="64">
        <v>4</v>
      </c>
      <c r="E1489" s="64">
        <v>1</v>
      </c>
      <c r="F1489" s="64">
        <v>2</v>
      </c>
      <c r="G1489" s="64">
        <v>63</v>
      </c>
      <c r="H1489" s="65"/>
      <c r="I1489" s="65"/>
      <c r="J1489" s="65"/>
      <c r="K1489" s="65" t="s">
        <v>1660</v>
      </c>
      <c r="L1489" s="64" t="s">
        <v>224</v>
      </c>
      <c r="M1489" s="64" t="s">
        <v>1654</v>
      </c>
      <c r="N1489" s="64" t="s">
        <v>1657</v>
      </c>
      <c r="O1489" s="64" t="s">
        <v>224</v>
      </c>
      <c r="P1489" s="69">
        <v>44197</v>
      </c>
      <c r="Q1489" s="69">
        <v>44561</v>
      </c>
      <c r="R1489" s="64">
        <v>12</v>
      </c>
      <c r="S1489" s="65" t="s">
        <v>299</v>
      </c>
      <c r="T1489" s="64">
        <v>3</v>
      </c>
      <c r="U1489" s="370">
        <v>0</v>
      </c>
      <c r="V1489" s="687">
        <v>0</v>
      </c>
      <c r="W1489" s="75">
        <v>3</v>
      </c>
      <c r="X1489" s="75"/>
      <c r="Y1489" s="834">
        <f t="shared" si="307"/>
        <v>0</v>
      </c>
      <c r="Z1489" s="75">
        <v>3</v>
      </c>
      <c r="AA1489" s="75"/>
      <c r="AB1489" s="75"/>
      <c r="AC1489" s="97">
        <v>3</v>
      </c>
      <c r="AD1489" s="97"/>
      <c r="AE1489" s="591"/>
      <c r="AF1489" s="343" t="s">
        <v>1659</v>
      </c>
      <c r="AG1489" s="509">
        <v>285714.28000000003</v>
      </c>
      <c r="AH1489" s="370">
        <v>0</v>
      </c>
      <c r="AI1489" s="75"/>
      <c r="AJ1489" s="75"/>
      <c r="AK1489" s="75"/>
      <c r="AL1489" s="75"/>
      <c r="AM1489" s="75"/>
      <c r="AN1489" s="64" t="s">
        <v>181</v>
      </c>
      <c r="AO1489" s="64"/>
      <c r="AP1489" s="64"/>
      <c r="AQ1489" s="189"/>
      <c r="AR1489" s="64"/>
      <c r="AS1489" s="476"/>
      <c r="AT1489" s="64"/>
      <c r="AU1489" s="646"/>
      <c r="AV1489" s="185"/>
    </row>
    <row r="1490" spans="1:114" outlineLevel="2" x14ac:dyDescent="0.25">
      <c r="A1490" s="63" t="str">
        <f t="shared" si="266"/>
        <v>6.19.4.1.3.64</v>
      </c>
      <c r="B1490" s="64">
        <v>6</v>
      </c>
      <c r="C1490" s="64">
        <v>19</v>
      </c>
      <c r="D1490" s="64">
        <v>4</v>
      </c>
      <c r="E1490" s="64">
        <v>1</v>
      </c>
      <c r="F1490" s="64">
        <v>3</v>
      </c>
      <c r="G1490" s="64">
        <v>64</v>
      </c>
      <c r="H1490" s="65"/>
      <c r="I1490" s="65"/>
      <c r="J1490" s="65"/>
      <c r="K1490" s="65" t="s">
        <v>1661</v>
      </c>
      <c r="L1490" s="64" t="s">
        <v>224</v>
      </c>
      <c r="M1490" s="64" t="s">
        <v>1654</v>
      </c>
      <c r="N1490" s="64" t="s">
        <v>1657</v>
      </c>
      <c r="O1490" s="64" t="s">
        <v>224</v>
      </c>
      <c r="P1490" s="69">
        <v>44197</v>
      </c>
      <c r="Q1490" s="69">
        <v>44561</v>
      </c>
      <c r="R1490" s="64">
        <v>12</v>
      </c>
      <c r="S1490" s="65" t="s">
        <v>299</v>
      </c>
      <c r="T1490" s="64">
        <v>3</v>
      </c>
      <c r="U1490" s="370">
        <v>0</v>
      </c>
      <c r="V1490" s="687">
        <v>0</v>
      </c>
      <c r="W1490" s="75">
        <v>3</v>
      </c>
      <c r="X1490" s="75"/>
      <c r="Y1490" s="834">
        <f t="shared" si="307"/>
        <v>0</v>
      </c>
      <c r="Z1490" s="75">
        <v>3</v>
      </c>
      <c r="AA1490" s="75"/>
      <c r="AB1490" s="75"/>
      <c r="AC1490" s="97">
        <v>3</v>
      </c>
      <c r="AD1490" s="97"/>
      <c r="AE1490" s="591"/>
      <c r="AF1490" s="343" t="s">
        <v>1659</v>
      </c>
      <c r="AG1490" s="509">
        <v>285714.28000000003</v>
      </c>
      <c r="AH1490" s="370">
        <v>0</v>
      </c>
      <c r="AI1490" s="75"/>
      <c r="AJ1490" s="75"/>
      <c r="AK1490" s="75"/>
      <c r="AL1490" s="75"/>
      <c r="AM1490" s="75"/>
      <c r="AN1490" s="64" t="s">
        <v>181</v>
      </c>
      <c r="AO1490" s="64"/>
      <c r="AP1490" s="64"/>
      <c r="AQ1490" s="189"/>
      <c r="AR1490" s="64"/>
      <c r="AS1490" s="476"/>
      <c r="AT1490" s="64"/>
      <c r="AU1490" s="646"/>
      <c r="AV1490" s="185"/>
    </row>
    <row r="1491" spans="1:114" outlineLevel="2" x14ac:dyDescent="0.25">
      <c r="A1491" s="63" t="str">
        <f t="shared" si="266"/>
        <v>6.19.4.1.4.61</v>
      </c>
      <c r="B1491" s="64">
        <v>6</v>
      </c>
      <c r="C1491" s="64">
        <v>19</v>
      </c>
      <c r="D1491" s="64">
        <v>4</v>
      </c>
      <c r="E1491" s="64">
        <v>1</v>
      </c>
      <c r="F1491" s="64">
        <v>4</v>
      </c>
      <c r="G1491" s="64">
        <v>61</v>
      </c>
      <c r="H1491" s="65"/>
      <c r="I1491" s="65"/>
      <c r="J1491" s="65"/>
      <c r="K1491" s="65" t="s">
        <v>1662</v>
      </c>
      <c r="L1491" s="64" t="s">
        <v>224</v>
      </c>
      <c r="M1491" s="64" t="s">
        <v>1654</v>
      </c>
      <c r="N1491" s="64" t="s">
        <v>1657</v>
      </c>
      <c r="O1491" s="64" t="s">
        <v>224</v>
      </c>
      <c r="P1491" s="69">
        <v>44197</v>
      </c>
      <c r="Q1491" s="69">
        <v>44561</v>
      </c>
      <c r="R1491" s="64">
        <v>12</v>
      </c>
      <c r="S1491" s="65" t="s">
        <v>299</v>
      </c>
      <c r="T1491" s="64">
        <v>3</v>
      </c>
      <c r="U1491" s="370">
        <v>0</v>
      </c>
      <c r="V1491" s="687">
        <v>0</v>
      </c>
      <c r="W1491" s="75">
        <v>3</v>
      </c>
      <c r="X1491" s="75"/>
      <c r="Y1491" s="834">
        <f t="shared" si="307"/>
        <v>0</v>
      </c>
      <c r="Z1491" s="75">
        <v>3</v>
      </c>
      <c r="AA1491" s="75"/>
      <c r="AB1491" s="75"/>
      <c r="AC1491" s="97">
        <v>3</v>
      </c>
      <c r="AD1491" s="97"/>
      <c r="AE1491" s="591"/>
      <c r="AF1491" s="343" t="s">
        <v>1659</v>
      </c>
      <c r="AG1491" s="509">
        <v>285714.28000000003</v>
      </c>
      <c r="AH1491" s="370">
        <v>0</v>
      </c>
      <c r="AI1491" s="75"/>
      <c r="AJ1491" s="75"/>
      <c r="AK1491" s="75"/>
      <c r="AL1491" s="75"/>
      <c r="AM1491" s="75"/>
      <c r="AN1491" s="64" t="s">
        <v>181</v>
      </c>
      <c r="AO1491" s="64"/>
      <c r="AP1491" s="64"/>
      <c r="AQ1491" s="189"/>
      <c r="AR1491" s="64"/>
      <c r="AS1491" s="476"/>
      <c r="AT1491" s="64"/>
      <c r="AU1491" s="646"/>
      <c r="AV1491" s="185"/>
    </row>
    <row r="1492" spans="1:114" outlineLevel="2" x14ac:dyDescent="0.25">
      <c r="A1492" s="63" t="str">
        <f t="shared" si="266"/>
        <v>6.19.4.1.5.62</v>
      </c>
      <c r="B1492" s="64">
        <v>6</v>
      </c>
      <c r="C1492" s="64">
        <v>19</v>
      </c>
      <c r="D1492" s="64">
        <v>4</v>
      </c>
      <c r="E1492" s="64">
        <v>1</v>
      </c>
      <c r="F1492" s="64">
        <v>5</v>
      </c>
      <c r="G1492" s="64">
        <v>62</v>
      </c>
      <c r="H1492" s="65"/>
      <c r="I1492" s="65"/>
      <c r="J1492" s="65"/>
      <c r="K1492" s="65" t="s">
        <v>1663</v>
      </c>
      <c r="L1492" s="64" t="s">
        <v>224</v>
      </c>
      <c r="M1492" s="64" t="s">
        <v>1654</v>
      </c>
      <c r="N1492" s="64" t="s">
        <v>1657</v>
      </c>
      <c r="O1492" s="64" t="s">
        <v>224</v>
      </c>
      <c r="P1492" s="69">
        <v>44197</v>
      </c>
      <c r="Q1492" s="69">
        <v>44561</v>
      </c>
      <c r="R1492" s="64">
        <v>12</v>
      </c>
      <c r="S1492" s="65" t="s">
        <v>299</v>
      </c>
      <c r="T1492" s="64">
        <v>3</v>
      </c>
      <c r="U1492" s="370">
        <v>0</v>
      </c>
      <c r="V1492" s="687">
        <v>0</v>
      </c>
      <c r="W1492" s="75">
        <v>3</v>
      </c>
      <c r="X1492" s="75"/>
      <c r="Y1492" s="834">
        <f t="shared" si="307"/>
        <v>0</v>
      </c>
      <c r="Z1492" s="75">
        <v>3</v>
      </c>
      <c r="AA1492" s="75"/>
      <c r="AB1492" s="75"/>
      <c r="AC1492" s="97">
        <v>3</v>
      </c>
      <c r="AD1492" s="97"/>
      <c r="AE1492" s="591"/>
      <c r="AF1492" s="343" t="s">
        <v>1659</v>
      </c>
      <c r="AG1492" s="509">
        <v>285714.28000000003</v>
      </c>
      <c r="AH1492" s="370">
        <v>0</v>
      </c>
      <c r="AI1492" s="75"/>
      <c r="AJ1492" s="75"/>
      <c r="AK1492" s="75"/>
      <c r="AL1492" s="75"/>
      <c r="AM1492" s="75"/>
      <c r="AN1492" s="64" t="s">
        <v>181</v>
      </c>
      <c r="AO1492" s="64"/>
      <c r="AP1492" s="64"/>
      <c r="AQ1492" s="189"/>
      <c r="AR1492" s="64"/>
      <c r="AS1492" s="476"/>
      <c r="AT1492" s="64"/>
      <c r="AU1492" s="646"/>
      <c r="AV1492" s="185"/>
    </row>
    <row r="1493" spans="1:114" outlineLevel="2" x14ac:dyDescent="0.25">
      <c r="A1493" s="63" t="str">
        <f t="shared" si="266"/>
        <v>6.19.4.1.6.60</v>
      </c>
      <c r="B1493" s="64">
        <v>6</v>
      </c>
      <c r="C1493" s="64">
        <v>19</v>
      </c>
      <c r="D1493" s="64">
        <v>4</v>
      </c>
      <c r="E1493" s="64">
        <v>1</v>
      </c>
      <c r="F1493" s="64">
        <v>6</v>
      </c>
      <c r="G1493" s="64">
        <v>60</v>
      </c>
      <c r="H1493" s="65"/>
      <c r="I1493" s="65"/>
      <c r="J1493" s="65"/>
      <c r="K1493" s="65" t="s">
        <v>1664</v>
      </c>
      <c r="L1493" s="64" t="s">
        <v>224</v>
      </c>
      <c r="M1493" s="64" t="s">
        <v>1654</v>
      </c>
      <c r="N1493" s="64" t="s">
        <v>1657</v>
      </c>
      <c r="O1493" s="64" t="s">
        <v>224</v>
      </c>
      <c r="P1493" s="69">
        <v>44197</v>
      </c>
      <c r="Q1493" s="69">
        <v>44561</v>
      </c>
      <c r="R1493" s="64">
        <v>12</v>
      </c>
      <c r="S1493" s="65" t="s">
        <v>299</v>
      </c>
      <c r="T1493" s="64">
        <v>3</v>
      </c>
      <c r="U1493" s="370">
        <v>0</v>
      </c>
      <c r="V1493" s="687">
        <v>0</v>
      </c>
      <c r="W1493" s="75">
        <v>3</v>
      </c>
      <c r="X1493" s="75"/>
      <c r="Y1493" s="834">
        <f t="shared" si="307"/>
        <v>0</v>
      </c>
      <c r="Z1493" s="75">
        <v>3</v>
      </c>
      <c r="AA1493" s="75"/>
      <c r="AB1493" s="75"/>
      <c r="AC1493" s="97">
        <v>3</v>
      </c>
      <c r="AD1493" s="97"/>
      <c r="AE1493" s="591"/>
      <c r="AF1493" s="343" t="s">
        <v>1659</v>
      </c>
      <c r="AG1493" s="509">
        <v>285714.28000000003</v>
      </c>
      <c r="AH1493" s="370">
        <v>0</v>
      </c>
      <c r="AI1493" s="75"/>
      <c r="AJ1493" s="75"/>
      <c r="AK1493" s="75"/>
      <c r="AL1493" s="75"/>
      <c r="AM1493" s="75"/>
      <c r="AN1493" s="64" t="s">
        <v>181</v>
      </c>
      <c r="AO1493" s="64"/>
      <c r="AP1493" s="64"/>
      <c r="AQ1493" s="189"/>
      <c r="AR1493" s="64"/>
      <c r="AS1493" s="476"/>
      <c r="AT1493" s="64"/>
      <c r="AU1493" s="646"/>
      <c r="AV1493" s="185"/>
    </row>
    <row r="1494" spans="1:114" outlineLevel="2" x14ac:dyDescent="0.25">
      <c r="A1494" s="63" t="str">
        <f t="shared" si="266"/>
        <v>6.19.4.1.7.58</v>
      </c>
      <c r="B1494" s="64">
        <v>6</v>
      </c>
      <c r="C1494" s="64">
        <v>19</v>
      </c>
      <c r="D1494" s="64">
        <v>4</v>
      </c>
      <c r="E1494" s="64">
        <v>1</v>
      </c>
      <c r="F1494" s="64">
        <v>7</v>
      </c>
      <c r="G1494" s="64">
        <v>58</v>
      </c>
      <c r="H1494" s="65"/>
      <c r="I1494" s="65"/>
      <c r="J1494" s="65"/>
      <c r="K1494" s="65" t="s">
        <v>1665</v>
      </c>
      <c r="L1494" s="64" t="s">
        <v>224</v>
      </c>
      <c r="M1494" s="64" t="s">
        <v>1654</v>
      </c>
      <c r="N1494" s="64" t="s">
        <v>1657</v>
      </c>
      <c r="O1494" s="64" t="s">
        <v>224</v>
      </c>
      <c r="P1494" s="69">
        <v>44197</v>
      </c>
      <c r="Q1494" s="69">
        <v>44561</v>
      </c>
      <c r="R1494" s="64">
        <v>12</v>
      </c>
      <c r="S1494" s="65" t="s">
        <v>299</v>
      </c>
      <c r="T1494" s="64">
        <v>3</v>
      </c>
      <c r="U1494" s="370">
        <v>0</v>
      </c>
      <c r="V1494" s="687">
        <v>0</v>
      </c>
      <c r="W1494" s="75">
        <v>3</v>
      </c>
      <c r="X1494" s="75"/>
      <c r="Y1494" s="834">
        <f t="shared" si="307"/>
        <v>0</v>
      </c>
      <c r="Z1494" s="75">
        <v>3</v>
      </c>
      <c r="AA1494" s="75"/>
      <c r="AB1494" s="75"/>
      <c r="AC1494" s="97">
        <v>3</v>
      </c>
      <c r="AD1494" s="97"/>
      <c r="AE1494" s="591"/>
      <c r="AF1494" s="343" t="s">
        <v>1659</v>
      </c>
      <c r="AG1494" s="509">
        <v>285714.28000000003</v>
      </c>
      <c r="AH1494" s="370">
        <v>0</v>
      </c>
      <c r="AI1494" s="75"/>
      <c r="AJ1494" s="75"/>
      <c r="AK1494" s="75"/>
      <c r="AL1494" s="75"/>
      <c r="AM1494" s="75"/>
      <c r="AN1494" s="64" t="s">
        <v>181</v>
      </c>
      <c r="AO1494" s="64"/>
      <c r="AP1494" s="64"/>
      <c r="AQ1494" s="189"/>
      <c r="AR1494" s="64"/>
      <c r="AS1494" s="476"/>
      <c r="AT1494" s="64"/>
      <c r="AU1494" s="646"/>
      <c r="AV1494" s="185"/>
    </row>
    <row r="1495" spans="1:114" s="153" customFormat="1" outlineLevel="1" x14ac:dyDescent="0.25">
      <c r="A1495" s="298" t="str">
        <f t="shared" si="266"/>
        <v>6.19.4.2.0.0</v>
      </c>
      <c r="B1495" s="299">
        <v>6</v>
      </c>
      <c r="C1495" s="299">
        <v>19</v>
      </c>
      <c r="D1495" s="299">
        <v>4</v>
      </c>
      <c r="E1495" s="299">
        <v>2</v>
      </c>
      <c r="F1495" s="299">
        <v>0</v>
      </c>
      <c r="G1495" s="299">
        <v>0</v>
      </c>
      <c r="H1495" s="300"/>
      <c r="I1495" s="300"/>
      <c r="J1495" s="1261" t="s">
        <v>1666</v>
      </c>
      <c r="K1495" s="1262"/>
      <c r="L1495" s="299" t="s">
        <v>224</v>
      </c>
      <c r="M1495" s="299" t="s">
        <v>76</v>
      </c>
      <c r="N1495" s="299" t="s">
        <v>74</v>
      </c>
      <c r="O1495" s="299" t="s">
        <v>224</v>
      </c>
      <c r="P1495" s="299" t="s">
        <v>649</v>
      </c>
      <c r="Q1495" s="299" t="s">
        <v>649</v>
      </c>
      <c r="R1495" s="299">
        <f>+SUM(R1496)</f>
        <v>0</v>
      </c>
      <c r="S1495" s="300" t="s">
        <v>76</v>
      </c>
      <c r="T1495" s="299">
        <v>0</v>
      </c>
      <c r="U1495" s="394">
        <f>+SUM(U1496)</f>
        <v>0</v>
      </c>
      <c r="V1495" s="697">
        <f>+SUM(V1496)</f>
        <v>0</v>
      </c>
      <c r="W1495" s="301">
        <v>0</v>
      </c>
      <c r="X1495" s="301"/>
      <c r="Y1495" s="301"/>
      <c r="Z1495" s="301">
        <v>0</v>
      </c>
      <c r="AA1495" s="301"/>
      <c r="AB1495" s="301"/>
      <c r="AC1495" s="302">
        <v>0</v>
      </c>
      <c r="AD1495" s="302"/>
      <c r="AE1495" s="619"/>
      <c r="AF1495" s="368" t="s">
        <v>649</v>
      </c>
      <c r="AG1495" s="531">
        <f>+SUM(AG1496)</f>
        <v>0</v>
      </c>
      <c r="AH1495" s="394">
        <f>+SUM(AH1496)</f>
        <v>0</v>
      </c>
      <c r="AI1495" s="531">
        <f>+SUM(AI1496)</f>
        <v>0</v>
      </c>
      <c r="AJ1495" s="531">
        <f>+SUM(AJ1496:AM1509)</f>
        <v>76348.81</v>
      </c>
      <c r="AK1495" s="301"/>
      <c r="AL1495" s="301"/>
      <c r="AM1495" s="301"/>
      <c r="AN1495" s="299" t="s">
        <v>181</v>
      </c>
      <c r="AO1495" s="299"/>
      <c r="AP1495" s="299"/>
      <c r="AQ1495" s="424"/>
      <c r="AR1495" s="82"/>
      <c r="AS1495" s="490"/>
      <c r="AT1495" s="82"/>
      <c r="AU1495" s="666"/>
      <c r="AV1495" s="462"/>
    </row>
    <row r="1496" spans="1:114" s="170" customFormat="1" ht="25.5" customHeight="1" outlineLevel="5" x14ac:dyDescent="0.25">
      <c r="A1496" s="63" t="str">
        <f t="shared" si="266"/>
        <v>6.19.4.2.1.58</v>
      </c>
      <c r="B1496" s="64">
        <v>6</v>
      </c>
      <c r="C1496" s="64">
        <v>19</v>
      </c>
      <c r="D1496" s="64">
        <v>4</v>
      </c>
      <c r="E1496" s="64">
        <v>2</v>
      </c>
      <c r="F1496" s="64">
        <v>1</v>
      </c>
      <c r="G1496" s="64">
        <v>58</v>
      </c>
      <c r="H1496" s="65"/>
      <c r="I1496" s="65"/>
      <c r="J1496" s="65"/>
      <c r="K1496" s="65" t="s">
        <v>1667</v>
      </c>
      <c r="L1496" s="64" t="s">
        <v>72</v>
      </c>
      <c r="M1496" s="64" t="s">
        <v>76</v>
      </c>
      <c r="N1496" s="64" t="s">
        <v>74</v>
      </c>
      <c r="O1496" s="64" t="s">
        <v>224</v>
      </c>
      <c r="P1496" s="64" t="s">
        <v>649</v>
      </c>
      <c r="Q1496" s="64" t="s">
        <v>649</v>
      </c>
      <c r="R1496" s="64" t="s">
        <v>649</v>
      </c>
      <c r="S1496" s="65" t="s">
        <v>76</v>
      </c>
      <c r="T1496" s="64">
        <v>0</v>
      </c>
      <c r="U1496" s="370">
        <v>0</v>
      </c>
      <c r="V1496" s="687">
        <v>0</v>
      </c>
      <c r="W1496" s="75">
        <v>0</v>
      </c>
      <c r="X1496" s="75"/>
      <c r="Y1496" s="834">
        <f t="shared" ref="Y1496:Y1509" si="308">+AJ1496-V1496</f>
        <v>0</v>
      </c>
      <c r="Z1496" s="75">
        <v>0</v>
      </c>
      <c r="AA1496" s="75"/>
      <c r="AB1496" s="75"/>
      <c r="AC1496" s="97">
        <v>0</v>
      </c>
      <c r="AD1496" s="97"/>
      <c r="AE1496" s="591"/>
      <c r="AF1496" s="259" t="s">
        <v>649</v>
      </c>
      <c r="AG1496" s="395">
        <v>0</v>
      </c>
      <c r="AH1496" s="370">
        <v>0</v>
      </c>
      <c r="AI1496" s="75"/>
      <c r="AJ1496" s="75"/>
      <c r="AK1496" s="75"/>
      <c r="AL1496" s="75"/>
      <c r="AM1496" s="75"/>
      <c r="AN1496" s="64" t="s">
        <v>181</v>
      </c>
      <c r="AO1496" s="64"/>
      <c r="AP1496" s="64"/>
      <c r="AQ1496" s="189"/>
      <c r="AR1496" s="64"/>
      <c r="AS1496" s="476"/>
      <c r="AT1496" s="64"/>
      <c r="AU1496" s="646"/>
      <c r="AV1496" s="185"/>
    </row>
    <row r="1497" spans="1:114" s="170" customFormat="1" ht="18.75" customHeight="1" outlineLevel="2" x14ac:dyDescent="0.25">
      <c r="A1497" s="63" t="str">
        <f t="shared" si="266"/>
        <v>6.19.4.2.2.59</v>
      </c>
      <c r="B1497" s="64">
        <v>6</v>
      </c>
      <c r="C1497" s="64">
        <v>19</v>
      </c>
      <c r="D1497" s="64">
        <v>4</v>
      </c>
      <c r="E1497" s="64">
        <v>2</v>
      </c>
      <c r="F1497" s="64">
        <v>2</v>
      </c>
      <c r="G1497" s="64">
        <v>59</v>
      </c>
      <c r="H1497" s="65"/>
      <c r="I1497" s="65"/>
      <c r="J1497" s="65"/>
      <c r="K1497" s="65" t="s">
        <v>1667</v>
      </c>
      <c r="L1497" s="64" t="s">
        <v>72</v>
      </c>
      <c r="M1497" s="64" t="s">
        <v>76</v>
      </c>
      <c r="N1497" s="64" t="s">
        <v>74</v>
      </c>
      <c r="O1497" s="64" t="s">
        <v>224</v>
      </c>
      <c r="P1497" s="64" t="s">
        <v>649</v>
      </c>
      <c r="R1497" s="303"/>
      <c r="S1497" s="304"/>
      <c r="T1497" s="303"/>
      <c r="U1497" s="370">
        <v>0</v>
      </c>
      <c r="V1497" s="687">
        <v>0</v>
      </c>
      <c r="W1497" s="305"/>
      <c r="X1497" s="305"/>
      <c r="Y1497" s="834">
        <f t="shared" si="308"/>
        <v>0</v>
      </c>
      <c r="Z1497" s="305"/>
      <c r="AA1497" s="305"/>
      <c r="AB1497" s="305"/>
      <c r="AC1497" s="306"/>
      <c r="AD1497" s="306"/>
      <c r="AE1497" s="620"/>
      <c r="AF1497" s="353"/>
      <c r="AG1497" s="395">
        <v>0</v>
      </c>
      <c r="AH1497" s="370">
        <v>0</v>
      </c>
      <c r="AI1497" s="75"/>
      <c r="AJ1497" s="75"/>
      <c r="AK1497" s="75"/>
      <c r="AL1497" s="75"/>
      <c r="AM1497" s="75"/>
      <c r="AN1497" s="64" t="s">
        <v>181</v>
      </c>
      <c r="AO1497" s="64"/>
      <c r="AP1497" s="64"/>
      <c r="AQ1497" s="189"/>
      <c r="AR1497" s="64"/>
      <c r="AS1497" s="476"/>
      <c r="AT1497" s="64"/>
      <c r="AU1497" s="646"/>
      <c r="AV1497" s="185"/>
    </row>
    <row r="1498" spans="1:114" s="170" customFormat="1" ht="18.75" customHeight="1" outlineLevel="1" x14ac:dyDescent="0.25">
      <c r="A1498" s="63" t="str">
        <f t="shared" si="266"/>
        <v>6.19.4.2.3.60</v>
      </c>
      <c r="B1498" s="64">
        <v>6</v>
      </c>
      <c r="C1498" s="64">
        <v>19</v>
      </c>
      <c r="D1498" s="64">
        <v>4</v>
      </c>
      <c r="E1498" s="64">
        <v>2</v>
      </c>
      <c r="F1498" s="64">
        <v>3</v>
      </c>
      <c r="G1498" s="64">
        <v>60</v>
      </c>
      <c r="H1498" s="65"/>
      <c r="I1498" s="65"/>
      <c r="J1498" s="65"/>
      <c r="K1498" s="65" t="s">
        <v>1667</v>
      </c>
      <c r="L1498" s="64" t="s">
        <v>668</v>
      </c>
      <c r="M1498" s="64" t="s">
        <v>76</v>
      </c>
      <c r="N1498" s="64" t="s">
        <v>74</v>
      </c>
      <c r="O1498" s="64" t="s">
        <v>224</v>
      </c>
      <c r="P1498" s="64" t="s">
        <v>649</v>
      </c>
      <c r="U1498" s="370">
        <v>0</v>
      </c>
      <c r="V1498" s="687">
        <v>0</v>
      </c>
      <c r="W1498" s="97"/>
      <c r="X1498" s="97"/>
      <c r="Y1498" s="834">
        <f t="shared" si="308"/>
        <v>76348.81</v>
      </c>
      <c r="Z1498" s="97"/>
      <c r="AA1498" s="97"/>
      <c r="AB1498" s="97"/>
      <c r="AC1498" s="97"/>
      <c r="AD1498" s="97"/>
      <c r="AE1498" s="591"/>
      <c r="AF1498" s="353"/>
      <c r="AG1498" s="395">
        <v>0</v>
      </c>
      <c r="AH1498" s="370">
        <v>0</v>
      </c>
      <c r="AI1498" s="75"/>
      <c r="AJ1498" s="75">
        <v>76348.81</v>
      </c>
      <c r="AK1498" s="75"/>
      <c r="AL1498" s="75"/>
      <c r="AM1498" s="75"/>
      <c r="AN1498" s="64" t="s">
        <v>181</v>
      </c>
      <c r="AO1498" s="64" t="s">
        <v>1819</v>
      </c>
      <c r="AP1498" s="64" t="s">
        <v>2038</v>
      </c>
      <c r="AQ1498" s="189"/>
      <c r="AR1498" s="69">
        <v>44461</v>
      </c>
      <c r="AS1498" s="865">
        <v>44543</v>
      </c>
      <c r="AT1498" s="69">
        <v>44543</v>
      </c>
      <c r="AU1498" s="879">
        <v>859</v>
      </c>
      <c r="AV1498" s="185" t="s">
        <v>2039</v>
      </c>
    </row>
    <row r="1499" spans="1:114" s="170" customFormat="1" ht="18.75" customHeight="1" outlineLevel="1" x14ac:dyDescent="0.25">
      <c r="A1499" s="63" t="str">
        <f t="shared" si="266"/>
        <v>6.19.4.2.4.61</v>
      </c>
      <c r="B1499" s="64">
        <v>6</v>
      </c>
      <c r="C1499" s="64">
        <v>19</v>
      </c>
      <c r="D1499" s="64">
        <v>4</v>
      </c>
      <c r="E1499" s="64">
        <v>2</v>
      </c>
      <c r="F1499" s="64">
        <v>4</v>
      </c>
      <c r="G1499" s="64">
        <v>61</v>
      </c>
      <c r="H1499" s="65"/>
      <c r="I1499" s="65"/>
      <c r="J1499" s="65"/>
      <c r="K1499" s="65" t="s">
        <v>1667</v>
      </c>
      <c r="L1499" s="64" t="s">
        <v>668</v>
      </c>
      <c r="M1499" s="64" t="s">
        <v>76</v>
      </c>
      <c r="N1499" s="64" t="s">
        <v>74</v>
      </c>
      <c r="O1499" s="64" t="s">
        <v>224</v>
      </c>
      <c r="P1499" s="64" t="s">
        <v>649</v>
      </c>
      <c r="R1499" s="171"/>
      <c r="U1499" s="370">
        <v>0</v>
      </c>
      <c r="V1499" s="687">
        <v>0</v>
      </c>
      <c r="W1499" s="97"/>
      <c r="X1499" s="97"/>
      <c r="Y1499" s="834">
        <f t="shared" si="308"/>
        <v>0</v>
      </c>
      <c r="Z1499" s="97"/>
      <c r="AA1499" s="97"/>
      <c r="AB1499" s="97"/>
      <c r="AC1499" s="97"/>
      <c r="AD1499" s="97"/>
      <c r="AE1499" s="591"/>
      <c r="AF1499" s="353"/>
      <c r="AG1499" s="395">
        <v>0</v>
      </c>
      <c r="AH1499" s="370">
        <v>0</v>
      </c>
      <c r="AI1499" s="75"/>
      <c r="AJ1499" s="75"/>
      <c r="AK1499" s="75"/>
      <c r="AL1499" s="75"/>
      <c r="AM1499" s="75"/>
      <c r="AN1499" s="64" t="s">
        <v>181</v>
      </c>
      <c r="AO1499" s="64"/>
      <c r="AP1499" s="64"/>
      <c r="AQ1499" s="189"/>
      <c r="AR1499" s="64"/>
      <c r="AS1499" s="476"/>
      <c r="AT1499" s="64"/>
      <c r="AU1499" s="646"/>
      <c r="AV1499" s="185"/>
    </row>
    <row r="1500" spans="1:114" s="170" customFormat="1" ht="18.75" customHeight="1" outlineLevel="1" x14ac:dyDescent="0.25">
      <c r="A1500" s="63" t="str">
        <f t="shared" si="266"/>
        <v>6.19.4.2.5.62</v>
      </c>
      <c r="B1500" s="64">
        <v>6</v>
      </c>
      <c r="C1500" s="64">
        <v>19</v>
      </c>
      <c r="D1500" s="64">
        <v>4</v>
      </c>
      <c r="E1500" s="64">
        <v>2</v>
      </c>
      <c r="F1500" s="64">
        <v>5</v>
      </c>
      <c r="G1500" s="64">
        <v>62</v>
      </c>
      <c r="H1500" s="65"/>
      <c r="I1500" s="65"/>
      <c r="J1500" s="65"/>
      <c r="K1500" s="65" t="s">
        <v>1667</v>
      </c>
      <c r="L1500" s="64" t="s">
        <v>668</v>
      </c>
      <c r="M1500" s="64" t="s">
        <v>76</v>
      </c>
      <c r="N1500" s="64" t="s">
        <v>74</v>
      </c>
      <c r="O1500" s="64" t="s">
        <v>224</v>
      </c>
      <c r="P1500" s="64" t="s">
        <v>649</v>
      </c>
      <c r="R1500" s="171"/>
      <c r="U1500" s="395">
        <v>0</v>
      </c>
      <c r="V1500" s="698">
        <v>0</v>
      </c>
      <c r="W1500" s="97"/>
      <c r="X1500" s="97"/>
      <c r="Y1500" s="834">
        <f t="shared" si="308"/>
        <v>0</v>
      </c>
      <c r="Z1500" s="97"/>
      <c r="AA1500" s="97"/>
      <c r="AB1500" s="97"/>
      <c r="AC1500" s="97"/>
      <c r="AD1500" s="97"/>
      <c r="AE1500" s="591"/>
      <c r="AF1500" s="353"/>
      <c r="AG1500" s="395">
        <v>0</v>
      </c>
      <c r="AH1500" s="395">
        <v>0</v>
      </c>
      <c r="AI1500" s="97"/>
      <c r="AJ1500" s="97"/>
      <c r="AK1500" s="97"/>
      <c r="AL1500" s="97"/>
      <c r="AM1500" s="97"/>
      <c r="AN1500" s="64" t="s">
        <v>181</v>
      </c>
      <c r="AO1500" s="64"/>
      <c r="AP1500" s="64"/>
      <c r="AQ1500" s="189"/>
      <c r="AR1500" s="64"/>
      <c r="AS1500" s="476"/>
      <c r="AT1500" s="64"/>
      <c r="AU1500" s="646"/>
      <c r="AV1500" s="185"/>
    </row>
    <row r="1501" spans="1:114" s="170" customFormat="1" ht="18.75" customHeight="1" outlineLevel="1" x14ac:dyDescent="0.25">
      <c r="A1501" s="63" t="str">
        <f t="shared" si="266"/>
        <v>6.19.4.2.6.63</v>
      </c>
      <c r="B1501" s="64">
        <v>6</v>
      </c>
      <c r="C1501" s="64">
        <v>19</v>
      </c>
      <c r="D1501" s="64">
        <v>4</v>
      </c>
      <c r="E1501" s="64">
        <v>2</v>
      </c>
      <c r="F1501" s="64">
        <v>6</v>
      </c>
      <c r="G1501" s="64">
        <v>63</v>
      </c>
      <c r="H1501" s="65"/>
      <c r="I1501" s="65"/>
      <c r="J1501" s="65"/>
      <c r="K1501" s="65" t="s">
        <v>1667</v>
      </c>
      <c r="L1501" s="64" t="s">
        <v>668</v>
      </c>
      <c r="M1501" s="64" t="s">
        <v>76</v>
      </c>
      <c r="N1501" s="64" t="s">
        <v>74</v>
      </c>
      <c r="O1501" s="64" t="s">
        <v>224</v>
      </c>
      <c r="P1501" s="64" t="s">
        <v>649</v>
      </c>
      <c r="R1501" s="171"/>
      <c r="U1501" s="395">
        <v>0</v>
      </c>
      <c r="V1501" s="698">
        <v>0</v>
      </c>
      <c r="W1501" s="97"/>
      <c r="X1501" s="97"/>
      <c r="Y1501" s="834">
        <f t="shared" si="308"/>
        <v>0</v>
      </c>
      <c r="Z1501" s="97"/>
      <c r="AA1501" s="97"/>
      <c r="AB1501" s="97"/>
      <c r="AC1501" s="97"/>
      <c r="AD1501" s="97"/>
      <c r="AE1501" s="591"/>
      <c r="AF1501" s="353"/>
      <c r="AG1501" s="395">
        <v>0</v>
      </c>
      <c r="AH1501" s="395">
        <v>0</v>
      </c>
      <c r="AI1501" s="97"/>
      <c r="AJ1501" s="97"/>
      <c r="AK1501" s="97"/>
      <c r="AL1501" s="97"/>
      <c r="AM1501" s="97"/>
      <c r="AN1501" s="64" t="s">
        <v>181</v>
      </c>
      <c r="AO1501" s="64"/>
      <c r="AP1501" s="64"/>
      <c r="AQ1501" s="189"/>
      <c r="AR1501" s="64"/>
      <c r="AS1501" s="476"/>
      <c r="AT1501" s="64"/>
      <c r="AU1501" s="646"/>
      <c r="AV1501" s="185"/>
    </row>
    <row r="1502" spans="1:114" s="170" customFormat="1" ht="18.75" customHeight="1" outlineLevel="1" x14ac:dyDescent="0.25">
      <c r="A1502" s="63" t="str">
        <f t="shared" si="266"/>
        <v>6.19.4.2.7.64</v>
      </c>
      <c r="B1502" s="64">
        <v>6</v>
      </c>
      <c r="C1502" s="64">
        <v>19</v>
      </c>
      <c r="D1502" s="64">
        <v>4</v>
      </c>
      <c r="E1502" s="64">
        <v>2</v>
      </c>
      <c r="F1502" s="64">
        <v>7</v>
      </c>
      <c r="G1502" s="64">
        <v>64</v>
      </c>
      <c r="H1502" s="65"/>
      <c r="I1502" s="65"/>
      <c r="J1502" s="65"/>
      <c r="K1502" s="65" t="s">
        <v>1667</v>
      </c>
      <c r="L1502" s="64" t="s">
        <v>668</v>
      </c>
      <c r="M1502" s="64" t="s">
        <v>76</v>
      </c>
      <c r="N1502" s="64" t="s">
        <v>74</v>
      </c>
      <c r="O1502" s="64" t="s">
        <v>224</v>
      </c>
      <c r="P1502" s="64" t="s">
        <v>649</v>
      </c>
      <c r="R1502" s="171"/>
      <c r="U1502" s="395">
        <v>0</v>
      </c>
      <c r="V1502" s="698">
        <v>0</v>
      </c>
      <c r="W1502" s="97"/>
      <c r="X1502" s="97"/>
      <c r="Y1502" s="834">
        <f t="shared" si="308"/>
        <v>0</v>
      </c>
      <c r="Z1502" s="97"/>
      <c r="AA1502" s="97"/>
      <c r="AB1502" s="97"/>
      <c r="AC1502" s="97"/>
      <c r="AD1502" s="97"/>
      <c r="AE1502" s="591"/>
      <c r="AF1502" s="353"/>
      <c r="AG1502" s="395">
        <v>0</v>
      </c>
      <c r="AH1502" s="395">
        <v>0</v>
      </c>
      <c r="AI1502" s="97"/>
      <c r="AJ1502" s="97"/>
      <c r="AK1502" s="97"/>
      <c r="AL1502" s="97"/>
      <c r="AM1502" s="97"/>
      <c r="AN1502" s="64" t="s">
        <v>181</v>
      </c>
      <c r="AO1502" s="64"/>
      <c r="AP1502" s="64"/>
      <c r="AQ1502" s="189"/>
      <c r="AR1502" s="64"/>
      <c r="AS1502" s="476"/>
      <c r="AT1502" s="64"/>
      <c r="AU1502" s="646"/>
      <c r="AV1502" s="185"/>
    </row>
    <row r="1503" spans="1:114" s="170" customFormat="1" ht="30" outlineLevel="1" x14ac:dyDescent="0.25">
      <c r="A1503" s="63" t="s">
        <v>1668</v>
      </c>
      <c r="B1503" s="64">
        <v>6</v>
      </c>
      <c r="C1503" s="64">
        <v>19</v>
      </c>
      <c r="D1503" s="64">
        <v>4</v>
      </c>
      <c r="E1503" s="64">
        <v>3</v>
      </c>
      <c r="F1503" s="64">
        <v>1</v>
      </c>
      <c r="G1503" s="64">
        <v>58</v>
      </c>
      <c r="H1503" s="65"/>
      <c r="I1503" s="65"/>
      <c r="J1503" s="65"/>
      <c r="K1503" s="67" t="s">
        <v>1669</v>
      </c>
      <c r="L1503" s="64" t="s">
        <v>668</v>
      </c>
      <c r="M1503" s="64"/>
      <c r="N1503" s="64"/>
      <c r="O1503" s="64"/>
      <c r="R1503" s="171"/>
      <c r="U1503" s="395">
        <v>0</v>
      </c>
      <c r="V1503" s="698">
        <v>0</v>
      </c>
      <c r="W1503" s="97"/>
      <c r="X1503" s="97"/>
      <c r="Y1503" s="834">
        <f t="shared" si="308"/>
        <v>0</v>
      </c>
      <c r="Z1503" s="97"/>
      <c r="AA1503" s="97"/>
      <c r="AB1503" s="97"/>
      <c r="AC1503" s="97"/>
      <c r="AD1503" s="97"/>
      <c r="AE1503" s="591"/>
      <c r="AF1503" s="353"/>
      <c r="AG1503" s="395">
        <v>0</v>
      </c>
      <c r="AH1503" s="395">
        <v>0</v>
      </c>
      <c r="AI1503" s="97"/>
      <c r="AJ1503" s="97"/>
      <c r="AK1503" s="97"/>
      <c r="AL1503" s="97"/>
      <c r="AM1503" s="97"/>
      <c r="AN1503" s="64" t="s">
        <v>181</v>
      </c>
      <c r="AO1503" s="64"/>
      <c r="AP1503" s="64"/>
      <c r="AQ1503" s="189"/>
      <c r="AR1503" s="64"/>
      <c r="AS1503" s="476"/>
      <c r="AT1503" s="64"/>
      <c r="AU1503" s="646"/>
      <c r="AV1503" s="185"/>
      <c r="AW1503" s="573"/>
      <c r="AX1503" s="573"/>
      <c r="AY1503" s="573"/>
      <c r="AZ1503" s="573"/>
      <c r="BA1503" s="573"/>
      <c r="BB1503" s="573"/>
      <c r="BC1503" s="573"/>
      <c r="BD1503" s="573"/>
      <c r="BE1503" s="573"/>
      <c r="BF1503" s="573"/>
      <c r="BG1503" s="573"/>
      <c r="BH1503" s="573"/>
      <c r="BI1503" s="573"/>
      <c r="BJ1503" s="573"/>
      <c r="BK1503" s="573"/>
      <c r="BL1503" s="573"/>
      <c r="BM1503" s="573"/>
      <c r="BN1503" s="573"/>
      <c r="BO1503" s="573"/>
      <c r="BP1503" s="573"/>
      <c r="BQ1503" s="573"/>
      <c r="BR1503" s="573"/>
      <c r="BS1503" s="573"/>
      <c r="BT1503" s="573"/>
      <c r="BU1503" s="573"/>
      <c r="BV1503" s="573"/>
      <c r="BW1503" s="573"/>
      <c r="BX1503" s="573"/>
      <c r="BY1503" s="573"/>
      <c r="BZ1503" s="573"/>
      <c r="CA1503" s="573"/>
      <c r="CB1503" s="573"/>
      <c r="CC1503" s="573"/>
      <c r="CD1503" s="573"/>
      <c r="CE1503" s="573"/>
      <c r="CF1503" s="573"/>
      <c r="CG1503" s="573"/>
      <c r="CH1503" s="573"/>
      <c r="CI1503" s="573"/>
      <c r="CJ1503" s="573"/>
      <c r="CK1503" s="573"/>
      <c r="CL1503" s="573"/>
      <c r="CM1503" s="573"/>
      <c r="CN1503" s="573"/>
      <c r="CO1503" s="573"/>
      <c r="CP1503" s="573"/>
      <c r="CQ1503" s="573"/>
      <c r="CR1503" s="573"/>
      <c r="CS1503" s="573"/>
      <c r="CT1503" s="573"/>
      <c r="CU1503" s="573"/>
      <c r="CV1503" s="573"/>
      <c r="CW1503" s="573"/>
      <c r="CX1503" s="573"/>
      <c r="CY1503" s="573"/>
      <c r="CZ1503" s="573"/>
      <c r="DA1503" s="573"/>
      <c r="DB1503" s="573"/>
      <c r="DC1503" s="573"/>
      <c r="DD1503" s="573"/>
      <c r="DE1503" s="573"/>
      <c r="DF1503" s="573"/>
      <c r="DG1503" s="573"/>
      <c r="DH1503" s="573"/>
      <c r="DI1503" s="573"/>
      <c r="DJ1503" s="573"/>
    </row>
    <row r="1504" spans="1:114" s="170" customFormat="1" ht="30" outlineLevel="1" x14ac:dyDescent="0.25">
      <c r="A1504" s="63" t="s">
        <v>1670</v>
      </c>
      <c r="B1504" s="64">
        <v>6</v>
      </c>
      <c r="C1504" s="64">
        <v>19</v>
      </c>
      <c r="D1504" s="64">
        <v>4</v>
      </c>
      <c r="E1504" s="64">
        <v>3</v>
      </c>
      <c r="F1504" s="64">
        <v>2</v>
      </c>
      <c r="G1504" s="64">
        <v>59</v>
      </c>
      <c r="H1504" s="65"/>
      <c r="I1504" s="65"/>
      <c r="J1504" s="65"/>
      <c r="K1504" s="67" t="s">
        <v>1671</v>
      </c>
      <c r="L1504" s="64" t="s">
        <v>668</v>
      </c>
      <c r="M1504" s="64"/>
      <c r="N1504" s="64"/>
      <c r="O1504" s="64"/>
      <c r="R1504" s="171"/>
      <c r="U1504" s="395">
        <v>0</v>
      </c>
      <c r="V1504" s="698">
        <v>0</v>
      </c>
      <c r="W1504" s="97"/>
      <c r="X1504" s="97"/>
      <c r="Y1504" s="834">
        <f t="shared" si="308"/>
        <v>0</v>
      </c>
      <c r="Z1504" s="97"/>
      <c r="AA1504" s="97"/>
      <c r="AB1504" s="97"/>
      <c r="AC1504" s="97"/>
      <c r="AD1504" s="97"/>
      <c r="AE1504" s="591"/>
      <c r="AF1504" s="353"/>
      <c r="AG1504" s="395">
        <v>0</v>
      </c>
      <c r="AH1504" s="395">
        <v>0</v>
      </c>
      <c r="AI1504" s="97"/>
      <c r="AJ1504" s="97"/>
      <c r="AK1504" s="97"/>
      <c r="AL1504" s="97"/>
      <c r="AM1504" s="97"/>
      <c r="AN1504" s="64" t="s">
        <v>181</v>
      </c>
      <c r="AO1504" s="64"/>
      <c r="AP1504" s="64"/>
      <c r="AQ1504" s="189"/>
      <c r="AR1504" s="64"/>
      <c r="AS1504" s="476"/>
      <c r="AT1504" s="64"/>
      <c r="AU1504" s="646"/>
      <c r="AV1504" s="65"/>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row>
    <row r="1505" spans="1:114" s="170" customFormat="1" ht="30" outlineLevel="1" x14ac:dyDescent="0.25">
      <c r="A1505" s="63" t="s">
        <v>1672</v>
      </c>
      <c r="B1505" s="64">
        <v>6</v>
      </c>
      <c r="C1505" s="64">
        <v>19</v>
      </c>
      <c r="D1505" s="64">
        <v>4</v>
      </c>
      <c r="E1505" s="64">
        <v>3</v>
      </c>
      <c r="F1505" s="64">
        <v>3</v>
      </c>
      <c r="G1505" s="64">
        <v>60</v>
      </c>
      <c r="H1505" s="65"/>
      <c r="I1505" s="65"/>
      <c r="J1505" s="65"/>
      <c r="K1505" s="67" t="s">
        <v>1673</v>
      </c>
      <c r="L1505" s="64" t="s">
        <v>668</v>
      </c>
      <c r="M1505" s="64"/>
      <c r="N1505" s="64"/>
      <c r="O1505" s="64"/>
      <c r="R1505" s="171"/>
      <c r="U1505" s="395">
        <v>0</v>
      </c>
      <c r="V1505" s="698">
        <v>0</v>
      </c>
      <c r="W1505" s="97"/>
      <c r="X1505" s="97"/>
      <c r="Y1505" s="834">
        <f t="shared" si="308"/>
        <v>0</v>
      </c>
      <c r="Z1505" s="97"/>
      <c r="AA1505" s="97"/>
      <c r="AB1505" s="97"/>
      <c r="AC1505" s="97"/>
      <c r="AD1505" s="97"/>
      <c r="AE1505" s="591"/>
      <c r="AF1505" s="353"/>
      <c r="AG1505" s="395">
        <v>0</v>
      </c>
      <c r="AH1505" s="395">
        <v>0</v>
      </c>
      <c r="AI1505" s="97"/>
      <c r="AJ1505" s="97"/>
      <c r="AK1505" s="97"/>
      <c r="AL1505" s="97"/>
      <c r="AM1505" s="97"/>
      <c r="AN1505" s="64" t="s">
        <v>181</v>
      </c>
      <c r="AO1505" s="64"/>
      <c r="AP1505" s="64"/>
      <c r="AQ1505" s="189"/>
      <c r="AR1505" s="64"/>
      <c r="AS1505" s="476"/>
      <c r="AT1505" s="64"/>
      <c r="AU1505" s="646"/>
      <c r="AV1505" s="65"/>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row>
    <row r="1506" spans="1:114" s="170" customFormat="1" ht="30" outlineLevel="1" x14ac:dyDescent="0.25">
      <c r="A1506" s="63" t="s">
        <v>1674</v>
      </c>
      <c r="B1506" s="64">
        <v>6</v>
      </c>
      <c r="C1506" s="64">
        <v>19</v>
      </c>
      <c r="D1506" s="64">
        <v>4</v>
      </c>
      <c r="E1506" s="64">
        <v>3</v>
      </c>
      <c r="F1506" s="64">
        <v>4</v>
      </c>
      <c r="G1506" s="64">
        <v>61</v>
      </c>
      <c r="H1506" s="65"/>
      <c r="I1506" s="65"/>
      <c r="J1506" s="65"/>
      <c r="K1506" s="67" t="s">
        <v>1675</v>
      </c>
      <c r="L1506" s="64" t="s">
        <v>668</v>
      </c>
      <c r="M1506" s="64"/>
      <c r="N1506" s="64"/>
      <c r="O1506" s="64"/>
      <c r="R1506" s="171"/>
      <c r="U1506" s="395">
        <v>0</v>
      </c>
      <c r="V1506" s="698">
        <v>0</v>
      </c>
      <c r="W1506" s="97"/>
      <c r="X1506" s="97"/>
      <c r="Y1506" s="834">
        <f t="shared" si="308"/>
        <v>0</v>
      </c>
      <c r="Z1506" s="97"/>
      <c r="AA1506" s="97"/>
      <c r="AB1506" s="97"/>
      <c r="AC1506" s="97"/>
      <c r="AD1506" s="97"/>
      <c r="AE1506" s="591"/>
      <c r="AF1506" s="353"/>
      <c r="AG1506" s="395">
        <v>0</v>
      </c>
      <c r="AH1506" s="395">
        <v>0</v>
      </c>
      <c r="AI1506" s="97"/>
      <c r="AJ1506" s="97"/>
      <c r="AK1506" s="97"/>
      <c r="AL1506" s="97"/>
      <c r="AM1506" s="97"/>
      <c r="AN1506" s="64" t="s">
        <v>181</v>
      </c>
      <c r="AO1506" s="64"/>
      <c r="AP1506" s="64"/>
      <c r="AQ1506" s="189"/>
      <c r="AR1506" s="64"/>
      <c r="AS1506" s="476"/>
      <c r="AT1506" s="64"/>
      <c r="AU1506" s="646"/>
      <c r="AV1506" s="65"/>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row>
    <row r="1507" spans="1:114" s="170" customFormat="1" ht="30" outlineLevel="1" x14ac:dyDescent="0.25">
      <c r="A1507" s="63" t="s">
        <v>1676</v>
      </c>
      <c r="B1507" s="64">
        <v>6</v>
      </c>
      <c r="C1507" s="64">
        <v>19</v>
      </c>
      <c r="D1507" s="64">
        <v>4</v>
      </c>
      <c r="E1507" s="64">
        <v>3</v>
      </c>
      <c r="F1507" s="64">
        <v>5</v>
      </c>
      <c r="G1507" s="64">
        <v>62</v>
      </c>
      <c r="H1507" s="65"/>
      <c r="I1507" s="65"/>
      <c r="J1507" s="65"/>
      <c r="K1507" s="67" t="s">
        <v>1788</v>
      </c>
      <c r="L1507" s="64" t="s">
        <v>668</v>
      </c>
      <c r="M1507" s="64"/>
      <c r="N1507" s="64"/>
      <c r="O1507" s="64"/>
      <c r="R1507" s="171"/>
      <c r="U1507" s="395">
        <v>0</v>
      </c>
      <c r="V1507" s="698">
        <v>0</v>
      </c>
      <c r="W1507" s="97"/>
      <c r="X1507" s="97"/>
      <c r="Y1507" s="834">
        <f t="shared" si="308"/>
        <v>0</v>
      </c>
      <c r="Z1507" s="97"/>
      <c r="AA1507" s="97"/>
      <c r="AB1507" s="97"/>
      <c r="AC1507" s="97"/>
      <c r="AD1507" s="97"/>
      <c r="AE1507" s="591"/>
      <c r="AF1507" s="353"/>
      <c r="AG1507" s="395">
        <v>0</v>
      </c>
      <c r="AH1507" s="395">
        <v>0</v>
      </c>
      <c r="AI1507" s="97"/>
      <c r="AJ1507" s="97"/>
      <c r="AK1507" s="97"/>
      <c r="AL1507" s="97"/>
      <c r="AM1507" s="97"/>
      <c r="AN1507" s="64" t="s">
        <v>181</v>
      </c>
      <c r="AO1507" s="64"/>
      <c r="AP1507" s="64"/>
      <c r="AQ1507" s="189"/>
      <c r="AR1507" s="64"/>
      <c r="AS1507" s="476"/>
      <c r="AT1507" s="64"/>
      <c r="AU1507" s="646"/>
      <c r="AV1507" s="65"/>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row>
    <row r="1508" spans="1:114" s="170" customFormat="1" ht="30" outlineLevel="1" x14ac:dyDescent="0.25">
      <c r="A1508" s="63" t="s">
        <v>1677</v>
      </c>
      <c r="B1508" s="64">
        <v>6</v>
      </c>
      <c r="C1508" s="64">
        <v>19</v>
      </c>
      <c r="D1508" s="64">
        <v>4</v>
      </c>
      <c r="E1508" s="64">
        <v>3</v>
      </c>
      <c r="F1508" s="64">
        <v>6</v>
      </c>
      <c r="G1508" s="64">
        <v>63</v>
      </c>
      <c r="H1508" s="65"/>
      <c r="I1508" s="65"/>
      <c r="J1508" s="65"/>
      <c r="K1508" s="67" t="s">
        <v>1678</v>
      </c>
      <c r="L1508" s="64" t="s">
        <v>668</v>
      </c>
      <c r="M1508" s="64"/>
      <c r="N1508" s="64"/>
      <c r="O1508" s="64"/>
      <c r="R1508" s="171"/>
      <c r="U1508" s="395">
        <v>0</v>
      </c>
      <c r="V1508" s="698">
        <v>0</v>
      </c>
      <c r="W1508" s="97"/>
      <c r="X1508" s="97"/>
      <c r="Y1508" s="834">
        <f t="shared" si="308"/>
        <v>0</v>
      </c>
      <c r="Z1508" s="97"/>
      <c r="AA1508" s="97"/>
      <c r="AB1508" s="97"/>
      <c r="AC1508" s="97"/>
      <c r="AD1508" s="97"/>
      <c r="AE1508" s="591"/>
      <c r="AF1508" s="353"/>
      <c r="AG1508" s="395">
        <v>0</v>
      </c>
      <c r="AH1508" s="395">
        <v>0</v>
      </c>
      <c r="AI1508" s="97"/>
      <c r="AJ1508" s="97"/>
      <c r="AK1508" s="97"/>
      <c r="AL1508" s="97"/>
      <c r="AM1508" s="97"/>
      <c r="AN1508" s="64" t="s">
        <v>181</v>
      </c>
      <c r="AO1508" s="64"/>
      <c r="AP1508" s="64"/>
      <c r="AQ1508" s="189"/>
      <c r="AR1508" s="64"/>
      <c r="AS1508" s="476"/>
      <c r="AT1508" s="64"/>
      <c r="AU1508" s="646"/>
      <c r="AV1508" s="65"/>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row>
    <row r="1509" spans="1:114" s="170" customFormat="1" ht="30" outlineLevel="1" x14ac:dyDescent="0.25">
      <c r="A1509" s="63" t="s">
        <v>1679</v>
      </c>
      <c r="B1509" s="64">
        <v>6</v>
      </c>
      <c r="C1509" s="64">
        <v>19</v>
      </c>
      <c r="D1509" s="64">
        <v>4</v>
      </c>
      <c r="E1509" s="64">
        <v>3</v>
      </c>
      <c r="F1509" s="64">
        <v>7</v>
      </c>
      <c r="G1509" s="64">
        <v>64</v>
      </c>
      <c r="H1509" s="65"/>
      <c r="I1509" s="65"/>
      <c r="J1509" s="65"/>
      <c r="K1509" s="67" t="s">
        <v>1680</v>
      </c>
      <c r="L1509" s="64" t="s">
        <v>668</v>
      </c>
      <c r="M1509" s="64"/>
      <c r="N1509" s="64"/>
      <c r="O1509" s="64"/>
      <c r="R1509" s="171"/>
      <c r="U1509" s="395">
        <v>0</v>
      </c>
      <c r="V1509" s="698">
        <v>0</v>
      </c>
      <c r="W1509" s="97"/>
      <c r="X1509" s="97"/>
      <c r="Y1509" s="834">
        <f t="shared" si="308"/>
        <v>0</v>
      </c>
      <c r="Z1509" s="97"/>
      <c r="AA1509" s="97"/>
      <c r="AB1509" s="97"/>
      <c r="AC1509" s="97"/>
      <c r="AD1509" s="97"/>
      <c r="AE1509" s="591"/>
      <c r="AF1509" s="353"/>
      <c r="AG1509" s="395">
        <v>0</v>
      </c>
      <c r="AH1509" s="395">
        <v>0</v>
      </c>
      <c r="AI1509" s="97"/>
      <c r="AJ1509" s="97"/>
      <c r="AK1509" s="97"/>
      <c r="AL1509" s="97"/>
      <c r="AM1509" s="97"/>
      <c r="AN1509" s="64" t="s">
        <v>181</v>
      </c>
      <c r="AO1509" s="64"/>
      <c r="AP1509" s="64"/>
      <c r="AQ1509" s="189"/>
      <c r="AR1509" s="64"/>
      <c r="AS1509" s="64"/>
      <c r="AT1509" s="64"/>
      <c r="AU1509" s="646"/>
      <c r="AV1509" s="65"/>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row>
    <row r="1510" spans="1:114" s="107" customFormat="1" ht="34.5" customHeight="1" x14ac:dyDescent="0.25">
      <c r="B1510" s="3"/>
      <c r="C1510" s="2"/>
      <c r="D1510" s="3"/>
      <c r="E1510" s="2"/>
      <c r="F1510" s="2"/>
      <c r="G1510" s="2"/>
      <c r="L1510" s="3"/>
      <c r="M1510" s="2"/>
      <c r="N1510" s="3"/>
      <c r="O1510" s="3"/>
      <c r="R1510" s="307"/>
      <c r="S1510" s="2"/>
      <c r="T1510" s="2"/>
      <c r="U1510" s="2"/>
      <c r="V1510" s="822"/>
      <c r="W1510" s="3"/>
      <c r="X1510" s="3"/>
      <c r="Y1510" s="835"/>
      <c r="Z1510" s="3"/>
      <c r="AA1510" s="3"/>
      <c r="AB1510" s="3"/>
      <c r="AC1510" s="3"/>
      <c r="AD1510" s="3"/>
      <c r="AE1510" s="3"/>
      <c r="AF1510" s="2"/>
      <c r="AG1510" s="2"/>
      <c r="AH1510" s="308"/>
      <c r="AI1510" s="308"/>
      <c r="AJ1510" s="308"/>
      <c r="AK1510" s="308"/>
      <c r="AL1510" s="308"/>
      <c r="AM1510" s="308"/>
      <c r="AN1510" s="307"/>
      <c r="AO1510" s="307"/>
      <c r="AP1510" s="307"/>
      <c r="AQ1510" s="307"/>
      <c r="AR1510" s="307"/>
      <c r="AS1510" s="307"/>
      <c r="AT1510" s="307"/>
      <c r="AU1510" s="670"/>
      <c r="AV1510" s="572"/>
    </row>
    <row r="1511" spans="1:114" s="107" customFormat="1" ht="12.75" customHeight="1" x14ac:dyDescent="0.25">
      <c r="B1511" s="3"/>
      <c r="C1511" s="2"/>
      <c r="D1511" s="3"/>
      <c r="E1511" s="2"/>
      <c r="F1511" s="2"/>
      <c r="G1511" s="2"/>
      <c r="L1511" s="3"/>
      <c r="M1511" s="2"/>
      <c r="N1511" s="3"/>
      <c r="O1511" s="3"/>
      <c r="R1511" s="307"/>
      <c r="S1511" s="2"/>
      <c r="T1511" s="2"/>
      <c r="U1511" s="2"/>
      <c r="V1511" s="822"/>
      <c r="W1511" s="3"/>
      <c r="X1511" s="3"/>
      <c r="Y1511" s="835"/>
      <c r="Z1511" s="3"/>
      <c r="AA1511" s="3"/>
      <c r="AB1511" s="3"/>
      <c r="AC1511" s="3"/>
      <c r="AD1511" s="3"/>
      <c r="AE1511" s="3"/>
      <c r="AF1511" s="2"/>
      <c r="AG1511" s="2"/>
      <c r="AH1511" s="309"/>
      <c r="AI1511" s="309"/>
      <c r="AJ1511" s="309"/>
      <c r="AK1511" s="309"/>
      <c r="AL1511" s="309"/>
      <c r="AM1511" s="309"/>
      <c r="AN1511" s="307"/>
      <c r="AO1511" s="307"/>
      <c r="AP1511" s="307"/>
      <c r="AQ1511" s="307"/>
      <c r="AR1511" s="307"/>
      <c r="AS1511" s="307"/>
      <c r="AT1511" s="307"/>
      <c r="AU1511" s="670"/>
      <c r="AV1511" s="572"/>
    </row>
    <row r="1512" spans="1:114" s="107" customFormat="1" ht="12.75" customHeight="1" x14ac:dyDescent="0.25">
      <c r="B1512" s="3"/>
      <c r="C1512" s="2"/>
      <c r="D1512" s="3"/>
      <c r="E1512" s="2"/>
      <c r="F1512" s="2"/>
      <c r="G1512" s="2"/>
      <c r="L1512" s="3"/>
      <c r="M1512" s="2"/>
      <c r="N1512" s="3"/>
      <c r="O1512" s="3"/>
      <c r="R1512" s="307"/>
      <c r="S1512" s="2"/>
      <c r="T1512" s="2"/>
      <c r="U1512" s="2"/>
      <c r="V1512" s="822"/>
      <c r="W1512" s="3"/>
      <c r="X1512" s="3"/>
      <c r="Y1512" s="835"/>
      <c r="Z1512" s="3"/>
      <c r="AA1512" s="3"/>
      <c r="AB1512" s="3"/>
      <c r="AC1512" s="3"/>
      <c r="AD1512" s="3"/>
      <c r="AE1512" s="3"/>
      <c r="AF1512" s="2"/>
      <c r="AG1512" s="2"/>
      <c r="AH1512" s="309"/>
      <c r="AI1512" s="309"/>
      <c r="AJ1512" s="309"/>
      <c r="AK1512" s="309"/>
      <c r="AL1512" s="309"/>
      <c r="AM1512" s="309"/>
      <c r="AN1512" s="307"/>
      <c r="AO1512" s="307"/>
      <c r="AP1512" s="307"/>
      <c r="AQ1512" s="307"/>
      <c r="AR1512" s="307"/>
      <c r="AS1512" s="307"/>
      <c r="AT1512" s="307"/>
      <c r="AU1512" s="670"/>
      <c r="AV1512" s="572"/>
    </row>
    <row r="1513" spans="1:114" s="107" customFormat="1" ht="12.75" customHeight="1" x14ac:dyDescent="0.25">
      <c r="A1513" s="2"/>
      <c r="B1513" s="3"/>
      <c r="C1513" s="2"/>
      <c r="D1513" s="3"/>
      <c r="E1513" s="2"/>
      <c r="F1513" s="2"/>
      <c r="G1513" s="2"/>
      <c r="H1513" s="2"/>
      <c r="I1513" s="2"/>
      <c r="J1513" s="2"/>
      <c r="K1513" s="2"/>
      <c r="L1513" s="3"/>
      <c r="M1513" s="2"/>
      <c r="N1513" s="3"/>
      <c r="O1513" s="3"/>
      <c r="R1513" s="307"/>
      <c r="S1513" s="2"/>
      <c r="T1513" s="2"/>
      <c r="U1513" s="162"/>
      <c r="V1513" s="823"/>
      <c r="W1513" s="3"/>
      <c r="X1513" s="162"/>
      <c r="Y1513" s="836"/>
      <c r="Z1513" s="3"/>
      <c r="AA1513" s="162"/>
      <c r="AB1513" s="162"/>
      <c r="AC1513" s="3"/>
      <c r="AD1513" s="310"/>
      <c r="AE1513" s="310"/>
      <c r="AF1513" s="2"/>
      <c r="AG1513" s="2"/>
      <c r="AN1513" s="307"/>
      <c r="AO1513" s="307"/>
      <c r="AP1513" s="307"/>
      <c r="AQ1513" s="307"/>
      <c r="AR1513" s="307"/>
      <c r="AS1513" s="307"/>
      <c r="AT1513" s="307"/>
      <c r="AU1513" s="670"/>
      <c r="AV1513" s="572"/>
      <c r="AW1513" s="107">
        <f>SUBTOTAL(9,AW346:AW352)</f>
        <v>20948934</v>
      </c>
    </row>
    <row r="1514" spans="1:114" s="107" customFormat="1" ht="12.75" customHeight="1" x14ac:dyDescent="0.25">
      <c r="A1514" s="2"/>
      <c r="B1514" s="3"/>
      <c r="C1514" s="2"/>
      <c r="D1514" s="3"/>
      <c r="E1514" s="2"/>
      <c r="F1514" s="2"/>
      <c r="G1514" s="2"/>
      <c r="H1514" s="2"/>
      <c r="I1514" s="2"/>
      <c r="J1514" s="2"/>
      <c r="K1514" s="2"/>
      <c r="L1514" s="3"/>
      <c r="M1514" s="2"/>
      <c r="N1514" s="3"/>
      <c r="O1514" s="3"/>
      <c r="R1514" s="307"/>
      <c r="S1514" s="2"/>
      <c r="T1514" s="2"/>
      <c r="U1514" s="2"/>
      <c r="V1514" s="822"/>
      <c r="W1514" s="3"/>
      <c r="X1514" s="3"/>
      <c r="Y1514" s="835"/>
      <c r="Z1514" s="3"/>
      <c r="AA1514" s="3"/>
      <c r="AB1514" s="3"/>
      <c r="AC1514" s="3"/>
      <c r="AD1514" s="3"/>
      <c r="AE1514" s="3"/>
      <c r="AF1514" s="2"/>
      <c r="AG1514" s="2"/>
      <c r="AN1514" s="307"/>
      <c r="AO1514" s="307"/>
      <c r="AP1514" s="307"/>
      <c r="AQ1514" s="307"/>
      <c r="AR1514" s="307"/>
      <c r="AS1514" s="307"/>
      <c r="AT1514" s="307"/>
      <c r="AU1514" s="670"/>
      <c r="AV1514" s="572"/>
    </row>
    <row r="1515" spans="1:114" s="107" customFormat="1" ht="12.75" customHeight="1" x14ac:dyDescent="0.25">
      <c r="A1515" s="2"/>
      <c r="B1515" s="3"/>
      <c r="C1515" s="2"/>
      <c r="D1515" s="3"/>
      <c r="E1515" s="2"/>
      <c r="F1515" s="2"/>
      <c r="G1515" s="2"/>
      <c r="H1515" s="2"/>
      <c r="I1515" s="2"/>
      <c r="J1515" s="2"/>
      <c r="K1515" s="2"/>
      <c r="L1515" s="3"/>
      <c r="M1515" s="2"/>
      <c r="N1515" s="3"/>
      <c r="O1515" s="3"/>
      <c r="R1515" s="307"/>
      <c r="S1515" s="2"/>
      <c r="T1515" s="2"/>
      <c r="U1515" s="2"/>
      <c r="V1515" s="822"/>
      <c r="W1515" s="3"/>
      <c r="X1515" s="3"/>
      <c r="Y1515" s="835"/>
      <c r="Z1515" s="3"/>
      <c r="AA1515" s="3"/>
      <c r="AB1515" s="3"/>
      <c r="AC1515" s="3"/>
      <c r="AD1515" s="3"/>
      <c r="AE1515" s="3"/>
      <c r="AF1515" s="2"/>
      <c r="AG1515" s="2"/>
      <c r="AN1515" s="307"/>
      <c r="AO1515" s="307"/>
      <c r="AP1515" s="307"/>
      <c r="AQ1515" s="307"/>
      <c r="AR1515" s="307"/>
      <c r="AS1515" s="307"/>
      <c r="AT1515" s="307"/>
      <c r="AU1515" s="670"/>
      <c r="AV1515" s="572"/>
    </row>
    <row r="1516" spans="1:114" s="107" customFormat="1" ht="27.6" customHeight="1" x14ac:dyDescent="0.25">
      <c r="A1516" s="2"/>
      <c r="B1516" s="3"/>
      <c r="C1516" s="2"/>
      <c r="D1516" s="3"/>
      <c r="E1516" s="2"/>
      <c r="F1516" s="2"/>
      <c r="G1516" s="2"/>
      <c r="H1516" s="2"/>
      <c r="I1516" s="2"/>
      <c r="J1516" s="2"/>
      <c r="K1516" s="2"/>
      <c r="L1516" s="3"/>
      <c r="M1516" s="2"/>
      <c r="N1516" s="3"/>
      <c r="O1516" s="3"/>
      <c r="R1516" s="307"/>
      <c r="S1516" s="2"/>
      <c r="T1516" s="2"/>
      <c r="U1516" s="2"/>
      <c r="V1516" s="822"/>
      <c r="W1516" s="3"/>
      <c r="X1516" s="310"/>
      <c r="Y1516" s="835"/>
      <c r="Z1516" s="3"/>
      <c r="AA1516" s="310"/>
      <c r="AB1516" s="3"/>
      <c r="AC1516" s="3"/>
      <c r="AD1516" s="627"/>
      <c r="AE1516" s="3"/>
      <c r="AF1516" s="2"/>
      <c r="AG1516" s="2"/>
      <c r="AH1516" s="624"/>
      <c r="AN1516" s="307"/>
      <c r="AO1516" s="307"/>
      <c r="AP1516" s="307"/>
      <c r="AQ1516" s="307"/>
      <c r="AR1516" s="307"/>
      <c r="AS1516" s="307"/>
      <c r="AT1516" s="307"/>
      <c r="AU1516" s="670" t="s">
        <v>330</v>
      </c>
      <c r="AV1516" s="572"/>
    </row>
    <row r="1517" spans="1:114" s="107" customFormat="1" ht="12.75" customHeight="1" x14ac:dyDescent="0.25">
      <c r="A1517" s="2"/>
      <c r="B1517" s="3"/>
      <c r="C1517" s="2"/>
      <c r="D1517" s="3"/>
      <c r="E1517" s="2"/>
      <c r="F1517" s="2"/>
      <c r="G1517" s="2"/>
      <c r="H1517" s="2"/>
      <c r="I1517" s="2"/>
      <c r="J1517" s="2"/>
      <c r="K1517" s="2"/>
      <c r="L1517" s="3"/>
      <c r="M1517" s="2"/>
      <c r="N1517" s="3"/>
      <c r="O1517" s="3"/>
      <c r="R1517" s="307"/>
      <c r="S1517" s="2"/>
      <c r="T1517" s="2"/>
      <c r="U1517" s="2"/>
      <c r="V1517" s="822"/>
      <c r="W1517" s="3"/>
      <c r="X1517" s="310"/>
      <c r="Y1517" s="835"/>
      <c r="Z1517" s="3"/>
      <c r="AA1517" s="3"/>
      <c r="AB1517" s="3"/>
      <c r="AC1517" s="3"/>
      <c r="AD1517" s="627"/>
      <c r="AE1517" s="3"/>
      <c r="AF1517" s="2"/>
      <c r="AG1517" s="2"/>
      <c r="AH1517" s="625"/>
      <c r="AI1517" s="629"/>
      <c r="AN1517" s="307"/>
      <c r="AO1517" s="307"/>
      <c r="AP1517" s="307"/>
      <c r="AQ1517" s="307"/>
      <c r="AR1517" s="307"/>
      <c r="AS1517" s="307"/>
      <c r="AT1517" s="307"/>
      <c r="AU1517" s="670"/>
      <c r="AV1517" s="572"/>
    </row>
    <row r="1518" spans="1:114" s="107" customFormat="1" ht="12.75" customHeight="1" x14ac:dyDescent="0.25">
      <c r="A1518" s="2"/>
      <c r="B1518" s="3"/>
      <c r="C1518" s="2"/>
      <c r="D1518" s="3"/>
      <c r="E1518" s="2"/>
      <c r="F1518" s="2"/>
      <c r="G1518" s="2"/>
      <c r="H1518" s="2"/>
      <c r="I1518" s="2"/>
      <c r="J1518" s="2"/>
      <c r="K1518" s="2"/>
      <c r="L1518" s="3"/>
      <c r="M1518" s="2"/>
      <c r="N1518" s="3"/>
      <c r="O1518" s="3"/>
      <c r="R1518" s="307"/>
      <c r="S1518" s="2"/>
      <c r="T1518" s="2"/>
      <c r="U1518" s="2"/>
      <c r="V1518" s="822"/>
      <c r="W1518" s="3"/>
      <c r="X1518" s="3"/>
      <c r="Y1518" s="835"/>
      <c r="Z1518" s="3"/>
      <c r="AA1518" s="3"/>
      <c r="AB1518" s="3"/>
      <c r="AC1518" s="3"/>
      <c r="AD1518" s="628"/>
      <c r="AE1518" s="3"/>
      <c r="AF1518" s="2"/>
      <c r="AG1518" s="2"/>
      <c r="AH1518" s="625"/>
      <c r="AN1518" s="307"/>
      <c r="AO1518" s="307"/>
      <c r="AP1518" s="307"/>
      <c r="AQ1518" s="307"/>
      <c r="AR1518" s="307"/>
      <c r="AS1518" s="307"/>
      <c r="AT1518" s="307"/>
      <c r="AU1518" s="670"/>
      <c r="AV1518" s="572"/>
    </row>
    <row r="1519" spans="1:114" s="107" customFormat="1" ht="12.75" customHeight="1" x14ac:dyDescent="0.25">
      <c r="A1519" s="2"/>
      <c r="B1519" s="3"/>
      <c r="C1519" s="2"/>
      <c r="D1519" s="3"/>
      <c r="E1519" s="2"/>
      <c r="F1519" s="2"/>
      <c r="G1519" s="2"/>
      <c r="H1519" s="2"/>
      <c r="I1519" s="2"/>
      <c r="J1519" s="2"/>
      <c r="K1519" s="2"/>
      <c r="L1519" s="3"/>
      <c r="M1519" s="2"/>
      <c r="N1519" s="3"/>
      <c r="O1519" s="3"/>
      <c r="R1519" s="307"/>
      <c r="S1519" s="2"/>
      <c r="T1519" s="2"/>
      <c r="U1519" s="2"/>
      <c r="V1519" s="822"/>
      <c r="W1519" s="3"/>
      <c r="X1519" s="3"/>
      <c r="Y1519" s="835"/>
      <c r="Z1519" s="3"/>
      <c r="AA1519" s="310"/>
      <c r="AB1519" s="3"/>
      <c r="AC1519" s="3"/>
      <c r="AD1519" s="3"/>
      <c r="AE1519" s="3"/>
      <c r="AF1519" s="2"/>
      <c r="AG1519" s="2"/>
      <c r="AH1519" s="625"/>
      <c r="AN1519" s="307"/>
      <c r="AO1519" s="307"/>
      <c r="AP1519" s="307"/>
      <c r="AQ1519" s="307"/>
      <c r="AR1519" s="307"/>
      <c r="AS1519" s="307"/>
      <c r="AT1519" s="307"/>
      <c r="AU1519" s="670"/>
      <c r="AV1519" s="572"/>
    </row>
    <row r="1520" spans="1:114" s="107" customFormat="1" ht="12.75" customHeight="1" x14ac:dyDescent="0.25">
      <c r="A1520" s="2"/>
      <c r="B1520" s="3"/>
      <c r="C1520" s="2"/>
      <c r="D1520" s="3"/>
      <c r="E1520" s="2"/>
      <c r="F1520" s="2"/>
      <c r="G1520" s="2"/>
      <c r="H1520" s="2"/>
      <c r="I1520" s="2"/>
      <c r="J1520" s="2"/>
      <c r="K1520" s="2"/>
      <c r="L1520" s="3"/>
      <c r="M1520" s="2"/>
      <c r="N1520" s="3"/>
      <c r="O1520" s="3"/>
      <c r="R1520" s="307"/>
      <c r="S1520" s="2"/>
      <c r="T1520" s="2"/>
      <c r="U1520" s="2"/>
      <c r="V1520" s="822"/>
      <c r="W1520" s="3"/>
      <c r="X1520" s="3"/>
      <c r="Y1520" s="835"/>
      <c r="Z1520" s="3"/>
      <c r="AA1520" s="3"/>
      <c r="AB1520" s="3"/>
      <c r="AC1520" s="3"/>
      <c r="AD1520" s="3"/>
      <c r="AE1520" s="3"/>
      <c r="AF1520" s="2"/>
      <c r="AG1520" s="2"/>
      <c r="AH1520" s="625"/>
      <c r="AN1520" s="307"/>
      <c r="AO1520" s="307"/>
      <c r="AP1520" s="307"/>
      <c r="AQ1520" s="307"/>
      <c r="AR1520" s="307"/>
      <c r="AS1520" s="307"/>
      <c r="AT1520" s="307"/>
      <c r="AU1520" s="670"/>
      <c r="AV1520" s="572"/>
    </row>
    <row r="1521" spans="1:48" s="107" customFormat="1" ht="12.75" customHeight="1" x14ac:dyDescent="0.25">
      <c r="A1521" s="2"/>
      <c r="B1521" s="3"/>
      <c r="C1521" s="2"/>
      <c r="D1521" s="3"/>
      <c r="E1521" s="2"/>
      <c r="F1521" s="2"/>
      <c r="G1521" s="2"/>
      <c r="H1521" s="2"/>
      <c r="I1521" s="2"/>
      <c r="J1521" s="2"/>
      <c r="K1521" s="2"/>
      <c r="L1521" s="3"/>
      <c r="M1521" s="2"/>
      <c r="N1521" s="3"/>
      <c r="O1521" s="3"/>
      <c r="R1521" s="307"/>
      <c r="S1521" s="2"/>
      <c r="T1521" s="2"/>
      <c r="U1521" s="2"/>
      <c r="V1521" s="822"/>
      <c r="W1521" s="3"/>
      <c r="X1521" s="3"/>
      <c r="Y1521" s="835"/>
      <c r="Z1521" s="3"/>
      <c r="AA1521" s="3"/>
      <c r="AB1521" s="3"/>
      <c r="AC1521" s="3"/>
      <c r="AD1521" s="3"/>
      <c r="AE1521" s="3"/>
      <c r="AF1521" s="2"/>
      <c r="AG1521" s="2"/>
      <c r="AH1521" s="625"/>
      <c r="AN1521" s="307"/>
      <c r="AO1521" s="307"/>
      <c r="AP1521" s="307"/>
      <c r="AQ1521" s="307"/>
      <c r="AR1521" s="307"/>
      <c r="AS1521" s="307"/>
      <c r="AT1521" s="307"/>
      <c r="AU1521" s="670"/>
      <c r="AV1521" s="572"/>
    </row>
    <row r="1522" spans="1:48" s="107" customFormat="1" ht="12.75" customHeight="1" x14ac:dyDescent="0.25">
      <c r="A1522" s="2"/>
      <c r="B1522" s="3"/>
      <c r="C1522" s="2"/>
      <c r="D1522" s="3"/>
      <c r="E1522" s="2"/>
      <c r="F1522" s="2"/>
      <c r="G1522" s="2"/>
      <c r="H1522" s="2"/>
      <c r="I1522" s="2"/>
      <c r="J1522" s="2"/>
      <c r="K1522" s="2"/>
      <c r="L1522" s="3"/>
      <c r="M1522" s="2"/>
      <c r="N1522" s="3"/>
      <c r="O1522" s="3"/>
      <c r="R1522" s="307"/>
      <c r="S1522" s="2"/>
      <c r="T1522" s="2"/>
      <c r="U1522" s="2"/>
      <c r="V1522" s="822"/>
      <c r="W1522" s="3"/>
      <c r="X1522" s="3"/>
      <c r="Y1522" s="835"/>
      <c r="Z1522" s="3"/>
      <c r="AA1522" s="3"/>
      <c r="AB1522" s="3"/>
      <c r="AC1522" s="3"/>
      <c r="AD1522" s="3"/>
      <c r="AE1522" s="3"/>
      <c r="AF1522" s="2"/>
      <c r="AG1522" s="2"/>
      <c r="AH1522" s="625"/>
      <c r="AN1522" s="307"/>
      <c r="AO1522" s="307"/>
      <c r="AP1522" s="307"/>
      <c r="AQ1522" s="307"/>
      <c r="AR1522" s="307"/>
      <c r="AS1522" s="307"/>
      <c r="AT1522" s="307"/>
      <c r="AU1522" s="670"/>
      <c r="AV1522" s="572"/>
    </row>
    <row r="1523" spans="1:48" ht="12.75" customHeight="1" x14ac:dyDescent="0.25">
      <c r="D1523" s="3"/>
      <c r="L1523" s="3"/>
      <c r="N1523" s="3"/>
      <c r="O1523" s="3"/>
      <c r="R1523" s="3"/>
      <c r="U1523" s="626"/>
      <c r="W1523" s="3"/>
      <c r="X1523" s="310"/>
      <c r="Y1523" s="835"/>
      <c r="Z1523" s="3"/>
      <c r="AA1523" s="3"/>
      <c r="AB1523" s="3"/>
      <c r="AC1523" s="3"/>
      <c r="AD1523" s="3"/>
      <c r="AE1523" s="3"/>
      <c r="AG1523" s="2"/>
      <c r="AR1523" s="307"/>
      <c r="AS1523" s="307"/>
      <c r="AT1523" s="307"/>
      <c r="AU1523" s="670"/>
      <c r="AV1523" s="572"/>
    </row>
    <row r="1524" spans="1:48" ht="12.75" customHeight="1" x14ac:dyDescent="0.25">
      <c r="D1524" s="3"/>
      <c r="L1524" s="3"/>
      <c r="N1524" s="3"/>
      <c r="O1524" s="3"/>
      <c r="R1524" s="3"/>
      <c r="U1524" s="162"/>
      <c r="W1524" s="3"/>
      <c r="X1524" s="310"/>
      <c r="Y1524" s="835"/>
      <c r="Z1524" s="3"/>
      <c r="AA1524" s="3"/>
      <c r="AB1524" s="3"/>
      <c r="AC1524" s="3"/>
      <c r="AD1524" s="3"/>
      <c r="AE1524" s="3"/>
      <c r="AG1524" s="2"/>
      <c r="AR1524" s="307"/>
      <c r="AS1524" s="307"/>
      <c r="AT1524" s="307"/>
      <c r="AU1524" s="670"/>
      <c r="AV1524" s="572"/>
    </row>
    <row r="1525" spans="1:48" ht="12.75" customHeight="1" x14ac:dyDescent="0.25">
      <c r="D1525" s="3"/>
      <c r="L1525" s="3"/>
      <c r="N1525" s="3"/>
      <c r="O1525" s="3"/>
      <c r="R1525" s="3"/>
      <c r="W1525" s="3"/>
      <c r="X1525" s="3"/>
      <c r="Y1525" s="835"/>
      <c r="Z1525" s="3"/>
      <c r="AA1525" s="3"/>
      <c r="AB1525" s="3"/>
      <c r="AC1525" s="3"/>
      <c r="AD1525" s="3"/>
      <c r="AE1525" s="3"/>
      <c r="AG1525" s="2"/>
      <c r="AR1525" s="307"/>
      <c r="AS1525" s="307"/>
      <c r="AT1525" s="307"/>
      <c r="AU1525" s="670"/>
      <c r="AV1525" s="572"/>
    </row>
    <row r="1526" spans="1:48" ht="12.75" customHeight="1" x14ac:dyDescent="0.25">
      <c r="D1526" s="3"/>
      <c r="L1526" s="3"/>
      <c r="N1526" s="3"/>
      <c r="O1526" s="3"/>
      <c r="R1526" s="3"/>
      <c r="W1526" s="3"/>
      <c r="X1526" s="3"/>
      <c r="Y1526" s="835"/>
      <c r="Z1526" s="3"/>
      <c r="AA1526" s="3"/>
      <c r="AB1526" s="3"/>
      <c r="AC1526" s="3"/>
      <c r="AD1526" s="3"/>
      <c r="AE1526" s="3"/>
      <c r="AG1526" s="2"/>
      <c r="AR1526" s="307"/>
      <c r="AS1526" s="307"/>
      <c r="AT1526" s="307"/>
      <c r="AU1526" s="670"/>
      <c r="AV1526" s="572"/>
    </row>
    <row r="1527" spans="1:48" ht="12.75" customHeight="1" x14ac:dyDescent="0.25">
      <c r="D1527" s="3"/>
      <c r="L1527" s="3"/>
      <c r="N1527" s="3"/>
      <c r="O1527" s="3"/>
      <c r="R1527" s="3"/>
      <c r="W1527" s="3"/>
      <c r="X1527" s="3"/>
      <c r="Y1527" s="835"/>
      <c r="Z1527" s="3"/>
      <c r="AA1527" s="3"/>
      <c r="AB1527" s="3"/>
      <c r="AC1527" s="3"/>
      <c r="AD1527" s="3"/>
      <c r="AE1527" s="3"/>
      <c r="AG1527" s="2"/>
      <c r="AR1527" s="307"/>
      <c r="AS1527" s="307"/>
      <c r="AT1527" s="307"/>
      <c r="AU1527" s="670"/>
      <c r="AV1527" s="572"/>
    </row>
    <row r="1528" spans="1:48" ht="12.75" customHeight="1" x14ac:dyDescent="0.25">
      <c r="D1528" s="3"/>
      <c r="L1528" s="3"/>
      <c r="N1528" s="3"/>
      <c r="O1528" s="3"/>
      <c r="R1528" s="3"/>
      <c r="W1528" s="3"/>
      <c r="X1528" s="3"/>
      <c r="Y1528" s="835"/>
      <c r="Z1528" s="3"/>
      <c r="AA1528" s="3"/>
      <c r="AB1528" s="3"/>
      <c r="AC1528" s="3"/>
      <c r="AD1528" s="3"/>
      <c r="AE1528" s="3"/>
      <c r="AG1528" s="2"/>
      <c r="AR1528" s="307"/>
      <c r="AS1528" s="307"/>
      <c r="AT1528" s="307"/>
      <c r="AU1528" s="670"/>
      <c r="AV1528" s="572"/>
    </row>
    <row r="1529" spans="1:48" ht="12.75" customHeight="1" x14ac:dyDescent="0.25">
      <c r="D1529" s="3"/>
      <c r="L1529" s="3"/>
      <c r="N1529" s="3"/>
      <c r="O1529" s="3"/>
      <c r="R1529" s="3"/>
      <c r="W1529" s="3"/>
      <c r="X1529" s="3"/>
      <c r="Y1529" s="835"/>
      <c r="Z1529" s="3"/>
      <c r="AA1529" s="3"/>
      <c r="AB1529" s="3"/>
      <c r="AC1529" s="3"/>
      <c r="AD1529" s="3"/>
      <c r="AE1529" s="3"/>
      <c r="AG1529" s="2"/>
      <c r="AR1529" s="307"/>
      <c r="AS1529" s="307"/>
      <c r="AT1529" s="307"/>
      <c r="AU1529" s="670"/>
      <c r="AV1529" s="572"/>
    </row>
    <row r="1530" spans="1:48" ht="12.75" customHeight="1" x14ac:dyDescent="0.25">
      <c r="D1530" s="3"/>
      <c r="L1530" s="3"/>
      <c r="N1530" s="3"/>
      <c r="O1530" s="3"/>
      <c r="R1530" s="3"/>
      <c r="W1530" s="3"/>
      <c r="X1530" s="3"/>
      <c r="Y1530" s="835"/>
      <c r="Z1530" s="3"/>
      <c r="AA1530" s="3"/>
      <c r="AB1530" s="3"/>
      <c r="AC1530" s="3"/>
      <c r="AD1530" s="3"/>
      <c r="AE1530" s="3"/>
      <c r="AG1530" s="2"/>
      <c r="AR1530" s="307"/>
      <c r="AS1530" s="307"/>
      <c r="AT1530" s="307"/>
      <c r="AU1530" s="670"/>
      <c r="AV1530" s="572"/>
    </row>
    <row r="1531" spans="1:48" ht="12.75" customHeight="1" x14ac:dyDescent="0.25">
      <c r="D1531" s="3"/>
      <c r="L1531" s="3"/>
      <c r="N1531" s="3"/>
      <c r="O1531" s="3"/>
      <c r="R1531" s="3"/>
      <c r="W1531" s="3"/>
      <c r="X1531" s="3"/>
      <c r="Y1531" s="835"/>
      <c r="Z1531" s="3"/>
      <c r="AA1531" s="3"/>
      <c r="AB1531" s="3"/>
      <c r="AC1531" s="3"/>
      <c r="AD1531" s="3"/>
      <c r="AE1531" s="3"/>
      <c r="AG1531" s="2"/>
      <c r="AR1531" s="307"/>
      <c r="AS1531" s="307"/>
      <c r="AT1531" s="307"/>
      <c r="AU1531" s="670"/>
      <c r="AV1531" s="572"/>
    </row>
    <row r="1532" spans="1:48" ht="12.75" customHeight="1" x14ac:dyDescent="0.25">
      <c r="D1532" s="3"/>
      <c r="L1532" s="3"/>
      <c r="N1532" s="3"/>
      <c r="O1532" s="3"/>
      <c r="R1532" s="3"/>
      <c r="W1532" s="3"/>
      <c r="X1532" s="3"/>
      <c r="Y1532" s="835"/>
      <c r="Z1532" s="3"/>
      <c r="AA1532" s="3"/>
      <c r="AB1532" s="3"/>
      <c r="AC1532" s="3"/>
      <c r="AD1532" s="3"/>
      <c r="AE1532" s="3"/>
      <c r="AG1532" s="2"/>
      <c r="AR1532" s="307"/>
      <c r="AS1532" s="307"/>
      <c r="AT1532" s="307"/>
      <c r="AU1532" s="670"/>
      <c r="AV1532" s="572"/>
    </row>
    <row r="1533" spans="1:48" ht="12.75" customHeight="1" x14ac:dyDescent="0.25">
      <c r="D1533" s="3"/>
      <c r="L1533" s="3"/>
      <c r="N1533" s="3"/>
      <c r="O1533" s="3"/>
      <c r="R1533" s="3"/>
      <c r="W1533" s="3"/>
      <c r="X1533" s="3"/>
      <c r="Y1533" s="835"/>
      <c r="Z1533" s="3"/>
      <c r="AA1533" s="3"/>
      <c r="AB1533" s="3"/>
      <c r="AC1533" s="3"/>
      <c r="AD1533" s="3"/>
      <c r="AE1533" s="3"/>
      <c r="AG1533" s="2"/>
      <c r="AR1533" s="307"/>
      <c r="AS1533" s="307"/>
      <c r="AT1533" s="307"/>
      <c r="AU1533" s="670"/>
      <c r="AV1533" s="572"/>
    </row>
    <row r="1534" spans="1:48" ht="12.75" customHeight="1" x14ac:dyDescent="0.25">
      <c r="D1534" s="3"/>
      <c r="L1534" s="3"/>
      <c r="N1534" s="3"/>
      <c r="O1534" s="3"/>
      <c r="R1534" s="3"/>
      <c r="W1534" s="3"/>
      <c r="X1534" s="3"/>
      <c r="Y1534" s="835"/>
      <c r="Z1534" s="3"/>
      <c r="AA1534" s="3"/>
      <c r="AB1534" s="3"/>
      <c r="AC1534" s="3"/>
      <c r="AD1534" s="3"/>
      <c r="AE1534" s="3"/>
      <c r="AG1534" s="2"/>
      <c r="AR1534" s="307"/>
      <c r="AS1534" s="307"/>
      <c r="AT1534" s="307"/>
      <c r="AU1534" s="670"/>
      <c r="AV1534" s="572"/>
    </row>
    <row r="1535" spans="1:48" ht="12.75" customHeight="1" x14ac:dyDescent="0.25">
      <c r="D1535" s="3"/>
      <c r="L1535" s="3"/>
      <c r="N1535" s="3"/>
      <c r="O1535" s="3"/>
      <c r="R1535" s="3"/>
      <c r="W1535" s="3"/>
      <c r="X1535" s="3"/>
      <c r="Y1535" s="835"/>
      <c r="Z1535" s="3"/>
      <c r="AA1535" s="3"/>
      <c r="AB1535" s="3"/>
      <c r="AC1535" s="3"/>
      <c r="AD1535" s="3"/>
      <c r="AE1535" s="3"/>
      <c r="AG1535" s="2"/>
      <c r="AR1535" s="307"/>
      <c r="AS1535" s="307"/>
      <c r="AT1535" s="307"/>
      <c r="AU1535" s="670"/>
      <c r="AV1535" s="572"/>
    </row>
    <row r="1536" spans="1:48" ht="12.75" customHeight="1" x14ac:dyDescent="0.25">
      <c r="D1536" s="3"/>
      <c r="L1536" s="3"/>
      <c r="N1536" s="3"/>
      <c r="O1536" s="3"/>
      <c r="R1536" s="3"/>
      <c r="W1536" s="3"/>
      <c r="X1536" s="3"/>
      <c r="Y1536" s="835"/>
      <c r="Z1536" s="3"/>
      <c r="AA1536" s="3"/>
      <c r="AB1536" s="3"/>
      <c r="AC1536" s="3"/>
      <c r="AD1536" s="3"/>
      <c r="AE1536" s="3"/>
      <c r="AG1536" s="2"/>
      <c r="AR1536" s="307"/>
      <c r="AS1536" s="307"/>
      <c r="AT1536" s="307"/>
      <c r="AU1536" s="670"/>
      <c r="AV1536" s="572"/>
    </row>
    <row r="1537" spans="4:48" ht="12.75" customHeight="1" x14ac:dyDescent="0.25">
      <c r="D1537" s="3"/>
      <c r="L1537" s="3"/>
      <c r="N1537" s="3"/>
      <c r="O1537" s="3"/>
      <c r="R1537" s="3"/>
      <c r="W1537" s="3"/>
      <c r="X1537" s="3"/>
      <c r="Y1537" s="835"/>
      <c r="Z1537" s="3"/>
      <c r="AA1537" s="3"/>
      <c r="AB1537" s="3"/>
      <c r="AC1537" s="3"/>
      <c r="AD1537" s="3"/>
      <c r="AE1537" s="3"/>
      <c r="AG1537" s="2"/>
      <c r="AR1537" s="307"/>
      <c r="AS1537" s="307"/>
      <c r="AT1537" s="307"/>
      <c r="AU1537" s="670"/>
      <c r="AV1537" s="572"/>
    </row>
    <row r="1538" spans="4:48" ht="12.75" customHeight="1" x14ac:dyDescent="0.25">
      <c r="D1538" s="3"/>
      <c r="L1538" s="3"/>
      <c r="N1538" s="3"/>
      <c r="O1538" s="3"/>
      <c r="R1538" s="3"/>
      <c r="W1538" s="3"/>
      <c r="X1538" s="3"/>
      <c r="Y1538" s="835"/>
      <c r="Z1538" s="3"/>
      <c r="AA1538" s="3"/>
      <c r="AB1538" s="3"/>
      <c r="AC1538" s="3"/>
      <c r="AD1538" s="3"/>
      <c r="AE1538" s="3"/>
      <c r="AG1538" s="2"/>
      <c r="AR1538" s="307"/>
      <c r="AS1538" s="307"/>
      <c r="AT1538" s="307"/>
      <c r="AU1538" s="670"/>
      <c r="AV1538" s="572"/>
    </row>
    <row r="1539" spans="4:48" ht="12.75" customHeight="1" x14ac:dyDescent="0.25">
      <c r="D1539" s="3"/>
      <c r="L1539" s="3"/>
      <c r="N1539" s="3"/>
      <c r="O1539" s="3"/>
      <c r="R1539" s="3"/>
      <c r="W1539" s="3"/>
      <c r="X1539" s="3"/>
      <c r="Y1539" s="835"/>
      <c r="Z1539" s="3"/>
      <c r="AA1539" s="3"/>
      <c r="AB1539" s="3"/>
      <c r="AC1539" s="3"/>
      <c r="AD1539" s="3"/>
      <c r="AE1539" s="3"/>
      <c r="AG1539" s="2"/>
      <c r="AR1539" s="307"/>
      <c r="AS1539" s="307"/>
      <c r="AT1539" s="307"/>
      <c r="AU1539" s="670"/>
      <c r="AV1539" s="572"/>
    </row>
    <row r="1540" spans="4:48" ht="12.75" customHeight="1" x14ac:dyDescent="0.25">
      <c r="D1540" s="3"/>
      <c r="L1540" s="3"/>
      <c r="N1540" s="3"/>
      <c r="O1540" s="3"/>
      <c r="R1540" s="3"/>
      <c r="W1540" s="3"/>
      <c r="X1540" s="3"/>
      <c r="Y1540" s="835"/>
      <c r="Z1540" s="3"/>
      <c r="AA1540" s="3"/>
      <c r="AB1540" s="3"/>
      <c r="AC1540" s="3"/>
      <c r="AD1540" s="3"/>
      <c r="AE1540" s="3"/>
      <c r="AG1540" s="2"/>
      <c r="AR1540" s="307"/>
      <c r="AS1540" s="307"/>
      <c r="AT1540" s="307"/>
      <c r="AU1540" s="670"/>
      <c r="AV1540" s="572"/>
    </row>
    <row r="1541" spans="4:48" ht="12.75" customHeight="1" x14ac:dyDescent="0.25">
      <c r="D1541" s="3"/>
      <c r="L1541" s="3"/>
      <c r="N1541" s="3"/>
      <c r="O1541" s="3"/>
      <c r="R1541" s="3"/>
      <c r="W1541" s="3"/>
      <c r="X1541" s="3"/>
      <c r="Y1541" s="835"/>
      <c r="Z1541" s="3"/>
      <c r="AA1541" s="3"/>
      <c r="AB1541" s="3"/>
      <c r="AC1541" s="3"/>
      <c r="AD1541" s="3"/>
      <c r="AE1541" s="3"/>
      <c r="AG1541" s="2"/>
      <c r="AR1541" s="307"/>
      <c r="AS1541" s="307"/>
      <c r="AT1541" s="307"/>
      <c r="AU1541" s="670"/>
      <c r="AV1541" s="572"/>
    </row>
    <row r="1542" spans="4:48" ht="12.75" customHeight="1" x14ac:dyDescent="0.25">
      <c r="D1542" s="3"/>
      <c r="L1542" s="3"/>
      <c r="N1542" s="3"/>
      <c r="O1542" s="3"/>
      <c r="R1542" s="3"/>
      <c r="W1542" s="3"/>
      <c r="X1542" s="3"/>
      <c r="Y1542" s="835"/>
      <c r="Z1542" s="3"/>
      <c r="AA1542" s="3"/>
      <c r="AB1542" s="3"/>
      <c r="AC1542" s="3"/>
      <c r="AD1542" s="3"/>
      <c r="AE1542" s="3"/>
      <c r="AG1542" s="2"/>
      <c r="AR1542" s="307"/>
      <c r="AS1542" s="307"/>
      <c r="AT1542" s="307"/>
      <c r="AU1542" s="670"/>
      <c r="AV1542" s="572"/>
    </row>
    <row r="1543" spans="4:48" ht="12.75" customHeight="1" x14ac:dyDescent="0.25">
      <c r="D1543" s="3"/>
      <c r="L1543" s="3"/>
      <c r="N1543" s="3"/>
      <c r="O1543" s="3"/>
      <c r="R1543" s="3"/>
      <c r="W1543" s="3"/>
      <c r="X1543" s="3"/>
      <c r="Y1543" s="835"/>
      <c r="Z1543" s="3"/>
      <c r="AA1543" s="3"/>
      <c r="AB1543" s="3"/>
      <c r="AC1543" s="3"/>
      <c r="AD1543" s="3"/>
      <c r="AE1543" s="3"/>
      <c r="AG1543" s="2"/>
      <c r="AR1543" s="307"/>
      <c r="AS1543" s="307"/>
      <c r="AT1543" s="307"/>
      <c r="AU1543" s="670"/>
      <c r="AV1543" s="572"/>
    </row>
    <row r="1544" spans="4:48" ht="12.75" customHeight="1" x14ac:dyDescent="0.25">
      <c r="D1544" s="3"/>
      <c r="L1544" s="3"/>
      <c r="N1544" s="3"/>
      <c r="O1544" s="3"/>
      <c r="R1544" s="3"/>
      <c r="W1544" s="3"/>
      <c r="X1544" s="3"/>
      <c r="Y1544" s="835"/>
      <c r="Z1544" s="3"/>
      <c r="AA1544" s="3"/>
      <c r="AB1544" s="3"/>
      <c r="AC1544" s="3"/>
      <c r="AD1544" s="3"/>
      <c r="AE1544" s="3"/>
      <c r="AG1544" s="2"/>
      <c r="AR1544" s="307"/>
      <c r="AS1544" s="307"/>
      <c r="AT1544" s="307"/>
      <c r="AU1544" s="670"/>
      <c r="AV1544" s="572"/>
    </row>
    <row r="1545" spans="4:48" ht="12.75" customHeight="1" x14ac:dyDescent="0.25">
      <c r="D1545" s="3"/>
      <c r="L1545" s="3"/>
      <c r="N1545" s="3"/>
      <c r="O1545" s="3"/>
      <c r="R1545" s="3"/>
      <c r="W1545" s="3"/>
      <c r="X1545" s="3"/>
      <c r="Y1545" s="835"/>
      <c r="Z1545" s="3"/>
      <c r="AA1545" s="3"/>
      <c r="AB1545" s="3"/>
      <c r="AC1545" s="3"/>
      <c r="AD1545" s="3"/>
      <c r="AE1545" s="3"/>
      <c r="AG1545" s="2"/>
      <c r="AR1545" s="307"/>
      <c r="AS1545" s="307"/>
      <c r="AT1545" s="307"/>
      <c r="AU1545" s="670"/>
      <c r="AV1545" s="572"/>
    </row>
    <row r="1546" spans="4:48" ht="12.75" customHeight="1" x14ac:dyDescent="0.25">
      <c r="D1546" s="3"/>
      <c r="L1546" s="3"/>
      <c r="N1546" s="3"/>
      <c r="O1546" s="3"/>
      <c r="R1546" s="3"/>
      <c r="W1546" s="3"/>
      <c r="X1546" s="3"/>
      <c r="Y1546" s="835"/>
      <c r="Z1546" s="3"/>
      <c r="AA1546" s="3"/>
      <c r="AB1546" s="3"/>
      <c r="AC1546" s="3"/>
      <c r="AD1546" s="3"/>
      <c r="AE1546" s="3"/>
      <c r="AG1546" s="2"/>
      <c r="AR1546" s="307"/>
      <c r="AS1546" s="307"/>
      <c r="AT1546" s="307"/>
      <c r="AU1546" s="670"/>
      <c r="AV1546" s="572"/>
    </row>
    <row r="1547" spans="4:48" ht="12.75" customHeight="1" x14ac:dyDescent="0.25">
      <c r="D1547" s="3"/>
      <c r="L1547" s="3"/>
      <c r="N1547" s="3"/>
      <c r="O1547" s="3"/>
      <c r="R1547" s="3"/>
      <c r="W1547" s="3"/>
      <c r="X1547" s="3"/>
      <c r="Y1547" s="835"/>
      <c r="Z1547" s="3"/>
      <c r="AA1547" s="3"/>
      <c r="AB1547" s="3"/>
      <c r="AC1547" s="3"/>
      <c r="AD1547" s="3"/>
      <c r="AE1547" s="3"/>
      <c r="AG1547" s="2"/>
      <c r="AR1547" s="307"/>
      <c r="AS1547" s="307"/>
      <c r="AT1547" s="307"/>
      <c r="AU1547" s="670"/>
      <c r="AV1547" s="572"/>
    </row>
    <row r="1548" spans="4:48" ht="12.75" customHeight="1" x14ac:dyDescent="0.25">
      <c r="D1548" s="3"/>
      <c r="L1548" s="3"/>
      <c r="N1548" s="3"/>
      <c r="O1548" s="3"/>
      <c r="R1548" s="3"/>
      <c r="W1548" s="3"/>
      <c r="X1548" s="3"/>
      <c r="Y1548" s="835"/>
      <c r="Z1548" s="3"/>
      <c r="AA1548" s="3"/>
      <c r="AB1548" s="3"/>
      <c r="AC1548" s="3"/>
      <c r="AD1548" s="3"/>
      <c r="AE1548" s="3"/>
      <c r="AG1548" s="2"/>
      <c r="AR1548" s="307"/>
      <c r="AS1548" s="307"/>
      <c r="AT1548" s="307"/>
      <c r="AU1548" s="670"/>
      <c r="AV1548" s="572"/>
    </row>
    <row r="1549" spans="4:48" ht="12.75" customHeight="1" x14ac:dyDescent="0.25">
      <c r="D1549" s="3"/>
      <c r="L1549" s="3"/>
      <c r="N1549" s="3"/>
      <c r="O1549" s="3"/>
      <c r="R1549" s="3"/>
      <c r="W1549" s="3"/>
      <c r="X1549" s="3"/>
      <c r="Y1549" s="835"/>
      <c r="Z1549" s="3"/>
      <c r="AA1549" s="3"/>
      <c r="AB1549" s="3"/>
      <c r="AC1549" s="3"/>
      <c r="AD1549" s="3"/>
      <c r="AE1549" s="3"/>
      <c r="AG1549" s="2"/>
      <c r="AR1549" s="307"/>
      <c r="AS1549" s="307"/>
      <c r="AT1549" s="307"/>
      <c r="AU1549" s="670"/>
      <c r="AV1549" s="572"/>
    </row>
    <row r="1550" spans="4:48" ht="12.75" customHeight="1" x14ac:dyDescent="0.25">
      <c r="D1550" s="3"/>
      <c r="L1550" s="3"/>
      <c r="N1550" s="3"/>
      <c r="O1550" s="3"/>
      <c r="R1550" s="3"/>
      <c r="W1550" s="3"/>
      <c r="X1550" s="3"/>
      <c r="Y1550" s="835"/>
      <c r="Z1550" s="3"/>
      <c r="AA1550" s="3"/>
      <c r="AB1550" s="3"/>
      <c r="AC1550" s="3"/>
      <c r="AD1550" s="3"/>
      <c r="AE1550" s="3"/>
      <c r="AG1550" s="2"/>
      <c r="AR1550" s="307"/>
      <c r="AS1550" s="307"/>
      <c r="AT1550" s="307"/>
      <c r="AU1550" s="670"/>
      <c r="AV1550" s="572"/>
    </row>
    <row r="1551" spans="4:48" ht="12.75" customHeight="1" x14ac:dyDescent="0.25">
      <c r="D1551" s="3"/>
      <c r="L1551" s="3"/>
      <c r="N1551" s="3"/>
      <c r="O1551" s="3"/>
      <c r="R1551" s="3"/>
      <c r="W1551" s="3"/>
      <c r="X1551" s="3"/>
      <c r="Y1551" s="835"/>
      <c r="Z1551" s="3"/>
      <c r="AA1551" s="3"/>
      <c r="AB1551" s="3"/>
      <c r="AC1551" s="3"/>
      <c r="AD1551" s="3"/>
      <c r="AE1551" s="3"/>
      <c r="AG1551" s="2"/>
      <c r="AR1551" s="307"/>
      <c r="AS1551" s="307"/>
      <c r="AT1551" s="307"/>
      <c r="AU1551" s="670"/>
      <c r="AV1551" s="572"/>
    </row>
    <row r="1552" spans="4:48" ht="12.75" customHeight="1" x14ac:dyDescent="0.25">
      <c r="D1552" s="3"/>
      <c r="L1552" s="3"/>
      <c r="N1552" s="3"/>
      <c r="O1552" s="3"/>
      <c r="R1552" s="3"/>
      <c r="W1552" s="3"/>
      <c r="X1552" s="3"/>
      <c r="Y1552" s="835"/>
      <c r="Z1552" s="3"/>
      <c r="AA1552" s="3"/>
      <c r="AB1552" s="3"/>
      <c r="AC1552" s="3"/>
      <c r="AD1552" s="3"/>
      <c r="AE1552" s="3"/>
      <c r="AG1552" s="2"/>
      <c r="AR1552" s="307"/>
      <c r="AS1552" s="307"/>
      <c r="AT1552" s="307"/>
      <c r="AU1552" s="670"/>
      <c r="AV1552" s="572"/>
    </row>
    <row r="1553" spans="4:48" ht="12.75" customHeight="1" x14ac:dyDescent="0.25">
      <c r="D1553" s="3"/>
      <c r="L1553" s="3"/>
      <c r="N1553" s="3"/>
      <c r="O1553" s="3"/>
      <c r="R1553" s="3"/>
      <c r="W1553" s="3"/>
      <c r="X1553" s="3"/>
      <c r="Y1553" s="835"/>
      <c r="Z1553" s="3"/>
      <c r="AA1553" s="3"/>
      <c r="AB1553" s="3"/>
      <c r="AC1553" s="3"/>
      <c r="AD1553" s="3"/>
      <c r="AE1553" s="3"/>
      <c r="AG1553" s="2"/>
      <c r="AR1553" s="307"/>
      <c r="AS1553" s="307"/>
      <c r="AT1553" s="307"/>
      <c r="AU1553" s="670"/>
      <c r="AV1553" s="572"/>
    </row>
    <row r="1554" spans="4:48" ht="12.75" customHeight="1" x14ac:dyDescent="0.25">
      <c r="D1554" s="3"/>
      <c r="L1554" s="3"/>
      <c r="N1554" s="3"/>
      <c r="O1554" s="3"/>
      <c r="R1554" s="3"/>
      <c r="W1554" s="3"/>
      <c r="X1554" s="3"/>
      <c r="Y1554" s="835"/>
      <c r="Z1554" s="3"/>
      <c r="AA1554" s="3"/>
      <c r="AB1554" s="3"/>
      <c r="AC1554" s="3"/>
      <c r="AD1554" s="3"/>
      <c r="AE1554" s="3"/>
      <c r="AG1554" s="2"/>
      <c r="AR1554" s="307"/>
      <c r="AS1554" s="307"/>
      <c r="AT1554" s="307"/>
      <c r="AU1554" s="670"/>
      <c r="AV1554" s="572"/>
    </row>
    <row r="1555" spans="4:48" ht="12.75" customHeight="1" x14ac:dyDescent="0.25">
      <c r="D1555" s="3"/>
      <c r="L1555" s="3"/>
      <c r="N1555" s="3"/>
      <c r="O1555" s="3"/>
      <c r="R1555" s="3"/>
      <c r="W1555" s="3"/>
      <c r="X1555" s="3"/>
      <c r="Y1555" s="835"/>
      <c r="Z1555" s="3"/>
      <c r="AA1555" s="3"/>
      <c r="AB1555" s="3"/>
      <c r="AC1555" s="3"/>
      <c r="AD1555" s="3"/>
      <c r="AE1555" s="3"/>
      <c r="AG1555" s="2"/>
      <c r="AR1555" s="307"/>
      <c r="AS1555" s="307"/>
      <c r="AT1555" s="307"/>
      <c r="AU1555" s="670"/>
      <c r="AV1555" s="572"/>
    </row>
    <row r="1556" spans="4:48" ht="12.75" customHeight="1" x14ac:dyDescent="0.25">
      <c r="D1556" s="3"/>
      <c r="L1556" s="3"/>
      <c r="N1556" s="3"/>
      <c r="O1556" s="3"/>
      <c r="R1556" s="3"/>
      <c r="W1556" s="3"/>
      <c r="X1556" s="3"/>
      <c r="Y1556" s="835"/>
      <c r="Z1556" s="3"/>
      <c r="AA1556" s="3"/>
      <c r="AB1556" s="3"/>
      <c r="AC1556" s="3"/>
      <c r="AD1556" s="3"/>
      <c r="AE1556" s="3"/>
      <c r="AG1556" s="2"/>
      <c r="AR1556" s="307"/>
      <c r="AS1556" s="307"/>
      <c r="AT1556" s="307"/>
      <c r="AU1556" s="670"/>
      <c r="AV1556" s="572"/>
    </row>
    <row r="1557" spans="4:48" ht="12.75" customHeight="1" x14ac:dyDescent="0.25">
      <c r="D1557" s="3"/>
      <c r="L1557" s="3"/>
      <c r="N1557" s="3"/>
      <c r="O1557" s="3"/>
      <c r="R1557" s="3"/>
      <c r="W1557" s="3"/>
      <c r="X1557" s="3"/>
      <c r="Y1557" s="835"/>
      <c r="Z1557" s="3"/>
      <c r="AA1557" s="3"/>
      <c r="AB1557" s="3"/>
      <c r="AC1557" s="3"/>
      <c r="AD1557" s="3"/>
      <c r="AE1557" s="3"/>
      <c r="AG1557" s="2"/>
      <c r="AR1557" s="307"/>
      <c r="AS1557" s="307"/>
      <c r="AT1557" s="307"/>
      <c r="AU1557" s="670"/>
      <c r="AV1557" s="572"/>
    </row>
    <row r="1558" spans="4:48" ht="12.75" customHeight="1" x14ac:dyDescent="0.25">
      <c r="D1558" s="3"/>
      <c r="L1558" s="3"/>
      <c r="N1558" s="3"/>
      <c r="O1558" s="3"/>
      <c r="R1558" s="3"/>
      <c r="W1558" s="3"/>
      <c r="X1558" s="3"/>
      <c r="Y1558" s="835"/>
      <c r="Z1558" s="3"/>
      <c r="AA1558" s="3"/>
      <c r="AB1558" s="3"/>
      <c r="AC1558" s="3"/>
      <c r="AD1558" s="3"/>
      <c r="AE1558" s="3"/>
      <c r="AG1558" s="2"/>
      <c r="AR1558" s="307"/>
      <c r="AS1558" s="307"/>
      <c r="AT1558" s="307"/>
      <c r="AU1558" s="670"/>
      <c r="AV1558" s="572"/>
    </row>
    <row r="1559" spans="4:48" ht="12.75" customHeight="1" x14ac:dyDescent="0.25">
      <c r="D1559" s="3"/>
      <c r="L1559" s="3"/>
      <c r="N1559" s="3"/>
      <c r="O1559" s="3"/>
      <c r="R1559" s="3"/>
      <c r="W1559" s="3"/>
      <c r="X1559" s="3"/>
      <c r="Y1559" s="835"/>
      <c r="Z1559" s="3"/>
      <c r="AA1559" s="3"/>
      <c r="AB1559" s="3"/>
      <c r="AC1559" s="3"/>
      <c r="AD1559" s="3"/>
      <c r="AE1559" s="3"/>
      <c r="AG1559" s="2"/>
      <c r="AR1559" s="307"/>
      <c r="AS1559" s="307"/>
      <c r="AT1559" s="307"/>
      <c r="AU1559" s="670"/>
      <c r="AV1559" s="572"/>
    </row>
    <row r="1560" spans="4:48" ht="12.75" customHeight="1" x14ac:dyDescent="0.25">
      <c r="D1560" s="3"/>
      <c r="L1560" s="3"/>
      <c r="N1560" s="3"/>
      <c r="O1560" s="3"/>
      <c r="R1560" s="3"/>
      <c r="W1560" s="3"/>
      <c r="X1560" s="3"/>
      <c r="Y1560" s="835"/>
      <c r="Z1560" s="3"/>
      <c r="AA1560" s="3"/>
      <c r="AB1560" s="3"/>
      <c r="AC1560" s="3"/>
      <c r="AD1560" s="3"/>
      <c r="AE1560" s="3"/>
      <c r="AG1560" s="2"/>
      <c r="AR1560" s="307"/>
      <c r="AS1560" s="307"/>
      <c r="AT1560" s="307"/>
      <c r="AU1560" s="670"/>
      <c r="AV1560" s="572"/>
    </row>
    <row r="1561" spans="4:48" ht="12.75" customHeight="1" x14ac:dyDescent="0.25">
      <c r="D1561" s="3"/>
      <c r="L1561" s="3"/>
      <c r="N1561" s="3"/>
      <c r="O1561" s="3"/>
      <c r="R1561" s="3"/>
      <c r="W1561" s="3"/>
      <c r="X1561" s="3"/>
      <c r="Y1561" s="835"/>
      <c r="Z1561" s="3"/>
      <c r="AA1561" s="3"/>
      <c r="AB1561" s="3"/>
      <c r="AC1561" s="3"/>
      <c r="AD1561" s="3"/>
      <c r="AE1561" s="3"/>
      <c r="AG1561" s="2"/>
      <c r="AR1561" s="307"/>
      <c r="AS1561" s="307"/>
      <c r="AT1561" s="307"/>
      <c r="AU1561" s="670"/>
      <c r="AV1561" s="572"/>
    </row>
    <row r="1562" spans="4:48" ht="12.75" customHeight="1" x14ac:dyDescent="0.25">
      <c r="D1562" s="3"/>
      <c r="L1562" s="3"/>
      <c r="N1562" s="3"/>
      <c r="O1562" s="3"/>
      <c r="R1562" s="3"/>
      <c r="W1562" s="3"/>
      <c r="X1562" s="3"/>
      <c r="Y1562" s="835"/>
      <c r="Z1562" s="3"/>
      <c r="AA1562" s="3"/>
      <c r="AB1562" s="3"/>
      <c r="AC1562" s="3"/>
      <c r="AD1562" s="3"/>
      <c r="AE1562" s="3"/>
      <c r="AG1562" s="2"/>
      <c r="AR1562" s="307"/>
      <c r="AS1562" s="307"/>
      <c r="AT1562" s="307"/>
      <c r="AU1562" s="670"/>
      <c r="AV1562" s="572"/>
    </row>
    <row r="1563" spans="4:48" ht="12.75" customHeight="1" x14ac:dyDescent="0.25">
      <c r="D1563" s="3"/>
      <c r="L1563" s="3"/>
      <c r="N1563" s="3"/>
      <c r="O1563" s="3"/>
      <c r="R1563" s="3"/>
      <c r="W1563" s="3"/>
      <c r="X1563" s="3"/>
      <c r="Y1563" s="835"/>
      <c r="Z1563" s="3"/>
      <c r="AA1563" s="3"/>
      <c r="AB1563" s="3"/>
      <c r="AC1563" s="3"/>
      <c r="AD1563" s="3"/>
      <c r="AE1563" s="3"/>
      <c r="AG1563" s="2"/>
      <c r="AR1563" s="307"/>
      <c r="AS1563" s="307"/>
      <c r="AT1563" s="307"/>
      <c r="AU1563" s="670"/>
      <c r="AV1563" s="572"/>
    </row>
    <row r="1564" spans="4:48" ht="12.75" customHeight="1" x14ac:dyDescent="0.25">
      <c r="D1564" s="3"/>
      <c r="L1564" s="3"/>
      <c r="N1564" s="3"/>
      <c r="O1564" s="3"/>
      <c r="R1564" s="3"/>
      <c r="W1564" s="3"/>
      <c r="X1564" s="3"/>
      <c r="Y1564" s="835"/>
      <c r="Z1564" s="3"/>
      <c r="AA1564" s="3"/>
      <c r="AB1564" s="3"/>
      <c r="AC1564" s="3"/>
      <c r="AD1564" s="3"/>
      <c r="AE1564" s="3"/>
      <c r="AG1564" s="2"/>
      <c r="AR1564" s="307"/>
      <c r="AS1564" s="307"/>
      <c r="AT1564" s="307"/>
      <c r="AU1564" s="670"/>
      <c r="AV1564" s="572"/>
    </row>
    <row r="1565" spans="4:48" ht="12.75" customHeight="1" x14ac:dyDescent="0.25">
      <c r="D1565" s="3"/>
      <c r="L1565" s="3"/>
      <c r="N1565" s="3"/>
      <c r="O1565" s="3"/>
      <c r="R1565" s="3"/>
      <c r="W1565" s="3"/>
      <c r="X1565" s="3"/>
      <c r="Y1565" s="835"/>
      <c r="Z1565" s="3"/>
      <c r="AA1565" s="3"/>
      <c r="AB1565" s="3"/>
      <c r="AC1565" s="3"/>
      <c r="AD1565" s="3"/>
      <c r="AE1565" s="3"/>
      <c r="AG1565" s="2"/>
      <c r="AR1565" s="307"/>
      <c r="AS1565" s="307"/>
      <c r="AT1565" s="307"/>
      <c r="AU1565" s="670"/>
      <c r="AV1565" s="572"/>
    </row>
    <row r="1566" spans="4:48" ht="12.75" customHeight="1" x14ac:dyDescent="0.25">
      <c r="D1566" s="3"/>
      <c r="L1566" s="3"/>
      <c r="N1566" s="3"/>
      <c r="O1566" s="3"/>
      <c r="R1566" s="3"/>
      <c r="W1566" s="3"/>
      <c r="X1566" s="3"/>
      <c r="Y1566" s="835"/>
      <c r="Z1566" s="3"/>
      <c r="AA1566" s="3"/>
      <c r="AB1566" s="3"/>
      <c r="AC1566" s="3"/>
      <c r="AD1566" s="3"/>
      <c r="AE1566" s="3"/>
      <c r="AG1566" s="2"/>
      <c r="AR1566" s="307"/>
      <c r="AS1566" s="307"/>
      <c r="AT1566" s="307"/>
      <c r="AU1566" s="670"/>
      <c r="AV1566" s="572"/>
    </row>
    <row r="1567" spans="4:48" ht="12.75" customHeight="1" x14ac:dyDescent="0.25">
      <c r="D1567" s="3"/>
      <c r="L1567" s="3"/>
      <c r="N1567" s="3"/>
      <c r="O1567" s="3"/>
      <c r="R1567" s="3"/>
      <c r="W1567" s="3"/>
      <c r="X1567" s="3"/>
      <c r="Y1567" s="835"/>
      <c r="Z1567" s="3"/>
      <c r="AA1567" s="3"/>
      <c r="AB1567" s="3"/>
      <c r="AC1567" s="3"/>
      <c r="AD1567" s="3"/>
      <c r="AE1567" s="3"/>
      <c r="AG1567" s="2"/>
      <c r="AR1567" s="307"/>
      <c r="AS1567" s="307"/>
      <c r="AT1567" s="307"/>
      <c r="AU1567" s="670"/>
      <c r="AV1567" s="572"/>
    </row>
    <row r="1568" spans="4:48" ht="12.75" customHeight="1" x14ac:dyDescent="0.25">
      <c r="D1568" s="3"/>
      <c r="L1568" s="3"/>
      <c r="N1568" s="3"/>
      <c r="O1568" s="3"/>
      <c r="R1568" s="3"/>
      <c r="W1568" s="3"/>
      <c r="X1568" s="3"/>
      <c r="Y1568" s="835"/>
      <c r="Z1568" s="3"/>
      <c r="AA1568" s="3"/>
      <c r="AB1568" s="3"/>
      <c r="AC1568" s="3"/>
      <c r="AD1568" s="3"/>
      <c r="AE1568" s="3"/>
      <c r="AG1568" s="2"/>
      <c r="AR1568" s="307"/>
      <c r="AS1568" s="307"/>
      <c r="AT1568" s="307"/>
      <c r="AU1568" s="670"/>
      <c r="AV1568" s="572"/>
    </row>
    <row r="1569" spans="4:48" ht="12.75" customHeight="1" x14ac:dyDescent="0.25">
      <c r="D1569" s="3"/>
      <c r="L1569" s="3"/>
      <c r="N1569" s="3"/>
      <c r="O1569" s="3"/>
      <c r="R1569" s="3"/>
      <c r="W1569" s="3"/>
      <c r="X1569" s="3"/>
      <c r="Y1569" s="835"/>
      <c r="Z1569" s="3"/>
      <c r="AA1569" s="3"/>
      <c r="AB1569" s="3"/>
      <c r="AC1569" s="3"/>
      <c r="AD1569" s="3"/>
      <c r="AE1569" s="3"/>
      <c r="AG1569" s="2"/>
      <c r="AR1569" s="307"/>
      <c r="AS1569" s="307"/>
      <c r="AT1569" s="307"/>
      <c r="AU1569" s="670"/>
      <c r="AV1569" s="572"/>
    </row>
    <row r="1570" spans="4:48" ht="12.75" customHeight="1" x14ac:dyDescent="0.25">
      <c r="D1570" s="3"/>
      <c r="L1570" s="3"/>
      <c r="N1570" s="3"/>
      <c r="O1570" s="3"/>
      <c r="R1570" s="3"/>
      <c r="W1570" s="3"/>
      <c r="X1570" s="3"/>
      <c r="Y1570" s="835"/>
      <c r="Z1570" s="3"/>
      <c r="AA1570" s="3"/>
      <c r="AB1570" s="3"/>
      <c r="AC1570" s="3"/>
      <c r="AD1570" s="3"/>
      <c r="AE1570" s="3"/>
      <c r="AG1570" s="2"/>
      <c r="AR1570" s="307"/>
      <c r="AS1570" s="307"/>
      <c r="AT1570" s="307"/>
      <c r="AU1570" s="670"/>
      <c r="AV1570" s="572"/>
    </row>
    <row r="1571" spans="4:48" ht="12.75" customHeight="1" x14ac:dyDescent="0.25">
      <c r="D1571" s="3"/>
      <c r="L1571" s="3"/>
      <c r="N1571" s="3"/>
      <c r="O1571" s="3"/>
      <c r="R1571" s="3"/>
      <c r="W1571" s="3"/>
      <c r="X1571" s="3"/>
      <c r="Y1571" s="835"/>
      <c r="Z1571" s="3"/>
      <c r="AA1571" s="3"/>
      <c r="AB1571" s="3"/>
      <c r="AC1571" s="3"/>
      <c r="AD1571" s="3"/>
      <c r="AE1571" s="3"/>
      <c r="AG1571" s="2"/>
      <c r="AR1571" s="307"/>
      <c r="AS1571" s="307"/>
      <c r="AT1571" s="307"/>
      <c r="AU1571" s="670"/>
      <c r="AV1571" s="572"/>
    </row>
    <row r="1572" spans="4:48" ht="12.75" customHeight="1" x14ac:dyDescent="0.25">
      <c r="D1572" s="3"/>
      <c r="L1572" s="3"/>
      <c r="N1572" s="3"/>
      <c r="O1572" s="3"/>
      <c r="R1572" s="3"/>
      <c r="W1572" s="3"/>
      <c r="X1572" s="3"/>
      <c r="Y1572" s="835"/>
      <c r="Z1572" s="3"/>
      <c r="AA1572" s="3"/>
      <c r="AB1572" s="3"/>
      <c r="AC1572" s="3"/>
      <c r="AD1572" s="3"/>
      <c r="AE1572" s="3"/>
      <c r="AG1572" s="2"/>
      <c r="AR1572" s="307"/>
      <c r="AS1572" s="307"/>
      <c r="AT1572" s="307"/>
      <c r="AU1572" s="670"/>
      <c r="AV1572" s="572"/>
    </row>
    <row r="1573" spans="4:48" ht="12.75" customHeight="1" x14ac:dyDescent="0.25">
      <c r="D1573" s="3"/>
      <c r="L1573" s="3"/>
      <c r="N1573" s="3"/>
      <c r="O1573" s="3"/>
      <c r="R1573" s="3"/>
      <c r="W1573" s="3"/>
      <c r="X1573" s="3"/>
      <c r="Y1573" s="835"/>
      <c r="Z1573" s="3"/>
      <c r="AA1573" s="3"/>
      <c r="AB1573" s="3"/>
      <c r="AC1573" s="3"/>
      <c r="AD1573" s="3"/>
      <c r="AE1573" s="3"/>
      <c r="AG1573" s="2"/>
      <c r="AR1573" s="307"/>
      <c r="AS1573" s="307"/>
      <c r="AT1573" s="307"/>
      <c r="AU1573" s="670"/>
      <c r="AV1573" s="572"/>
    </row>
    <row r="1574" spans="4:48" ht="12.75" customHeight="1" x14ac:dyDescent="0.25">
      <c r="D1574" s="3"/>
      <c r="L1574" s="3"/>
      <c r="N1574" s="3"/>
      <c r="O1574" s="3"/>
      <c r="R1574" s="3"/>
      <c r="W1574" s="3"/>
      <c r="X1574" s="3"/>
      <c r="Y1574" s="835"/>
      <c r="Z1574" s="3"/>
      <c r="AA1574" s="3"/>
      <c r="AB1574" s="3"/>
      <c r="AC1574" s="3"/>
      <c r="AD1574" s="3"/>
      <c r="AE1574" s="3"/>
      <c r="AG1574" s="2"/>
      <c r="AR1574" s="307"/>
      <c r="AS1574" s="307"/>
      <c r="AT1574" s="307"/>
      <c r="AU1574" s="670"/>
      <c r="AV1574" s="572"/>
    </row>
    <row r="1575" spans="4:48" ht="12.75" customHeight="1" x14ac:dyDescent="0.25">
      <c r="D1575" s="3"/>
      <c r="L1575" s="3"/>
      <c r="N1575" s="3"/>
      <c r="O1575" s="3"/>
      <c r="R1575" s="3"/>
      <c r="W1575" s="3"/>
      <c r="X1575" s="3"/>
      <c r="Y1575" s="835"/>
      <c r="Z1575" s="3"/>
      <c r="AA1575" s="3"/>
      <c r="AB1575" s="3"/>
      <c r="AC1575" s="3"/>
      <c r="AD1575" s="3"/>
      <c r="AE1575" s="3"/>
      <c r="AG1575" s="2"/>
      <c r="AR1575" s="307"/>
      <c r="AS1575" s="307"/>
      <c r="AT1575" s="307"/>
      <c r="AU1575" s="670"/>
      <c r="AV1575" s="572"/>
    </row>
    <row r="1576" spans="4:48" ht="12.75" customHeight="1" x14ac:dyDescent="0.25">
      <c r="D1576" s="3"/>
      <c r="L1576" s="3"/>
      <c r="N1576" s="3"/>
      <c r="O1576" s="3"/>
      <c r="R1576" s="3"/>
      <c r="W1576" s="3"/>
      <c r="X1576" s="3"/>
      <c r="Y1576" s="835"/>
      <c r="Z1576" s="3"/>
      <c r="AA1576" s="3"/>
      <c r="AB1576" s="3"/>
      <c r="AC1576" s="3"/>
      <c r="AD1576" s="3"/>
      <c r="AE1576" s="3"/>
      <c r="AG1576" s="2"/>
      <c r="AR1576" s="307"/>
      <c r="AS1576" s="307"/>
      <c r="AT1576" s="307"/>
      <c r="AU1576" s="670"/>
      <c r="AV1576" s="572"/>
    </row>
    <row r="1577" spans="4:48" ht="12.75" customHeight="1" x14ac:dyDescent="0.25">
      <c r="D1577" s="3"/>
      <c r="L1577" s="3"/>
      <c r="N1577" s="3"/>
      <c r="O1577" s="3"/>
      <c r="R1577" s="3"/>
      <c r="W1577" s="3"/>
      <c r="X1577" s="3"/>
      <c r="Y1577" s="835"/>
      <c r="Z1577" s="3"/>
      <c r="AA1577" s="3"/>
      <c r="AB1577" s="3"/>
      <c r="AC1577" s="3"/>
      <c r="AD1577" s="3"/>
      <c r="AE1577" s="3"/>
      <c r="AG1577" s="2"/>
      <c r="AR1577" s="307"/>
      <c r="AS1577" s="307"/>
      <c r="AT1577" s="307"/>
      <c r="AU1577" s="670"/>
      <c r="AV1577" s="572"/>
    </row>
    <row r="1578" spans="4:48" ht="12.75" customHeight="1" x14ac:dyDescent="0.25">
      <c r="D1578" s="3"/>
      <c r="L1578" s="3"/>
      <c r="N1578" s="3"/>
      <c r="O1578" s="3"/>
      <c r="R1578" s="3"/>
      <c r="W1578" s="3"/>
      <c r="X1578" s="3"/>
      <c r="Y1578" s="835"/>
      <c r="Z1578" s="3"/>
      <c r="AA1578" s="3"/>
      <c r="AB1578" s="3"/>
      <c r="AC1578" s="3"/>
      <c r="AD1578" s="3"/>
      <c r="AE1578" s="3"/>
      <c r="AG1578" s="2"/>
      <c r="AR1578" s="307"/>
      <c r="AS1578" s="307"/>
      <c r="AT1578" s="307"/>
      <c r="AU1578" s="670"/>
      <c r="AV1578" s="572"/>
    </row>
    <row r="1579" spans="4:48" ht="12.75" customHeight="1" x14ac:dyDescent="0.25">
      <c r="D1579" s="3"/>
      <c r="L1579" s="3"/>
      <c r="N1579" s="3"/>
      <c r="O1579" s="3"/>
      <c r="R1579" s="3"/>
      <c r="W1579" s="3"/>
      <c r="X1579" s="3"/>
      <c r="Y1579" s="835"/>
      <c r="Z1579" s="3"/>
      <c r="AA1579" s="3"/>
      <c r="AB1579" s="3"/>
      <c r="AC1579" s="3"/>
      <c r="AD1579" s="3"/>
      <c r="AE1579" s="3"/>
      <c r="AG1579" s="2"/>
      <c r="AR1579" s="307"/>
      <c r="AS1579" s="307"/>
      <c r="AT1579" s="307"/>
      <c r="AU1579" s="670"/>
      <c r="AV1579" s="572"/>
    </row>
    <row r="1580" spans="4:48" ht="12.75" customHeight="1" x14ac:dyDescent="0.25">
      <c r="D1580" s="3"/>
      <c r="L1580" s="3"/>
      <c r="N1580" s="3"/>
      <c r="O1580" s="3"/>
      <c r="R1580" s="3"/>
      <c r="W1580" s="3"/>
      <c r="X1580" s="3"/>
      <c r="Y1580" s="835"/>
      <c r="Z1580" s="3"/>
      <c r="AA1580" s="3"/>
      <c r="AB1580" s="3"/>
      <c r="AC1580" s="3"/>
      <c r="AD1580" s="3"/>
      <c r="AE1580" s="3"/>
      <c r="AG1580" s="2"/>
      <c r="AR1580" s="307"/>
      <c r="AS1580" s="307"/>
      <c r="AT1580" s="307"/>
      <c r="AU1580" s="670"/>
      <c r="AV1580" s="572"/>
    </row>
    <row r="1581" spans="4:48" ht="12.75" customHeight="1" x14ac:dyDescent="0.25">
      <c r="D1581" s="3"/>
      <c r="L1581" s="3"/>
      <c r="N1581" s="3"/>
      <c r="O1581" s="3"/>
      <c r="R1581" s="3"/>
      <c r="W1581" s="3"/>
      <c r="X1581" s="3"/>
      <c r="Y1581" s="835"/>
      <c r="Z1581" s="3"/>
      <c r="AA1581" s="3"/>
      <c r="AB1581" s="3"/>
      <c r="AC1581" s="3"/>
      <c r="AD1581" s="3"/>
      <c r="AE1581" s="3"/>
      <c r="AG1581" s="2"/>
      <c r="AR1581" s="307"/>
      <c r="AS1581" s="307"/>
      <c r="AT1581" s="307"/>
      <c r="AU1581" s="670"/>
      <c r="AV1581" s="572"/>
    </row>
    <row r="1582" spans="4:48" ht="12.75" customHeight="1" x14ac:dyDescent="0.25">
      <c r="D1582" s="3"/>
      <c r="L1582" s="3"/>
      <c r="N1582" s="3"/>
      <c r="O1582" s="3"/>
      <c r="R1582" s="3"/>
      <c r="W1582" s="3"/>
      <c r="X1582" s="3"/>
      <c r="Y1582" s="835"/>
      <c r="Z1582" s="3"/>
      <c r="AA1582" s="3"/>
      <c r="AB1582" s="3"/>
      <c r="AC1582" s="3"/>
      <c r="AD1582" s="3"/>
      <c r="AE1582" s="3"/>
      <c r="AG1582" s="2"/>
      <c r="AR1582" s="307"/>
      <c r="AS1582" s="307"/>
      <c r="AT1582" s="307"/>
      <c r="AU1582" s="670"/>
      <c r="AV1582" s="572"/>
    </row>
    <row r="1583" spans="4:48" ht="12.75" customHeight="1" x14ac:dyDescent="0.25">
      <c r="D1583" s="3"/>
      <c r="L1583" s="3"/>
      <c r="N1583" s="3"/>
      <c r="O1583" s="3"/>
      <c r="R1583" s="3"/>
      <c r="W1583" s="3"/>
      <c r="X1583" s="3"/>
      <c r="Y1583" s="835"/>
      <c r="Z1583" s="3"/>
      <c r="AA1583" s="3"/>
      <c r="AB1583" s="3"/>
      <c r="AC1583" s="3"/>
      <c r="AD1583" s="3"/>
      <c r="AE1583" s="3"/>
      <c r="AG1583" s="2"/>
      <c r="AR1583" s="307"/>
      <c r="AS1583" s="307"/>
      <c r="AT1583" s="307"/>
      <c r="AU1583" s="670"/>
      <c r="AV1583" s="572"/>
    </row>
    <row r="1584" spans="4:48" ht="12.75" customHeight="1" x14ac:dyDescent="0.25">
      <c r="D1584" s="3"/>
      <c r="L1584" s="3"/>
      <c r="N1584" s="3"/>
      <c r="O1584" s="3"/>
      <c r="R1584" s="3"/>
      <c r="W1584" s="3"/>
      <c r="X1584" s="3"/>
      <c r="Y1584" s="835"/>
      <c r="Z1584" s="3"/>
      <c r="AA1584" s="3"/>
      <c r="AB1584" s="3"/>
      <c r="AC1584" s="3"/>
      <c r="AD1584" s="3"/>
      <c r="AE1584" s="3"/>
      <c r="AG1584" s="2"/>
      <c r="AR1584" s="307"/>
      <c r="AS1584" s="307"/>
      <c r="AT1584" s="307"/>
      <c r="AU1584" s="670"/>
      <c r="AV1584" s="572"/>
    </row>
    <row r="1585" spans="4:48" ht="12.75" customHeight="1" x14ac:dyDescent="0.25">
      <c r="D1585" s="3"/>
      <c r="L1585" s="3"/>
      <c r="N1585" s="3"/>
      <c r="O1585" s="3"/>
      <c r="R1585" s="3"/>
      <c r="W1585" s="3"/>
      <c r="X1585" s="3"/>
      <c r="Y1585" s="835"/>
      <c r="Z1585" s="3"/>
      <c r="AA1585" s="3"/>
      <c r="AB1585" s="3"/>
      <c r="AC1585" s="3"/>
      <c r="AD1585" s="3"/>
      <c r="AE1585" s="3"/>
      <c r="AG1585" s="2"/>
      <c r="AR1585" s="307"/>
      <c r="AS1585" s="307"/>
      <c r="AT1585" s="307"/>
      <c r="AU1585" s="670"/>
      <c r="AV1585" s="572"/>
    </row>
    <row r="1586" spans="4:48" ht="12.75" customHeight="1" x14ac:dyDescent="0.25">
      <c r="D1586" s="3"/>
      <c r="L1586" s="3"/>
      <c r="N1586" s="3"/>
      <c r="O1586" s="3"/>
      <c r="R1586" s="3"/>
      <c r="W1586" s="3"/>
      <c r="X1586" s="3"/>
      <c r="Y1586" s="835"/>
      <c r="Z1586" s="3"/>
      <c r="AA1586" s="3"/>
      <c r="AB1586" s="3"/>
      <c r="AC1586" s="3"/>
      <c r="AD1586" s="3"/>
      <c r="AE1586" s="3"/>
      <c r="AG1586" s="2"/>
      <c r="AR1586" s="307"/>
      <c r="AS1586" s="307"/>
      <c r="AT1586" s="307"/>
      <c r="AU1586" s="670"/>
      <c r="AV1586" s="572"/>
    </row>
    <row r="1587" spans="4:48" ht="12.75" customHeight="1" x14ac:dyDescent="0.25">
      <c r="D1587" s="3"/>
      <c r="L1587" s="3"/>
      <c r="N1587" s="3"/>
      <c r="O1587" s="3"/>
      <c r="R1587" s="3"/>
      <c r="W1587" s="3"/>
      <c r="X1587" s="3"/>
      <c r="Y1587" s="835"/>
      <c r="Z1587" s="3"/>
      <c r="AA1587" s="3"/>
      <c r="AB1587" s="3"/>
      <c r="AC1587" s="3"/>
      <c r="AD1587" s="3"/>
      <c r="AE1587" s="3"/>
      <c r="AG1587" s="2"/>
      <c r="AR1587" s="307"/>
      <c r="AS1587" s="307"/>
      <c r="AT1587" s="307"/>
      <c r="AU1587" s="670"/>
      <c r="AV1587" s="572"/>
    </row>
    <row r="1588" spans="4:48" ht="12.75" customHeight="1" x14ac:dyDescent="0.25">
      <c r="D1588" s="3"/>
      <c r="L1588" s="3"/>
      <c r="N1588" s="3"/>
      <c r="O1588" s="3"/>
      <c r="R1588" s="3"/>
      <c r="W1588" s="3"/>
      <c r="X1588" s="3"/>
      <c r="Y1588" s="835"/>
      <c r="Z1588" s="3"/>
      <c r="AA1588" s="3"/>
      <c r="AB1588" s="3"/>
      <c r="AC1588" s="3"/>
      <c r="AD1588" s="3"/>
      <c r="AE1588" s="3"/>
      <c r="AG1588" s="2"/>
      <c r="AR1588" s="307"/>
      <c r="AS1588" s="307"/>
      <c r="AT1588" s="307"/>
      <c r="AU1588" s="670"/>
      <c r="AV1588" s="572"/>
    </row>
    <row r="1589" spans="4:48" ht="12.75" customHeight="1" x14ac:dyDescent="0.25">
      <c r="D1589" s="3"/>
      <c r="L1589" s="3"/>
      <c r="N1589" s="3"/>
      <c r="O1589" s="3"/>
      <c r="R1589" s="3"/>
      <c r="W1589" s="3"/>
      <c r="X1589" s="3"/>
      <c r="Y1589" s="835"/>
      <c r="Z1589" s="3"/>
      <c r="AA1589" s="3"/>
      <c r="AB1589" s="3"/>
      <c r="AC1589" s="3"/>
      <c r="AD1589" s="3"/>
      <c r="AE1589" s="3"/>
      <c r="AG1589" s="2"/>
      <c r="AR1589" s="307"/>
      <c r="AS1589" s="307"/>
      <c r="AT1589" s="307"/>
      <c r="AU1589" s="670"/>
      <c r="AV1589" s="572"/>
    </row>
    <row r="1590" spans="4:48" ht="12.75" customHeight="1" x14ac:dyDescent="0.25">
      <c r="D1590" s="3"/>
      <c r="L1590" s="3"/>
      <c r="N1590" s="3"/>
      <c r="O1590" s="3"/>
      <c r="R1590" s="3"/>
      <c r="W1590" s="3"/>
      <c r="X1590" s="3"/>
      <c r="Y1590" s="835"/>
      <c r="Z1590" s="3"/>
      <c r="AA1590" s="3"/>
      <c r="AB1590" s="3"/>
      <c r="AC1590" s="3"/>
      <c r="AD1590" s="3"/>
      <c r="AE1590" s="3"/>
      <c r="AG1590" s="2"/>
      <c r="AR1590" s="307"/>
      <c r="AS1590" s="307"/>
      <c r="AT1590" s="307"/>
      <c r="AU1590" s="670"/>
      <c r="AV1590" s="572"/>
    </row>
    <row r="1591" spans="4:48" ht="12.75" customHeight="1" x14ac:dyDescent="0.25">
      <c r="D1591" s="3"/>
      <c r="L1591" s="3"/>
      <c r="N1591" s="3"/>
      <c r="O1591" s="3"/>
      <c r="R1591" s="3"/>
      <c r="W1591" s="3"/>
      <c r="X1591" s="3"/>
      <c r="Y1591" s="835"/>
      <c r="Z1591" s="3"/>
      <c r="AA1591" s="3"/>
      <c r="AB1591" s="3"/>
      <c r="AC1591" s="3"/>
      <c r="AD1591" s="3"/>
      <c r="AE1591" s="3"/>
      <c r="AG1591" s="2"/>
      <c r="AR1591" s="307"/>
      <c r="AS1591" s="307"/>
      <c r="AT1591" s="307"/>
      <c r="AU1591" s="670"/>
      <c r="AV1591" s="572"/>
    </row>
    <row r="1592" spans="4:48" ht="12.75" customHeight="1" x14ac:dyDescent="0.25">
      <c r="D1592" s="3"/>
      <c r="L1592" s="3"/>
      <c r="N1592" s="3"/>
      <c r="O1592" s="3"/>
      <c r="R1592" s="3"/>
      <c r="W1592" s="3"/>
      <c r="X1592" s="3"/>
      <c r="Y1592" s="835"/>
      <c r="Z1592" s="3"/>
      <c r="AA1592" s="3"/>
      <c r="AB1592" s="3"/>
      <c r="AC1592" s="3"/>
      <c r="AD1592" s="3"/>
      <c r="AE1592" s="3"/>
      <c r="AG1592" s="2"/>
      <c r="AR1592" s="307"/>
      <c r="AS1592" s="307"/>
      <c r="AT1592" s="307"/>
      <c r="AU1592" s="670"/>
      <c r="AV1592" s="572"/>
    </row>
    <row r="1593" spans="4:48" ht="12.75" customHeight="1" x14ac:dyDescent="0.25">
      <c r="D1593" s="3"/>
      <c r="L1593" s="3"/>
      <c r="N1593" s="3"/>
      <c r="O1593" s="3"/>
      <c r="R1593" s="3"/>
      <c r="W1593" s="3"/>
      <c r="X1593" s="3"/>
      <c r="Y1593" s="835"/>
      <c r="Z1593" s="3"/>
      <c r="AA1593" s="3"/>
      <c r="AB1593" s="3"/>
      <c r="AC1593" s="3"/>
      <c r="AD1593" s="3"/>
      <c r="AE1593" s="3"/>
      <c r="AG1593" s="2"/>
      <c r="AR1593" s="307"/>
      <c r="AS1593" s="307"/>
      <c r="AT1593" s="307"/>
      <c r="AU1593" s="670"/>
      <c r="AV1593" s="572"/>
    </row>
    <row r="1594" spans="4:48" ht="12.75" customHeight="1" x14ac:dyDescent="0.25">
      <c r="D1594" s="3"/>
      <c r="L1594" s="3"/>
      <c r="N1594" s="3"/>
      <c r="O1594" s="3"/>
      <c r="R1594" s="3"/>
      <c r="W1594" s="3"/>
      <c r="X1594" s="3"/>
      <c r="Y1594" s="835"/>
      <c r="Z1594" s="3"/>
      <c r="AA1594" s="3"/>
      <c r="AB1594" s="3"/>
      <c r="AC1594" s="3"/>
      <c r="AD1594" s="3"/>
      <c r="AE1594" s="3"/>
      <c r="AG1594" s="2"/>
      <c r="AR1594" s="307"/>
      <c r="AS1594" s="307"/>
      <c r="AT1594" s="307"/>
      <c r="AU1594" s="670"/>
      <c r="AV1594" s="572"/>
    </row>
    <row r="1595" spans="4:48" ht="12.75" customHeight="1" x14ac:dyDescent="0.25">
      <c r="D1595" s="3"/>
      <c r="L1595" s="3"/>
      <c r="N1595" s="3"/>
      <c r="O1595" s="3"/>
      <c r="R1595" s="3"/>
      <c r="W1595" s="3"/>
      <c r="X1595" s="3"/>
      <c r="Y1595" s="835"/>
      <c r="Z1595" s="3"/>
      <c r="AA1595" s="3"/>
      <c r="AB1595" s="3"/>
      <c r="AC1595" s="3"/>
      <c r="AD1595" s="3"/>
      <c r="AE1595" s="3"/>
      <c r="AG1595" s="2"/>
      <c r="AR1595" s="307"/>
      <c r="AS1595" s="307"/>
      <c r="AT1595" s="307"/>
      <c r="AU1595" s="670"/>
      <c r="AV1595" s="572"/>
    </row>
    <row r="1596" spans="4:48" ht="12.75" customHeight="1" x14ac:dyDescent="0.25">
      <c r="D1596" s="3"/>
      <c r="L1596" s="3"/>
      <c r="N1596" s="3"/>
      <c r="O1596" s="3"/>
      <c r="R1596" s="3"/>
      <c r="W1596" s="3"/>
      <c r="X1596" s="3"/>
      <c r="Y1596" s="835"/>
      <c r="Z1596" s="3"/>
      <c r="AA1596" s="3"/>
      <c r="AB1596" s="3"/>
      <c r="AC1596" s="3"/>
      <c r="AD1596" s="3"/>
      <c r="AE1596" s="3"/>
      <c r="AG1596" s="2"/>
      <c r="AR1596" s="307"/>
      <c r="AS1596" s="307"/>
      <c r="AT1596" s="307"/>
      <c r="AU1596" s="670"/>
      <c r="AV1596" s="572"/>
    </row>
    <row r="1597" spans="4:48" ht="12.75" customHeight="1" x14ac:dyDescent="0.25">
      <c r="D1597" s="3"/>
      <c r="L1597" s="3"/>
      <c r="N1597" s="3"/>
      <c r="O1597" s="3"/>
      <c r="R1597" s="3"/>
      <c r="W1597" s="3"/>
      <c r="X1597" s="3"/>
      <c r="Y1597" s="835"/>
      <c r="Z1597" s="3"/>
      <c r="AA1597" s="3"/>
      <c r="AB1597" s="3"/>
      <c r="AC1597" s="3"/>
      <c r="AD1597" s="3"/>
      <c r="AE1597" s="3"/>
      <c r="AG1597" s="2"/>
      <c r="AR1597" s="307"/>
      <c r="AS1597" s="307"/>
      <c r="AT1597" s="307"/>
      <c r="AU1597" s="670"/>
      <c r="AV1597" s="572"/>
    </row>
    <row r="1598" spans="4:48" ht="12.75" customHeight="1" x14ac:dyDescent="0.25">
      <c r="D1598" s="3"/>
      <c r="L1598" s="3"/>
      <c r="N1598" s="3"/>
      <c r="O1598" s="3"/>
      <c r="R1598" s="3"/>
      <c r="W1598" s="3"/>
      <c r="X1598" s="3"/>
      <c r="Y1598" s="835"/>
      <c r="Z1598" s="3"/>
      <c r="AA1598" s="3"/>
      <c r="AB1598" s="3"/>
      <c r="AC1598" s="3"/>
      <c r="AD1598" s="3"/>
      <c r="AE1598" s="3"/>
      <c r="AG1598" s="2"/>
      <c r="AR1598" s="307"/>
      <c r="AS1598" s="307"/>
      <c r="AT1598" s="307"/>
      <c r="AU1598" s="670"/>
      <c r="AV1598" s="572"/>
    </row>
    <row r="1599" spans="4:48" ht="12.75" customHeight="1" x14ac:dyDescent="0.25">
      <c r="D1599" s="3"/>
      <c r="L1599" s="3"/>
      <c r="N1599" s="3"/>
      <c r="O1599" s="3"/>
      <c r="R1599" s="3"/>
      <c r="W1599" s="3"/>
      <c r="X1599" s="3"/>
      <c r="Y1599" s="835"/>
      <c r="Z1599" s="3"/>
      <c r="AA1599" s="3"/>
      <c r="AB1599" s="3"/>
      <c r="AC1599" s="3"/>
      <c r="AD1599" s="3"/>
      <c r="AE1599" s="3"/>
      <c r="AG1599" s="2"/>
      <c r="AR1599" s="307"/>
      <c r="AS1599" s="307"/>
      <c r="AT1599" s="307"/>
      <c r="AU1599" s="670"/>
      <c r="AV1599" s="572"/>
    </row>
    <row r="1600" spans="4:48" ht="12.75" customHeight="1" x14ac:dyDescent="0.25">
      <c r="D1600" s="3"/>
      <c r="L1600" s="3"/>
      <c r="N1600" s="3"/>
      <c r="O1600" s="3"/>
      <c r="R1600" s="3"/>
      <c r="W1600" s="3"/>
      <c r="X1600" s="3"/>
      <c r="Y1600" s="835"/>
      <c r="Z1600" s="3"/>
      <c r="AA1600" s="3"/>
      <c r="AB1600" s="3"/>
      <c r="AC1600" s="3"/>
      <c r="AD1600" s="3"/>
      <c r="AE1600" s="3"/>
      <c r="AG1600" s="2"/>
      <c r="AR1600" s="307"/>
      <c r="AS1600" s="307"/>
      <c r="AT1600" s="307"/>
      <c r="AU1600" s="670"/>
      <c r="AV1600" s="572"/>
    </row>
    <row r="1601" spans="4:48" ht="12.75" customHeight="1" x14ac:dyDescent="0.25">
      <c r="D1601" s="3"/>
      <c r="L1601" s="3"/>
      <c r="N1601" s="3"/>
      <c r="O1601" s="3"/>
      <c r="R1601" s="3"/>
      <c r="W1601" s="3"/>
      <c r="X1601" s="3"/>
      <c r="Y1601" s="835"/>
      <c r="Z1601" s="3"/>
      <c r="AA1601" s="3"/>
      <c r="AB1601" s="3"/>
      <c r="AC1601" s="3"/>
      <c r="AD1601" s="3"/>
      <c r="AE1601" s="3"/>
      <c r="AG1601" s="2"/>
      <c r="AR1601" s="307"/>
      <c r="AS1601" s="307"/>
      <c r="AT1601" s="307"/>
      <c r="AU1601" s="670"/>
      <c r="AV1601" s="572"/>
    </row>
    <row r="1602" spans="4:48" ht="12.75" customHeight="1" x14ac:dyDescent="0.25">
      <c r="D1602" s="3"/>
      <c r="L1602" s="3"/>
      <c r="N1602" s="3"/>
      <c r="O1602" s="3"/>
      <c r="R1602" s="3"/>
      <c r="W1602" s="3"/>
      <c r="X1602" s="3"/>
      <c r="Y1602" s="835"/>
      <c r="Z1602" s="3"/>
      <c r="AA1602" s="3"/>
      <c r="AB1602" s="3"/>
      <c r="AC1602" s="3"/>
      <c r="AD1602" s="3"/>
      <c r="AE1602" s="3"/>
      <c r="AG1602" s="2"/>
      <c r="AR1602" s="307"/>
      <c r="AS1602" s="307"/>
      <c r="AT1602" s="307"/>
      <c r="AU1602" s="670"/>
      <c r="AV1602" s="572"/>
    </row>
    <row r="1603" spans="4:48" ht="12.75" customHeight="1" x14ac:dyDescent="0.25">
      <c r="D1603" s="3"/>
      <c r="L1603" s="3"/>
      <c r="N1603" s="3"/>
      <c r="O1603" s="3"/>
      <c r="R1603" s="3"/>
      <c r="W1603" s="3"/>
      <c r="X1603" s="3"/>
      <c r="Y1603" s="835"/>
      <c r="Z1603" s="3"/>
      <c r="AA1603" s="3"/>
      <c r="AB1603" s="3"/>
      <c r="AC1603" s="3"/>
      <c r="AD1603" s="3"/>
      <c r="AE1603" s="3"/>
      <c r="AG1603" s="2"/>
      <c r="AR1603" s="307"/>
      <c r="AS1603" s="307"/>
      <c r="AT1603" s="307"/>
      <c r="AU1603" s="670"/>
      <c r="AV1603" s="572"/>
    </row>
    <row r="1604" spans="4:48" ht="12.75" customHeight="1" x14ac:dyDescent="0.25">
      <c r="D1604" s="3"/>
      <c r="L1604" s="3"/>
      <c r="N1604" s="3"/>
      <c r="O1604" s="3"/>
      <c r="R1604" s="3"/>
      <c r="W1604" s="3"/>
      <c r="X1604" s="3"/>
      <c r="Y1604" s="835"/>
      <c r="Z1604" s="3"/>
      <c r="AA1604" s="3"/>
      <c r="AB1604" s="3"/>
      <c r="AC1604" s="3"/>
      <c r="AD1604" s="3"/>
      <c r="AE1604" s="3"/>
      <c r="AG1604" s="2"/>
      <c r="AR1604" s="307"/>
      <c r="AS1604" s="307"/>
      <c r="AT1604" s="307"/>
      <c r="AU1604" s="670"/>
      <c r="AV1604" s="572"/>
    </row>
    <row r="1605" spans="4:48" ht="12.75" customHeight="1" x14ac:dyDescent="0.25">
      <c r="D1605" s="3"/>
      <c r="L1605" s="3"/>
      <c r="N1605" s="3"/>
      <c r="O1605" s="3"/>
      <c r="R1605" s="3"/>
      <c r="W1605" s="3"/>
      <c r="X1605" s="3"/>
      <c r="Y1605" s="835"/>
      <c r="Z1605" s="3"/>
      <c r="AA1605" s="3"/>
      <c r="AB1605" s="3"/>
      <c r="AC1605" s="3"/>
      <c r="AD1605" s="3"/>
      <c r="AE1605" s="3"/>
      <c r="AG1605" s="2"/>
      <c r="AR1605" s="307"/>
      <c r="AS1605" s="307"/>
      <c r="AT1605" s="307"/>
      <c r="AU1605" s="670"/>
      <c r="AV1605" s="572"/>
    </row>
    <row r="1606" spans="4:48" ht="12.75" customHeight="1" x14ac:dyDescent="0.25">
      <c r="D1606" s="3"/>
      <c r="L1606" s="3"/>
      <c r="N1606" s="3"/>
      <c r="O1606" s="3"/>
      <c r="R1606" s="3"/>
      <c r="W1606" s="3"/>
      <c r="X1606" s="3"/>
      <c r="Y1606" s="835"/>
      <c r="Z1606" s="3"/>
      <c r="AA1606" s="3"/>
      <c r="AB1606" s="3"/>
      <c r="AC1606" s="3"/>
      <c r="AD1606" s="3"/>
      <c r="AE1606" s="3"/>
      <c r="AG1606" s="2"/>
      <c r="AR1606" s="307"/>
      <c r="AS1606" s="307"/>
      <c r="AT1606" s="307"/>
      <c r="AU1606" s="670"/>
      <c r="AV1606" s="572"/>
    </row>
    <row r="1607" spans="4:48" ht="12.75" customHeight="1" x14ac:dyDescent="0.25">
      <c r="D1607" s="3"/>
      <c r="L1607" s="3"/>
      <c r="N1607" s="3"/>
      <c r="O1607" s="3"/>
      <c r="R1607" s="3"/>
      <c r="W1607" s="3"/>
      <c r="X1607" s="3"/>
      <c r="Y1607" s="835"/>
      <c r="Z1607" s="3"/>
      <c r="AA1607" s="3"/>
      <c r="AB1607" s="3"/>
      <c r="AC1607" s="3"/>
      <c r="AD1607" s="3"/>
      <c r="AE1607" s="3"/>
      <c r="AG1607" s="2"/>
      <c r="AR1607" s="307"/>
      <c r="AS1607" s="307"/>
      <c r="AT1607" s="307"/>
      <c r="AU1607" s="670"/>
      <c r="AV1607" s="572"/>
    </row>
    <row r="1608" spans="4:48" ht="12.75" customHeight="1" x14ac:dyDescent="0.25">
      <c r="D1608" s="3"/>
      <c r="L1608" s="3"/>
      <c r="N1608" s="3"/>
      <c r="O1608" s="3"/>
      <c r="R1608" s="3"/>
      <c r="W1608" s="3"/>
      <c r="X1608" s="3"/>
      <c r="Y1608" s="835"/>
      <c r="Z1608" s="3"/>
      <c r="AA1608" s="3"/>
      <c r="AB1608" s="3"/>
      <c r="AC1608" s="3"/>
      <c r="AD1608" s="3"/>
      <c r="AE1608" s="3"/>
      <c r="AG1608" s="2"/>
      <c r="AR1608" s="307"/>
      <c r="AS1608" s="307"/>
      <c r="AT1608" s="307"/>
      <c r="AU1608" s="670"/>
      <c r="AV1608" s="572"/>
    </row>
    <row r="1609" spans="4:48" ht="12.75" customHeight="1" x14ac:dyDescent="0.25">
      <c r="D1609" s="3"/>
      <c r="L1609" s="3"/>
      <c r="N1609" s="3"/>
      <c r="O1609" s="3"/>
      <c r="R1609" s="3"/>
      <c r="W1609" s="3"/>
      <c r="X1609" s="3"/>
      <c r="Y1609" s="835"/>
      <c r="Z1609" s="3"/>
      <c r="AA1609" s="3"/>
      <c r="AB1609" s="3"/>
      <c r="AC1609" s="3"/>
      <c r="AD1609" s="3"/>
      <c r="AE1609" s="3"/>
      <c r="AG1609" s="2"/>
      <c r="AR1609" s="307"/>
      <c r="AS1609" s="307"/>
      <c r="AT1609" s="307"/>
      <c r="AU1609" s="670"/>
      <c r="AV1609" s="572"/>
    </row>
    <row r="1610" spans="4:48" ht="12.75" customHeight="1" x14ac:dyDescent="0.25">
      <c r="D1610" s="3"/>
      <c r="L1610" s="3"/>
      <c r="N1610" s="3"/>
      <c r="O1610" s="3"/>
      <c r="R1610" s="3"/>
      <c r="W1610" s="3"/>
      <c r="X1610" s="3"/>
      <c r="Y1610" s="835"/>
      <c r="Z1610" s="3"/>
      <c r="AA1610" s="3"/>
      <c r="AB1610" s="3"/>
      <c r="AC1610" s="3"/>
      <c r="AD1610" s="3"/>
      <c r="AE1610" s="3"/>
      <c r="AG1610" s="2"/>
      <c r="AR1610" s="307"/>
      <c r="AS1610" s="307"/>
      <c r="AT1610" s="307"/>
      <c r="AU1610" s="670"/>
      <c r="AV1610" s="572"/>
    </row>
    <row r="1611" spans="4:48" ht="12.75" customHeight="1" x14ac:dyDescent="0.25">
      <c r="D1611" s="3"/>
      <c r="L1611" s="3"/>
      <c r="N1611" s="3"/>
      <c r="O1611" s="3"/>
      <c r="R1611" s="3"/>
      <c r="W1611" s="3"/>
      <c r="X1611" s="3"/>
      <c r="Y1611" s="835"/>
      <c r="Z1611" s="3"/>
      <c r="AA1611" s="3"/>
      <c r="AB1611" s="3"/>
      <c r="AC1611" s="3"/>
      <c r="AD1611" s="3"/>
      <c r="AE1611" s="3"/>
      <c r="AG1611" s="2"/>
      <c r="AR1611" s="307"/>
      <c r="AS1611" s="307"/>
      <c r="AT1611" s="307"/>
      <c r="AU1611" s="670"/>
      <c r="AV1611" s="572"/>
    </row>
    <row r="1612" spans="4:48" ht="12.75" customHeight="1" x14ac:dyDescent="0.25">
      <c r="D1612" s="3"/>
      <c r="L1612" s="3"/>
      <c r="N1612" s="3"/>
      <c r="O1612" s="3"/>
      <c r="R1612" s="3"/>
      <c r="W1612" s="3"/>
      <c r="X1612" s="3"/>
      <c r="Y1612" s="835"/>
      <c r="Z1612" s="3"/>
      <c r="AA1612" s="3"/>
      <c r="AB1612" s="3"/>
      <c r="AC1612" s="3"/>
      <c r="AD1612" s="3"/>
      <c r="AE1612" s="3"/>
      <c r="AG1612" s="2"/>
      <c r="AR1612" s="307"/>
      <c r="AS1612" s="307"/>
      <c r="AT1612" s="307"/>
      <c r="AU1612" s="670"/>
      <c r="AV1612" s="572"/>
    </row>
    <row r="1613" spans="4:48" ht="12.75" customHeight="1" x14ac:dyDescent="0.25">
      <c r="D1613" s="3"/>
      <c r="L1613" s="3"/>
      <c r="N1613" s="3"/>
      <c r="O1613" s="3"/>
      <c r="R1613" s="3"/>
      <c r="W1613" s="3"/>
      <c r="X1613" s="3"/>
      <c r="Y1613" s="835"/>
      <c r="Z1613" s="3"/>
      <c r="AA1613" s="3"/>
      <c r="AB1613" s="3"/>
      <c r="AC1613" s="3"/>
      <c r="AD1613" s="3"/>
      <c r="AE1613" s="3"/>
      <c r="AG1613" s="2"/>
      <c r="AR1613" s="307"/>
      <c r="AS1613" s="307"/>
      <c r="AT1613" s="307"/>
      <c r="AU1613" s="670"/>
      <c r="AV1613" s="572"/>
    </row>
    <row r="1614" spans="4:48" ht="12.75" customHeight="1" x14ac:dyDescent="0.25">
      <c r="D1614" s="3"/>
      <c r="L1614" s="3"/>
      <c r="N1614" s="3"/>
      <c r="O1614" s="3"/>
      <c r="R1614" s="3"/>
      <c r="W1614" s="3"/>
      <c r="X1614" s="3"/>
      <c r="Y1614" s="835"/>
      <c r="Z1614" s="3"/>
      <c r="AA1614" s="3"/>
      <c r="AB1614" s="3"/>
      <c r="AC1614" s="3"/>
      <c r="AD1614" s="3"/>
      <c r="AE1614" s="3"/>
      <c r="AG1614" s="2"/>
      <c r="AR1614" s="307"/>
      <c r="AS1614" s="307"/>
      <c r="AT1614" s="307"/>
      <c r="AU1614" s="670"/>
      <c r="AV1614" s="572"/>
    </row>
    <row r="1615" spans="4:48" ht="12.75" customHeight="1" x14ac:dyDescent="0.25">
      <c r="D1615" s="3"/>
      <c r="L1615" s="3"/>
      <c r="N1615" s="3"/>
      <c r="O1615" s="3"/>
      <c r="R1615" s="3"/>
      <c r="W1615" s="3"/>
      <c r="X1615" s="3"/>
      <c r="Y1615" s="835"/>
      <c r="Z1615" s="3"/>
      <c r="AA1615" s="3"/>
      <c r="AB1615" s="3"/>
      <c r="AC1615" s="3"/>
      <c r="AD1615" s="3"/>
      <c r="AE1615" s="3"/>
      <c r="AG1615" s="2"/>
      <c r="AR1615" s="307"/>
      <c r="AS1615" s="307"/>
      <c r="AT1615" s="307"/>
      <c r="AU1615" s="670"/>
      <c r="AV1615" s="572"/>
    </row>
    <row r="1616" spans="4:48" ht="12.75" customHeight="1" x14ac:dyDescent="0.25">
      <c r="D1616" s="3"/>
      <c r="L1616" s="3"/>
      <c r="N1616" s="3"/>
      <c r="O1616" s="3"/>
      <c r="R1616" s="3"/>
      <c r="W1616" s="3"/>
      <c r="X1616" s="3"/>
      <c r="Y1616" s="835"/>
      <c r="Z1616" s="3"/>
      <c r="AA1616" s="3"/>
      <c r="AB1616" s="3"/>
      <c r="AC1616" s="3"/>
      <c r="AD1616" s="3"/>
      <c r="AE1616" s="3"/>
      <c r="AG1616" s="2"/>
      <c r="AR1616" s="307"/>
      <c r="AS1616" s="307"/>
      <c r="AT1616" s="307"/>
      <c r="AU1616" s="670"/>
      <c r="AV1616" s="572"/>
    </row>
    <row r="1617" spans="4:48" ht="12.75" customHeight="1" x14ac:dyDescent="0.25">
      <c r="D1617" s="3"/>
      <c r="L1617" s="3"/>
      <c r="N1617" s="3"/>
      <c r="O1617" s="3"/>
      <c r="R1617" s="3"/>
      <c r="W1617" s="3"/>
      <c r="X1617" s="3"/>
      <c r="Y1617" s="835"/>
      <c r="Z1617" s="3"/>
      <c r="AA1617" s="3"/>
      <c r="AB1617" s="3"/>
      <c r="AC1617" s="3"/>
      <c r="AD1617" s="3"/>
      <c r="AE1617" s="3"/>
      <c r="AG1617" s="2"/>
      <c r="AR1617" s="307"/>
      <c r="AS1617" s="307"/>
      <c r="AT1617" s="307"/>
      <c r="AU1617" s="670"/>
      <c r="AV1617" s="572"/>
    </row>
    <row r="1618" spans="4:48" ht="12.75" customHeight="1" x14ac:dyDescent="0.25">
      <c r="D1618" s="3"/>
      <c r="L1618" s="3"/>
      <c r="N1618" s="3"/>
      <c r="O1618" s="3"/>
      <c r="R1618" s="3"/>
      <c r="W1618" s="3"/>
      <c r="X1618" s="3"/>
      <c r="Y1618" s="835"/>
      <c r="Z1618" s="3"/>
      <c r="AA1618" s="3"/>
      <c r="AB1618" s="3"/>
      <c r="AC1618" s="3"/>
      <c r="AD1618" s="3"/>
      <c r="AE1618" s="3"/>
      <c r="AG1618" s="2"/>
      <c r="AR1618" s="307"/>
      <c r="AS1618" s="307"/>
      <c r="AT1618" s="307"/>
      <c r="AU1618" s="670"/>
      <c r="AV1618" s="572"/>
    </row>
    <row r="1619" spans="4:48" ht="12.75" customHeight="1" x14ac:dyDescent="0.25">
      <c r="D1619" s="3"/>
      <c r="L1619" s="3"/>
      <c r="N1619" s="3"/>
      <c r="O1619" s="3"/>
      <c r="R1619" s="3"/>
      <c r="W1619" s="3"/>
      <c r="X1619" s="3"/>
      <c r="Y1619" s="835"/>
      <c r="Z1619" s="3"/>
      <c r="AA1619" s="3"/>
      <c r="AB1619" s="3"/>
      <c r="AC1619" s="3"/>
      <c r="AD1619" s="3"/>
      <c r="AE1619" s="3"/>
      <c r="AG1619" s="2"/>
      <c r="AR1619" s="307"/>
      <c r="AS1619" s="307"/>
      <c r="AT1619" s="307"/>
      <c r="AU1619" s="670"/>
      <c r="AV1619" s="572"/>
    </row>
    <row r="1620" spans="4:48" ht="12.75" customHeight="1" x14ac:dyDescent="0.25">
      <c r="D1620" s="3"/>
      <c r="L1620" s="3"/>
      <c r="N1620" s="3"/>
      <c r="O1620" s="3"/>
      <c r="R1620" s="3"/>
      <c r="W1620" s="3"/>
      <c r="X1620" s="3"/>
      <c r="Y1620" s="835"/>
      <c r="Z1620" s="3"/>
      <c r="AA1620" s="3"/>
      <c r="AB1620" s="3"/>
      <c r="AC1620" s="3"/>
      <c r="AD1620" s="3"/>
      <c r="AE1620" s="3"/>
      <c r="AG1620" s="2"/>
      <c r="AR1620" s="307"/>
      <c r="AS1620" s="307"/>
      <c r="AT1620" s="307"/>
      <c r="AU1620" s="670"/>
      <c r="AV1620" s="572"/>
    </row>
    <row r="1621" spans="4:48" ht="12.75" customHeight="1" x14ac:dyDescent="0.25">
      <c r="D1621" s="3"/>
      <c r="L1621" s="3"/>
      <c r="N1621" s="3"/>
      <c r="O1621" s="3"/>
      <c r="R1621" s="3"/>
      <c r="W1621" s="3"/>
      <c r="X1621" s="3"/>
      <c r="Y1621" s="835"/>
      <c r="Z1621" s="3"/>
      <c r="AA1621" s="3"/>
      <c r="AB1621" s="3"/>
      <c r="AC1621" s="3"/>
      <c r="AD1621" s="3"/>
      <c r="AE1621" s="3"/>
      <c r="AG1621" s="2"/>
      <c r="AR1621" s="307"/>
      <c r="AS1621" s="307"/>
      <c r="AT1621" s="307"/>
      <c r="AU1621" s="670"/>
      <c r="AV1621" s="572"/>
    </row>
    <row r="1622" spans="4:48" ht="12.75" customHeight="1" x14ac:dyDescent="0.25">
      <c r="D1622" s="3"/>
      <c r="L1622" s="3"/>
      <c r="N1622" s="3"/>
      <c r="O1622" s="3"/>
      <c r="R1622" s="3"/>
      <c r="W1622" s="3"/>
      <c r="X1622" s="3"/>
      <c r="Y1622" s="835"/>
      <c r="Z1622" s="3"/>
      <c r="AA1622" s="3"/>
      <c r="AB1622" s="3"/>
      <c r="AC1622" s="3"/>
      <c r="AD1622" s="3"/>
      <c r="AE1622" s="3"/>
      <c r="AG1622" s="2"/>
      <c r="AR1622" s="307"/>
      <c r="AS1622" s="307"/>
      <c r="AT1622" s="307"/>
      <c r="AU1622" s="670"/>
      <c r="AV1622" s="572"/>
    </row>
    <row r="1623" spans="4:48" ht="12.75" customHeight="1" x14ac:dyDescent="0.25">
      <c r="D1623" s="3"/>
      <c r="L1623" s="3"/>
      <c r="N1623" s="3"/>
      <c r="O1623" s="3"/>
      <c r="R1623" s="3"/>
      <c r="W1623" s="3"/>
      <c r="X1623" s="3"/>
      <c r="Y1623" s="835"/>
      <c r="Z1623" s="3"/>
      <c r="AA1623" s="3"/>
      <c r="AB1623" s="3"/>
      <c r="AC1623" s="3"/>
      <c r="AD1623" s="3"/>
      <c r="AE1623" s="3"/>
      <c r="AG1623" s="2"/>
      <c r="AR1623" s="307"/>
      <c r="AS1623" s="307"/>
      <c r="AT1623" s="307"/>
      <c r="AU1623" s="670"/>
      <c r="AV1623" s="572"/>
    </row>
    <row r="1624" spans="4:48" ht="12.75" customHeight="1" x14ac:dyDescent="0.25">
      <c r="D1624" s="3"/>
      <c r="L1624" s="3"/>
      <c r="N1624" s="3"/>
      <c r="O1624" s="3"/>
      <c r="R1624" s="3"/>
      <c r="W1624" s="3"/>
      <c r="X1624" s="3"/>
      <c r="Y1624" s="835"/>
      <c r="Z1624" s="3"/>
      <c r="AA1624" s="3"/>
      <c r="AB1624" s="3"/>
      <c r="AC1624" s="3"/>
      <c r="AD1624" s="3"/>
      <c r="AE1624" s="3"/>
      <c r="AG1624" s="2"/>
      <c r="AR1624" s="307"/>
      <c r="AS1624" s="307"/>
      <c r="AT1624" s="307"/>
      <c r="AU1624" s="670"/>
      <c r="AV1624" s="572"/>
    </row>
    <row r="1625" spans="4:48" ht="12.75" customHeight="1" x14ac:dyDescent="0.25">
      <c r="D1625" s="3"/>
      <c r="L1625" s="3"/>
      <c r="N1625" s="3"/>
      <c r="O1625" s="3"/>
      <c r="R1625" s="3"/>
      <c r="W1625" s="3"/>
      <c r="X1625" s="3"/>
      <c r="Y1625" s="835"/>
      <c r="Z1625" s="3"/>
      <c r="AA1625" s="3"/>
      <c r="AB1625" s="3"/>
      <c r="AC1625" s="3"/>
      <c r="AD1625" s="3"/>
      <c r="AE1625" s="3"/>
      <c r="AG1625" s="2"/>
      <c r="AR1625" s="307"/>
      <c r="AS1625" s="307"/>
      <c r="AT1625" s="307"/>
      <c r="AU1625" s="670"/>
      <c r="AV1625" s="572"/>
    </row>
    <row r="1626" spans="4:48" ht="12.75" customHeight="1" x14ac:dyDescent="0.25">
      <c r="D1626" s="3"/>
      <c r="L1626" s="3"/>
      <c r="N1626" s="3"/>
      <c r="O1626" s="3"/>
      <c r="R1626" s="3"/>
      <c r="W1626" s="3"/>
      <c r="X1626" s="3"/>
      <c r="Y1626" s="835"/>
      <c r="Z1626" s="3"/>
      <c r="AA1626" s="3"/>
      <c r="AB1626" s="3"/>
      <c r="AC1626" s="3"/>
      <c r="AD1626" s="3"/>
      <c r="AE1626" s="3"/>
      <c r="AG1626" s="2"/>
      <c r="AR1626" s="307"/>
      <c r="AS1626" s="307"/>
      <c r="AT1626" s="307"/>
      <c r="AU1626" s="670"/>
      <c r="AV1626" s="572"/>
    </row>
    <row r="1627" spans="4:48" ht="12.75" customHeight="1" x14ac:dyDescent="0.25">
      <c r="D1627" s="3"/>
      <c r="L1627" s="3"/>
      <c r="N1627" s="3"/>
      <c r="O1627" s="3"/>
      <c r="R1627" s="3"/>
      <c r="W1627" s="3"/>
      <c r="X1627" s="3"/>
      <c r="Y1627" s="835"/>
      <c r="Z1627" s="3"/>
      <c r="AA1627" s="3"/>
      <c r="AB1627" s="3"/>
      <c r="AC1627" s="3"/>
      <c r="AD1627" s="3"/>
      <c r="AE1627" s="3"/>
      <c r="AG1627" s="2"/>
      <c r="AR1627" s="307"/>
      <c r="AS1627" s="307"/>
      <c r="AT1627" s="307"/>
      <c r="AU1627" s="670"/>
      <c r="AV1627" s="572"/>
    </row>
    <row r="1628" spans="4:48" ht="12.75" customHeight="1" x14ac:dyDescent="0.25">
      <c r="D1628" s="3"/>
      <c r="L1628" s="3"/>
      <c r="N1628" s="3"/>
      <c r="O1628" s="3"/>
      <c r="R1628" s="3"/>
      <c r="W1628" s="3"/>
      <c r="X1628" s="3"/>
      <c r="Y1628" s="835"/>
      <c r="Z1628" s="3"/>
      <c r="AA1628" s="3"/>
      <c r="AB1628" s="3"/>
      <c r="AC1628" s="3"/>
      <c r="AD1628" s="3"/>
      <c r="AE1628" s="3"/>
      <c r="AG1628" s="2"/>
      <c r="AR1628" s="307"/>
      <c r="AS1628" s="307"/>
      <c r="AT1628" s="307"/>
      <c r="AU1628" s="670"/>
      <c r="AV1628" s="572"/>
    </row>
    <row r="1629" spans="4:48" ht="12.75" customHeight="1" x14ac:dyDescent="0.25">
      <c r="D1629" s="3"/>
      <c r="L1629" s="3"/>
      <c r="N1629" s="3"/>
      <c r="O1629" s="3"/>
      <c r="R1629" s="3"/>
      <c r="W1629" s="3"/>
      <c r="X1629" s="3"/>
      <c r="Y1629" s="835"/>
      <c r="Z1629" s="3"/>
      <c r="AA1629" s="3"/>
      <c r="AB1629" s="3"/>
      <c r="AC1629" s="3"/>
      <c r="AD1629" s="3"/>
      <c r="AE1629" s="3"/>
      <c r="AG1629" s="2"/>
      <c r="AR1629" s="307"/>
      <c r="AS1629" s="307"/>
      <c r="AT1629" s="307"/>
      <c r="AU1629" s="670"/>
      <c r="AV1629" s="572"/>
    </row>
    <row r="1630" spans="4:48" ht="12.75" customHeight="1" x14ac:dyDescent="0.25">
      <c r="D1630" s="3"/>
      <c r="L1630" s="3"/>
      <c r="N1630" s="3"/>
      <c r="O1630" s="3"/>
      <c r="R1630" s="3"/>
      <c r="W1630" s="3"/>
      <c r="X1630" s="3"/>
      <c r="Y1630" s="835"/>
      <c r="Z1630" s="3"/>
      <c r="AA1630" s="3"/>
      <c r="AB1630" s="3"/>
      <c r="AC1630" s="3"/>
      <c r="AD1630" s="3"/>
      <c r="AE1630" s="3"/>
      <c r="AG1630" s="2"/>
      <c r="AR1630" s="307"/>
      <c r="AS1630" s="307"/>
      <c r="AT1630" s="307"/>
      <c r="AU1630" s="670"/>
      <c r="AV1630" s="572"/>
    </row>
    <row r="1631" spans="4:48" ht="12.75" customHeight="1" x14ac:dyDescent="0.25">
      <c r="D1631" s="3"/>
      <c r="L1631" s="3"/>
      <c r="N1631" s="3"/>
      <c r="O1631" s="3"/>
      <c r="R1631" s="3"/>
      <c r="W1631" s="3"/>
      <c r="X1631" s="3"/>
      <c r="Y1631" s="835"/>
      <c r="Z1631" s="3"/>
      <c r="AA1631" s="3"/>
      <c r="AB1631" s="3"/>
      <c r="AC1631" s="3"/>
      <c r="AD1631" s="3"/>
      <c r="AE1631" s="3"/>
      <c r="AG1631" s="2"/>
      <c r="AR1631" s="307"/>
      <c r="AS1631" s="307"/>
      <c r="AT1631" s="307"/>
      <c r="AU1631" s="670"/>
      <c r="AV1631" s="572"/>
    </row>
    <row r="1632" spans="4:48" ht="12.75" customHeight="1" x14ac:dyDescent="0.25">
      <c r="D1632" s="3"/>
      <c r="L1632" s="3"/>
      <c r="N1632" s="3"/>
      <c r="O1632" s="3"/>
      <c r="R1632" s="3"/>
      <c r="W1632" s="3"/>
      <c r="X1632" s="3"/>
      <c r="Y1632" s="835"/>
      <c r="Z1632" s="3"/>
      <c r="AA1632" s="3"/>
      <c r="AB1632" s="3"/>
      <c r="AC1632" s="3"/>
      <c r="AD1632" s="3"/>
      <c r="AE1632" s="3"/>
      <c r="AG1632" s="2"/>
      <c r="AR1632" s="307"/>
      <c r="AS1632" s="307"/>
      <c r="AT1632" s="307"/>
      <c r="AU1632" s="670"/>
      <c r="AV1632" s="572"/>
    </row>
    <row r="1633" spans="4:48" ht="12.75" customHeight="1" x14ac:dyDescent="0.25">
      <c r="D1633" s="3"/>
      <c r="L1633" s="3"/>
      <c r="N1633" s="3"/>
      <c r="O1633" s="3"/>
      <c r="R1633" s="3"/>
      <c r="W1633" s="3"/>
      <c r="X1633" s="3"/>
      <c r="Y1633" s="835"/>
      <c r="Z1633" s="3"/>
      <c r="AA1633" s="3"/>
      <c r="AB1633" s="3"/>
      <c r="AC1633" s="3"/>
      <c r="AD1633" s="3"/>
      <c r="AE1633" s="3"/>
      <c r="AG1633" s="2"/>
      <c r="AR1633" s="307"/>
      <c r="AS1633" s="307"/>
      <c r="AT1633" s="307"/>
      <c r="AU1633" s="670"/>
      <c r="AV1633" s="572"/>
    </row>
    <row r="1634" spans="4:48" ht="12.75" customHeight="1" x14ac:dyDescent="0.25">
      <c r="D1634" s="3"/>
      <c r="L1634" s="3"/>
      <c r="N1634" s="3"/>
      <c r="O1634" s="3"/>
      <c r="R1634" s="3"/>
      <c r="W1634" s="3"/>
      <c r="X1634" s="3"/>
      <c r="Y1634" s="835"/>
      <c r="Z1634" s="3"/>
      <c r="AA1634" s="3"/>
      <c r="AB1634" s="3"/>
      <c r="AC1634" s="3"/>
      <c r="AD1634" s="3"/>
      <c r="AE1634" s="3"/>
      <c r="AG1634" s="2"/>
      <c r="AR1634" s="307"/>
      <c r="AS1634" s="307"/>
      <c r="AT1634" s="307"/>
      <c r="AU1634" s="670"/>
      <c r="AV1634" s="572"/>
    </row>
    <row r="1635" spans="4:48" ht="12.75" customHeight="1" x14ac:dyDescent="0.25">
      <c r="D1635" s="3"/>
      <c r="L1635" s="3"/>
      <c r="N1635" s="3"/>
      <c r="O1635" s="3"/>
      <c r="R1635" s="3"/>
      <c r="W1635" s="3"/>
      <c r="X1635" s="3"/>
      <c r="Y1635" s="835"/>
      <c r="Z1635" s="3"/>
      <c r="AA1635" s="3"/>
      <c r="AB1635" s="3"/>
      <c r="AC1635" s="3"/>
      <c r="AD1635" s="3"/>
      <c r="AE1635" s="3"/>
      <c r="AG1635" s="2"/>
      <c r="AR1635" s="307"/>
      <c r="AS1635" s="307"/>
      <c r="AT1635" s="307"/>
      <c r="AU1635" s="670"/>
      <c r="AV1635" s="572"/>
    </row>
    <row r="1636" spans="4:48" ht="12.75" customHeight="1" x14ac:dyDescent="0.25">
      <c r="D1636" s="3"/>
      <c r="L1636" s="3"/>
      <c r="N1636" s="3"/>
      <c r="O1636" s="3"/>
      <c r="R1636" s="3"/>
      <c r="W1636" s="3"/>
      <c r="X1636" s="3"/>
      <c r="Y1636" s="835"/>
      <c r="Z1636" s="3"/>
      <c r="AA1636" s="3"/>
      <c r="AB1636" s="3"/>
      <c r="AC1636" s="3"/>
      <c r="AD1636" s="3"/>
      <c r="AE1636" s="3"/>
      <c r="AG1636" s="2"/>
      <c r="AR1636" s="307"/>
      <c r="AS1636" s="307"/>
      <c r="AT1636" s="307"/>
      <c r="AU1636" s="670"/>
      <c r="AV1636" s="572"/>
    </row>
    <row r="1637" spans="4:48" ht="12.75" customHeight="1" x14ac:dyDescent="0.25">
      <c r="D1637" s="3"/>
      <c r="L1637" s="3"/>
      <c r="N1637" s="3"/>
      <c r="O1637" s="3"/>
      <c r="R1637" s="3"/>
      <c r="W1637" s="3"/>
      <c r="X1637" s="3"/>
      <c r="Y1637" s="835"/>
      <c r="Z1637" s="3"/>
      <c r="AA1637" s="3"/>
      <c r="AB1637" s="3"/>
      <c r="AC1637" s="3"/>
      <c r="AD1637" s="3"/>
      <c r="AE1637" s="3"/>
      <c r="AG1637" s="2"/>
      <c r="AR1637" s="307"/>
      <c r="AS1637" s="307"/>
      <c r="AT1637" s="307"/>
      <c r="AU1637" s="670"/>
      <c r="AV1637" s="572"/>
    </row>
    <row r="1638" spans="4:48" ht="12.75" customHeight="1" x14ac:dyDescent="0.25">
      <c r="D1638" s="3"/>
      <c r="L1638" s="3"/>
      <c r="N1638" s="3"/>
      <c r="O1638" s="3"/>
      <c r="R1638" s="3"/>
      <c r="W1638" s="3"/>
      <c r="X1638" s="3"/>
      <c r="Y1638" s="835"/>
      <c r="Z1638" s="3"/>
      <c r="AA1638" s="3"/>
      <c r="AB1638" s="3"/>
      <c r="AC1638" s="3"/>
      <c r="AD1638" s="3"/>
      <c r="AE1638" s="3"/>
      <c r="AG1638" s="2"/>
      <c r="AR1638" s="307"/>
      <c r="AS1638" s="307"/>
      <c r="AT1638" s="307"/>
      <c r="AU1638" s="670"/>
      <c r="AV1638" s="572"/>
    </row>
    <row r="1639" spans="4:48" ht="12.75" customHeight="1" x14ac:dyDescent="0.25">
      <c r="D1639" s="3"/>
      <c r="L1639" s="3"/>
      <c r="N1639" s="3"/>
      <c r="O1639" s="3"/>
      <c r="R1639" s="3"/>
      <c r="W1639" s="3"/>
      <c r="X1639" s="3"/>
      <c r="Y1639" s="835"/>
      <c r="Z1639" s="3"/>
      <c r="AA1639" s="3"/>
      <c r="AB1639" s="3"/>
      <c r="AC1639" s="3"/>
      <c r="AD1639" s="3"/>
      <c r="AE1639" s="3"/>
      <c r="AG1639" s="2"/>
      <c r="AR1639" s="307"/>
      <c r="AS1639" s="307"/>
      <c r="AT1639" s="307"/>
      <c r="AU1639" s="670"/>
      <c r="AV1639" s="572"/>
    </row>
    <row r="1640" spans="4:48" ht="12.75" customHeight="1" x14ac:dyDescent="0.25">
      <c r="D1640" s="3"/>
      <c r="L1640" s="3"/>
      <c r="N1640" s="3"/>
      <c r="O1640" s="3"/>
      <c r="R1640" s="3"/>
      <c r="W1640" s="3"/>
      <c r="X1640" s="3"/>
      <c r="Y1640" s="835"/>
      <c r="Z1640" s="3"/>
      <c r="AA1640" s="3"/>
      <c r="AB1640" s="3"/>
      <c r="AC1640" s="3"/>
      <c r="AD1640" s="3"/>
      <c r="AE1640" s="3"/>
      <c r="AG1640" s="2"/>
      <c r="AR1640" s="307"/>
      <c r="AS1640" s="307"/>
      <c r="AT1640" s="307"/>
      <c r="AU1640" s="670"/>
      <c r="AV1640" s="572"/>
    </row>
    <row r="1641" spans="4:48" ht="12.75" customHeight="1" x14ac:dyDescent="0.25">
      <c r="D1641" s="3"/>
      <c r="L1641" s="3"/>
      <c r="N1641" s="3"/>
      <c r="O1641" s="3"/>
      <c r="R1641" s="3"/>
      <c r="W1641" s="3"/>
      <c r="X1641" s="3"/>
      <c r="Y1641" s="835"/>
      <c r="Z1641" s="3"/>
      <c r="AA1641" s="3"/>
      <c r="AB1641" s="3"/>
      <c r="AC1641" s="3"/>
      <c r="AD1641" s="3"/>
      <c r="AE1641" s="3"/>
      <c r="AG1641" s="2"/>
      <c r="AR1641" s="307"/>
      <c r="AS1641" s="307"/>
      <c r="AT1641" s="307"/>
      <c r="AU1641" s="670"/>
      <c r="AV1641" s="572"/>
    </row>
    <row r="1642" spans="4:48" ht="12.75" customHeight="1" x14ac:dyDescent="0.25">
      <c r="D1642" s="3"/>
      <c r="L1642" s="3"/>
      <c r="N1642" s="3"/>
      <c r="O1642" s="3"/>
      <c r="R1642" s="3"/>
      <c r="W1642" s="3"/>
      <c r="X1642" s="3"/>
      <c r="Y1642" s="835"/>
      <c r="Z1642" s="3"/>
      <c r="AA1642" s="3"/>
      <c r="AB1642" s="3"/>
      <c r="AC1642" s="3"/>
      <c r="AD1642" s="3"/>
      <c r="AE1642" s="3"/>
      <c r="AG1642" s="2"/>
      <c r="AR1642" s="307"/>
      <c r="AS1642" s="307"/>
      <c r="AT1642" s="307"/>
      <c r="AU1642" s="670"/>
      <c r="AV1642" s="572"/>
    </row>
    <row r="1643" spans="4:48" ht="12.75" customHeight="1" x14ac:dyDescent="0.25">
      <c r="D1643" s="3"/>
      <c r="L1643" s="3"/>
      <c r="N1643" s="3"/>
      <c r="O1643" s="3"/>
      <c r="R1643" s="3"/>
      <c r="W1643" s="3"/>
      <c r="X1643" s="3"/>
      <c r="Y1643" s="835"/>
      <c r="Z1643" s="3"/>
      <c r="AA1643" s="3"/>
      <c r="AB1643" s="3"/>
      <c r="AC1643" s="3"/>
      <c r="AD1643" s="3"/>
      <c r="AE1643" s="3"/>
      <c r="AG1643" s="2"/>
      <c r="AR1643" s="307"/>
      <c r="AS1643" s="307"/>
      <c r="AT1643" s="307"/>
      <c r="AU1643" s="670"/>
      <c r="AV1643" s="572"/>
    </row>
    <row r="1644" spans="4:48" ht="12.75" customHeight="1" x14ac:dyDescent="0.25">
      <c r="D1644" s="3"/>
      <c r="L1644" s="3"/>
      <c r="N1644" s="3"/>
      <c r="O1644" s="3"/>
      <c r="R1644" s="3"/>
      <c r="W1644" s="3"/>
      <c r="X1644" s="3"/>
      <c r="Y1644" s="835"/>
      <c r="Z1644" s="3"/>
      <c r="AA1644" s="3"/>
      <c r="AB1644" s="3"/>
      <c r="AC1644" s="3"/>
      <c r="AD1644" s="3"/>
      <c r="AE1644" s="3"/>
      <c r="AG1644" s="2"/>
      <c r="AR1644" s="307"/>
      <c r="AS1644" s="307"/>
      <c r="AT1644" s="307"/>
      <c r="AU1644" s="670"/>
      <c r="AV1644" s="572"/>
    </row>
    <row r="1645" spans="4:48" ht="12.75" customHeight="1" x14ac:dyDescent="0.25">
      <c r="D1645" s="3"/>
      <c r="L1645" s="3"/>
      <c r="N1645" s="3"/>
      <c r="O1645" s="3"/>
      <c r="R1645" s="3"/>
      <c r="W1645" s="3"/>
      <c r="X1645" s="3"/>
      <c r="Y1645" s="835"/>
      <c r="Z1645" s="3"/>
      <c r="AA1645" s="3"/>
      <c r="AB1645" s="3"/>
      <c r="AC1645" s="3"/>
      <c r="AD1645" s="3"/>
      <c r="AE1645" s="3"/>
      <c r="AG1645" s="2"/>
      <c r="AR1645" s="307"/>
      <c r="AS1645" s="307"/>
      <c r="AT1645" s="307"/>
      <c r="AU1645" s="670"/>
      <c r="AV1645" s="572"/>
    </row>
    <row r="1646" spans="4:48" ht="12.75" customHeight="1" x14ac:dyDescent="0.25">
      <c r="D1646" s="3"/>
      <c r="L1646" s="3"/>
      <c r="N1646" s="3"/>
      <c r="O1646" s="3"/>
      <c r="R1646" s="3"/>
      <c r="W1646" s="3"/>
      <c r="X1646" s="3"/>
      <c r="Y1646" s="835"/>
      <c r="Z1646" s="3"/>
      <c r="AA1646" s="3"/>
      <c r="AB1646" s="3"/>
      <c r="AC1646" s="3"/>
      <c r="AD1646" s="3"/>
      <c r="AE1646" s="3"/>
      <c r="AG1646" s="2"/>
      <c r="AR1646" s="307"/>
      <c r="AS1646" s="307"/>
      <c r="AT1646" s="307"/>
      <c r="AU1646" s="670"/>
      <c r="AV1646" s="572"/>
    </row>
    <row r="1647" spans="4:48" ht="12.75" customHeight="1" x14ac:dyDescent="0.25">
      <c r="D1647" s="3"/>
      <c r="L1647" s="3"/>
      <c r="N1647" s="3"/>
      <c r="O1647" s="3"/>
      <c r="R1647" s="3"/>
      <c r="W1647" s="3"/>
      <c r="X1647" s="3"/>
      <c r="Y1647" s="835"/>
      <c r="Z1647" s="3"/>
      <c r="AA1647" s="3"/>
      <c r="AB1647" s="3"/>
      <c r="AC1647" s="3"/>
      <c r="AD1647" s="3"/>
      <c r="AE1647" s="3"/>
      <c r="AG1647" s="2"/>
      <c r="AR1647" s="307"/>
      <c r="AS1647" s="307"/>
      <c r="AT1647" s="307"/>
      <c r="AU1647" s="670"/>
      <c r="AV1647" s="572"/>
    </row>
    <row r="1648" spans="4:48" ht="12.75" customHeight="1" x14ac:dyDescent="0.25">
      <c r="D1648" s="3"/>
      <c r="L1648" s="3"/>
      <c r="N1648" s="3"/>
      <c r="O1648" s="3"/>
      <c r="R1648" s="3"/>
      <c r="W1648" s="3"/>
      <c r="X1648" s="3"/>
      <c r="Y1648" s="835"/>
      <c r="Z1648" s="3"/>
      <c r="AA1648" s="3"/>
      <c r="AB1648" s="3"/>
      <c r="AC1648" s="3"/>
      <c r="AD1648" s="3"/>
      <c r="AE1648" s="3"/>
      <c r="AG1648" s="2"/>
      <c r="AR1648" s="307"/>
      <c r="AS1648" s="307"/>
      <c r="AT1648" s="307"/>
      <c r="AU1648" s="670"/>
      <c r="AV1648" s="572"/>
    </row>
    <row r="1649" spans="4:48" ht="12.75" customHeight="1" x14ac:dyDescent="0.25">
      <c r="D1649" s="3"/>
      <c r="L1649" s="3"/>
      <c r="N1649" s="3"/>
      <c r="O1649" s="3"/>
      <c r="R1649" s="3"/>
      <c r="W1649" s="3"/>
      <c r="X1649" s="3"/>
      <c r="Y1649" s="835"/>
      <c r="Z1649" s="3"/>
      <c r="AA1649" s="3"/>
      <c r="AB1649" s="3"/>
      <c r="AC1649" s="3"/>
      <c r="AD1649" s="3"/>
      <c r="AE1649" s="3"/>
      <c r="AG1649" s="2"/>
      <c r="AR1649" s="307"/>
      <c r="AS1649" s="307"/>
      <c r="AT1649" s="307"/>
      <c r="AU1649" s="670"/>
      <c r="AV1649" s="572"/>
    </row>
    <row r="1650" spans="4:48" ht="12.75" customHeight="1" x14ac:dyDescent="0.25">
      <c r="D1650" s="3"/>
      <c r="L1650" s="3"/>
      <c r="N1650" s="3"/>
      <c r="O1650" s="3"/>
      <c r="R1650" s="3"/>
      <c r="W1650" s="3"/>
      <c r="X1650" s="3"/>
      <c r="Y1650" s="835"/>
      <c r="Z1650" s="3"/>
      <c r="AA1650" s="3"/>
      <c r="AB1650" s="3"/>
      <c r="AC1650" s="3"/>
      <c r="AD1650" s="3"/>
      <c r="AE1650" s="3"/>
      <c r="AG1650" s="2"/>
      <c r="AR1650" s="307"/>
      <c r="AS1650" s="307"/>
      <c r="AT1650" s="307"/>
      <c r="AU1650" s="670"/>
      <c r="AV1650" s="572"/>
    </row>
    <row r="1651" spans="4:48" ht="12.75" customHeight="1" x14ac:dyDescent="0.25">
      <c r="D1651" s="3"/>
      <c r="L1651" s="3"/>
      <c r="N1651" s="3"/>
      <c r="O1651" s="3"/>
      <c r="R1651" s="3"/>
      <c r="W1651" s="3"/>
      <c r="X1651" s="3"/>
      <c r="Y1651" s="835"/>
      <c r="Z1651" s="3"/>
      <c r="AA1651" s="3"/>
      <c r="AB1651" s="3"/>
      <c r="AC1651" s="3"/>
      <c r="AD1651" s="3"/>
      <c r="AE1651" s="3"/>
      <c r="AG1651" s="2"/>
      <c r="AR1651" s="307"/>
      <c r="AS1651" s="307"/>
      <c r="AT1651" s="307"/>
      <c r="AU1651" s="670"/>
      <c r="AV1651" s="572"/>
    </row>
    <row r="1652" spans="4:48" ht="12.75" customHeight="1" x14ac:dyDescent="0.25">
      <c r="D1652" s="3"/>
      <c r="L1652" s="3"/>
      <c r="N1652" s="3"/>
      <c r="O1652" s="3"/>
      <c r="R1652" s="3"/>
      <c r="W1652" s="3"/>
      <c r="X1652" s="3"/>
      <c r="Y1652" s="835"/>
      <c r="Z1652" s="3"/>
      <c r="AA1652" s="3"/>
      <c r="AB1652" s="3"/>
      <c r="AC1652" s="3"/>
      <c r="AD1652" s="3"/>
      <c r="AE1652" s="3"/>
      <c r="AG1652" s="2"/>
      <c r="AR1652" s="307"/>
      <c r="AS1652" s="307"/>
      <c r="AT1652" s="307"/>
      <c r="AU1652" s="670"/>
      <c r="AV1652" s="572"/>
    </row>
    <row r="1653" spans="4:48" ht="12.75" customHeight="1" x14ac:dyDescent="0.25">
      <c r="D1653" s="3"/>
      <c r="L1653" s="3"/>
      <c r="N1653" s="3"/>
      <c r="O1653" s="3"/>
      <c r="R1653" s="3"/>
      <c r="W1653" s="3"/>
      <c r="X1653" s="3"/>
      <c r="Y1653" s="835"/>
      <c r="Z1653" s="3"/>
      <c r="AA1653" s="3"/>
      <c r="AB1653" s="3"/>
      <c r="AC1653" s="3"/>
      <c r="AD1653" s="3"/>
      <c r="AE1653" s="3"/>
      <c r="AG1653" s="2"/>
      <c r="AR1653" s="307"/>
      <c r="AS1653" s="307"/>
      <c r="AT1653" s="307"/>
      <c r="AU1653" s="670"/>
      <c r="AV1653" s="572"/>
    </row>
    <row r="1654" spans="4:48" ht="12.75" customHeight="1" x14ac:dyDescent="0.25">
      <c r="D1654" s="3"/>
      <c r="L1654" s="3"/>
      <c r="N1654" s="3"/>
      <c r="O1654" s="3"/>
      <c r="R1654" s="3"/>
      <c r="W1654" s="3"/>
      <c r="X1654" s="3"/>
      <c r="Y1654" s="835"/>
      <c r="Z1654" s="3"/>
      <c r="AA1654" s="3"/>
      <c r="AB1654" s="3"/>
      <c r="AC1654" s="3"/>
      <c r="AD1654" s="3"/>
      <c r="AE1654" s="3"/>
      <c r="AG1654" s="2"/>
      <c r="AR1654" s="307"/>
      <c r="AS1654" s="307"/>
      <c r="AT1654" s="307"/>
      <c r="AU1654" s="670"/>
      <c r="AV1654" s="572"/>
    </row>
    <row r="1655" spans="4:48" ht="12.75" customHeight="1" x14ac:dyDescent="0.25">
      <c r="D1655" s="3"/>
      <c r="L1655" s="3"/>
      <c r="N1655" s="3"/>
      <c r="O1655" s="3"/>
      <c r="R1655" s="3"/>
      <c r="W1655" s="3"/>
      <c r="X1655" s="3"/>
      <c r="Y1655" s="835"/>
      <c r="Z1655" s="3"/>
      <c r="AA1655" s="3"/>
      <c r="AB1655" s="3"/>
      <c r="AC1655" s="3"/>
      <c r="AD1655" s="3"/>
      <c r="AE1655" s="3"/>
      <c r="AG1655" s="2"/>
      <c r="AR1655" s="307"/>
      <c r="AS1655" s="307"/>
      <c r="AT1655" s="307"/>
      <c r="AU1655" s="670"/>
      <c r="AV1655" s="572"/>
    </row>
    <row r="1656" spans="4:48" ht="12.75" customHeight="1" x14ac:dyDescent="0.25">
      <c r="D1656" s="3"/>
      <c r="L1656" s="3"/>
      <c r="N1656" s="3"/>
      <c r="O1656" s="3"/>
      <c r="R1656" s="3"/>
      <c r="W1656" s="3"/>
      <c r="X1656" s="3"/>
      <c r="Y1656" s="835"/>
      <c r="Z1656" s="3"/>
      <c r="AA1656" s="3"/>
      <c r="AB1656" s="3"/>
      <c r="AC1656" s="3"/>
      <c r="AD1656" s="3"/>
      <c r="AE1656" s="3"/>
      <c r="AG1656" s="2"/>
      <c r="AR1656" s="307"/>
      <c r="AS1656" s="307"/>
      <c r="AT1656" s="307"/>
      <c r="AU1656" s="670"/>
      <c r="AV1656" s="572"/>
    </row>
    <row r="1657" spans="4:48" ht="12.75" customHeight="1" x14ac:dyDescent="0.25">
      <c r="D1657" s="3"/>
      <c r="L1657" s="3"/>
      <c r="N1657" s="3"/>
      <c r="O1657" s="3"/>
      <c r="R1657" s="3"/>
      <c r="W1657" s="3"/>
      <c r="X1657" s="3"/>
      <c r="Y1657" s="835"/>
      <c r="Z1657" s="3"/>
      <c r="AA1657" s="3"/>
      <c r="AB1657" s="3"/>
      <c r="AC1657" s="3"/>
      <c r="AD1657" s="3"/>
      <c r="AE1657" s="3"/>
      <c r="AG1657" s="2"/>
      <c r="AR1657" s="307"/>
      <c r="AS1657" s="307"/>
      <c r="AT1657" s="307"/>
      <c r="AU1657" s="670"/>
      <c r="AV1657" s="572"/>
    </row>
    <row r="1658" spans="4:48" ht="12.75" customHeight="1" x14ac:dyDescent="0.25">
      <c r="D1658" s="3"/>
      <c r="L1658" s="3"/>
      <c r="N1658" s="3"/>
      <c r="O1658" s="3"/>
      <c r="R1658" s="3"/>
      <c r="W1658" s="3"/>
      <c r="X1658" s="3"/>
      <c r="Y1658" s="835"/>
      <c r="Z1658" s="3"/>
      <c r="AA1658" s="3"/>
      <c r="AB1658" s="3"/>
      <c r="AC1658" s="3"/>
      <c r="AD1658" s="3"/>
      <c r="AE1658" s="3"/>
      <c r="AG1658" s="2"/>
      <c r="AR1658" s="307"/>
      <c r="AS1658" s="307"/>
      <c r="AT1658" s="307"/>
      <c r="AU1658" s="670"/>
      <c r="AV1658" s="572"/>
    </row>
    <row r="1659" spans="4:48" ht="12.75" customHeight="1" x14ac:dyDescent="0.25">
      <c r="D1659" s="3"/>
      <c r="L1659" s="3"/>
      <c r="N1659" s="3"/>
      <c r="O1659" s="3"/>
      <c r="R1659" s="3"/>
      <c r="W1659" s="3"/>
      <c r="X1659" s="3"/>
      <c r="Y1659" s="835"/>
      <c r="Z1659" s="3"/>
      <c r="AA1659" s="3"/>
      <c r="AB1659" s="3"/>
      <c r="AC1659" s="3"/>
      <c r="AD1659" s="3"/>
      <c r="AE1659" s="3"/>
      <c r="AG1659" s="2"/>
      <c r="AR1659" s="307"/>
      <c r="AS1659" s="307"/>
      <c r="AT1659" s="307"/>
      <c r="AU1659" s="670"/>
      <c r="AV1659" s="572"/>
    </row>
    <row r="1660" spans="4:48" ht="12.75" customHeight="1" x14ac:dyDescent="0.25">
      <c r="D1660" s="3"/>
      <c r="L1660" s="3"/>
      <c r="N1660" s="3"/>
      <c r="O1660" s="3"/>
      <c r="R1660" s="3"/>
      <c r="W1660" s="3"/>
      <c r="X1660" s="3"/>
      <c r="Y1660" s="835"/>
      <c r="Z1660" s="3"/>
      <c r="AA1660" s="3"/>
      <c r="AB1660" s="3"/>
      <c r="AC1660" s="3"/>
      <c r="AD1660" s="3"/>
      <c r="AE1660" s="3"/>
      <c r="AG1660" s="2"/>
      <c r="AR1660" s="307"/>
      <c r="AS1660" s="307"/>
      <c r="AT1660" s="307"/>
      <c r="AU1660" s="670"/>
      <c r="AV1660" s="572"/>
    </row>
    <row r="1661" spans="4:48" ht="12.75" customHeight="1" x14ac:dyDescent="0.25">
      <c r="D1661" s="3"/>
      <c r="L1661" s="3"/>
      <c r="N1661" s="3"/>
      <c r="O1661" s="3"/>
      <c r="R1661" s="3"/>
      <c r="W1661" s="3"/>
      <c r="X1661" s="3"/>
      <c r="Y1661" s="835"/>
      <c r="Z1661" s="3"/>
      <c r="AA1661" s="3"/>
      <c r="AB1661" s="3"/>
      <c r="AC1661" s="3"/>
      <c r="AD1661" s="3"/>
      <c r="AE1661" s="3"/>
      <c r="AG1661" s="2"/>
      <c r="AR1661" s="307"/>
      <c r="AS1661" s="307"/>
      <c r="AT1661" s="307"/>
      <c r="AU1661" s="670"/>
      <c r="AV1661" s="572"/>
    </row>
    <row r="1662" spans="4:48" ht="12.75" customHeight="1" x14ac:dyDescent="0.25">
      <c r="D1662" s="3"/>
      <c r="L1662" s="3"/>
      <c r="N1662" s="3"/>
      <c r="O1662" s="3"/>
      <c r="R1662" s="3"/>
      <c r="W1662" s="3"/>
      <c r="X1662" s="3"/>
      <c r="Y1662" s="835"/>
      <c r="Z1662" s="3"/>
      <c r="AA1662" s="3"/>
      <c r="AB1662" s="3"/>
      <c r="AC1662" s="3"/>
      <c r="AD1662" s="3"/>
      <c r="AE1662" s="3"/>
      <c r="AG1662" s="2"/>
      <c r="AR1662" s="307"/>
      <c r="AS1662" s="307"/>
      <c r="AT1662" s="307"/>
      <c r="AU1662" s="670"/>
      <c r="AV1662" s="572"/>
    </row>
    <row r="1663" spans="4:48" ht="12.75" customHeight="1" x14ac:dyDescent="0.25">
      <c r="D1663" s="3"/>
      <c r="L1663" s="3"/>
      <c r="N1663" s="3"/>
      <c r="O1663" s="3"/>
      <c r="R1663" s="3"/>
      <c r="W1663" s="3"/>
      <c r="X1663" s="3"/>
      <c r="Y1663" s="835"/>
      <c r="Z1663" s="3"/>
      <c r="AA1663" s="3"/>
      <c r="AB1663" s="3"/>
      <c r="AC1663" s="3"/>
      <c r="AD1663" s="3"/>
      <c r="AE1663" s="3"/>
      <c r="AG1663" s="2"/>
      <c r="AR1663" s="307"/>
      <c r="AS1663" s="307"/>
      <c r="AT1663" s="307"/>
      <c r="AU1663" s="670"/>
      <c r="AV1663" s="572"/>
    </row>
    <row r="1664" spans="4:48" ht="12.75" customHeight="1" x14ac:dyDescent="0.25">
      <c r="D1664" s="3"/>
      <c r="L1664" s="3"/>
      <c r="N1664" s="3"/>
      <c r="O1664" s="3"/>
      <c r="R1664" s="3"/>
      <c r="W1664" s="3"/>
      <c r="X1664" s="3"/>
      <c r="Y1664" s="835"/>
      <c r="Z1664" s="3"/>
      <c r="AA1664" s="3"/>
      <c r="AB1664" s="3"/>
      <c r="AC1664" s="3"/>
      <c r="AD1664" s="3"/>
      <c r="AE1664" s="3"/>
      <c r="AG1664" s="2"/>
      <c r="AR1664" s="307"/>
      <c r="AS1664" s="307"/>
      <c r="AT1664" s="307"/>
      <c r="AU1664" s="670"/>
      <c r="AV1664" s="572"/>
    </row>
    <row r="1665" spans="4:48" ht="12.75" customHeight="1" x14ac:dyDescent="0.25">
      <c r="D1665" s="3"/>
      <c r="L1665" s="3"/>
      <c r="N1665" s="3"/>
      <c r="O1665" s="3"/>
      <c r="R1665" s="3"/>
      <c r="W1665" s="3"/>
      <c r="X1665" s="3"/>
      <c r="Y1665" s="835"/>
      <c r="Z1665" s="3"/>
      <c r="AA1665" s="3"/>
      <c r="AB1665" s="3"/>
      <c r="AC1665" s="3"/>
      <c r="AD1665" s="3"/>
      <c r="AE1665" s="3"/>
      <c r="AG1665" s="2"/>
      <c r="AR1665" s="307"/>
      <c r="AS1665" s="307"/>
      <c r="AT1665" s="307"/>
      <c r="AU1665" s="670"/>
      <c r="AV1665" s="572"/>
    </row>
    <row r="1666" spans="4:48" ht="12.75" customHeight="1" x14ac:dyDescent="0.25">
      <c r="D1666" s="3"/>
      <c r="L1666" s="3"/>
      <c r="N1666" s="3"/>
      <c r="O1666" s="3"/>
      <c r="R1666" s="3"/>
      <c r="W1666" s="3"/>
      <c r="X1666" s="3"/>
      <c r="Y1666" s="835"/>
      <c r="Z1666" s="3"/>
      <c r="AA1666" s="3"/>
      <c r="AB1666" s="3"/>
      <c r="AC1666" s="3"/>
      <c r="AD1666" s="3"/>
      <c r="AE1666" s="3"/>
      <c r="AG1666" s="2"/>
      <c r="AR1666" s="307"/>
      <c r="AS1666" s="307"/>
      <c r="AT1666" s="307"/>
      <c r="AU1666" s="670"/>
      <c r="AV1666" s="572"/>
    </row>
    <row r="1667" spans="4:48" ht="12.75" customHeight="1" x14ac:dyDescent="0.25">
      <c r="D1667" s="3"/>
      <c r="L1667" s="3"/>
      <c r="N1667" s="3"/>
      <c r="O1667" s="3"/>
      <c r="R1667" s="3"/>
      <c r="W1667" s="3"/>
      <c r="X1667" s="3"/>
      <c r="Y1667" s="835"/>
      <c r="Z1667" s="3"/>
      <c r="AA1667" s="3"/>
      <c r="AB1667" s="3"/>
      <c r="AC1667" s="3"/>
      <c r="AD1667" s="3"/>
      <c r="AE1667" s="3"/>
      <c r="AG1667" s="2"/>
      <c r="AR1667" s="307"/>
      <c r="AS1667" s="307"/>
      <c r="AT1667" s="307"/>
      <c r="AU1667" s="670"/>
      <c r="AV1667" s="572"/>
    </row>
    <row r="1668" spans="4:48" ht="12.75" customHeight="1" x14ac:dyDescent="0.25">
      <c r="D1668" s="3"/>
      <c r="L1668" s="3"/>
      <c r="N1668" s="3"/>
      <c r="O1668" s="3"/>
      <c r="R1668" s="3"/>
      <c r="W1668" s="3"/>
      <c r="X1668" s="3"/>
      <c r="Y1668" s="835"/>
      <c r="Z1668" s="3"/>
      <c r="AA1668" s="3"/>
      <c r="AB1668" s="3"/>
      <c r="AC1668" s="3"/>
      <c r="AD1668" s="3"/>
      <c r="AE1668" s="3"/>
      <c r="AG1668" s="2"/>
      <c r="AR1668" s="307"/>
      <c r="AS1668" s="307"/>
      <c r="AT1668" s="307"/>
      <c r="AU1668" s="670"/>
      <c r="AV1668" s="572"/>
    </row>
    <row r="1669" spans="4:48" ht="12.75" customHeight="1" x14ac:dyDescent="0.25">
      <c r="D1669" s="3"/>
      <c r="L1669" s="3"/>
      <c r="N1669" s="3"/>
      <c r="O1669" s="3"/>
      <c r="R1669" s="3"/>
      <c r="W1669" s="3"/>
      <c r="X1669" s="3"/>
      <c r="Y1669" s="835"/>
      <c r="Z1669" s="3"/>
      <c r="AA1669" s="3"/>
      <c r="AB1669" s="3"/>
      <c r="AC1669" s="3"/>
      <c r="AD1669" s="3"/>
      <c r="AE1669" s="3"/>
      <c r="AG1669" s="2"/>
      <c r="AR1669" s="307"/>
      <c r="AS1669" s="307"/>
      <c r="AT1669" s="307"/>
      <c r="AU1669" s="670"/>
      <c r="AV1669" s="572"/>
    </row>
    <row r="1670" spans="4:48" ht="12.75" customHeight="1" x14ac:dyDescent="0.25">
      <c r="D1670" s="3"/>
      <c r="L1670" s="3"/>
      <c r="N1670" s="3"/>
      <c r="O1670" s="3"/>
      <c r="R1670" s="3"/>
      <c r="W1670" s="3"/>
      <c r="X1670" s="3"/>
      <c r="Y1670" s="835"/>
      <c r="Z1670" s="3"/>
      <c r="AA1670" s="3"/>
      <c r="AB1670" s="3"/>
      <c r="AC1670" s="3"/>
      <c r="AD1670" s="3"/>
      <c r="AE1670" s="3"/>
      <c r="AG1670" s="2"/>
      <c r="AR1670" s="307"/>
      <c r="AS1670" s="307"/>
      <c r="AT1670" s="307"/>
      <c r="AU1670" s="670"/>
      <c r="AV1670" s="572"/>
    </row>
    <row r="1671" spans="4:48" ht="12.75" customHeight="1" x14ac:dyDescent="0.25">
      <c r="D1671" s="3"/>
      <c r="L1671" s="3"/>
      <c r="N1671" s="3"/>
      <c r="O1671" s="3"/>
      <c r="R1671" s="3"/>
      <c r="W1671" s="3"/>
      <c r="X1671" s="3"/>
      <c r="Y1671" s="835"/>
      <c r="Z1671" s="3"/>
      <c r="AA1671" s="3"/>
      <c r="AB1671" s="3"/>
      <c r="AC1671" s="3"/>
      <c r="AD1671" s="3"/>
      <c r="AE1671" s="3"/>
      <c r="AG1671" s="2"/>
      <c r="AR1671" s="307"/>
      <c r="AS1671" s="307"/>
      <c r="AT1671" s="307"/>
      <c r="AU1671" s="670"/>
      <c r="AV1671" s="572"/>
    </row>
    <row r="1672" spans="4:48" ht="12.75" customHeight="1" x14ac:dyDescent="0.25">
      <c r="D1672" s="3"/>
      <c r="L1672" s="3"/>
      <c r="N1672" s="3"/>
      <c r="O1672" s="3"/>
      <c r="R1672" s="3"/>
      <c r="W1672" s="3"/>
      <c r="X1672" s="3"/>
      <c r="Y1672" s="835"/>
      <c r="Z1672" s="3"/>
      <c r="AA1672" s="3"/>
      <c r="AB1672" s="3"/>
      <c r="AC1672" s="3"/>
      <c r="AD1672" s="3"/>
      <c r="AE1672" s="3"/>
      <c r="AG1672" s="2"/>
      <c r="AR1672" s="307"/>
      <c r="AS1672" s="307"/>
      <c r="AT1672" s="307"/>
      <c r="AU1672" s="670"/>
      <c r="AV1672" s="572"/>
    </row>
    <row r="1673" spans="4:48" ht="12.75" customHeight="1" x14ac:dyDescent="0.25">
      <c r="D1673" s="3"/>
      <c r="L1673" s="3"/>
      <c r="N1673" s="3"/>
      <c r="O1673" s="3"/>
      <c r="R1673" s="3"/>
      <c r="W1673" s="3"/>
      <c r="X1673" s="3"/>
      <c r="Y1673" s="835"/>
      <c r="Z1673" s="3"/>
      <c r="AA1673" s="3"/>
      <c r="AB1673" s="3"/>
      <c r="AC1673" s="3"/>
      <c r="AD1673" s="3"/>
      <c r="AE1673" s="3"/>
      <c r="AG1673" s="2"/>
      <c r="AR1673" s="307"/>
      <c r="AS1673" s="307"/>
      <c r="AT1673" s="307"/>
      <c r="AU1673" s="670"/>
      <c r="AV1673" s="572"/>
    </row>
    <row r="1674" spans="4:48" ht="12.75" customHeight="1" x14ac:dyDescent="0.25">
      <c r="D1674" s="3"/>
      <c r="L1674" s="3"/>
      <c r="N1674" s="3"/>
      <c r="O1674" s="3"/>
      <c r="R1674" s="3"/>
      <c r="W1674" s="3"/>
      <c r="X1674" s="3"/>
      <c r="Y1674" s="835"/>
      <c r="Z1674" s="3"/>
      <c r="AA1674" s="3"/>
      <c r="AB1674" s="3"/>
      <c r="AC1674" s="3"/>
      <c r="AD1674" s="3"/>
      <c r="AE1674" s="3"/>
      <c r="AG1674" s="2"/>
      <c r="AR1674" s="307"/>
      <c r="AS1674" s="307"/>
      <c r="AT1674" s="307"/>
      <c r="AU1674" s="670"/>
      <c r="AV1674" s="572"/>
    </row>
    <row r="1675" spans="4:48" ht="12.75" customHeight="1" x14ac:dyDescent="0.25">
      <c r="D1675" s="3"/>
      <c r="L1675" s="3"/>
      <c r="N1675" s="3"/>
      <c r="O1675" s="3"/>
      <c r="R1675" s="3"/>
      <c r="W1675" s="3"/>
      <c r="X1675" s="3"/>
      <c r="Y1675" s="835"/>
      <c r="Z1675" s="3"/>
      <c r="AA1675" s="3"/>
      <c r="AB1675" s="3"/>
      <c r="AC1675" s="3"/>
      <c r="AD1675" s="3"/>
      <c r="AE1675" s="3"/>
      <c r="AG1675" s="2"/>
      <c r="AR1675" s="307"/>
      <c r="AS1675" s="307"/>
      <c r="AT1675" s="307"/>
      <c r="AU1675" s="670"/>
      <c r="AV1675" s="572"/>
    </row>
    <row r="1676" spans="4:48" ht="12.75" customHeight="1" x14ac:dyDescent="0.25">
      <c r="D1676" s="3"/>
      <c r="L1676" s="3"/>
      <c r="N1676" s="3"/>
      <c r="O1676" s="3"/>
      <c r="R1676" s="3"/>
      <c r="W1676" s="3"/>
      <c r="X1676" s="3"/>
      <c r="Y1676" s="835"/>
      <c r="Z1676" s="3"/>
      <c r="AA1676" s="3"/>
      <c r="AB1676" s="3"/>
      <c r="AC1676" s="3"/>
      <c r="AD1676" s="3"/>
      <c r="AE1676" s="3"/>
      <c r="AG1676" s="2"/>
      <c r="AR1676" s="307"/>
      <c r="AS1676" s="307"/>
      <c r="AT1676" s="307"/>
      <c r="AU1676" s="670"/>
      <c r="AV1676" s="572"/>
    </row>
    <row r="1677" spans="4:48" ht="12.75" customHeight="1" x14ac:dyDescent="0.25">
      <c r="D1677" s="3"/>
      <c r="L1677" s="3"/>
      <c r="N1677" s="3"/>
      <c r="O1677" s="3"/>
      <c r="R1677" s="3"/>
      <c r="W1677" s="3"/>
      <c r="X1677" s="3"/>
      <c r="Y1677" s="835"/>
      <c r="Z1677" s="3"/>
      <c r="AA1677" s="3"/>
      <c r="AB1677" s="3"/>
      <c r="AC1677" s="3"/>
      <c r="AD1677" s="3"/>
      <c r="AE1677" s="3"/>
      <c r="AG1677" s="2"/>
      <c r="AR1677" s="307"/>
      <c r="AS1677" s="307"/>
      <c r="AT1677" s="307"/>
      <c r="AU1677" s="670"/>
      <c r="AV1677" s="572"/>
    </row>
    <row r="1678" spans="4:48" ht="12.75" customHeight="1" x14ac:dyDescent="0.25">
      <c r="D1678" s="3"/>
      <c r="L1678" s="3"/>
      <c r="N1678" s="3"/>
      <c r="O1678" s="3"/>
      <c r="R1678" s="3"/>
      <c r="W1678" s="3"/>
      <c r="X1678" s="3"/>
      <c r="Y1678" s="835"/>
      <c r="Z1678" s="3"/>
      <c r="AA1678" s="3"/>
      <c r="AB1678" s="3"/>
      <c r="AC1678" s="3"/>
      <c r="AD1678" s="3"/>
      <c r="AE1678" s="3"/>
      <c r="AG1678" s="2"/>
      <c r="AR1678" s="307"/>
      <c r="AS1678" s="307"/>
      <c r="AT1678" s="307"/>
      <c r="AU1678" s="670"/>
      <c r="AV1678" s="572"/>
    </row>
    <row r="1679" spans="4:48" ht="12.75" customHeight="1" x14ac:dyDescent="0.25">
      <c r="D1679" s="3"/>
      <c r="L1679" s="3"/>
      <c r="N1679" s="3"/>
      <c r="O1679" s="3"/>
      <c r="R1679" s="3"/>
      <c r="W1679" s="3"/>
      <c r="X1679" s="3"/>
      <c r="Y1679" s="835"/>
      <c r="Z1679" s="3"/>
      <c r="AA1679" s="3"/>
      <c r="AB1679" s="3"/>
      <c r="AC1679" s="3"/>
      <c r="AD1679" s="3"/>
      <c r="AE1679" s="3"/>
      <c r="AG1679" s="2"/>
      <c r="AR1679" s="307"/>
      <c r="AS1679" s="307"/>
      <c r="AT1679" s="307"/>
      <c r="AU1679" s="670"/>
      <c r="AV1679" s="572"/>
    </row>
    <row r="1680" spans="4:48" ht="12.75" customHeight="1" x14ac:dyDescent="0.25">
      <c r="D1680" s="3"/>
      <c r="L1680" s="3"/>
      <c r="N1680" s="3"/>
      <c r="O1680" s="3"/>
      <c r="R1680" s="3"/>
      <c r="W1680" s="3"/>
      <c r="X1680" s="3"/>
      <c r="Y1680" s="835"/>
      <c r="Z1680" s="3"/>
      <c r="AA1680" s="3"/>
      <c r="AB1680" s="3"/>
      <c r="AC1680" s="3"/>
      <c r="AD1680" s="3"/>
      <c r="AE1680" s="3"/>
      <c r="AG1680" s="2"/>
      <c r="AR1680" s="307"/>
      <c r="AS1680" s="307"/>
      <c r="AT1680" s="307"/>
      <c r="AU1680" s="670"/>
      <c r="AV1680" s="572"/>
    </row>
    <row r="1681" spans="4:48" ht="12.75" customHeight="1" x14ac:dyDescent="0.25">
      <c r="D1681" s="3"/>
      <c r="L1681" s="3"/>
      <c r="N1681" s="3"/>
      <c r="O1681" s="3"/>
      <c r="R1681" s="3"/>
      <c r="W1681" s="3"/>
      <c r="X1681" s="3"/>
      <c r="Y1681" s="835"/>
      <c r="Z1681" s="3"/>
      <c r="AA1681" s="3"/>
      <c r="AB1681" s="3"/>
      <c r="AC1681" s="3"/>
      <c r="AD1681" s="3"/>
      <c r="AE1681" s="3"/>
      <c r="AG1681" s="2"/>
      <c r="AR1681" s="307"/>
      <c r="AS1681" s="307"/>
      <c r="AT1681" s="307"/>
      <c r="AU1681" s="670"/>
      <c r="AV1681" s="572"/>
    </row>
    <row r="1682" spans="4:48" ht="12.75" customHeight="1" x14ac:dyDescent="0.25">
      <c r="D1682" s="3"/>
      <c r="L1682" s="3"/>
      <c r="N1682" s="3"/>
      <c r="O1682" s="3"/>
      <c r="R1682" s="3"/>
      <c r="W1682" s="3"/>
      <c r="X1682" s="3"/>
      <c r="Y1682" s="835"/>
      <c r="Z1682" s="3"/>
      <c r="AA1682" s="3"/>
      <c r="AB1682" s="3"/>
      <c r="AC1682" s="3"/>
      <c r="AD1682" s="3"/>
      <c r="AE1682" s="3"/>
      <c r="AG1682" s="2"/>
      <c r="AR1682" s="307"/>
      <c r="AS1682" s="307"/>
      <c r="AT1682" s="307"/>
      <c r="AU1682" s="670"/>
      <c r="AV1682" s="572"/>
    </row>
    <row r="1683" spans="4:48" ht="12.75" customHeight="1" x14ac:dyDescent="0.25">
      <c r="D1683" s="3"/>
      <c r="L1683" s="3"/>
      <c r="N1683" s="3"/>
      <c r="O1683" s="3"/>
      <c r="R1683" s="3"/>
      <c r="W1683" s="3"/>
      <c r="X1683" s="3"/>
      <c r="Y1683" s="835"/>
      <c r="Z1683" s="3"/>
      <c r="AA1683" s="3"/>
      <c r="AB1683" s="3"/>
      <c r="AC1683" s="3"/>
      <c r="AD1683" s="3"/>
      <c r="AE1683" s="3"/>
      <c r="AG1683" s="2"/>
      <c r="AR1683" s="307"/>
      <c r="AS1683" s="307"/>
      <c r="AT1683" s="307"/>
      <c r="AU1683" s="670"/>
      <c r="AV1683" s="572"/>
    </row>
    <row r="1684" spans="4:48" ht="12.75" customHeight="1" x14ac:dyDescent="0.25">
      <c r="D1684" s="3"/>
      <c r="L1684" s="3"/>
      <c r="N1684" s="3"/>
      <c r="O1684" s="3"/>
      <c r="R1684" s="3"/>
      <c r="W1684" s="3"/>
      <c r="X1684" s="3"/>
      <c r="Y1684" s="835"/>
      <c r="Z1684" s="3"/>
      <c r="AA1684" s="3"/>
      <c r="AB1684" s="3"/>
      <c r="AC1684" s="3"/>
      <c r="AD1684" s="3"/>
      <c r="AE1684" s="3"/>
      <c r="AG1684" s="2"/>
      <c r="AR1684" s="307"/>
      <c r="AS1684" s="307"/>
      <c r="AT1684" s="307"/>
      <c r="AU1684" s="670"/>
      <c r="AV1684" s="572"/>
    </row>
    <row r="1685" spans="4:48" ht="12.75" customHeight="1" x14ac:dyDescent="0.25">
      <c r="D1685" s="3"/>
      <c r="L1685" s="3"/>
      <c r="N1685" s="3"/>
      <c r="O1685" s="3"/>
      <c r="R1685" s="3"/>
      <c r="W1685" s="3"/>
      <c r="X1685" s="3"/>
      <c r="Y1685" s="835"/>
      <c r="Z1685" s="3"/>
      <c r="AA1685" s="3"/>
      <c r="AB1685" s="3"/>
      <c r="AC1685" s="3"/>
      <c r="AD1685" s="3"/>
      <c r="AE1685" s="3"/>
      <c r="AG1685" s="2"/>
      <c r="AR1685" s="307"/>
      <c r="AS1685" s="307"/>
      <c r="AT1685" s="307"/>
      <c r="AU1685" s="670"/>
      <c r="AV1685" s="572"/>
    </row>
    <row r="1686" spans="4:48" ht="12.75" customHeight="1" x14ac:dyDescent="0.25">
      <c r="D1686" s="3"/>
      <c r="L1686" s="3"/>
      <c r="N1686" s="3"/>
      <c r="O1686" s="3"/>
      <c r="R1686" s="3"/>
      <c r="W1686" s="3"/>
      <c r="X1686" s="3"/>
      <c r="Y1686" s="835"/>
      <c r="Z1686" s="3"/>
      <c r="AA1686" s="3"/>
      <c r="AB1686" s="3"/>
      <c r="AC1686" s="3"/>
      <c r="AD1686" s="3"/>
      <c r="AE1686" s="3"/>
      <c r="AG1686" s="2"/>
      <c r="AR1686" s="307"/>
      <c r="AS1686" s="307"/>
      <c r="AT1686" s="307"/>
      <c r="AU1686" s="670"/>
      <c r="AV1686" s="572"/>
    </row>
    <row r="1687" spans="4:48" ht="12.75" customHeight="1" x14ac:dyDescent="0.25">
      <c r="D1687" s="3"/>
      <c r="L1687" s="3"/>
      <c r="N1687" s="3"/>
      <c r="O1687" s="3"/>
      <c r="R1687" s="3"/>
      <c r="W1687" s="3"/>
      <c r="X1687" s="3"/>
      <c r="Y1687" s="835"/>
      <c r="Z1687" s="3"/>
      <c r="AA1687" s="3"/>
      <c r="AB1687" s="3"/>
      <c r="AC1687" s="3"/>
      <c r="AD1687" s="3"/>
      <c r="AE1687" s="3"/>
      <c r="AG1687" s="2"/>
      <c r="AR1687" s="307"/>
      <c r="AS1687" s="307"/>
      <c r="AT1687" s="307"/>
      <c r="AU1687" s="670"/>
      <c r="AV1687" s="572"/>
    </row>
    <row r="1688" spans="4:48" ht="12.75" customHeight="1" x14ac:dyDescent="0.25">
      <c r="D1688" s="3"/>
      <c r="L1688" s="3"/>
      <c r="N1688" s="3"/>
      <c r="O1688" s="3"/>
      <c r="R1688" s="3"/>
      <c r="W1688" s="3"/>
      <c r="X1688" s="3"/>
      <c r="Y1688" s="835"/>
      <c r="Z1688" s="3"/>
      <c r="AA1688" s="3"/>
      <c r="AB1688" s="3"/>
      <c r="AC1688" s="3"/>
      <c r="AD1688" s="3"/>
      <c r="AE1688" s="3"/>
      <c r="AG1688" s="2"/>
      <c r="AR1688" s="307"/>
      <c r="AS1688" s="307"/>
      <c r="AT1688" s="307"/>
      <c r="AU1688" s="670"/>
      <c r="AV1688" s="572"/>
    </row>
    <row r="1689" spans="4:48" ht="12.75" customHeight="1" x14ac:dyDescent="0.25">
      <c r="D1689" s="3"/>
      <c r="L1689" s="3"/>
      <c r="N1689" s="3"/>
      <c r="O1689" s="3"/>
      <c r="R1689" s="3"/>
      <c r="W1689" s="3"/>
      <c r="X1689" s="3"/>
      <c r="Y1689" s="835"/>
      <c r="Z1689" s="3"/>
      <c r="AA1689" s="3"/>
      <c r="AB1689" s="3"/>
      <c r="AC1689" s="3"/>
      <c r="AD1689" s="3"/>
      <c r="AE1689" s="3"/>
      <c r="AG1689" s="2"/>
      <c r="AR1689" s="307"/>
      <c r="AS1689" s="307"/>
      <c r="AT1689" s="307"/>
      <c r="AU1689" s="670"/>
      <c r="AV1689" s="572"/>
    </row>
    <row r="1690" spans="4:48" ht="12.75" customHeight="1" x14ac:dyDescent="0.25">
      <c r="D1690" s="3"/>
      <c r="L1690" s="3"/>
      <c r="N1690" s="3"/>
      <c r="O1690" s="3"/>
      <c r="R1690" s="3"/>
      <c r="W1690" s="3"/>
      <c r="X1690" s="3"/>
      <c r="Y1690" s="835"/>
      <c r="Z1690" s="3"/>
      <c r="AA1690" s="3"/>
      <c r="AB1690" s="3"/>
      <c r="AC1690" s="3"/>
      <c r="AD1690" s="3"/>
      <c r="AE1690" s="3"/>
      <c r="AG1690" s="2"/>
      <c r="AR1690" s="307"/>
      <c r="AS1690" s="307"/>
      <c r="AT1690" s="307"/>
      <c r="AU1690" s="670"/>
      <c r="AV1690" s="572"/>
    </row>
    <row r="1691" spans="4:48" ht="12.75" customHeight="1" x14ac:dyDescent="0.25">
      <c r="D1691" s="3"/>
      <c r="L1691" s="3"/>
      <c r="N1691" s="3"/>
      <c r="O1691" s="3"/>
      <c r="R1691" s="3"/>
      <c r="W1691" s="3"/>
      <c r="X1691" s="3"/>
      <c r="Y1691" s="835"/>
      <c r="Z1691" s="3"/>
      <c r="AA1691" s="3"/>
      <c r="AB1691" s="3"/>
      <c r="AC1691" s="3"/>
      <c r="AD1691" s="3"/>
      <c r="AE1691" s="3"/>
      <c r="AG1691" s="2"/>
      <c r="AR1691" s="307"/>
      <c r="AS1691" s="307"/>
      <c r="AT1691" s="307"/>
      <c r="AU1691" s="670"/>
      <c r="AV1691" s="572"/>
    </row>
    <row r="1692" spans="4:48" ht="12.75" customHeight="1" x14ac:dyDescent="0.25">
      <c r="D1692" s="3"/>
      <c r="L1692" s="3"/>
      <c r="N1692" s="3"/>
      <c r="O1692" s="3"/>
      <c r="R1692" s="3"/>
      <c r="W1692" s="3"/>
      <c r="X1692" s="3"/>
      <c r="Y1692" s="835"/>
      <c r="Z1692" s="3"/>
      <c r="AA1692" s="3"/>
      <c r="AB1692" s="3"/>
      <c r="AC1692" s="3"/>
      <c r="AD1692" s="3"/>
      <c r="AE1692" s="3"/>
      <c r="AG1692" s="2"/>
      <c r="AR1692" s="307"/>
      <c r="AS1692" s="307"/>
      <c r="AT1692" s="307"/>
      <c r="AU1692" s="670"/>
      <c r="AV1692" s="572"/>
    </row>
    <row r="1693" spans="4:48" ht="12.75" customHeight="1" x14ac:dyDescent="0.25">
      <c r="D1693" s="3"/>
      <c r="L1693" s="3"/>
      <c r="N1693" s="3"/>
      <c r="O1693" s="3"/>
      <c r="R1693" s="3"/>
      <c r="W1693" s="3"/>
      <c r="X1693" s="3"/>
      <c r="Y1693" s="835"/>
      <c r="Z1693" s="3"/>
      <c r="AA1693" s="3"/>
      <c r="AB1693" s="3"/>
      <c r="AC1693" s="3"/>
      <c r="AD1693" s="3"/>
      <c r="AE1693" s="3"/>
      <c r="AG1693" s="2"/>
      <c r="AR1693" s="307"/>
      <c r="AS1693" s="307"/>
      <c r="AT1693" s="307"/>
      <c r="AU1693" s="670"/>
      <c r="AV1693" s="572"/>
    </row>
    <row r="1694" spans="4:48" ht="15" customHeight="1" x14ac:dyDescent="0.25">
      <c r="AG1694" s="2"/>
      <c r="AR1694" s="307"/>
      <c r="AS1694" s="307"/>
      <c r="AT1694" s="307"/>
      <c r="AU1694" s="670"/>
      <c r="AV1694" s="572"/>
    </row>
    <row r="1695" spans="4:48" ht="15" customHeight="1" x14ac:dyDescent="0.25">
      <c r="AG1695" s="2"/>
      <c r="AR1695" s="307"/>
      <c r="AS1695" s="307"/>
      <c r="AT1695" s="307"/>
      <c r="AU1695" s="670"/>
      <c r="AV1695" s="572"/>
    </row>
    <row r="1696" spans="4:48" ht="15" customHeight="1" x14ac:dyDescent="0.25">
      <c r="AG1696" s="2"/>
      <c r="AR1696" s="307"/>
      <c r="AS1696" s="307"/>
      <c r="AT1696" s="307"/>
      <c r="AU1696" s="670"/>
      <c r="AV1696" s="572"/>
    </row>
    <row r="1697" spans="33:48" ht="15" customHeight="1" x14ac:dyDescent="0.25">
      <c r="AG1697" s="2"/>
      <c r="AR1697" s="307"/>
      <c r="AS1697" s="307"/>
      <c r="AT1697" s="307"/>
      <c r="AU1697" s="670"/>
      <c r="AV1697" s="572"/>
    </row>
    <row r="1698" spans="33:48" ht="15" customHeight="1" x14ac:dyDescent="0.25">
      <c r="AG1698" s="2"/>
      <c r="AR1698" s="307"/>
      <c r="AS1698" s="307"/>
      <c r="AT1698" s="307"/>
      <c r="AU1698" s="670"/>
      <c r="AV1698" s="572"/>
    </row>
    <row r="1699" spans="33:48" ht="15" customHeight="1" x14ac:dyDescent="0.25">
      <c r="AG1699" s="2"/>
      <c r="AR1699" s="307"/>
      <c r="AS1699" s="307"/>
      <c r="AT1699" s="307"/>
      <c r="AU1699" s="670"/>
      <c r="AV1699" s="572"/>
    </row>
    <row r="1700" spans="33:48" ht="15" customHeight="1" x14ac:dyDescent="0.25">
      <c r="AG1700" s="2"/>
      <c r="AR1700" s="307"/>
      <c r="AS1700" s="307"/>
      <c r="AT1700" s="307"/>
      <c r="AU1700" s="670"/>
      <c r="AV1700" s="572"/>
    </row>
    <row r="1701" spans="33:48" ht="15" customHeight="1" x14ac:dyDescent="0.25">
      <c r="AG1701" s="2"/>
      <c r="AR1701" s="307"/>
      <c r="AS1701" s="307"/>
      <c r="AT1701" s="307"/>
      <c r="AU1701" s="670"/>
      <c r="AV1701" s="572"/>
    </row>
    <row r="1702" spans="33:48" ht="15" customHeight="1" x14ac:dyDescent="0.25">
      <c r="AG1702" s="2"/>
      <c r="AR1702" s="307"/>
      <c r="AS1702" s="307"/>
      <c r="AT1702" s="307"/>
      <c r="AU1702" s="670"/>
      <c r="AV1702" s="572"/>
    </row>
    <row r="1703" spans="33:48" ht="15" customHeight="1" x14ac:dyDescent="0.25">
      <c r="AG1703" s="2"/>
      <c r="AR1703" s="307"/>
      <c r="AS1703" s="307"/>
      <c r="AT1703" s="307"/>
      <c r="AU1703" s="670"/>
      <c r="AV1703" s="572"/>
    </row>
    <row r="1704" spans="33:48" ht="15" customHeight="1" x14ac:dyDescent="0.25">
      <c r="AG1704" s="2"/>
      <c r="AR1704" s="307"/>
      <c r="AS1704" s="307"/>
      <c r="AT1704" s="307"/>
      <c r="AU1704" s="670"/>
      <c r="AV1704" s="572"/>
    </row>
    <row r="1705" spans="33:48" ht="15" customHeight="1" x14ac:dyDescent="0.25">
      <c r="AG1705" s="2"/>
      <c r="AR1705" s="307"/>
      <c r="AS1705" s="307"/>
      <c r="AT1705" s="307"/>
      <c r="AU1705" s="670"/>
      <c r="AV1705" s="572"/>
    </row>
    <row r="1706" spans="33:48" ht="15" customHeight="1" x14ac:dyDescent="0.25">
      <c r="AG1706" s="2"/>
      <c r="AR1706" s="307"/>
      <c r="AS1706" s="307"/>
      <c r="AT1706" s="307"/>
      <c r="AU1706" s="670"/>
      <c r="AV1706" s="572"/>
    </row>
    <row r="1707" spans="33:48" ht="15" customHeight="1" x14ac:dyDescent="0.25">
      <c r="AG1707" s="2"/>
      <c r="AR1707" s="307"/>
      <c r="AS1707" s="307"/>
      <c r="AT1707" s="307"/>
      <c r="AU1707" s="670"/>
      <c r="AV1707" s="572"/>
    </row>
    <row r="1708" spans="33:48" ht="15" customHeight="1" x14ac:dyDescent="0.25">
      <c r="AG1708" s="2"/>
      <c r="AR1708" s="307"/>
      <c r="AS1708" s="307"/>
      <c r="AT1708" s="307"/>
      <c r="AU1708" s="670"/>
      <c r="AV1708" s="572"/>
    </row>
    <row r="1709" spans="33:48" ht="15" customHeight="1" x14ac:dyDescent="0.25">
      <c r="AG1709" s="2"/>
      <c r="AR1709" s="307"/>
      <c r="AS1709" s="307"/>
      <c r="AT1709" s="307"/>
      <c r="AU1709" s="670"/>
      <c r="AV1709" s="572"/>
    </row>
    <row r="1710" spans="33:48" ht="15" customHeight="1" x14ac:dyDescent="0.25">
      <c r="AG1710" s="2"/>
      <c r="AR1710" s="307"/>
      <c r="AS1710" s="307"/>
      <c r="AT1710" s="307"/>
      <c r="AU1710" s="670"/>
      <c r="AV1710" s="572"/>
    </row>
    <row r="1711" spans="33:48" ht="15" customHeight="1" x14ac:dyDescent="0.25">
      <c r="AG1711" s="2"/>
      <c r="AR1711" s="307"/>
      <c r="AS1711" s="307"/>
      <c r="AT1711" s="307"/>
      <c r="AU1711" s="670"/>
      <c r="AV1711" s="572"/>
    </row>
    <row r="1712" spans="33:48" ht="15" customHeight="1" x14ac:dyDescent="0.25">
      <c r="AG1712" s="2"/>
      <c r="AR1712" s="307"/>
      <c r="AS1712" s="307"/>
      <c r="AT1712" s="307"/>
      <c r="AU1712" s="670"/>
      <c r="AV1712" s="572"/>
    </row>
    <row r="1713" spans="33:48" ht="15" customHeight="1" x14ac:dyDescent="0.25">
      <c r="AG1713" s="2"/>
      <c r="AR1713" s="307"/>
      <c r="AS1713" s="307"/>
      <c r="AT1713" s="307"/>
      <c r="AU1713" s="670"/>
      <c r="AV1713" s="572"/>
    </row>
    <row r="1714" spans="33:48" ht="15" customHeight="1" x14ac:dyDescent="0.25">
      <c r="AG1714" s="2"/>
      <c r="AR1714" s="307"/>
      <c r="AS1714" s="307"/>
      <c r="AT1714" s="307"/>
      <c r="AU1714" s="670"/>
      <c r="AV1714" s="572"/>
    </row>
    <row r="1715" spans="33:48" ht="15" customHeight="1" x14ac:dyDescent="0.25">
      <c r="AG1715" s="2"/>
      <c r="AR1715" s="307"/>
      <c r="AS1715" s="307"/>
      <c r="AT1715" s="307"/>
      <c r="AU1715" s="670"/>
      <c r="AV1715" s="572"/>
    </row>
    <row r="1716" spans="33:48" ht="15" customHeight="1" x14ac:dyDescent="0.25">
      <c r="AG1716" s="2"/>
      <c r="AR1716" s="307"/>
      <c r="AS1716" s="307"/>
      <c r="AT1716" s="307"/>
      <c r="AU1716" s="670"/>
      <c r="AV1716" s="572"/>
    </row>
    <row r="1717" spans="33:48" ht="15" customHeight="1" x14ac:dyDescent="0.25">
      <c r="AG1717" s="2"/>
      <c r="AR1717" s="307"/>
      <c r="AS1717" s="307"/>
      <c r="AT1717" s="307"/>
      <c r="AU1717" s="670"/>
      <c r="AV1717" s="572"/>
    </row>
    <row r="1718" spans="33:48" ht="15" customHeight="1" x14ac:dyDescent="0.25">
      <c r="AG1718" s="2"/>
      <c r="AR1718" s="307"/>
      <c r="AS1718" s="307"/>
      <c r="AT1718" s="307"/>
      <c r="AU1718" s="670"/>
      <c r="AV1718" s="572"/>
    </row>
    <row r="1719" spans="33:48" ht="15" customHeight="1" x14ac:dyDescent="0.25">
      <c r="AG1719" s="2"/>
      <c r="AR1719" s="307"/>
      <c r="AS1719" s="307"/>
      <c r="AT1719" s="307"/>
      <c r="AU1719" s="670"/>
      <c r="AV1719" s="572"/>
    </row>
    <row r="1720" spans="33:48" ht="15" customHeight="1" x14ac:dyDescent="0.25">
      <c r="AG1720" s="2"/>
      <c r="AR1720" s="307"/>
      <c r="AS1720" s="307"/>
      <c r="AT1720" s="307"/>
      <c r="AU1720" s="670"/>
      <c r="AV1720" s="572"/>
    </row>
    <row r="1721" spans="33:48" ht="15" customHeight="1" x14ac:dyDescent="0.25">
      <c r="AG1721" s="2"/>
      <c r="AR1721" s="307"/>
      <c r="AS1721" s="307"/>
      <c r="AT1721" s="307"/>
      <c r="AU1721" s="670"/>
      <c r="AV1721" s="572"/>
    </row>
    <row r="1722" spans="33:48" ht="15" customHeight="1" x14ac:dyDescent="0.25">
      <c r="AG1722" s="2"/>
      <c r="AR1722" s="307"/>
      <c r="AS1722" s="307"/>
      <c r="AT1722" s="307"/>
      <c r="AU1722" s="670"/>
      <c r="AV1722" s="572"/>
    </row>
    <row r="1723" spans="33:48" ht="15" customHeight="1" x14ac:dyDescent="0.25">
      <c r="AG1723" s="2"/>
      <c r="AR1723" s="307"/>
      <c r="AS1723" s="307"/>
      <c r="AT1723" s="307"/>
      <c r="AU1723" s="670"/>
      <c r="AV1723" s="572"/>
    </row>
    <row r="1724" spans="33:48" ht="15" customHeight="1" x14ac:dyDescent="0.25">
      <c r="AG1724" s="2"/>
      <c r="AR1724" s="307"/>
      <c r="AS1724" s="307"/>
      <c r="AT1724" s="307"/>
      <c r="AU1724" s="670"/>
      <c r="AV1724" s="572"/>
    </row>
    <row r="1725" spans="33:48" ht="15" customHeight="1" x14ac:dyDescent="0.25">
      <c r="AG1725" s="2"/>
      <c r="AR1725" s="307"/>
      <c r="AS1725" s="307"/>
      <c r="AT1725" s="307"/>
      <c r="AU1725" s="670"/>
      <c r="AV1725" s="572"/>
    </row>
    <row r="1726" spans="33:48" ht="15" customHeight="1" x14ac:dyDescent="0.25">
      <c r="AG1726" s="2"/>
      <c r="AR1726" s="307"/>
      <c r="AS1726" s="307"/>
      <c r="AT1726" s="307"/>
      <c r="AU1726" s="670"/>
      <c r="AV1726" s="572"/>
    </row>
    <row r="1727" spans="33:48" ht="15" customHeight="1" x14ac:dyDescent="0.25">
      <c r="AG1727" s="2"/>
      <c r="AR1727" s="307"/>
      <c r="AS1727" s="307"/>
      <c r="AT1727" s="307"/>
      <c r="AU1727" s="670"/>
      <c r="AV1727" s="572"/>
    </row>
    <row r="1728" spans="33:48" ht="15" customHeight="1" x14ac:dyDescent="0.25">
      <c r="AG1728" s="2"/>
      <c r="AR1728" s="307"/>
      <c r="AS1728" s="307"/>
      <c r="AT1728" s="307"/>
      <c r="AU1728" s="670"/>
      <c r="AV1728" s="572"/>
    </row>
    <row r="1729" spans="33:48" ht="15" customHeight="1" x14ac:dyDescent="0.25">
      <c r="AG1729" s="2"/>
      <c r="AR1729" s="307"/>
      <c r="AS1729" s="307"/>
      <c r="AT1729" s="307"/>
      <c r="AU1729" s="670"/>
      <c r="AV1729" s="572"/>
    </row>
    <row r="1730" spans="33:48" ht="15" customHeight="1" x14ac:dyDescent="0.25">
      <c r="AG1730" s="2"/>
      <c r="AR1730" s="307"/>
      <c r="AS1730" s="307"/>
      <c r="AT1730" s="307"/>
      <c r="AU1730" s="670"/>
      <c r="AV1730" s="572"/>
    </row>
    <row r="1731" spans="33:48" ht="15" customHeight="1" x14ac:dyDescent="0.25">
      <c r="AG1731" s="2"/>
      <c r="AR1731" s="307"/>
      <c r="AS1731" s="307"/>
      <c r="AT1731" s="307"/>
      <c r="AU1731" s="670"/>
      <c r="AV1731" s="572"/>
    </row>
    <row r="1732" spans="33:48" ht="15" customHeight="1" x14ac:dyDescent="0.25">
      <c r="AG1732" s="2"/>
      <c r="AR1732" s="307"/>
      <c r="AS1732" s="307"/>
      <c r="AT1732" s="307"/>
      <c r="AU1732" s="670"/>
      <c r="AV1732" s="572"/>
    </row>
    <row r="1733" spans="33:48" ht="15" customHeight="1" x14ac:dyDescent="0.25">
      <c r="AG1733" s="2"/>
      <c r="AR1733" s="307"/>
      <c r="AS1733" s="307"/>
      <c r="AT1733" s="307"/>
      <c r="AU1733" s="670"/>
      <c r="AV1733" s="572"/>
    </row>
    <row r="1734" spans="33:48" ht="15" customHeight="1" x14ac:dyDescent="0.25">
      <c r="AG1734" s="2"/>
      <c r="AR1734" s="307"/>
      <c r="AS1734" s="307"/>
      <c r="AT1734" s="307"/>
      <c r="AU1734" s="670"/>
      <c r="AV1734" s="572"/>
    </row>
    <row r="1735" spans="33:48" ht="15" customHeight="1" x14ac:dyDescent="0.25">
      <c r="AG1735" s="2"/>
      <c r="AR1735" s="307"/>
      <c r="AS1735" s="307"/>
      <c r="AT1735" s="307"/>
      <c r="AU1735" s="670"/>
      <c r="AV1735" s="572"/>
    </row>
    <row r="1736" spans="33:48" ht="15" customHeight="1" x14ac:dyDescent="0.25">
      <c r="AG1736" s="2"/>
      <c r="AR1736" s="307"/>
      <c r="AS1736" s="307"/>
      <c r="AT1736" s="307"/>
      <c r="AU1736" s="670"/>
      <c r="AV1736" s="572"/>
    </row>
    <row r="1737" spans="33:48" ht="15" customHeight="1" x14ac:dyDescent="0.25">
      <c r="AG1737" s="2"/>
      <c r="AR1737" s="307"/>
      <c r="AS1737" s="307"/>
      <c r="AT1737" s="307"/>
      <c r="AU1737" s="670"/>
      <c r="AV1737" s="572"/>
    </row>
    <row r="1738" spans="33:48" ht="15" customHeight="1" x14ac:dyDescent="0.25">
      <c r="AG1738" s="2"/>
      <c r="AR1738" s="307"/>
      <c r="AS1738" s="307"/>
      <c r="AT1738" s="307"/>
      <c r="AU1738" s="670"/>
      <c r="AV1738" s="572"/>
    </row>
    <row r="1739" spans="33:48" ht="15" customHeight="1" x14ac:dyDescent="0.25">
      <c r="AG1739" s="2"/>
      <c r="AR1739" s="307"/>
      <c r="AS1739" s="307"/>
      <c r="AT1739" s="307"/>
      <c r="AU1739" s="670"/>
      <c r="AV1739" s="572"/>
    </row>
    <row r="1740" spans="33:48" ht="15" customHeight="1" x14ac:dyDescent="0.25">
      <c r="AG1740" s="2"/>
      <c r="AR1740" s="307"/>
      <c r="AS1740" s="307"/>
      <c r="AT1740" s="307"/>
      <c r="AU1740" s="670"/>
      <c r="AV1740" s="572"/>
    </row>
    <row r="1741" spans="33:48" ht="15" customHeight="1" x14ac:dyDescent="0.25">
      <c r="AG1741" s="2"/>
      <c r="AR1741" s="307"/>
      <c r="AS1741" s="307"/>
      <c r="AT1741" s="307"/>
      <c r="AU1741" s="670"/>
      <c r="AV1741" s="572"/>
    </row>
    <row r="1742" spans="33:48" ht="15" customHeight="1" x14ac:dyDescent="0.25">
      <c r="AG1742" s="2"/>
      <c r="AR1742" s="307"/>
      <c r="AS1742" s="307"/>
      <c r="AT1742" s="307"/>
      <c r="AU1742" s="670"/>
      <c r="AV1742" s="572"/>
    </row>
    <row r="1743" spans="33:48" ht="15" customHeight="1" x14ac:dyDescent="0.25">
      <c r="AG1743" s="2"/>
      <c r="AR1743" s="307"/>
      <c r="AS1743" s="307"/>
      <c r="AT1743" s="307"/>
      <c r="AU1743" s="670"/>
      <c r="AV1743" s="572"/>
    </row>
    <row r="1744" spans="33:48" ht="15" customHeight="1" x14ac:dyDescent="0.25">
      <c r="AG1744" s="2"/>
      <c r="AR1744" s="307"/>
      <c r="AS1744" s="307"/>
      <c r="AT1744" s="307"/>
      <c r="AU1744" s="670"/>
      <c r="AV1744" s="572"/>
    </row>
    <row r="1745" spans="33:48" ht="15" customHeight="1" x14ac:dyDescent="0.25">
      <c r="AG1745" s="2"/>
      <c r="AR1745" s="307"/>
      <c r="AS1745" s="307"/>
      <c r="AT1745" s="307"/>
      <c r="AU1745" s="670"/>
      <c r="AV1745" s="572"/>
    </row>
    <row r="1746" spans="33:48" ht="15" customHeight="1" x14ac:dyDescent="0.25">
      <c r="AG1746" s="2"/>
      <c r="AR1746" s="307"/>
      <c r="AS1746" s="307"/>
      <c r="AT1746" s="307"/>
      <c r="AU1746" s="670"/>
      <c r="AV1746" s="572"/>
    </row>
    <row r="1747" spans="33:48" ht="15" customHeight="1" x14ac:dyDescent="0.25">
      <c r="AG1747" s="2"/>
      <c r="AR1747" s="307"/>
      <c r="AS1747" s="307"/>
      <c r="AT1747" s="307"/>
      <c r="AU1747" s="670"/>
      <c r="AV1747" s="572"/>
    </row>
    <row r="1748" spans="33:48" ht="15" customHeight="1" x14ac:dyDescent="0.25">
      <c r="AG1748" s="2"/>
      <c r="AR1748" s="307"/>
      <c r="AS1748" s="307"/>
      <c r="AT1748" s="307"/>
      <c r="AU1748" s="670"/>
      <c r="AV1748" s="572"/>
    </row>
    <row r="1749" spans="33:48" ht="15" customHeight="1" x14ac:dyDescent="0.25">
      <c r="AG1749" s="2"/>
      <c r="AR1749" s="307"/>
      <c r="AS1749" s="307"/>
      <c r="AT1749" s="307"/>
      <c r="AU1749" s="670"/>
      <c r="AV1749" s="572"/>
    </row>
    <row r="1750" spans="33:48" ht="15" customHeight="1" x14ac:dyDescent="0.25">
      <c r="AG1750" s="2"/>
      <c r="AR1750" s="307"/>
      <c r="AS1750" s="307"/>
      <c r="AT1750" s="307"/>
      <c r="AU1750" s="670"/>
      <c r="AV1750" s="572"/>
    </row>
    <row r="1751" spans="33:48" ht="15" customHeight="1" x14ac:dyDescent="0.25">
      <c r="AG1751" s="2"/>
      <c r="AR1751" s="307"/>
      <c r="AS1751" s="307"/>
      <c r="AT1751" s="307"/>
      <c r="AU1751" s="670"/>
      <c r="AV1751" s="572"/>
    </row>
    <row r="1752" spans="33:48" ht="15" customHeight="1" x14ac:dyDescent="0.25">
      <c r="AG1752" s="2"/>
      <c r="AR1752" s="307"/>
      <c r="AS1752" s="307"/>
      <c r="AT1752" s="307"/>
      <c r="AU1752" s="670"/>
      <c r="AV1752" s="572"/>
    </row>
    <row r="1753" spans="33:48" ht="15" customHeight="1" x14ac:dyDescent="0.25">
      <c r="AG1753" s="2"/>
      <c r="AR1753" s="307"/>
      <c r="AS1753" s="307"/>
      <c r="AT1753" s="307"/>
      <c r="AU1753" s="670"/>
      <c r="AV1753" s="572"/>
    </row>
    <row r="1754" spans="33:48" ht="15" customHeight="1" x14ac:dyDescent="0.25">
      <c r="AG1754" s="2"/>
      <c r="AR1754" s="307"/>
      <c r="AS1754" s="307"/>
      <c r="AT1754" s="307"/>
      <c r="AU1754" s="670"/>
      <c r="AV1754" s="572"/>
    </row>
    <row r="1755" spans="33:48" ht="15" customHeight="1" x14ac:dyDescent="0.25">
      <c r="AG1755" s="2"/>
      <c r="AR1755" s="307"/>
      <c r="AS1755" s="307"/>
      <c r="AT1755" s="307"/>
      <c r="AU1755" s="670"/>
      <c r="AV1755" s="572"/>
    </row>
    <row r="1756" spans="33:48" ht="15" customHeight="1" x14ac:dyDescent="0.25">
      <c r="AG1756" s="2"/>
      <c r="AR1756" s="307"/>
      <c r="AS1756" s="307"/>
      <c r="AT1756" s="307"/>
      <c r="AU1756" s="670"/>
      <c r="AV1756" s="572"/>
    </row>
    <row r="1757" spans="33:48" ht="15" customHeight="1" x14ac:dyDescent="0.25">
      <c r="AG1757" s="2"/>
      <c r="AR1757" s="307"/>
      <c r="AS1757" s="307"/>
      <c r="AT1757" s="307"/>
      <c r="AU1757" s="670"/>
      <c r="AV1757" s="572"/>
    </row>
    <row r="1758" spans="33:48" ht="15" customHeight="1" x14ac:dyDescent="0.25">
      <c r="AG1758" s="2"/>
      <c r="AR1758" s="307"/>
      <c r="AS1758" s="307"/>
      <c r="AT1758" s="307"/>
      <c r="AU1758" s="670"/>
      <c r="AV1758" s="572"/>
    </row>
    <row r="1759" spans="33:48" ht="15" customHeight="1" x14ac:dyDescent="0.25">
      <c r="AG1759" s="2"/>
      <c r="AR1759" s="307"/>
      <c r="AS1759" s="307"/>
      <c r="AT1759" s="307"/>
      <c r="AU1759" s="670"/>
      <c r="AV1759" s="572"/>
    </row>
    <row r="1760" spans="33:48" ht="15" customHeight="1" x14ac:dyDescent="0.25">
      <c r="AG1760" s="2"/>
      <c r="AR1760" s="307"/>
      <c r="AS1760" s="307"/>
      <c r="AT1760" s="307"/>
      <c r="AU1760" s="670"/>
      <c r="AV1760" s="572"/>
    </row>
    <row r="1761" spans="33:48" ht="15" customHeight="1" x14ac:dyDescent="0.25">
      <c r="AG1761" s="2"/>
      <c r="AR1761" s="307"/>
      <c r="AS1761" s="307"/>
      <c r="AT1761" s="307"/>
      <c r="AU1761" s="670"/>
      <c r="AV1761" s="572"/>
    </row>
    <row r="1762" spans="33:48" ht="15" customHeight="1" x14ac:dyDescent="0.25">
      <c r="AG1762" s="2"/>
      <c r="AR1762" s="307"/>
      <c r="AS1762" s="307"/>
      <c r="AT1762" s="307"/>
      <c r="AU1762" s="670"/>
      <c r="AV1762" s="572"/>
    </row>
    <row r="1763" spans="33:48" ht="15" customHeight="1" x14ac:dyDescent="0.25">
      <c r="AG1763" s="2"/>
      <c r="AR1763" s="307"/>
      <c r="AS1763" s="307"/>
      <c r="AT1763" s="307"/>
      <c r="AU1763" s="670"/>
      <c r="AV1763" s="572"/>
    </row>
    <row r="1764" spans="33:48" ht="15" customHeight="1" x14ac:dyDescent="0.25">
      <c r="AG1764" s="2"/>
      <c r="AR1764" s="307"/>
      <c r="AS1764" s="307"/>
      <c r="AT1764" s="307"/>
      <c r="AU1764" s="670"/>
      <c r="AV1764" s="572"/>
    </row>
    <row r="1765" spans="33:48" ht="15" customHeight="1" x14ac:dyDescent="0.25">
      <c r="AG1765" s="2"/>
      <c r="AR1765" s="307"/>
      <c r="AS1765" s="307"/>
      <c r="AT1765" s="307"/>
      <c r="AU1765" s="670"/>
      <c r="AV1765" s="572"/>
    </row>
    <row r="1766" spans="33:48" ht="15" customHeight="1" x14ac:dyDescent="0.25">
      <c r="AG1766" s="2"/>
      <c r="AR1766" s="307"/>
      <c r="AS1766" s="307"/>
      <c r="AT1766" s="307"/>
      <c r="AU1766" s="670"/>
      <c r="AV1766" s="572"/>
    </row>
    <row r="1767" spans="33:48" ht="15" customHeight="1" x14ac:dyDescent="0.25">
      <c r="AG1767" s="2"/>
      <c r="AR1767" s="307"/>
      <c r="AS1767" s="307"/>
      <c r="AT1767" s="307"/>
      <c r="AU1767" s="670"/>
      <c r="AV1767" s="572"/>
    </row>
    <row r="1768" spans="33:48" ht="15" customHeight="1" x14ac:dyDescent="0.25">
      <c r="AG1768" s="2"/>
      <c r="AR1768" s="307"/>
      <c r="AS1768" s="307"/>
      <c r="AT1768" s="307"/>
      <c r="AU1768" s="670"/>
      <c r="AV1768" s="572"/>
    </row>
    <row r="1769" spans="33:48" ht="15" customHeight="1" x14ac:dyDescent="0.25">
      <c r="AG1769" s="2"/>
      <c r="AR1769" s="307"/>
      <c r="AS1769" s="307"/>
      <c r="AT1769" s="307"/>
      <c r="AU1769" s="670"/>
      <c r="AV1769" s="572"/>
    </row>
    <row r="1770" spans="33:48" ht="15" customHeight="1" x14ac:dyDescent="0.25">
      <c r="AG1770" s="2"/>
      <c r="AR1770" s="307"/>
      <c r="AS1770" s="307"/>
      <c r="AT1770" s="307"/>
      <c r="AU1770" s="670"/>
      <c r="AV1770" s="572"/>
    </row>
    <row r="1771" spans="33:48" ht="15" customHeight="1" x14ac:dyDescent="0.25">
      <c r="AG1771" s="2"/>
      <c r="AR1771" s="307"/>
      <c r="AS1771" s="307"/>
      <c r="AT1771" s="307"/>
      <c r="AU1771" s="670"/>
      <c r="AV1771" s="572"/>
    </row>
    <row r="1772" spans="33:48" ht="15" customHeight="1" x14ac:dyDescent="0.25">
      <c r="AG1772" s="2"/>
      <c r="AR1772" s="307"/>
      <c r="AS1772" s="307"/>
      <c r="AT1772" s="307"/>
      <c r="AU1772" s="670"/>
      <c r="AV1772" s="572"/>
    </row>
    <row r="1773" spans="33:48" ht="15" customHeight="1" x14ac:dyDescent="0.25">
      <c r="AG1773" s="2"/>
      <c r="AR1773" s="307"/>
      <c r="AS1773" s="307"/>
      <c r="AT1773" s="307"/>
      <c r="AU1773" s="670"/>
      <c r="AV1773" s="572"/>
    </row>
    <row r="1774" spans="33:48" ht="15" customHeight="1" x14ac:dyDescent="0.25">
      <c r="AG1774" s="2"/>
      <c r="AR1774" s="307"/>
      <c r="AS1774" s="307"/>
      <c r="AT1774" s="307"/>
      <c r="AU1774" s="670"/>
      <c r="AV1774" s="572"/>
    </row>
    <row r="1775" spans="33:48" ht="15" customHeight="1" x14ac:dyDescent="0.25">
      <c r="AG1775" s="2"/>
      <c r="AR1775" s="307"/>
      <c r="AS1775" s="307"/>
      <c r="AT1775" s="307"/>
      <c r="AU1775" s="670"/>
      <c r="AV1775" s="572"/>
    </row>
    <row r="1776" spans="33:48" ht="15" customHeight="1" x14ac:dyDescent="0.25">
      <c r="AG1776" s="2"/>
      <c r="AR1776" s="307"/>
      <c r="AS1776" s="307"/>
      <c r="AT1776" s="307"/>
      <c r="AU1776" s="670"/>
      <c r="AV1776" s="572"/>
    </row>
    <row r="1777" spans="33:48" ht="15" customHeight="1" x14ac:dyDescent="0.25">
      <c r="AG1777" s="2"/>
      <c r="AR1777" s="307"/>
      <c r="AS1777" s="307"/>
      <c r="AT1777" s="307"/>
      <c r="AU1777" s="670"/>
      <c r="AV1777" s="572"/>
    </row>
    <row r="1778" spans="33:48" ht="15" customHeight="1" x14ac:dyDescent="0.25">
      <c r="AG1778" s="2"/>
      <c r="AR1778" s="307"/>
      <c r="AS1778" s="307"/>
      <c r="AT1778" s="307"/>
      <c r="AU1778" s="670"/>
      <c r="AV1778" s="572"/>
    </row>
    <row r="1779" spans="33:48" ht="15" customHeight="1" x14ac:dyDescent="0.25">
      <c r="AG1779" s="2"/>
      <c r="AR1779" s="307"/>
      <c r="AS1779" s="307"/>
      <c r="AT1779" s="307"/>
      <c r="AU1779" s="670"/>
      <c r="AV1779" s="572"/>
    </row>
    <row r="1780" spans="33:48" ht="15" customHeight="1" x14ac:dyDescent="0.25">
      <c r="AG1780" s="2"/>
      <c r="AR1780" s="307"/>
      <c r="AS1780" s="307"/>
      <c r="AT1780" s="307"/>
      <c r="AU1780" s="670"/>
      <c r="AV1780" s="572"/>
    </row>
    <row r="1781" spans="33:48" ht="15" customHeight="1" x14ac:dyDescent="0.25">
      <c r="AG1781" s="2"/>
      <c r="AR1781" s="307"/>
      <c r="AS1781" s="307"/>
      <c r="AT1781" s="307"/>
      <c r="AU1781" s="670"/>
      <c r="AV1781" s="572"/>
    </row>
    <row r="1782" spans="33:48" ht="15" customHeight="1" x14ac:dyDescent="0.25">
      <c r="AG1782" s="2"/>
      <c r="AR1782" s="307"/>
      <c r="AS1782" s="307"/>
      <c r="AT1782" s="307"/>
      <c r="AU1782" s="670"/>
      <c r="AV1782" s="572"/>
    </row>
    <row r="1783" spans="33:48" ht="15" customHeight="1" x14ac:dyDescent="0.25">
      <c r="AG1783" s="2"/>
      <c r="AR1783" s="307"/>
      <c r="AS1783" s="307"/>
      <c r="AT1783" s="307"/>
      <c r="AU1783" s="670"/>
      <c r="AV1783" s="572"/>
    </row>
    <row r="1784" spans="33:48" ht="15" customHeight="1" x14ac:dyDescent="0.25">
      <c r="AG1784" s="2"/>
      <c r="AR1784" s="307"/>
      <c r="AS1784" s="307"/>
      <c r="AT1784" s="307"/>
      <c r="AU1784" s="670"/>
      <c r="AV1784" s="572"/>
    </row>
    <row r="1785" spans="33:48" ht="15" customHeight="1" x14ac:dyDescent="0.25">
      <c r="AG1785" s="2"/>
      <c r="AR1785" s="307"/>
      <c r="AS1785" s="307"/>
      <c r="AT1785" s="307"/>
      <c r="AU1785" s="670"/>
      <c r="AV1785" s="572"/>
    </row>
    <row r="1786" spans="33:48" ht="15" customHeight="1" x14ac:dyDescent="0.25">
      <c r="AG1786" s="2"/>
      <c r="AR1786" s="307"/>
      <c r="AS1786" s="307"/>
      <c r="AT1786" s="307"/>
      <c r="AU1786" s="670"/>
      <c r="AV1786" s="572"/>
    </row>
    <row r="1787" spans="33:48" ht="15" customHeight="1" x14ac:dyDescent="0.25">
      <c r="AG1787" s="2"/>
      <c r="AR1787" s="307"/>
      <c r="AS1787" s="307"/>
      <c r="AT1787" s="307"/>
      <c r="AU1787" s="670"/>
      <c r="AV1787" s="572"/>
    </row>
    <row r="1788" spans="33:48" ht="15" customHeight="1" x14ac:dyDescent="0.25">
      <c r="AG1788" s="2"/>
      <c r="AR1788" s="307"/>
      <c r="AS1788" s="307"/>
      <c r="AT1788" s="307"/>
      <c r="AU1788" s="670"/>
      <c r="AV1788" s="572"/>
    </row>
    <row r="1789" spans="33:48" ht="15" customHeight="1" x14ac:dyDescent="0.25">
      <c r="AG1789" s="2"/>
      <c r="AR1789" s="307"/>
      <c r="AS1789" s="307"/>
      <c r="AT1789" s="307"/>
      <c r="AU1789" s="670"/>
      <c r="AV1789" s="572"/>
    </row>
    <row r="1790" spans="33:48" ht="15" customHeight="1" x14ac:dyDescent="0.25">
      <c r="AG1790" s="2"/>
      <c r="AR1790" s="307"/>
      <c r="AS1790" s="307"/>
      <c r="AT1790" s="307"/>
      <c r="AU1790" s="670"/>
      <c r="AV1790" s="572"/>
    </row>
    <row r="1791" spans="33:48" ht="15" customHeight="1" x14ac:dyDescent="0.25">
      <c r="AG1791" s="2"/>
      <c r="AR1791" s="307"/>
      <c r="AS1791" s="307"/>
      <c r="AT1791" s="307"/>
      <c r="AU1791" s="670"/>
      <c r="AV1791" s="572"/>
    </row>
    <row r="1792" spans="33:48" ht="15" customHeight="1" x14ac:dyDescent="0.25">
      <c r="AG1792" s="2"/>
      <c r="AR1792" s="307"/>
      <c r="AS1792" s="307"/>
      <c r="AT1792" s="307"/>
      <c r="AU1792" s="670"/>
      <c r="AV1792" s="572"/>
    </row>
    <row r="1793" spans="33:48" ht="15" customHeight="1" x14ac:dyDescent="0.25">
      <c r="AG1793" s="2"/>
      <c r="AR1793" s="307"/>
      <c r="AS1793" s="307"/>
      <c r="AT1793" s="307"/>
      <c r="AU1793" s="670"/>
      <c r="AV1793" s="572"/>
    </row>
    <row r="1794" spans="33:48" ht="15" customHeight="1" x14ac:dyDescent="0.25">
      <c r="AG1794" s="2"/>
      <c r="AR1794" s="307"/>
      <c r="AS1794" s="307"/>
      <c r="AT1794" s="307"/>
      <c r="AU1794" s="670"/>
      <c r="AV1794" s="572"/>
    </row>
    <row r="1795" spans="33:48" ht="15" customHeight="1" x14ac:dyDescent="0.25">
      <c r="AG1795" s="2"/>
      <c r="AR1795" s="307"/>
      <c r="AS1795" s="307"/>
      <c r="AT1795" s="307"/>
      <c r="AU1795" s="670"/>
      <c r="AV1795" s="572"/>
    </row>
    <row r="1796" spans="33:48" ht="15" customHeight="1" x14ac:dyDescent="0.25">
      <c r="AG1796" s="2"/>
      <c r="AR1796" s="307"/>
      <c r="AS1796" s="307"/>
      <c r="AT1796" s="307"/>
      <c r="AU1796" s="670"/>
      <c r="AV1796" s="572"/>
    </row>
    <row r="1797" spans="33:48" ht="15" customHeight="1" x14ac:dyDescent="0.25">
      <c r="AG1797" s="2"/>
      <c r="AR1797" s="307"/>
      <c r="AS1797" s="307"/>
      <c r="AT1797" s="307"/>
      <c r="AU1797" s="670"/>
      <c r="AV1797" s="572"/>
    </row>
    <row r="1798" spans="33:48" ht="15" customHeight="1" x14ac:dyDescent="0.25">
      <c r="AG1798" s="2"/>
      <c r="AR1798" s="307"/>
      <c r="AS1798" s="307"/>
      <c r="AT1798" s="307"/>
      <c r="AU1798" s="670"/>
      <c r="AV1798" s="572"/>
    </row>
    <row r="1799" spans="33:48" ht="15" customHeight="1" x14ac:dyDescent="0.25">
      <c r="AG1799" s="2"/>
      <c r="AR1799" s="307"/>
      <c r="AS1799" s="307"/>
      <c r="AT1799" s="307"/>
      <c r="AU1799" s="670"/>
      <c r="AV1799" s="572"/>
    </row>
    <row r="1800" spans="33:48" ht="15" customHeight="1" x14ac:dyDescent="0.25">
      <c r="AG1800" s="2"/>
      <c r="AR1800" s="307"/>
      <c r="AS1800" s="307"/>
      <c r="AT1800" s="307"/>
      <c r="AU1800" s="670"/>
      <c r="AV1800" s="572"/>
    </row>
    <row r="1801" spans="33:48" ht="15" customHeight="1" x14ac:dyDescent="0.25">
      <c r="AG1801" s="2"/>
      <c r="AR1801" s="307"/>
      <c r="AS1801" s="307"/>
      <c r="AT1801" s="307"/>
      <c r="AU1801" s="670"/>
      <c r="AV1801" s="572"/>
    </row>
    <row r="1802" spans="33:48" ht="15" customHeight="1" x14ac:dyDescent="0.25">
      <c r="AG1802" s="2"/>
      <c r="AR1802" s="307"/>
      <c r="AS1802" s="307"/>
      <c r="AT1802" s="307"/>
      <c r="AU1802" s="670"/>
      <c r="AV1802" s="572"/>
    </row>
    <row r="1803" spans="33:48" ht="15" customHeight="1" x14ac:dyDescent="0.25">
      <c r="AG1803" s="2"/>
      <c r="AR1803" s="307"/>
      <c r="AS1803" s="307"/>
      <c r="AT1803" s="307"/>
      <c r="AU1803" s="670"/>
      <c r="AV1803" s="572"/>
    </row>
    <row r="1804" spans="33:48" ht="15" customHeight="1" x14ac:dyDescent="0.25">
      <c r="AG1804" s="2"/>
      <c r="AR1804" s="307"/>
      <c r="AS1804" s="307"/>
      <c r="AT1804" s="307"/>
      <c r="AU1804" s="670"/>
      <c r="AV1804" s="572"/>
    </row>
    <row r="1805" spans="33:48" ht="15" customHeight="1" x14ac:dyDescent="0.25">
      <c r="AG1805" s="2"/>
      <c r="AR1805" s="307"/>
      <c r="AS1805" s="307"/>
      <c r="AT1805" s="307"/>
      <c r="AU1805" s="670"/>
      <c r="AV1805" s="572"/>
    </row>
    <row r="1806" spans="33:48" ht="15" customHeight="1" x14ac:dyDescent="0.25">
      <c r="AG1806" s="2"/>
      <c r="AR1806" s="307"/>
      <c r="AS1806" s="307"/>
      <c r="AT1806" s="307"/>
      <c r="AU1806" s="670"/>
      <c r="AV1806" s="572"/>
    </row>
    <row r="1807" spans="33:48" ht="15" customHeight="1" x14ac:dyDescent="0.25">
      <c r="AG1807" s="2"/>
      <c r="AR1807" s="307"/>
      <c r="AS1807" s="307"/>
      <c r="AT1807" s="307"/>
      <c r="AU1807" s="670"/>
      <c r="AV1807" s="572"/>
    </row>
    <row r="1808" spans="33:48" ht="15" customHeight="1" x14ac:dyDescent="0.25">
      <c r="AG1808" s="2"/>
      <c r="AR1808" s="307"/>
      <c r="AS1808" s="307"/>
      <c r="AT1808" s="307"/>
      <c r="AU1808" s="670"/>
      <c r="AV1808" s="572"/>
    </row>
    <row r="1809" spans="33:48" ht="15" customHeight="1" x14ac:dyDescent="0.25">
      <c r="AG1809" s="2"/>
      <c r="AR1809" s="307"/>
      <c r="AS1809" s="307"/>
      <c r="AT1809" s="307"/>
      <c r="AU1809" s="670"/>
      <c r="AV1809" s="572"/>
    </row>
    <row r="1810" spans="33:48" ht="15" customHeight="1" x14ac:dyDescent="0.25">
      <c r="AG1810" s="2"/>
      <c r="AR1810" s="307"/>
      <c r="AS1810" s="307"/>
      <c r="AT1810" s="307"/>
      <c r="AU1810" s="670"/>
      <c r="AV1810" s="572"/>
    </row>
    <row r="1811" spans="33:48" ht="15" customHeight="1" x14ac:dyDescent="0.25">
      <c r="AG1811" s="2"/>
      <c r="AR1811" s="307"/>
      <c r="AS1811" s="307"/>
      <c r="AT1811" s="307"/>
      <c r="AU1811" s="670"/>
      <c r="AV1811" s="572"/>
    </row>
    <row r="1812" spans="33:48" ht="15" customHeight="1" x14ac:dyDescent="0.25">
      <c r="AG1812" s="2"/>
      <c r="AR1812" s="307"/>
      <c r="AS1812" s="307"/>
      <c r="AT1812" s="307"/>
      <c r="AU1812" s="670"/>
      <c r="AV1812" s="572"/>
    </row>
    <row r="1813" spans="33:48" ht="15" customHeight="1" x14ac:dyDescent="0.25">
      <c r="AG1813" s="2"/>
      <c r="AR1813" s="307"/>
      <c r="AS1813" s="307"/>
      <c r="AT1813" s="307"/>
      <c r="AU1813" s="670"/>
      <c r="AV1813" s="572"/>
    </row>
    <row r="1814" spans="33:48" ht="15" customHeight="1" x14ac:dyDescent="0.25">
      <c r="AG1814" s="2"/>
      <c r="AR1814" s="307"/>
      <c r="AS1814" s="307"/>
      <c r="AT1814" s="307"/>
      <c r="AU1814" s="670"/>
      <c r="AV1814" s="572"/>
    </row>
    <row r="1815" spans="33:48" ht="15" customHeight="1" x14ac:dyDescent="0.25">
      <c r="AG1815" s="2"/>
      <c r="AR1815" s="307"/>
      <c r="AS1815" s="307"/>
      <c r="AT1815" s="307"/>
      <c r="AU1815" s="670"/>
      <c r="AV1815" s="572"/>
    </row>
    <row r="1816" spans="33:48" ht="15" customHeight="1" x14ac:dyDescent="0.25">
      <c r="AG1816" s="2"/>
      <c r="AR1816" s="307"/>
      <c r="AS1816" s="307"/>
      <c r="AT1816" s="307"/>
      <c r="AU1816" s="670"/>
      <c r="AV1816" s="572"/>
    </row>
    <row r="1817" spans="33:48" ht="15" customHeight="1" x14ac:dyDescent="0.25">
      <c r="AG1817" s="2"/>
      <c r="AR1817" s="307"/>
      <c r="AS1817" s="307"/>
      <c r="AT1817" s="307"/>
      <c r="AU1817" s="670"/>
      <c r="AV1817" s="572"/>
    </row>
    <row r="1818" spans="33:48" ht="15" customHeight="1" x14ac:dyDescent="0.25">
      <c r="AG1818" s="2"/>
      <c r="AR1818" s="307"/>
      <c r="AS1818" s="307"/>
      <c r="AT1818" s="307"/>
      <c r="AU1818" s="670"/>
      <c r="AV1818" s="572"/>
    </row>
    <row r="1819" spans="33:48" ht="15" customHeight="1" x14ac:dyDescent="0.25">
      <c r="AG1819" s="2"/>
      <c r="AR1819" s="307"/>
      <c r="AS1819" s="307"/>
      <c r="AT1819" s="307"/>
      <c r="AU1819" s="670"/>
      <c r="AV1819" s="572"/>
    </row>
    <row r="1820" spans="33:48" ht="15" customHeight="1" x14ac:dyDescent="0.25">
      <c r="AG1820" s="2"/>
      <c r="AR1820" s="307"/>
      <c r="AS1820" s="307"/>
      <c r="AT1820" s="307"/>
      <c r="AU1820" s="670"/>
      <c r="AV1820" s="572"/>
    </row>
    <row r="1821" spans="33:48" ht="15" customHeight="1" x14ac:dyDescent="0.25">
      <c r="AG1821" s="2"/>
      <c r="AR1821" s="307"/>
      <c r="AS1821" s="307"/>
      <c r="AT1821" s="307"/>
      <c r="AU1821" s="670"/>
      <c r="AV1821" s="572"/>
    </row>
    <row r="1822" spans="33:48" ht="15" customHeight="1" x14ac:dyDescent="0.25">
      <c r="AG1822" s="2"/>
      <c r="AR1822" s="307"/>
      <c r="AS1822" s="307"/>
      <c r="AT1822" s="307"/>
      <c r="AU1822" s="670"/>
      <c r="AV1822" s="572"/>
    </row>
    <row r="1823" spans="33:48" ht="15" customHeight="1" x14ac:dyDescent="0.25">
      <c r="AG1823" s="2"/>
      <c r="AR1823" s="307"/>
      <c r="AS1823" s="307"/>
      <c r="AT1823" s="307"/>
      <c r="AU1823" s="670"/>
      <c r="AV1823" s="572"/>
    </row>
    <row r="1824" spans="33:48" ht="15" customHeight="1" x14ac:dyDescent="0.25">
      <c r="AG1824" s="2"/>
      <c r="AR1824" s="307"/>
      <c r="AS1824" s="307"/>
      <c r="AT1824" s="307"/>
      <c r="AU1824" s="670"/>
      <c r="AV1824" s="572"/>
    </row>
    <row r="1825" spans="33:48" ht="15" customHeight="1" x14ac:dyDescent="0.25">
      <c r="AG1825" s="2"/>
      <c r="AR1825" s="307"/>
      <c r="AS1825" s="307"/>
      <c r="AT1825" s="307"/>
      <c r="AU1825" s="670"/>
      <c r="AV1825" s="572"/>
    </row>
    <row r="1826" spans="33:48" ht="15" customHeight="1" x14ac:dyDescent="0.25">
      <c r="AG1826" s="2"/>
      <c r="AR1826" s="307"/>
      <c r="AS1826" s="307"/>
      <c r="AT1826" s="307"/>
      <c r="AU1826" s="670"/>
      <c r="AV1826" s="572"/>
    </row>
    <row r="1827" spans="33:48" ht="15" customHeight="1" x14ac:dyDescent="0.25">
      <c r="AG1827" s="2"/>
      <c r="AR1827" s="307"/>
      <c r="AS1827" s="307"/>
      <c r="AT1827" s="307"/>
      <c r="AU1827" s="670"/>
      <c r="AV1827" s="572"/>
    </row>
    <row r="1828" spans="33:48" ht="15" customHeight="1" x14ac:dyDescent="0.25">
      <c r="AG1828" s="2"/>
      <c r="AR1828" s="307"/>
      <c r="AS1828" s="307"/>
      <c r="AT1828" s="307"/>
      <c r="AU1828" s="670"/>
      <c r="AV1828" s="572"/>
    </row>
    <row r="1829" spans="33:48" ht="15" customHeight="1" x14ac:dyDescent="0.25">
      <c r="AG1829" s="2"/>
      <c r="AR1829" s="307"/>
      <c r="AS1829" s="307"/>
      <c r="AT1829" s="307"/>
      <c r="AU1829" s="670"/>
      <c r="AV1829" s="572"/>
    </row>
    <row r="1830" spans="33:48" ht="15" customHeight="1" x14ac:dyDescent="0.25">
      <c r="AG1830" s="2"/>
      <c r="AR1830" s="307"/>
      <c r="AS1830" s="307"/>
      <c r="AT1830" s="307"/>
      <c r="AU1830" s="670"/>
      <c r="AV1830" s="572"/>
    </row>
    <row r="1831" spans="33:48" ht="15" customHeight="1" x14ac:dyDescent="0.25">
      <c r="AG1831" s="2"/>
      <c r="AR1831" s="307"/>
      <c r="AS1831" s="307"/>
      <c r="AT1831" s="307"/>
      <c r="AU1831" s="670"/>
      <c r="AV1831" s="572"/>
    </row>
    <row r="1832" spans="33:48" ht="15" customHeight="1" x14ac:dyDescent="0.25">
      <c r="AG1832" s="2"/>
      <c r="AR1832" s="307"/>
      <c r="AS1832" s="307"/>
      <c r="AT1832" s="307"/>
      <c r="AU1832" s="670"/>
      <c r="AV1832" s="572"/>
    </row>
    <row r="1833" spans="33:48" ht="15" customHeight="1" x14ac:dyDescent="0.25">
      <c r="AG1833" s="2"/>
      <c r="AR1833" s="307"/>
      <c r="AS1833" s="307"/>
      <c r="AT1833" s="307"/>
      <c r="AU1833" s="670"/>
      <c r="AV1833" s="572"/>
    </row>
    <row r="1834" spans="33:48" ht="15" customHeight="1" x14ac:dyDescent="0.25">
      <c r="AG1834" s="2"/>
      <c r="AR1834" s="307"/>
      <c r="AS1834" s="307"/>
      <c r="AT1834" s="307"/>
      <c r="AU1834" s="670"/>
      <c r="AV1834" s="572"/>
    </row>
    <row r="1835" spans="33:48" ht="15" customHeight="1" x14ac:dyDescent="0.25">
      <c r="AG1835" s="2"/>
      <c r="AR1835" s="307"/>
      <c r="AS1835" s="307"/>
      <c r="AT1835" s="307"/>
      <c r="AU1835" s="670"/>
      <c r="AV1835" s="572"/>
    </row>
    <row r="1836" spans="33:48" ht="15" customHeight="1" x14ac:dyDescent="0.25">
      <c r="AG1836" s="2"/>
      <c r="AR1836" s="307"/>
      <c r="AS1836" s="307"/>
      <c r="AT1836" s="307"/>
      <c r="AU1836" s="670"/>
      <c r="AV1836" s="572"/>
    </row>
    <row r="1837" spans="33:48" ht="15" customHeight="1" x14ac:dyDescent="0.25">
      <c r="AG1837" s="2"/>
      <c r="AR1837" s="307"/>
      <c r="AS1837" s="307"/>
      <c r="AT1837" s="307"/>
      <c r="AU1837" s="670"/>
      <c r="AV1837" s="572"/>
    </row>
    <row r="1838" spans="33:48" ht="15" customHeight="1" x14ac:dyDescent="0.25">
      <c r="AG1838" s="2"/>
      <c r="AR1838" s="307"/>
      <c r="AS1838" s="307"/>
      <c r="AT1838" s="307"/>
      <c r="AU1838" s="670"/>
      <c r="AV1838" s="572"/>
    </row>
    <row r="1839" spans="33:48" ht="15" customHeight="1" x14ac:dyDescent="0.25">
      <c r="AG1839" s="2"/>
      <c r="AR1839" s="307"/>
      <c r="AS1839" s="307"/>
      <c r="AT1839" s="307"/>
      <c r="AU1839" s="670"/>
      <c r="AV1839" s="572"/>
    </row>
    <row r="1840" spans="33:48" ht="15" customHeight="1" x14ac:dyDescent="0.25">
      <c r="AG1840" s="2"/>
      <c r="AR1840" s="307"/>
      <c r="AS1840" s="307"/>
      <c r="AT1840" s="307"/>
      <c r="AU1840" s="670"/>
      <c r="AV1840" s="572"/>
    </row>
    <row r="1841" spans="33:48" ht="15" customHeight="1" x14ac:dyDescent="0.25">
      <c r="AG1841" s="2"/>
      <c r="AR1841" s="307"/>
      <c r="AS1841" s="307"/>
      <c r="AT1841" s="307"/>
      <c r="AU1841" s="670"/>
      <c r="AV1841" s="572"/>
    </row>
    <row r="1842" spans="33:48" ht="15" customHeight="1" x14ac:dyDescent="0.25">
      <c r="AG1842" s="2"/>
      <c r="AR1842" s="307"/>
      <c r="AS1842" s="307"/>
      <c r="AT1842" s="307"/>
      <c r="AU1842" s="670"/>
      <c r="AV1842" s="572"/>
    </row>
    <row r="1843" spans="33:48" ht="15" customHeight="1" x14ac:dyDescent="0.25">
      <c r="AG1843" s="2"/>
      <c r="AR1843" s="307"/>
      <c r="AS1843" s="307"/>
      <c r="AT1843" s="307"/>
      <c r="AU1843" s="670"/>
      <c r="AV1843" s="572"/>
    </row>
    <row r="1844" spans="33:48" ht="15" customHeight="1" x14ac:dyDescent="0.25">
      <c r="AG1844" s="2"/>
      <c r="AR1844" s="307"/>
      <c r="AS1844" s="307"/>
      <c r="AT1844" s="307"/>
      <c r="AU1844" s="670"/>
      <c r="AV1844" s="572"/>
    </row>
    <row r="1845" spans="33:48" ht="15" customHeight="1" x14ac:dyDescent="0.25">
      <c r="AG1845" s="2"/>
      <c r="AR1845" s="307"/>
      <c r="AS1845" s="307"/>
      <c r="AT1845" s="307"/>
      <c r="AU1845" s="670"/>
      <c r="AV1845" s="572"/>
    </row>
    <row r="1846" spans="33:48" ht="15" customHeight="1" x14ac:dyDescent="0.25">
      <c r="AG1846" s="2"/>
      <c r="AR1846" s="307"/>
      <c r="AS1846" s="307"/>
      <c r="AT1846" s="307"/>
      <c r="AU1846" s="670"/>
      <c r="AV1846" s="572"/>
    </row>
    <row r="1847" spans="33:48" ht="15" customHeight="1" x14ac:dyDescent="0.25">
      <c r="AG1847" s="2"/>
      <c r="AR1847" s="307"/>
      <c r="AS1847" s="307"/>
      <c r="AT1847" s="307"/>
      <c r="AU1847" s="670"/>
      <c r="AV1847" s="572"/>
    </row>
    <row r="1848" spans="33:48" ht="15" customHeight="1" x14ac:dyDescent="0.25">
      <c r="AG1848" s="2"/>
      <c r="AR1848" s="307"/>
      <c r="AS1848" s="307"/>
      <c r="AT1848" s="307"/>
      <c r="AU1848" s="670"/>
      <c r="AV1848" s="572"/>
    </row>
    <row r="1849" spans="33:48" ht="15" customHeight="1" x14ac:dyDescent="0.25">
      <c r="AG1849" s="2"/>
      <c r="AR1849" s="307"/>
      <c r="AS1849" s="307"/>
      <c r="AT1849" s="307"/>
      <c r="AU1849" s="670"/>
      <c r="AV1849" s="572"/>
    </row>
    <row r="1850" spans="33:48" ht="15" customHeight="1" x14ac:dyDescent="0.25">
      <c r="AG1850" s="2"/>
      <c r="AR1850" s="307"/>
      <c r="AS1850" s="307"/>
      <c r="AT1850" s="307"/>
      <c r="AU1850" s="670"/>
      <c r="AV1850" s="572"/>
    </row>
    <row r="1851" spans="33:48" ht="15" customHeight="1" x14ac:dyDescent="0.25">
      <c r="AG1851" s="2"/>
      <c r="AR1851" s="307"/>
      <c r="AS1851" s="307"/>
      <c r="AT1851" s="307"/>
      <c r="AU1851" s="670"/>
      <c r="AV1851" s="572"/>
    </row>
    <row r="1852" spans="33:48" ht="15" customHeight="1" x14ac:dyDescent="0.25">
      <c r="AG1852" s="2"/>
      <c r="AR1852" s="307"/>
      <c r="AS1852" s="307"/>
      <c r="AT1852" s="307"/>
      <c r="AU1852" s="670"/>
      <c r="AV1852" s="572"/>
    </row>
    <row r="1853" spans="33:48" ht="15" customHeight="1" x14ac:dyDescent="0.25">
      <c r="AG1853" s="2"/>
      <c r="AR1853" s="307"/>
      <c r="AS1853" s="307"/>
      <c r="AT1853" s="307"/>
      <c r="AU1853" s="670"/>
      <c r="AV1853" s="572"/>
    </row>
    <row r="1854" spans="33:48" ht="15" customHeight="1" x14ac:dyDescent="0.25">
      <c r="AG1854" s="2"/>
      <c r="AR1854" s="307"/>
      <c r="AS1854" s="307"/>
      <c r="AT1854" s="307"/>
      <c r="AU1854" s="670"/>
      <c r="AV1854" s="572"/>
    </row>
    <row r="1855" spans="33:48" ht="15" customHeight="1" x14ac:dyDescent="0.25">
      <c r="AG1855" s="2"/>
      <c r="AR1855" s="307"/>
      <c r="AS1855" s="307"/>
      <c r="AT1855" s="307"/>
      <c r="AU1855" s="670"/>
      <c r="AV1855" s="572"/>
    </row>
    <row r="1856" spans="33:48" ht="15" customHeight="1" x14ac:dyDescent="0.25">
      <c r="AG1856" s="2"/>
      <c r="AR1856" s="307"/>
      <c r="AS1856" s="307"/>
      <c r="AT1856" s="307"/>
      <c r="AU1856" s="670"/>
      <c r="AV1856" s="572"/>
    </row>
    <row r="1857" spans="33:48" ht="15" customHeight="1" x14ac:dyDescent="0.25">
      <c r="AG1857" s="2"/>
      <c r="AR1857" s="307"/>
      <c r="AS1857" s="307"/>
      <c r="AT1857" s="307"/>
      <c r="AU1857" s="670"/>
      <c r="AV1857" s="572"/>
    </row>
    <row r="1858" spans="33:48" ht="15" customHeight="1" x14ac:dyDescent="0.25">
      <c r="AG1858" s="2"/>
      <c r="AR1858" s="307"/>
      <c r="AS1858" s="307"/>
      <c r="AT1858" s="307"/>
      <c r="AU1858" s="670"/>
      <c r="AV1858" s="572"/>
    </row>
    <row r="1859" spans="33:48" ht="15" customHeight="1" x14ac:dyDescent="0.25">
      <c r="AG1859" s="2"/>
      <c r="AR1859" s="307"/>
      <c r="AS1859" s="307"/>
      <c r="AT1859" s="307"/>
      <c r="AU1859" s="670"/>
      <c r="AV1859" s="572"/>
    </row>
    <row r="1860" spans="33:48" ht="15" customHeight="1" x14ac:dyDescent="0.25">
      <c r="AG1860" s="2"/>
      <c r="AR1860" s="307"/>
      <c r="AS1860" s="307"/>
      <c r="AT1860" s="307"/>
      <c r="AU1860" s="670"/>
      <c r="AV1860" s="572"/>
    </row>
    <row r="1861" spans="33:48" ht="15" customHeight="1" x14ac:dyDescent="0.25">
      <c r="AG1861" s="2"/>
      <c r="AR1861" s="307"/>
      <c r="AS1861" s="307"/>
      <c r="AT1861" s="307"/>
      <c r="AU1861" s="670"/>
      <c r="AV1861" s="572"/>
    </row>
    <row r="1862" spans="33:48" ht="15" customHeight="1" x14ac:dyDescent="0.25">
      <c r="AG1862" s="2"/>
      <c r="AR1862" s="307"/>
      <c r="AS1862" s="307"/>
      <c r="AT1862" s="307"/>
      <c r="AU1862" s="670"/>
      <c r="AV1862" s="572"/>
    </row>
    <row r="1863" spans="33:48" ht="15" customHeight="1" x14ac:dyDescent="0.25">
      <c r="AG1863" s="2"/>
      <c r="AR1863" s="307"/>
      <c r="AS1863" s="307"/>
      <c r="AT1863" s="307"/>
      <c r="AU1863" s="670"/>
      <c r="AV1863" s="572"/>
    </row>
    <row r="1864" spans="33:48" ht="15" customHeight="1" x14ac:dyDescent="0.25">
      <c r="AG1864" s="2"/>
      <c r="AR1864" s="307"/>
      <c r="AS1864" s="307"/>
      <c r="AT1864" s="307"/>
      <c r="AU1864" s="670"/>
      <c r="AV1864" s="572"/>
    </row>
    <row r="1865" spans="33:48" ht="15" customHeight="1" x14ac:dyDescent="0.25">
      <c r="AG1865" s="2"/>
      <c r="AR1865" s="307"/>
      <c r="AS1865" s="307"/>
      <c r="AT1865" s="307"/>
      <c r="AU1865" s="670"/>
      <c r="AV1865" s="572"/>
    </row>
    <row r="1866" spans="33:48" ht="15" customHeight="1" x14ac:dyDescent="0.25">
      <c r="AG1866" s="2"/>
      <c r="AR1866" s="307"/>
      <c r="AS1866" s="307"/>
      <c r="AT1866" s="307"/>
      <c r="AU1866" s="670"/>
      <c r="AV1866" s="572"/>
    </row>
    <row r="1867" spans="33:48" ht="15" customHeight="1" x14ac:dyDescent="0.25">
      <c r="AG1867" s="2"/>
      <c r="AR1867" s="307"/>
      <c r="AS1867" s="307"/>
      <c r="AT1867" s="307"/>
      <c r="AU1867" s="670"/>
      <c r="AV1867" s="572"/>
    </row>
    <row r="1868" spans="33:48" ht="15" customHeight="1" x14ac:dyDescent="0.25">
      <c r="AG1868" s="2"/>
      <c r="AR1868" s="307"/>
      <c r="AS1868" s="307"/>
      <c r="AT1868" s="307"/>
      <c r="AU1868" s="670"/>
      <c r="AV1868" s="572"/>
    </row>
    <row r="1869" spans="33:48" ht="15" customHeight="1" x14ac:dyDescent="0.25">
      <c r="AG1869" s="2"/>
      <c r="AR1869" s="307"/>
      <c r="AS1869" s="307"/>
      <c r="AT1869" s="307"/>
      <c r="AU1869" s="670"/>
      <c r="AV1869" s="572"/>
    </row>
    <row r="1870" spans="33:48" ht="15" customHeight="1" x14ac:dyDescent="0.25">
      <c r="AG1870" s="2"/>
      <c r="AR1870" s="307"/>
      <c r="AS1870" s="307"/>
      <c r="AT1870" s="307"/>
      <c r="AU1870" s="670"/>
      <c r="AV1870" s="572"/>
    </row>
    <row r="1871" spans="33:48" ht="15" customHeight="1" x14ac:dyDescent="0.25">
      <c r="AG1871" s="2"/>
      <c r="AR1871" s="307"/>
      <c r="AS1871" s="307"/>
      <c r="AT1871" s="307"/>
      <c r="AU1871" s="670"/>
      <c r="AV1871" s="572"/>
    </row>
    <row r="1872" spans="33:48" ht="15" customHeight="1" x14ac:dyDescent="0.25">
      <c r="AG1872" s="2"/>
      <c r="AR1872" s="307"/>
      <c r="AS1872" s="307"/>
      <c r="AT1872" s="307"/>
      <c r="AU1872" s="670"/>
      <c r="AV1872" s="572"/>
    </row>
    <row r="1873" spans="33:48" ht="15" customHeight="1" x14ac:dyDescent="0.25">
      <c r="AG1873" s="2"/>
      <c r="AR1873" s="307"/>
      <c r="AS1873" s="307"/>
      <c r="AT1873" s="307"/>
      <c r="AU1873" s="670"/>
      <c r="AV1873" s="572"/>
    </row>
    <row r="1874" spans="33:48" ht="15" customHeight="1" x14ac:dyDescent="0.25">
      <c r="AG1874" s="2"/>
      <c r="AR1874" s="307"/>
      <c r="AS1874" s="307"/>
      <c r="AT1874" s="307"/>
      <c r="AU1874" s="670"/>
      <c r="AV1874" s="572"/>
    </row>
    <row r="1875" spans="33:48" ht="15" customHeight="1" x14ac:dyDescent="0.25">
      <c r="AG1875" s="2"/>
      <c r="AR1875" s="307"/>
      <c r="AS1875" s="307"/>
      <c r="AT1875" s="307"/>
      <c r="AU1875" s="670"/>
      <c r="AV1875" s="572"/>
    </row>
    <row r="1876" spans="33:48" ht="15" customHeight="1" x14ac:dyDescent="0.25">
      <c r="AR1876" s="307"/>
      <c r="AS1876" s="307"/>
      <c r="AT1876" s="307"/>
      <c r="AU1876" s="670"/>
      <c r="AV1876" s="572"/>
    </row>
    <row r="1877" spans="33:48" ht="15" customHeight="1" x14ac:dyDescent="0.25">
      <c r="AR1877" s="307"/>
      <c r="AS1877" s="307"/>
      <c r="AT1877" s="307"/>
      <c r="AU1877" s="670"/>
      <c r="AV1877" s="572"/>
    </row>
    <row r="1878" spans="33:48" ht="15" customHeight="1" x14ac:dyDescent="0.25">
      <c r="AR1878" s="307"/>
      <c r="AS1878" s="307"/>
      <c r="AT1878" s="307"/>
      <c r="AU1878" s="670"/>
      <c r="AV1878" s="572"/>
    </row>
    <row r="1879" spans="33:48" ht="15" customHeight="1" x14ac:dyDescent="0.25">
      <c r="AR1879" s="307"/>
      <c r="AS1879" s="307"/>
      <c r="AT1879" s="307"/>
      <c r="AU1879" s="670"/>
      <c r="AV1879" s="572"/>
    </row>
    <row r="1880" spans="33:48" ht="15" customHeight="1" x14ac:dyDescent="0.25">
      <c r="AR1880" s="307"/>
      <c r="AS1880" s="307"/>
      <c r="AT1880" s="307"/>
      <c r="AU1880" s="670"/>
      <c r="AV1880" s="572"/>
    </row>
    <row r="1881" spans="33:48" ht="15" customHeight="1" x14ac:dyDescent="0.25">
      <c r="AR1881" s="307"/>
      <c r="AS1881" s="307"/>
      <c r="AT1881" s="307"/>
      <c r="AU1881" s="670"/>
      <c r="AV1881" s="572"/>
    </row>
    <row r="1882" spans="33:48" ht="15" customHeight="1" x14ac:dyDescent="0.25">
      <c r="AR1882" s="307"/>
      <c r="AS1882" s="307"/>
      <c r="AT1882" s="307"/>
      <c r="AU1882" s="670"/>
      <c r="AV1882" s="572"/>
    </row>
    <row r="1883" spans="33:48" ht="15" customHeight="1" x14ac:dyDescent="0.25">
      <c r="AR1883" s="307"/>
      <c r="AS1883" s="307"/>
      <c r="AT1883" s="307"/>
      <c r="AU1883" s="670"/>
      <c r="AV1883" s="572"/>
    </row>
    <row r="1884" spans="33:48" ht="15" customHeight="1" x14ac:dyDescent="0.25">
      <c r="AR1884" s="307"/>
      <c r="AS1884" s="307"/>
      <c r="AT1884" s="307"/>
      <c r="AU1884" s="670"/>
      <c r="AV1884" s="572"/>
    </row>
    <row r="1885" spans="33:48" ht="15" customHeight="1" x14ac:dyDescent="0.25">
      <c r="AR1885" s="307"/>
      <c r="AS1885" s="307"/>
      <c r="AT1885" s="307"/>
      <c r="AU1885" s="670"/>
      <c r="AV1885" s="572"/>
    </row>
    <row r="1886" spans="33:48" ht="15" customHeight="1" x14ac:dyDescent="0.25">
      <c r="AR1886" s="307"/>
      <c r="AS1886" s="307"/>
      <c r="AT1886" s="307"/>
      <c r="AU1886" s="670"/>
      <c r="AV1886" s="572"/>
    </row>
  </sheetData>
  <autoFilter ref="A11:DJ1509" xr:uid="{8637644A-6837-4E0B-92C8-D07EB861FA16}">
    <filterColumn colId="43" showButton="0"/>
  </autoFilter>
  <mergeCells count="219">
    <mergeCell ref="J17:K17"/>
    <mergeCell ref="AV25:AV31"/>
    <mergeCell ref="J52:K52"/>
    <mergeCell ref="AV67:AV73"/>
    <mergeCell ref="AV81:AV87"/>
    <mergeCell ref="AV88:AV94"/>
    <mergeCell ref="A1:L9"/>
    <mergeCell ref="A10:G10"/>
    <mergeCell ref="H10:L10"/>
    <mergeCell ref="AR11:AS11"/>
    <mergeCell ref="H15:K15"/>
    <mergeCell ref="I16:K16"/>
    <mergeCell ref="AF132:AF135"/>
    <mergeCell ref="AV132:AV135"/>
    <mergeCell ref="I136:K136"/>
    <mergeCell ref="J137:K137"/>
    <mergeCell ref="J159:K159"/>
    <mergeCell ref="J181:K181"/>
    <mergeCell ref="AV95:AV101"/>
    <mergeCell ref="J109:K109"/>
    <mergeCell ref="J110:K110"/>
    <mergeCell ref="AV111:AV129"/>
    <mergeCell ref="I130:K130"/>
    <mergeCell ref="J131:K131"/>
    <mergeCell ref="AV339:AV345"/>
    <mergeCell ref="AV346:AV352"/>
    <mergeCell ref="AV353:AV359"/>
    <mergeCell ref="AV360:AV366"/>
    <mergeCell ref="AV381:AV387"/>
    <mergeCell ref="AV402:AV408"/>
    <mergeCell ref="J202:K202"/>
    <mergeCell ref="J227:K227"/>
    <mergeCell ref="J255:K255"/>
    <mergeCell ref="J284:K284"/>
    <mergeCell ref="J308:K308"/>
    <mergeCell ref="J310:K310"/>
    <mergeCell ref="AQ402:AQ408"/>
    <mergeCell ref="AR402:AR408"/>
    <mergeCell ref="AS402:AS408"/>
    <mergeCell ref="AP402:AP408"/>
    <mergeCell ref="AO402:AO408"/>
    <mergeCell ref="AV545:AV551"/>
    <mergeCell ref="AV552:AV558"/>
    <mergeCell ref="AV586:AV592"/>
    <mergeCell ref="J599:K599"/>
    <mergeCell ref="J605:K605"/>
    <mergeCell ref="R437:R443"/>
    <mergeCell ref="R444:R450"/>
    <mergeCell ref="AV444:AV450"/>
    <mergeCell ref="AF467:AF473"/>
    <mergeCell ref="AV467:AV473"/>
    <mergeCell ref="AV488:AV494"/>
    <mergeCell ref="AV524:AV530"/>
    <mergeCell ref="AP524:AP530"/>
    <mergeCell ref="J638:K638"/>
    <mergeCell ref="AV639:AV645"/>
    <mergeCell ref="J648:K648"/>
    <mergeCell ref="R649:R655"/>
    <mergeCell ref="J677:K677"/>
    <mergeCell ref="J680:K680"/>
    <mergeCell ref="J611:K611"/>
    <mergeCell ref="J617:K617"/>
    <mergeCell ref="J622:K622"/>
    <mergeCell ref="J627:K627"/>
    <mergeCell ref="J632:K632"/>
    <mergeCell ref="I637:K637"/>
    <mergeCell ref="J701:K701"/>
    <mergeCell ref="J704:K704"/>
    <mergeCell ref="J707:K707"/>
    <mergeCell ref="J710:K710"/>
    <mergeCell ref="J713:K713"/>
    <mergeCell ref="J716:K716"/>
    <mergeCell ref="J683:K683"/>
    <mergeCell ref="J686:K686"/>
    <mergeCell ref="J689:K689"/>
    <mergeCell ref="J692:K692"/>
    <mergeCell ref="J695:K695"/>
    <mergeCell ref="J698:K698"/>
    <mergeCell ref="J741:K741"/>
    <mergeCell ref="AV749:AV755"/>
    <mergeCell ref="J763:K763"/>
    <mergeCell ref="J771:K771"/>
    <mergeCell ref="I773:K773"/>
    <mergeCell ref="J774:K774"/>
    <mergeCell ref="J719:K719"/>
    <mergeCell ref="J722:K722"/>
    <mergeCell ref="I725:K725"/>
    <mergeCell ref="J726:K726"/>
    <mergeCell ref="J737:K737"/>
    <mergeCell ref="J739:K739"/>
    <mergeCell ref="J841:K841"/>
    <mergeCell ref="J846:K846"/>
    <mergeCell ref="U854:U860"/>
    <mergeCell ref="V854:V860"/>
    <mergeCell ref="X854:X860"/>
    <mergeCell ref="AA854:AA860"/>
    <mergeCell ref="J777:K777"/>
    <mergeCell ref="AV778:AV784"/>
    <mergeCell ref="AH785:AH791"/>
    <mergeCell ref="AV785:AV791"/>
    <mergeCell ref="AV823:AV829"/>
    <mergeCell ref="J837:K837"/>
    <mergeCell ref="AV854:AV860"/>
    <mergeCell ref="AN854:AN860"/>
    <mergeCell ref="AU854:AU860"/>
    <mergeCell ref="AT854:AT860"/>
    <mergeCell ref="AP854:AP860"/>
    <mergeCell ref="AO854:AO860"/>
    <mergeCell ref="AQ854:AQ860"/>
    <mergeCell ref="AR854:AR860"/>
    <mergeCell ref="AS854:AS860"/>
    <mergeCell ref="I861:K861"/>
    <mergeCell ref="J862:K862"/>
    <mergeCell ref="J881:K881"/>
    <mergeCell ref="J886:K886"/>
    <mergeCell ref="J888:K888"/>
    <mergeCell ref="AD854:AD860"/>
    <mergeCell ref="AF854:AF860"/>
    <mergeCell ref="AH854:AH860"/>
    <mergeCell ref="AJ854:AJ860"/>
    <mergeCell ref="J936:K936"/>
    <mergeCell ref="I939:K939"/>
    <mergeCell ref="J940:K940"/>
    <mergeCell ref="J967:K967"/>
    <mergeCell ref="H989:K989"/>
    <mergeCell ref="I990:K990"/>
    <mergeCell ref="J898:K898"/>
    <mergeCell ref="I902:K902"/>
    <mergeCell ref="J903:K903"/>
    <mergeCell ref="J912:K912"/>
    <mergeCell ref="J929:K929"/>
    <mergeCell ref="I935:K935"/>
    <mergeCell ref="J1019:K1019"/>
    <mergeCell ref="J1036:K1036"/>
    <mergeCell ref="J1048:K1048"/>
    <mergeCell ref="J1051:K1051"/>
    <mergeCell ref="J1053:K1053"/>
    <mergeCell ref="J1055:K1055"/>
    <mergeCell ref="J991:K991"/>
    <mergeCell ref="J998:K998"/>
    <mergeCell ref="J1006:K1006"/>
    <mergeCell ref="J1010:K1010"/>
    <mergeCell ref="H1017:K1017"/>
    <mergeCell ref="I1018:K1018"/>
    <mergeCell ref="J1147:K1147"/>
    <mergeCell ref="J1154:K1154"/>
    <mergeCell ref="J1158:K1158"/>
    <mergeCell ref="I1161:K1161"/>
    <mergeCell ref="J1162:K1162"/>
    <mergeCell ref="J1165:K1165"/>
    <mergeCell ref="I1100:K1100"/>
    <mergeCell ref="J1101:K1101"/>
    <mergeCell ref="J1107:K1107"/>
    <mergeCell ref="J1120:K1120"/>
    <mergeCell ref="J1127:K1127"/>
    <mergeCell ref="J1144:K1144"/>
    <mergeCell ref="J1195:K1195"/>
    <mergeCell ref="J1204:K1204"/>
    <mergeCell ref="J1213:K1213"/>
    <mergeCell ref="J1222:K1222"/>
    <mergeCell ref="J1231:K1231"/>
    <mergeCell ref="J1240:K1240"/>
    <mergeCell ref="J1167:K1167"/>
    <mergeCell ref="J1172:K1172"/>
    <mergeCell ref="H1175:K1175"/>
    <mergeCell ref="I1176:K1176"/>
    <mergeCell ref="J1177:K1177"/>
    <mergeCell ref="J1186:K1186"/>
    <mergeCell ref="I1321:K1321"/>
    <mergeCell ref="J1322:K1322"/>
    <mergeCell ref="J1345:K1345"/>
    <mergeCell ref="U1349:U1355"/>
    <mergeCell ref="X1349:X1355"/>
    <mergeCell ref="AG1349:AG1355"/>
    <mergeCell ref="J1290:K1290"/>
    <mergeCell ref="J1295:K1295"/>
    <mergeCell ref="J1301:K1301"/>
    <mergeCell ref="J1306:K1306"/>
    <mergeCell ref="J1311:K1311"/>
    <mergeCell ref="J1316:K1316"/>
    <mergeCell ref="V1349:V1355"/>
    <mergeCell ref="Y1349:Y1355"/>
    <mergeCell ref="AA1349:AA1355"/>
    <mergeCell ref="AS1349:AS1355"/>
    <mergeCell ref="AT1349:AT1355"/>
    <mergeCell ref="AU1349:AU1355"/>
    <mergeCell ref="AV1349:AV1355"/>
    <mergeCell ref="I1363:K1363"/>
    <mergeCell ref="AZ1363:BB1363"/>
    <mergeCell ref="AH1349:AH1355"/>
    <mergeCell ref="AJ1349:AJ1355"/>
    <mergeCell ref="AO1349:AO1355"/>
    <mergeCell ref="AP1349:AP1355"/>
    <mergeCell ref="AQ1349:AQ1355"/>
    <mergeCell ref="AR1349:AR1355"/>
    <mergeCell ref="I1483:K1483"/>
    <mergeCell ref="J1484:K1484"/>
    <mergeCell ref="H1485:K1485"/>
    <mergeCell ref="I1486:K1486"/>
    <mergeCell ref="J1487:K1487"/>
    <mergeCell ref="J1495:K1495"/>
    <mergeCell ref="J1443:K1443"/>
    <mergeCell ref="J1451:K1451"/>
    <mergeCell ref="J1461:K1461"/>
    <mergeCell ref="J1469:K1469"/>
    <mergeCell ref="J1477:K1477"/>
    <mergeCell ref="J1481:K1481"/>
    <mergeCell ref="J1418:K1418"/>
    <mergeCell ref="J1427:K1427"/>
    <mergeCell ref="H1433:K1433"/>
    <mergeCell ref="I1434:K1434"/>
    <mergeCell ref="J1435:K1435"/>
    <mergeCell ref="J1439:K1439"/>
    <mergeCell ref="J1364:K1364"/>
    <mergeCell ref="J1373:K1373"/>
    <mergeCell ref="J1382:K1382"/>
    <mergeCell ref="J1391:K1391"/>
    <mergeCell ref="J1400:K1400"/>
    <mergeCell ref="J1409:K1409"/>
  </mergeCells>
  <pageMargins left="0.70866141732283472" right="0.70866141732283472" top="0.74803149606299213" bottom="0.74803149606299213" header="0" footer="0"/>
  <pageSetup paperSize="9" scale="12"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E4E3A-97B4-4020-BF50-1E59A1880E14}">
  <sheetPr codeName="Hoja2"/>
  <dimension ref="B2:E10"/>
  <sheetViews>
    <sheetView workbookViewId="0"/>
  </sheetViews>
  <sheetFormatPr baseColWidth="10" defaultColWidth="11.5703125" defaultRowHeight="15" x14ac:dyDescent="0.25"/>
  <cols>
    <col min="3" max="3" width="15.85546875" customWidth="1"/>
    <col min="4" max="4" width="14.42578125" customWidth="1"/>
    <col min="5" max="5" width="15.42578125" customWidth="1"/>
  </cols>
  <sheetData>
    <row r="2" spans="2:5" ht="15.75" thickBot="1" x14ac:dyDescent="0.3"/>
    <row r="3" spans="2:5" ht="33.75" customHeight="1" x14ac:dyDescent="0.25">
      <c r="B3" s="1418" t="s">
        <v>1693</v>
      </c>
      <c r="C3" s="1419"/>
      <c r="D3" s="497" t="s">
        <v>1701</v>
      </c>
      <c r="E3" s="498" t="s">
        <v>1700</v>
      </c>
    </row>
    <row r="4" spans="2:5" x14ac:dyDescent="0.25">
      <c r="B4" s="1414" t="s">
        <v>1694</v>
      </c>
      <c r="C4" s="1415"/>
      <c r="D4" s="499">
        <v>58</v>
      </c>
      <c r="E4" s="500">
        <v>65</v>
      </c>
    </row>
    <row r="5" spans="2:5" x14ac:dyDescent="0.25">
      <c r="B5" s="1414" t="s">
        <v>1692</v>
      </c>
      <c r="C5" s="1415"/>
      <c r="D5" s="499">
        <v>59</v>
      </c>
      <c r="E5" s="500">
        <v>66</v>
      </c>
    </row>
    <row r="6" spans="2:5" x14ac:dyDescent="0.25">
      <c r="B6" s="1414" t="s">
        <v>1699</v>
      </c>
      <c r="C6" s="1415"/>
      <c r="D6" s="499">
        <v>60</v>
      </c>
      <c r="E6" s="500">
        <v>67</v>
      </c>
    </row>
    <row r="7" spans="2:5" x14ac:dyDescent="0.25">
      <c r="B7" s="1414" t="s">
        <v>1697</v>
      </c>
      <c r="C7" s="1415"/>
      <c r="D7" s="499">
        <v>61</v>
      </c>
      <c r="E7" s="500">
        <v>68</v>
      </c>
    </row>
    <row r="8" spans="2:5" x14ac:dyDescent="0.25">
      <c r="B8" s="1414" t="s">
        <v>1698</v>
      </c>
      <c r="C8" s="1415"/>
      <c r="D8" s="499">
        <v>62</v>
      </c>
      <c r="E8" s="500">
        <v>69</v>
      </c>
    </row>
    <row r="9" spans="2:5" x14ac:dyDescent="0.25">
      <c r="B9" s="1414" t="s">
        <v>1695</v>
      </c>
      <c r="C9" s="1415"/>
      <c r="D9" s="499">
        <v>63</v>
      </c>
      <c r="E9" s="500">
        <v>70</v>
      </c>
    </row>
    <row r="10" spans="2:5" ht="15.75" thickBot="1" x14ac:dyDescent="0.3">
      <c r="B10" s="1416" t="s">
        <v>1696</v>
      </c>
      <c r="C10" s="1417"/>
      <c r="D10" s="501">
        <v>64</v>
      </c>
      <c r="E10" s="566">
        <v>71</v>
      </c>
    </row>
  </sheetData>
  <mergeCells count="8">
    <mergeCell ref="B9:C9"/>
    <mergeCell ref="B10:C10"/>
    <mergeCell ref="B3:C3"/>
    <mergeCell ref="B4:C4"/>
    <mergeCell ref="B5:C5"/>
    <mergeCell ref="B6:C6"/>
    <mergeCell ref="B7:C7"/>
    <mergeCell ref="B8:C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70C09-B9E3-4A58-B55C-275A73A63351}">
  <sheetPr>
    <pageSetUpPr fitToPage="1"/>
  </sheetPr>
  <dimension ref="B1:AO58"/>
  <sheetViews>
    <sheetView workbookViewId="0"/>
  </sheetViews>
  <sheetFormatPr baseColWidth="10" defaultColWidth="11.5703125" defaultRowHeight="15" x14ac:dyDescent="0.25"/>
  <cols>
    <col min="1" max="1" width="1.5703125" customWidth="1"/>
    <col min="2" max="2" width="4.140625" style="893" customWidth="1"/>
    <col min="3" max="3" width="5.5703125" style="893" customWidth="1"/>
    <col min="4" max="4" width="5.42578125" style="893" customWidth="1"/>
    <col min="5" max="5" width="6" style="893" customWidth="1"/>
    <col min="6" max="6" width="5.140625" style="893" customWidth="1"/>
    <col min="7" max="7" width="4.85546875" style="893" customWidth="1"/>
    <col min="8" max="8" width="6" style="893" customWidth="1"/>
    <col min="9" max="9" width="5.5703125" style="893" customWidth="1"/>
    <col min="10" max="10" width="6" style="893" customWidth="1"/>
    <col min="11" max="11" width="4.85546875" style="893" customWidth="1"/>
    <col min="12" max="12" width="5.42578125" style="893" customWidth="1"/>
    <col min="13" max="13" width="6.140625" style="893" customWidth="1"/>
    <col min="14" max="14" width="5.5703125" style="893" customWidth="1"/>
    <col min="15" max="15" width="6" style="893" customWidth="1"/>
    <col min="16" max="16" width="6.42578125" style="893" customWidth="1"/>
    <col min="17" max="17" width="5" style="893" customWidth="1"/>
    <col min="18" max="18" width="6.42578125" style="893" customWidth="1"/>
    <col min="19" max="19" width="5.85546875" style="893" customWidth="1"/>
    <col min="20" max="20" width="6.5703125" style="893" customWidth="1"/>
    <col min="21" max="21" width="5.42578125" style="893" customWidth="1"/>
    <col min="22" max="22" width="6.42578125" style="893" customWidth="1"/>
    <col min="23" max="23" width="5.85546875" customWidth="1"/>
    <col min="24" max="24" width="7.140625" style="893" customWidth="1"/>
    <col min="25" max="25" width="10.140625" customWidth="1"/>
    <col min="26" max="26" width="8.140625" customWidth="1"/>
    <col min="27" max="27" width="6" customWidth="1"/>
    <col min="28" max="29" width="6.42578125" customWidth="1"/>
    <col min="30" max="30" width="6" customWidth="1"/>
    <col min="31" max="31" width="4.140625" customWidth="1"/>
    <col min="32" max="32" width="6" customWidth="1"/>
    <col min="33" max="33" width="5.140625" customWidth="1"/>
    <col min="34" max="35" width="6.5703125" customWidth="1"/>
    <col min="36" max="36" width="6.140625" customWidth="1"/>
    <col min="37" max="37" width="8.140625" customWidth="1"/>
    <col min="39" max="39" width="17.42578125" customWidth="1"/>
    <col min="40" max="40" width="25.5703125" customWidth="1"/>
  </cols>
  <sheetData>
    <row r="1" spans="2:41" ht="15.75" x14ac:dyDescent="0.25">
      <c r="B1" s="892" t="s">
        <v>2250</v>
      </c>
      <c r="C1" s="893" t="s">
        <v>2251</v>
      </c>
      <c r="D1" s="894" t="s">
        <v>2252</v>
      </c>
      <c r="E1" s="895" t="s">
        <v>2253</v>
      </c>
      <c r="F1" s="894" t="s">
        <v>2254</v>
      </c>
      <c r="G1" s="893" t="s">
        <v>246</v>
      </c>
      <c r="H1" s="896">
        <v>304</v>
      </c>
      <c r="I1" s="893" t="s">
        <v>2255</v>
      </c>
      <c r="J1" s="897" t="s">
        <v>2256</v>
      </c>
      <c r="K1" s="893" t="s">
        <v>2257</v>
      </c>
      <c r="L1" s="898">
        <v>476</v>
      </c>
      <c r="M1" s="893" t="s">
        <v>2258</v>
      </c>
      <c r="N1" s="899">
        <v>586</v>
      </c>
      <c r="O1" s="893" t="s">
        <v>2258</v>
      </c>
      <c r="P1" s="900">
        <v>690</v>
      </c>
      <c r="Q1" s="893" t="s">
        <v>2251</v>
      </c>
      <c r="R1" s="899">
        <v>779</v>
      </c>
      <c r="S1" s="893" t="s">
        <v>2258</v>
      </c>
      <c r="T1" s="899" t="s">
        <v>2259</v>
      </c>
      <c r="U1" s="893" t="s">
        <v>2258</v>
      </c>
      <c r="V1" s="901" t="s">
        <v>2260</v>
      </c>
      <c r="W1" s="893" t="s">
        <v>2258</v>
      </c>
      <c r="X1" s="895">
        <v>1094</v>
      </c>
      <c r="Z1" s="902">
        <v>1098</v>
      </c>
      <c r="AA1" s="893" t="s">
        <v>2258</v>
      </c>
      <c r="AB1" s="903" t="s">
        <v>2261</v>
      </c>
      <c r="AC1" s="893" t="s">
        <v>2262</v>
      </c>
      <c r="AD1" s="904" t="s">
        <v>2263</v>
      </c>
      <c r="AE1" s="893" t="s">
        <v>2264</v>
      </c>
      <c r="AF1" s="903" t="s">
        <v>2265</v>
      </c>
      <c r="AG1" s="893" t="s">
        <v>2262</v>
      </c>
      <c r="AH1" s="905" t="s">
        <v>2266</v>
      </c>
      <c r="AI1" t="s">
        <v>2267</v>
      </c>
      <c r="AJ1" s="906" t="s">
        <v>2268</v>
      </c>
    </row>
    <row r="2" spans="2:41" ht="15.75" x14ac:dyDescent="0.25">
      <c r="B2" s="892" t="s">
        <v>2269</v>
      </c>
      <c r="C2" s="893" t="s">
        <v>2270</v>
      </c>
      <c r="D2" s="894" t="s">
        <v>2271</v>
      </c>
      <c r="E2" s="735" t="s">
        <v>2272</v>
      </c>
      <c r="F2" s="894" t="s">
        <v>2273</v>
      </c>
      <c r="G2" s="893" t="s">
        <v>2274</v>
      </c>
      <c r="H2" s="896">
        <v>305</v>
      </c>
      <c r="I2" t="s">
        <v>2275</v>
      </c>
      <c r="J2" s="904">
        <v>369</v>
      </c>
      <c r="K2" s="893" t="s">
        <v>2257</v>
      </c>
      <c r="L2" s="898">
        <v>477</v>
      </c>
      <c r="M2" s="893" t="s">
        <v>2258</v>
      </c>
      <c r="N2" s="900">
        <v>587</v>
      </c>
      <c r="O2" t="s">
        <v>2276</v>
      </c>
      <c r="P2" s="900">
        <v>704</v>
      </c>
      <c r="Q2" s="893" t="s">
        <v>2275</v>
      </c>
      <c r="R2" s="900">
        <v>792</v>
      </c>
      <c r="S2" s="893" t="s">
        <v>2267</v>
      </c>
      <c r="T2" s="899" t="s">
        <v>2277</v>
      </c>
      <c r="U2" s="893" t="s">
        <v>2258</v>
      </c>
      <c r="V2" s="901" t="s">
        <v>2278</v>
      </c>
      <c r="W2" s="893" t="s">
        <v>2258</v>
      </c>
      <c r="X2" s="902">
        <v>1098</v>
      </c>
      <c r="Y2" s="893" t="s">
        <v>2279</v>
      </c>
      <c r="Z2" s="899">
        <v>1099</v>
      </c>
      <c r="AA2" t="s">
        <v>2258</v>
      </c>
      <c r="AB2" s="903" t="s">
        <v>2280</v>
      </c>
      <c r="AC2" s="893" t="s">
        <v>2262</v>
      </c>
      <c r="AD2" s="907" t="s">
        <v>2281</v>
      </c>
      <c r="AE2" t="s">
        <v>2282</v>
      </c>
      <c r="AF2" s="905" t="s">
        <v>2283</v>
      </c>
      <c r="AG2" t="s">
        <v>2275</v>
      </c>
      <c r="AH2" s="908" t="s">
        <v>2284</v>
      </c>
      <c r="AI2" t="s">
        <v>2285</v>
      </c>
      <c r="AJ2" s="906" t="s">
        <v>2286</v>
      </c>
    </row>
    <row r="3" spans="2:41" ht="15.75" x14ac:dyDescent="0.25">
      <c r="B3" s="892" t="s">
        <v>2287</v>
      </c>
      <c r="C3" t="s">
        <v>2276</v>
      </c>
      <c r="D3" s="892" t="s">
        <v>2288</v>
      </c>
      <c r="E3" s="893" t="s">
        <v>2275</v>
      </c>
      <c r="F3" s="898" t="s">
        <v>2289</v>
      </c>
      <c r="G3" s="893" t="s">
        <v>2290</v>
      </c>
      <c r="H3" s="896">
        <v>306</v>
      </c>
      <c r="I3" s="893" t="s">
        <v>2255</v>
      </c>
      <c r="J3" s="909" t="s">
        <v>2291</v>
      </c>
      <c r="K3" s="893" t="s">
        <v>2292</v>
      </c>
      <c r="L3" s="894" t="s">
        <v>2293</v>
      </c>
      <c r="M3" s="893" t="s">
        <v>2258</v>
      </c>
      <c r="N3" s="899">
        <v>589</v>
      </c>
      <c r="O3" s="893" t="s">
        <v>2258</v>
      </c>
      <c r="P3" s="899">
        <v>706</v>
      </c>
      <c r="Q3" s="893" t="s">
        <v>2274</v>
      </c>
      <c r="R3" s="899">
        <v>799</v>
      </c>
      <c r="S3" s="893" t="s">
        <v>2258</v>
      </c>
      <c r="T3" s="900" t="s">
        <v>2294</v>
      </c>
      <c r="U3" t="s">
        <v>2275</v>
      </c>
      <c r="V3" s="901" t="s">
        <v>2295</v>
      </c>
      <c r="W3" s="910" t="s">
        <v>2296</v>
      </c>
      <c r="X3" s="899">
        <v>1099</v>
      </c>
      <c r="Y3" s="893" t="s">
        <v>2279</v>
      </c>
      <c r="Z3" s="902">
        <v>1100</v>
      </c>
      <c r="AA3" s="893" t="s">
        <v>2258</v>
      </c>
      <c r="AB3" s="911" t="s">
        <v>2297</v>
      </c>
      <c r="AC3" t="s">
        <v>2298</v>
      </c>
      <c r="AD3" s="912">
        <v>1312</v>
      </c>
      <c r="AE3" t="s">
        <v>2299</v>
      </c>
      <c r="AF3" s="908" t="s">
        <v>2300</v>
      </c>
      <c r="AG3" t="s">
        <v>2301</v>
      </c>
      <c r="AH3" s="913" t="s">
        <v>2302</v>
      </c>
      <c r="AI3" s="893" t="s">
        <v>2258</v>
      </c>
      <c r="AJ3" s="905" t="s">
        <v>2303</v>
      </c>
      <c r="AK3" s="893" t="s">
        <v>2304</v>
      </c>
      <c r="AL3" t="s">
        <v>2305</v>
      </c>
    </row>
    <row r="4" spans="2:41" ht="15.75" x14ac:dyDescent="0.25">
      <c r="B4" s="894" t="s">
        <v>2306</v>
      </c>
      <c r="C4" s="910" t="s">
        <v>2296</v>
      </c>
      <c r="D4" s="897" t="s">
        <v>2307</v>
      </c>
      <c r="E4" s="893" t="s">
        <v>2308</v>
      </c>
      <c r="F4" s="898">
        <v>209</v>
      </c>
      <c r="G4" s="895" t="s">
        <v>2253</v>
      </c>
      <c r="H4" s="896">
        <v>308</v>
      </c>
      <c r="I4" t="s">
        <v>2275</v>
      </c>
      <c r="J4" s="914" t="s">
        <v>2309</v>
      </c>
      <c r="K4" s="893" t="s">
        <v>2310</v>
      </c>
      <c r="L4" s="898">
        <v>479</v>
      </c>
      <c r="M4" s="893" t="s">
        <v>2258</v>
      </c>
      <c r="N4" s="915">
        <v>592</v>
      </c>
      <c r="O4" s="893" t="s">
        <v>2299</v>
      </c>
      <c r="P4" s="899">
        <v>708</v>
      </c>
      <c r="Q4" s="910" t="s">
        <v>2296</v>
      </c>
      <c r="R4" s="899">
        <v>800</v>
      </c>
      <c r="S4" s="893" t="s">
        <v>2258</v>
      </c>
      <c r="T4" s="915" t="s">
        <v>2311</v>
      </c>
      <c r="U4" s="893" t="s">
        <v>2299</v>
      </c>
      <c r="V4" s="901" t="s">
        <v>2312</v>
      </c>
      <c r="W4" s="735" t="s">
        <v>2272</v>
      </c>
      <c r="X4" s="902">
        <v>1100</v>
      </c>
      <c r="Y4" t="s">
        <v>2279</v>
      </c>
      <c r="Z4" s="916">
        <v>1102</v>
      </c>
      <c r="AB4" s="908" t="s">
        <v>2313</v>
      </c>
      <c r="AC4" t="s">
        <v>2314</v>
      </c>
      <c r="AD4" s="917">
        <v>1313</v>
      </c>
      <c r="AE4" s="893" t="s">
        <v>2262</v>
      </c>
      <c r="AF4" s="903" t="s">
        <v>2315</v>
      </c>
      <c r="AG4" t="s">
        <v>2316</v>
      </c>
      <c r="AH4" s="911" t="s">
        <v>2317</v>
      </c>
      <c r="AI4" t="s">
        <v>2318</v>
      </c>
      <c r="AJ4" s="905" t="s">
        <v>2319</v>
      </c>
      <c r="AK4" s="893" t="s">
        <v>2270</v>
      </c>
      <c r="AL4" t="s">
        <v>2305</v>
      </c>
    </row>
    <row r="5" spans="2:41" ht="15.75" x14ac:dyDescent="0.25">
      <c r="B5" s="902" t="s">
        <v>2320</v>
      </c>
      <c r="C5" s="893" t="s">
        <v>246</v>
      </c>
      <c r="D5" s="892" t="s">
        <v>2321</v>
      </c>
      <c r="E5" s="893" t="s">
        <v>2275</v>
      </c>
      <c r="F5" s="898">
        <v>211</v>
      </c>
      <c r="G5" s="895" t="s">
        <v>2253</v>
      </c>
      <c r="H5" s="897" t="s">
        <v>2322</v>
      </c>
      <c r="I5" s="893" t="s">
        <v>2257</v>
      </c>
      <c r="J5" s="894" t="s">
        <v>2323</v>
      </c>
      <c r="K5" s="910" t="s">
        <v>2296</v>
      </c>
      <c r="L5" s="898">
        <v>480</v>
      </c>
      <c r="M5" s="893" t="s">
        <v>2258</v>
      </c>
      <c r="N5" s="900">
        <v>593</v>
      </c>
      <c r="O5" s="893" t="s">
        <v>2304</v>
      </c>
      <c r="P5" s="902">
        <v>710</v>
      </c>
      <c r="Q5" s="893" t="s">
        <v>246</v>
      </c>
      <c r="R5" s="918">
        <v>804</v>
      </c>
      <c r="S5" s="893" t="s">
        <v>2292</v>
      </c>
      <c r="T5" s="900" t="s">
        <v>2324</v>
      </c>
      <c r="U5" t="s">
        <v>2275</v>
      </c>
      <c r="V5" s="902" t="s">
        <v>2325</v>
      </c>
      <c r="W5" s="893" t="s">
        <v>246</v>
      </c>
      <c r="X5" s="918">
        <v>1102</v>
      </c>
      <c r="Y5" t="s">
        <v>2292</v>
      </c>
      <c r="Z5" s="903" t="s">
        <v>2326</v>
      </c>
      <c r="AA5" s="893" t="s">
        <v>2262</v>
      </c>
      <c r="AB5" s="919" t="s">
        <v>2327</v>
      </c>
      <c r="AC5" t="s">
        <v>2299</v>
      </c>
      <c r="AD5" s="917">
        <v>1314</v>
      </c>
      <c r="AE5" s="893" t="s">
        <v>2262</v>
      </c>
      <c r="AF5" s="902">
        <v>1414</v>
      </c>
      <c r="AG5" s="893" t="s">
        <v>2258</v>
      </c>
      <c r="AH5" s="913" t="s">
        <v>2328</v>
      </c>
      <c r="AI5" s="893" t="s">
        <v>2258</v>
      </c>
      <c r="AJ5" s="905" t="s">
        <v>2329</v>
      </c>
      <c r="AK5" t="s">
        <v>2267</v>
      </c>
      <c r="AL5" t="s">
        <v>2305</v>
      </c>
    </row>
    <row r="6" spans="2:41" ht="15.75" x14ac:dyDescent="0.25">
      <c r="B6" s="894" t="s">
        <v>2330</v>
      </c>
      <c r="C6" s="893" t="s">
        <v>2274</v>
      </c>
      <c r="D6" s="892" t="s">
        <v>2331</v>
      </c>
      <c r="E6" t="s">
        <v>2276</v>
      </c>
      <c r="F6" s="898">
        <v>216</v>
      </c>
      <c r="G6" s="735" t="s">
        <v>2272</v>
      </c>
      <c r="H6" s="904">
        <v>311</v>
      </c>
      <c r="I6" s="893" t="s">
        <v>2257</v>
      </c>
      <c r="J6" s="902" t="s">
        <v>2332</v>
      </c>
      <c r="K6" s="893" t="s">
        <v>246</v>
      </c>
      <c r="L6" s="898">
        <v>481</v>
      </c>
      <c r="M6" s="893" t="s">
        <v>2258</v>
      </c>
      <c r="N6" s="899">
        <v>600</v>
      </c>
      <c r="O6" s="893" t="s">
        <v>2258</v>
      </c>
      <c r="P6" s="920">
        <v>714</v>
      </c>
      <c r="Q6" s="893" t="s">
        <v>2262</v>
      </c>
      <c r="R6" s="899">
        <v>807</v>
      </c>
      <c r="S6" s="893" t="s">
        <v>2333</v>
      </c>
      <c r="T6" s="921" t="s">
        <v>2334</v>
      </c>
      <c r="U6" s="893" t="s">
        <v>2267</v>
      </c>
      <c r="V6" s="899">
        <v>1012</v>
      </c>
      <c r="W6" s="893" t="s">
        <v>2274</v>
      </c>
      <c r="X6" s="899">
        <v>1013</v>
      </c>
      <c r="Y6" t="s">
        <v>2279</v>
      </c>
      <c r="Z6" s="913" t="s">
        <v>2335</v>
      </c>
      <c r="AA6" s="893" t="s">
        <v>2258</v>
      </c>
      <c r="AB6" s="905" t="s">
        <v>2336</v>
      </c>
      <c r="AC6" s="893" t="s">
        <v>2304</v>
      </c>
      <c r="AD6" s="922">
        <v>1315</v>
      </c>
      <c r="AE6" s="893" t="s">
        <v>2337</v>
      </c>
      <c r="AF6" s="908">
        <v>1419</v>
      </c>
      <c r="AG6" t="s">
        <v>2338</v>
      </c>
      <c r="AH6" s="913" t="s">
        <v>2339</v>
      </c>
      <c r="AI6" s="893" t="s">
        <v>2258</v>
      </c>
      <c r="AJ6" s="905" t="s">
        <v>2340</v>
      </c>
      <c r="AK6" t="s">
        <v>2255</v>
      </c>
      <c r="AL6" t="s">
        <v>2305</v>
      </c>
    </row>
    <row r="7" spans="2:41" ht="15.75" x14ac:dyDescent="0.25">
      <c r="B7" s="892" t="s">
        <v>2341</v>
      </c>
      <c r="C7" s="893" t="s">
        <v>2304</v>
      </c>
      <c r="D7" s="894" t="s">
        <v>2342</v>
      </c>
      <c r="E7" s="895" t="s">
        <v>2253</v>
      </c>
      <c r="F7" s="898">
        <v>217</v>
      </c>
      <c r="G7" s="895" t="s">
        <v>2253</v>
      </c>
      <c r="H7" s="904">
        <v>312</v>
      </c>
      <c r="I7" s="893" t="s">
        <v>2257</v>
      </c>
      <c r="J7" s="894" t="s">
        <v>2343</v>
      </c>
      <c r="K7" s="893" t="s">
        <v>2274</v>
      </c>
      <c r="L7" s="898">
        <v>482</v>
      </c>
      <c r="M7" s="893" t="s">
        <v>2258</v>
      </c>
      <c r="N7" s="899">
        <v>601</v>
      </c>
      <c r="O7" s="893" t="s">
        <v>2258</v>
      </c>
      <c r="P7" s="920">
        <v>715</v>
      </c>
      <c r="Q7" s="893" t="s">
        <v>2262</v>
      </c>
      <c r="R7" s="899">
        <v>808</v>
      </c>
      <c r="S7" s="893" t="s">
        <v>2333</v>
      </c>
      <c r="T7" s="923" t="s">
        <v>2344</v>
      </c>
      <c r="U7" s="893" t="s">
        <v>2257</v>
      </c>
      <c r="V7" s="899">
        <v>1013</v>
      </c>
      <c r="W7" s="895" t="s">
        <v>2253</v>
      </c>
      <c r="X7" s="899">
        <v>1014</v>
      </c>
      <c r="Y7" t="s">
        <v>2279</v>
      </c>
      <c r="Z7" s="905" t="s">
        <v>2345</v>
      </c>
      <c r="AA7" t="s">
        <v>2267</v>
      </c>
      <c r="AB7" s="905" t="s">
        <v>2346</v>
      </c>
      <c r="AC7" s="893" t="s">
        <v>2304</v>
      </c>
      <c r="AD7" s="902">
        <v>1333</v>
      </c>
      <c r="AE7" s="895" t="s">
        <v>2253</v>
      </c>
      <c r="AF7" s="917">
        <v>1420</v>
      </c>
      <c r="AG7" s="893" t="s">
        <v>2262</v>
      </c>
      <c r="AH7" s="908" t="s">
        <v>2347</v>
      </c>
      <c r="AI7" s="893" t="s">
        <v>2257</v>
      </c>
    </row>
    <row r="8" spans="2:41" ht="15.75" x14ac:dyDescent="0.25">
      <c r="B8" s="892" t="s">
        <v>2348</v>
      </c>
      <c r="C8" s="893" t="s">
        <v>2270</v>
      </c>
      <c r="D8" s="894" t="s">
        <v>2349</v>
      </c>
      <c r="E8" s="895" t="s">
        <v>2253</v>
      </c>
      <c r="F8" s="898">
        <v>218</v>
      </c>
      <c r="G8" s="895" t="s">
        <v>2253</v>
      </c>
      <c r="H8" s="904">
        <v>313</v>
      </c>
      <c r="I8" s="893" t="s">
        <v>2257</v>
      </c>
      <c r="J8" s="920" t="s">
        <v>2350</v>
      </c>
      <c r="K8" s="893" t="s">
        <v>2262</v>
      </c>
      <c r="L8" s="924">
        <v>484</v>
      </c>
      <c r="M8" s="893" t="s">
        <v>2318</v>
      </c>
      <c r="N8" s="899">
        <v>602</v>
      </c>
      <c r="O8" s="893" t="s">
        <v>2258</v>
      </c>
      <c r="P8" s="915">
        <v>716</v>
      </c>
      <c r="Q8" s="893" t="s">
        <v>2299</v>
      </c>
      <c r="R8" s="899">
        <v>816</v>
      </c>
      <c r="S8" s="735" t="s">
        <v>2272</v>
      </c>
      <c r="T8" s="921" t="s">
        <v>2351</v>
      </c>
      <c r="U8" s="893" t="s">
        <v>2251</v>
      </c>
      <c r="V8" s="899">
        <v>1014</v>
      </c>
      <c r="W8" s="895" t="s">
        <v>2253</v>
      </c>
      <c r="X8" s="899">
        <v>1015</v>
      </c>
      <c r="Y8" t="s">
        <v>2279</v>
      </c>
      <c r="Z8" s="904" t="s">
        <v>2352</v>
      </c>
      <c r="AA8" s="893" t="s">
        <v>2264</v>
      </c>
      <c r="AB8" s="905" t="s">
        <v>2353</v>
      </c>
      <c r="AC8" s="893" t="s">
        <v>2270</v>
      </c>
      <c r="AD8" s="902">
        <v>1334</v>
      </c>
      <c r="AE8" s="895" t="s">
        <v>2253</v>
      </c>
      <c r="AF8" s="917">
        <v>1421</v>
      </c>
      <c r="AG8" s="893" t="s">
        <v>2262</v>
      </c>
      <c r="AH8" s="913" t="s">
        <v>2354</v>
      </c>
      <c r="AI8" s="893" t="s">
        <v>2258</v>
      </c>
    </row>
    <row r="9" spans="2:41" ht="15.75" x14ac:dyDescent="0.25">
      <c r="B9" s="892" t="s">
        <v>2355</v>
      </c>
      <c r="C9" s="893" t="s">
        <v>2275</v>
      </c>
      <c r="D9" s="894" t="s">
        <v>2356</v>
      </c>
      <c r="E9" s="895" t="s">
        <v>2253</v>
      </c>
      <c r="F9" s="898">
        <v>219</v>
      </c>
      <c r="G9" s="895" t="s">
        <v>2253</v>
      </c>
      <c r="H9" s="898">
        <v>319</v>
      </c>
      <c r="I9" s="895" t="s">
        <v>2253</v>
      </c>
      <c r="J9" s="920" t="s">
        <v>2357</v>
      </c>
      <c r="K9" s="893" t="s">
        <v>2262</v>
      </c>
      <c r="L9" s="925" t="s">
        <v>2358</v>
      </c>
      <c r="M9" s="893" t="s">
        <v>2257</v>
      </c>
      <c r="N9" s="899">
        <v>603</v>
      </c>
      <c r="O9" s="893" t="s">
        <v>2258</v>
      </c>
      <c r="P9" s="900">
        <v>717</v>
      </c>
      <c r="Q9" t="s">
        <v>2276</v>
      </c>
      <c r="R9" s="918" t="s">
        <v>2359</v>
      </c>
      <c r="S9" s="893" t="s">
        <v>2318</v>
      </c>
      <c r="T9" s="901" t="s">
        <v>2360</v>
      </c>
      <c r="U9" s="893" t="s">
        <v>2258</v>
      </c>
      <c r="V9" s="899">
        <v>1015</v>
      </c>
      <c r="W9" s="895" t="s">
        <v>2253</v>
      </c>
      <c r="X9" s="899">
        <v>1016</v>
      </c>
      <c r="Y9" t="s">
        <v>2279</v>
      </c>
      <c r="Z9" s="908" t="s">
        <v>2361</v>
      </c>
      <c r="AA9" s="893" t="s">
        <v>2257</v>
      </c>
      <c r="AB9" s="902">
        <v>1237</v>
      </c>
      <c r="AC9" s="893" t="s">
        <v>2258</v>
      </c>
      <c r="AD9" s="902">
        <v>1335</v>
      </c>
      <c r="AE9" s="895" t="s">
        <v>2253</v>
      </c>
      <c r="AF9" s="902">
        <v>1431</v>
      </c>
      <c r="AG9" s="893" t="s">
        <v>2258</v>
      </c>
      <c r="AH9" s="913" t="s">
        <v>2362</v>
      </c>
      <c r="AI9" s="893" t="s">
        <v>2258</v>
      </c>
      <c r="AM9" s="735" t="s">
        <v>2363</v>
      </c>
      <c r="AN9" s="735" t="s">
        <v>2364</v>
      </c>
      <c r="AO9" s="735" t="s">
        <v>2365</v>
      </c>
    </row>
    <row r="10" spans="2:41" ht="15.75" x14ac:dyDescent="0.25">
      <c r="B10" s="892" t="s">
        <v>2366</v>
      </c>
      <c r="C10" s="893" t="s">
        <v>2255</v>
      </c>
      <c r="D10" s="894" t="s">
        <v>2367</v>
      </c>
      <c r="E10" s="895" t="s">
        <v>2253</v>
      </c>
      <c r="F10" s="898">
        <v>221</v>
      </c>
      <c r="G10" s="895" t="s">
        <v>2253</v>
      </c>
      <c r="H10" s="898">
        <v>320</v>
      </c>
      <c r="I10" s="895" t="s">
        <v>2253</v>
      </c>
      <c r="J10" s="926" t="s">
        <v>2368</v>
      </c>
      <c r="K10" s="895" t="s">
        <v>2253</v>
      </c>
      <c r="L10" s="899" t="s">
        <v>2369</v>
      </c>
      <c r="M10" s="893" t="s">
        <v>2258</v>
      </c>
      <c r="N10" s="899">
        <v>604</v>
      </c>
      <c r="O10" s="893" t="s">
        <v>2258</v>
      </c>
      <c r="P10" s="899">
        <v>719</v>
      </c>
      <c r="Q10" s="895" t="s">
        <v>2253</v>
      </c>
      <c r="R10" s="899" t="s">
        <v>2370</v>
      </c>
      <c r="S10" s="893" t="s">
        <v>2371</v>
      </c>
      <c r="T10" s="921" t="s">
        <v>2372</v>
      </c>
      <c r="U10" t="s">
        <v>2276</v>
      </c>
      <c r="V10" s="899">
        <v>1016</v>
      </c>
      <c r="W10" s="895" t="s">
        <v>2253</v>
      </c>
      <c r="X10" s="917">
        <v>1017</v>
      </c>
      <c r="Y10" t="s">
        <v>2279</v>
      </c>
      <c r="Z10" s="913" t="s">
        <v>2373</v>
      </c>
      <c r="AA10" s="893" t="s">
        <v>2258</v>
      </c>
      <c r="AB10" s="902">
        <v>1239</v>
      </c>
      <c r="AC10" s="893" t="s">
        <v>2258</v>
      </c>
      <c r="AD10" s="902">
        <v>1337</v>
      </c>
      <c r="AE10" s="895" t="s">
        <v>2253</v>
      </c>
      <c r="AF10" s="902">
        <v>1432</v>
      </c>
      <c r="AG10" s="893" t="s">
        <v>2258</v>
      </c>
      <c r="AH10" s="905" t="s">
        <v>2374</v>
      </c>
      <c r="AI10" s="893" t="s">
        <v>2304</v>
      </c>
      <c r="AM10" s="1420" t="s">
        <v>264</v>
      </c>
      <c r="AN10" s="895" t="s">
        <v>2375</v>
      </c>
      <c r="AO10" s="895" t="s">
        <v>2253</v>
      </c>
    </row>
    <row r="11" spans="2:41" ht="15.75" x14ac:dyDescent="0.25">
      <c r="B11" s="892" t="s">
        <v>2376</v>
      </c>
      <c r="C11" s="893" t="s">
        <v>2255</v>
      </c>
      <c r="D11" s="894" t="s">
        <v>2377</v>
      </c>
      <c r="E11" s="895" t="s">
        <v>2253</v>
      </c>
      <c r="F11" s="898">
        <v>223</v>
      </c>
      <c r="G11" s="895" t="s">
        <v>2253</v>
      </c>
      <c r="H11" s="898">
        <v>321</v>
      </c>
      <c r="I11" s="895" t="s">
        <v>2253</v>
      </c>
      <c r="J11" s="894" t="s">
        <v>2378</v>
      </c>
      <c r="K11" s="895" t="s">
        <v>2253</v>
      </c>
      <c r="L11" s="899" t="s">
        <v>2379</v>
      </c>
      <c r="M11" s="893" t="s">
        <v>2258</v>
      </c>
      <c r="N11" s="899">
        <v>605</v>
      </c>
      <c r="O11" s="893" t="s">
        <v>2258</v>
      </c>
      <c r="P11" s="899">
        <v>721</v>
      </c>
      <c r="Q11" s="895" t="s">
        <v>2253</v>
      </c>
      <c r="R11" s="920" t="s">
        <v>2380</v>
      </c>
      <c r="S11" s="893" t="s">
        <v>2262</v>
      </c>
      <c r="T11" s="921" t="s">
        <v>2381</v>
      </c>
      <c r="U11" s="893" t="s">
        <v>2267</v>
      </c>
      <c r="V11" s="920">
        <v>1017</v>
      </c>
      <c r="W11" s="893" t="s">
        <v>2262</v>
      </c>
      <c r="X11" s="917">
        <v>1022</v>
      </c>
      <c r="Y11" t="s">
        <v>2279</v>
      </c>
      <c r="Z11" s="913" t="s">
        <v>2382</v>
      </c>
      <c r="AA11" s="893" t="s">
        <v>2258</v>
      </c>
      <c r="AB11" s="922">
        <v>1240</v>
      </c>
      <c r="AC11" s="893" t="s">
        <v>2383</v>
      </c>
      <c r="AD11" s="902">
        <v>1338</v>
      </c>
      <c r="AE11" s="895" t="s">
        <v>2253</v>
      </c>
      <c r="AF11" s="902">
        <v>1433</v>
      </c>
      <c r="AG11" s="893" t="s">
        <v>2258</v>
      </c>
      <c r="AH11" s="907" t="s">
        <v>2384</v>
      </c>
      <c r="AI11" s="893" t="s">
        <v>2385</v>
      </c>
      <c r="AM11" s="1421"/>
      <c r="AN11" s="735" t="s">
        <v>2386</v>
      </c>
      <c r="AO11" s="735" t="s">
        <v>2387</v>
      </c>
    </row>
    <row r="12" spans="2:41" ht="15.75" x14ac:dyDescent="0.25">
      <c r="B12" s="924" t="s">
        <v>2388</v>
      </c>
      <c r="C12" s="893" t="s">
        <v>2292</v>
      </c>
      <c r="D12" s="894" t="s">
        <v>2389</v>
      </c>
      <c r="E12" s="893" t="s">
        <v>2258</v>
      </c>
      <c r="F12" s="924">
        <v>229</v>
      </c>
      <c r="G12" s="893" t="s">
        <v>2292</v>
      </c>
      <c r="H12" s="898">
        <v>322</v>
      </c>
      <c r="I12" s="895" t="s">
        <v>2253</v>
      </c>
      <c r="J12" s="894" t="s">
        <v>2390</v>
      </c>
      <c r="K12" s="895" t="s">
        <v>2253</v>
      </c>
      <c r="L12" s="899" t="s">
        <v>2391</v>
      </c>
      <c r="M12" s="893" t="s">
        <v>2258</v>
      </c>
      <c r="N12" s="899">
        <v>610</v>
      </c>
      <c r="O12" s="893" t="s">
        <v>2258</v>
      </c>
      <c r="P12" s="899">
        <v>723</v>
      </c>
      <c r="Q12" s="895" t="s">
        <v>2253</v>
      </c>
      <c r="R12" s="920" t="s">
        <v>2392</v>
      </c>
      <c r="S12" s="893" t="s">
        <v>2262</v>
      </c>
      <c r="T12" s="927" t="s">
        <v>2393</v>
      </c>
      <c r="U12" s="893" t="s">
        <v>2298</v>
      </c>
      <c r="V12" s="920">
        <v>1022</v>
      </c>
      <c r="W12" s="893" t="s">
        <v>2262</v>
      </c>
      <c r="X12" s="928">
        <v>1024</v>
      </c>
      <c r="Y12" t="s">
        <v>2279</v>
      </c>
      <c r="Z12" s="913" t="s">
        <v>2394</v>
      </c>
      <c r="AA12" s="893" t="s">
        <v>2258</v>
      </c>
      <c r="AB12" s="917">
        <v>1241</v>
      </c>
      <c r="AC12" s="893" t="s">
        <v>2262</v>
      </c>
      <c r="AD12" s="902">
        <v>1339</v>
      </c>
      <c r="AE12" s="895" t="s">
        <v>2253</v>
      </c>
      <c r="AF12" s="902">
        <v>1434</v>
      </c>
      <c r="AG12" s="893" t="s">
        <v>2258</v>
      </c>
      <c r="AH12" s="908" t="s">
        <v>2395</v>
      </c>
      <c r="AI12" s="893" t="s">
        <v>2314</v>
      </c>
      <c r="AM12" s="1421"/>
      <c r="AN12" s="735" t="s">
        <v>2396</v>
      </c>
      <c r="AO12" s="735" t="s">
        <v>2258</v>
      </c>
    </row>
    <row r="13" spans="2:41" ht="15.75" x14ac:dyDescent="0.25">
      <c r="B13" s="894" t="s">
        <v>2397</v>
      </c>
      <c r="C13" s="895" t="s">
        <v>2253</v>
      </c>
      <c r="D13" s="894" t="s">
        <v>2398</v>
      </c>
      <c r="E13" s="893" t="s">
        <v>2258</v>
      </c>
      <c r="F13" s="896">
        <v>254</v>
      </c>
      <c r="G13" s="893" t="s">
        <v>2270</v>
      </c>
      <c r="H13" s="898">
        <v>323</v>
      </c>
      <c r="I13" s="895" t="s">
        <v>2253</v>
      </c>
      <c r="J13" s="894" t="s">
        <v>2399</v>
      </c>
      <c r="K13" s="895" t="s">
        <v>2253</v>
      </c>
      <c r="L13" s="899" t="s">
        <v>2400</v>
      </c>
      <c r="M13" s="893" t="s">
        <v>2258</v>
      </c>
      <c r="N13" s="899">
        <v>611</v>
      </c>
      <c r="O13" s="893" t="s">
        <v>2258</v>
      </c>
      <c r="P13" s="899">
        <v>725</v>
      </c>
      <c r="Q13" s="895" t="s">
        <v>2253</v>
      </c>
      <c r="R13" s="920" t="s">
        <v>2401</v>
      </c>
      <c r="S13" s="893" t="s">
        <v>2262</v>
      </c>
      <c r="T13" s="921" t="s">
        <v>2402</v>
      </c>
      <c r="U13" t="s">
        <v>2275</v>
      </c>
      <c r="V13" s="929">
        <v>1024</v>
      </c>
      <c r="W13" s="893" t="s">
        <v>2403</v>
      </c>
      <c r="X13" s="899">
        <v>1028</v>
      </c>
      <c r="Y13" t="s">
        <v>2279</v>
      </c>
      <c r="Z13" s="913" t="s">
        <v>2404</v>
      </c>
      <c r="AA13" s="893" t="s">
        <v>2258</v>
      </c>
      <c r="AB13" s="917">
        <v>1242</v>
      </c>
      <c r="AC13" s="893" t="s">
        <v>2262</v>
      </c>
      <c r="AD13" s="902">
        <v>1340</v>
      </c>
      <c r="AE13" s="910" t="s">
        <v>2296</v>
      </c>
      <c r="AF13" s="905">
        <v>1435</v>
      </c>
      <c r="AG13" t="s">
        <v>2270</v>
      </c>
      <c r="AH13" s="908" t="s">
        <v>2405</v>
      </c>
      <c r="AI13" s="893" t="s">
        <v>2308</v>
      </c>
      <c r="AM13" s="1421"/>
      <c r="AN13" s="735" t="s">
        <v>2406</v>
      </c>
      <c r="AO13" s="735" t="s">
        <v>246</v>
      </c>
    </row>
    <row r="14" spans="2:41" ht="15.75" x14ac:dyDescent="0.25">
      <c r="B14" s="894" t="s">
        <v>2407</v>
      </c>
      <c r="C14" s="895" t="s">
        <v>2253</v>
      </c>
      <c r="D14" s="894" t="s">
        <v>2408</v>
      </c>
      <c r="E14" s="893" t="s">
        <v>2258</v>
      </c>
      <c r="F14" s="896">
        <v>255</v>
      </c>
      <c r="G14" s="893" t="s">
        <v>2251</v>
      </c>
      <c r="H14" s="898">
        <v>342</v>
      </c>
      <c r="I14" s="893" t="s">
        <v>2258</v>
      </c>
      <c r="J14" s="926" t="s">
        <v>2409</v>
      </c>
      <c r="K14" s="895" t="s">
        <v>2253</v>
      </c>
      <c r="L14" s="899" t="s">
        <v>2410</v>
      </c>
      <c r="M14" s="893" t="s">
        <v>2258</v>
      </c>
      <c r="N14" s="900">
        <v>619</v>
      </c>
      <c r="O14" s="893" t="s">
        <v>2267</v>
      </c>
      <c r="P14" s="899">
        <v>727</v>
      </c>
      <c r="Q14" s="895" t="s">
        <v>2253</v>
      </c>
      <c r="R14" s="929" t="s">
        <v>2411</v>
      </c>
      <c r="S14" s="893" t="s">
        <v>2412</v>
      </c>
      <c r="T14" s="930" t="s">
        <v>2413</v>
      </c>
      <c r="U14" s="893" t="s">
        <v>2316</v>
      </c>
      <c r="V14" s="899">
        <v>1028</v>
      </c>
      <c r="W14" s="893" t="s">
        <v>2387</v>
      </c>
      <c r="X14" s="902">
        <v>1029</v>
      </c>
      <c r="Y14" t="s">
        <v>2279</v>
      </c>
      <c r="Z14" s="908" t="s">
        <v>2414</v>
      </c>
      <c r="AA14" s="893" t="s">
        <v>2257</v>
      </c>
      <c r="AB14" s="908">
        <v>1244</v>
      </c>
      <c r="AC14" t="s">
        <v>2314</v>
      </c>
      <c r="AD14" s="902">
        <v>1347</v>
      </c>
      <c r="AE14" s="910" t="s">
        <v>2272</v>
      </c>
      <c r="AF14" s="931">
        <v>1437</v>
      </c>
      <c r="AG14" s="893" t="s">
        <v>2298</v>
      </c>
      <c r="AH14" s="905" t="s">
        <v>2415</v>
      </c>
      <c r="AI14" t="s">
        <v>2275</v>
      </c>
      <c r="AM14" s="1421"/>
      <c r="AN14" s="735" t="s">
        <v>2416</v>
      </c>
      <c r="AO14" s="735" t="s">
        <v>2272</v>
      </c>
    </row>
    <row r="15" spans="2:41" ht="15" customHeight="1" x14ac:dyDescent="0.25">
      <c r="B15" s="894" t="s">
        <v>2417</v>
      </c>
      <c r="C15" s="895" t="s">
        <v>2253</v>
      </c>
      <c r="D15" s="894" t="s">
        <v>2418</v>
      </c>
      <c r="E15" s="893" t="s">
        <v>2258</v>
      </c>
      <c r="F15" s="896">
        <v>256</v>
      </c>
      <c r="G15" t="s">
        <v>2276</v>
      </c>
      <c r="H15" s="898">
        <v>343</v>
      </c>
      <c r="I15" s="893" t="s">
        <v>2258</v>
      </c>
      <c r="J15" s="894" t="s">
        <v>2419</v>
      </c>
      <c r="K15" s="895" t="s">
        <v>2253</v>
      </c>
      <c r="L15" s="899" t="s">
        <v>2420</v>
      </c>
      <c r="M15" s="893" t="s">
        <v>2258</v>
      </c>
      <c r="N15" s="900">
        <v>620</v>
      </c>
      <c r="O15" t="s">
        <v>2276</v>
      </c>
      <c r="P15" s="899">
        <v>729</v>
      </c>
      <c r="Q15" s="895" t="s">
        <v>2253</v>
      </c>
      <c r="R15" s="929" t="s">
        <v>2421</v>
      </c>
      <c r="S15" s="893" t="s">
        <v>2422</v>
      </c>
      <c r="T15" s="901" t="s">
        <v>2423</v>
      </c>
      <c r="U15" s="893" t="s">
        <v>2258</v>
      </c>
      <c r="V15" s="899">
        <v>1029</v>
      </c>
      <c r="W15" s="893" t="s">
        <v>2258</v>
      </c>
      <c r="X15" s="902">
        <v>1030</v>
      </c>
      <c r="Y15" s="932" t="s">
        <v>2279</v>
      </c>
      <c r="Z15" s="907" t="s">
        <v>2424</v>
      </c>
      <c r="AA15" s="893" t="s">
        <v>2425</v>
      </c>
      <c r="AB15" s="908">
        <v>1252</v>
      </c>
      <c r="AC15" t="s">
        <v>2314</v>
      </c>
      <c r="AD15" s="902">
        <v>1348</v>
      </c>
      <c r="AE15" s="893" t="s">
        <v>246</v>
      </c>
      <c r="AF15" s="902">
        <v>1440</v>
      </c>
      <c r="AG15" s="893" t="s">
        <v>2258</v>
      </c>
      <c r="AH15" s="908" t="s">
        <v>2426</v>
      </c>
      <c r="AI15" s="893" t="s">
        <v>2314</v>
      </c>
      <c r="AM15" s="1421"/>
      <c r="AN15" s="735" t="s">
        <v>2427</v>
      </c>
      <c r="AO15" s="735" t="s">
        <v>2296</v>
      </c>
    </row>
    <row r="16" spans="2:41" ht="15.75" x14ac:dyDescent="0.25">
      <c r="B16" s="894" t="s">
        <v>2428</v>
      </c>
      <c r="C16" s="895" t="s">
        <v>2253</v>
      </c>
      <c r="D16" s="894" t="s">
        <v>2429</v>
      </c>
      <c r="E16" s="893" t="s">
        <v>2258</v>
      </c>
      <c r="F16" s="896">
        <v>257</v>
      </c>
      <c r="G16" t="s">
        <v>2276</v>
      </c>
      <c r="H16" s="898">
        <v>344</v>
      </c>
      <c r="I16" s="893" t="s">
        <v>2258</v>
      </c>
      <c r="J16" s="898">
        <v>437</v>
      </c>
      <c r="K16" s="895" t="s">
        <v>2253</v>
      </c>
      <c r="L16" s="899" t="s">
        <v>2430</v>
      </c>
      <c r="M16" s="893" t="s">
        <v>2258</v>
      </c>
      <c r="N16" s="900">
        <v>630</v>
      </c>
      <c r="O16" s="893" t="s">
        <v>2267</v>
      </c>
      <c r="P16" s="900">
        <v>731</v>
      </c>
      <c r="Q16" s="893" t="s">
        <v>2255</v>
      </c>
      <c r="R16" s="899" t="s">
        <v>2431</v>
      </c>
      <c r="S16" s="893" t="s">
        <v>2258</v>
      </c>
      <c r="T16" s="901" t="s">
        <v>2432</v>
      </c>
      <c r="U16" s="893" t="s">
        <v>2258</v>
      </c>
      <c r="V16" s="899">
        <v>1030</v>
      </c>
      <c r="W16" s="893" t="s">
        <v>2258</v>
      </c>
      <c r="X16" s="933">
        <v>1038</v>
      </c>
      <c r="Y16" t="s">
        <v>2279</v>
      </c>
      <c r="Z16" s="907" t="s">
        <v>2433</v>
      </c>
      <c r="AA16" s="893" t="s">
        <v>2425</v>
      </c>
      <c r="AB16" s="905">
        <v>1253</v>
      </c>
      <c r="AC16" t="s">
        <v>2276</v>
      </c>
      <c r="AD16" s="902">
        <v>1349</v>
      </c>
      <c r="AE16" s="893" t="s">
        <v>2274</v>
      </c>
      <c r="AF16" s="902" t="s">
        <v>2434</v>
      </c>
      <c r="AG16" s="893" t="s">
        <v>2371</v>
      </c>
      <c r="AH16" s="908" t="s">
        <v>2435</v>
      </c>
      <c r="AI16" s="893" t="s">
        <v>2257</v>
      </c>
      <c r="AM16" s="1421"/>
      <c r="AN16" s="735" t="s">
        <v>2436</v>
      </c>
      <c r="AO16" s="735" t="s">
        <v>2274</v>
      </c>
    </row>
    <row r="17" spans="2:41" ht="15.75" x14ac:dyDescent="0.25">
      <c r="B17" s="894" t="s">
        <v>2437</v>
      </c>
      <c r="C17" s="895" t="s">
        <v>2253</v>
      </c>
      <c r="D17" s="894" t="s">
        <v>2438</v>
      </c>
      <c r="E17" s="893" t="s">
        <v>2258</v>
      </c>
      <c r="F17" s="896">
        <v>258</v>
      </c>
      <c r="G17" s="893" t="s">
        <v>2304</v>
      </c>
      <c r="H17" s="898">
        <v>345</v>
      </c>
      <c r="I17" s="893" t="s">
        <v>2258</v>
      </c>
      <c r="J17" s="898">
        <v>440</v>
      </c>
      <c r="K17" s="893" t="s">
        <v>2258</v>
      </c>
      <c r="L17" s="903" t="s">
        <v>2439</v>
      </c>
      <c r="M17" s="893" t="s">
        <v>2440</v>
      </c>
      <c r="N17" s="900">
        <v>631</v>
      </c>
      <c r="O17" s="893" t="s">
        <v>2267</v>
      </c>
      <c r="P17" s="920">
        <v>740</v>
      </c>
      <c r="Q17" s="893" t="s">
        <v>2262</v>
      </c>
      <c r="R17" s="915" t="s">
        <v>2441</v>
      </c>
      <c r="S17" s="893" t="s">
        <v>2299</v>
      </c>
      <c r="T17" s="901" t="s">
        <v>2442</v>
      </c>
      <c r="U17" s="893" t="s">
        <v>2333</v>
      </c>
      <c r="V17" s="920">
        <v>1038</v>
      </c>
      <c r="W17" s="893" t="s">
        <v>2262</v>
      </c>
      <c r="X17" s="902">
        <v>1047</v>
      </c>
      <c r="Y17" t="s">
        <v>2279</v>
      </c>
      <c r="Z17" s="905" t="s">
        <v>2443</v>
      </c>
      <c r="AA17" s="893" t="s">
        <v>2267</v>
      </c>
      <c r="AB17" s="917">
        <v>1254</v>
      </c>
      <c r="AC17" s="893" t="s">
        <v>2262</v>
      </c>
      <c r="AD17" s="931">
        <v>1352</v>
      </c>
      <c r="AF17" s="913" t="s">
        <v>2444</v>
      </c>
      <c r="AG17" s="893" t="s">
        <v>2258</v>
      </c>
      <c r="AH17" s="903" t="s">
        <v>2445</v>
      </c>
      <c r="AI17" s="893" t="s">
        <v>2316</v>
      </c>
      <c r="AM17" s="1421"/>
      <c r="AN17" s="934" t="s">
        <v>2446</v>
      </c>
      <c r="AO17" s="934" t="s">
        <v>2333</v>
      </c>
    </row>
    <row r="18" spans="2:41" ht="15.75" x14ac:dyDescent="0.25">
      <c r="B18" s="894" t="s">
        <v>2447</v>
      </c>
      <c r="C18" s="895" t="s">
        <v>2253</v>
      </c>
      <c r="D18" s="894" t="s">
        <v>2448</v>
      </c>
      <c r="E18" s="893" t="s">
        <v>2258</v>
      </c>
      <c r="F18" s="896">
        <v>259</v>
      </c>
      <c r="G18" s="893" t="s">
        <v>2270</v>
      </c>
      <c r="H18" s="898">
        <v>346</v>
      </c>
      <c r="I18" s="893" t="s">
        <v>2258</v>
      </c>
      <c r="J18" s="898">
        <v>442</v>
      </c>
      <c r="K18" s="893" t="s">
        <v>2258</v>
      </c>
      <c r="L18" s="900" t="s">
        <v>2449</v>
      </c>
      <c r="M18" s="893" t="s">
        <v>2267</v>
      </c>
      <c r="N18" s="918">
        <v>633</v>
      </c>
      <c r="O18" s="893" t="s">
        <v>2298</v>
      </c>
      <c r="P18" s="899">
        <v>744</v>
      </c>
      <c r="Q18" s="895" t="s">
        <v>2253</v>
      </c>
      <c r="R18" s="915" t="s">
        <v>2450</v>
      </c>
      <c r="S18" s="893" t="s">
        <v>2299</v>
      </c>
      <c r="T18" s="930" t="s">
        <v>2451</v>
      </c>
      <c r="U18" t="s">
        <v>2452</v>
      </c>
      <c r="V18" s="899">
        <v>1047</v>
      </c>
      <c r="W18" s="895" t="s">
        <v>2253</v>
      </c>
      <c r="X18" s="935">
        <v>1051</v>
      </c>
      <c r="Y18" t="s">
        <v>2279</v>
      </c>
      <c r="Z18" s="913" t="s">
        <v>2453</v>
      </c>
      <c r="AA18" s="893" t="s">
        <v>2333</v>
      </c>
      <c r="AB18" s="902">
        <v>1256</v>
      </c>
      <c r="AC18" s="893" t="s">
        <v>2258</v>
      </c>
      <c r="AD18" s="913" t="s">
        <v>2454</v>
      </c>
      <c r="AE18" s="895" t="s">
        <v>2253</v>
      </c>
      <c r="AF18" s="936" t="s">
        <v>2455</v>
      </c>
      <c r="AG18" s="893" t="s">
        <v>2262</v>
      </c>
      <c r="AH18" s="908" t="s">
        <v>2456</v>
      </c>
      <c r="AI18" s="893" t="s">
        <v>2257</v>
      </c>
      <c r="AM18" s="1421"/>
      <c r="AN18" s="934" t="s">
        <v>2457</v>
      </c>
      <c r="AO18" s="934" t="s">
        <v>2371</v>
      </c>
    </row>
    <row r="19" spans="2:41" ht="15.75" x14ac:dyDescent="0.25">
      <c r="B19" s="894" t="s">
        <v>2458</v>
      </c>
      <c r="C19" s="895" t="s">
        <v>2253</v>
      </c>
      <c r="D19" s="894" t="s">
        <v>2459</v>
      </c>
      <c r="E19" s="893" t="s">
        <v>2258</v>
      </c>
      <c r="F19" s="937">
        <v>260</v>
      </c>
      <c r="G19" s="893" t="s">
        <v>2262</v>
      </c>
      <c r="H19" s="898">
        <v>347</v>
      </c>
      <c r="I19" s="893" t="s">
        <v>2258</v>
      </c>
      <c r="J19" s="898">
        <v>469</v>
      </c>
      <c r="K19" s="735" t="s">
        <v>2272</v>
      </c>
      <c r="L19" s="900" t="s">
        <v>2460</v>
      </c>
      <c r="M19" s="893" t="s">
        <v>2267</v>
      </c>
      <c r="N19" s="899">
        <v>635</v>
      </c>
      <c r="O19" s="895" t="s">
        <v>2253</v>
      </c>
      <c r="P19" s="900">
        <v>746</v>
      </c>
      <c r="Q19" s="893" t="s">
        <v>2267</v>
      </c>
      <c r="R19" s="895" t="s">
        <v>2461</v>
      </c>
      <c r="S19" s="893" t="s">
        <v>2304</v>
      </c>
      <c r="T19" s="930" t="s">
        <v>2462</v>
      </c>
      <c r="U19" s="893" t="s">
        <v>2262</v>
      </c>
      <c r="V19" s="925">
        <v>1051</v>
      </c>
      <c r="W19" s="910" t="s">
        <v>2285</v>
      </c>
      <c r="X19" s="901" t="s">
        <v>2463</v>
      </c>
      <c r="Y19" t="s">
        <v>2279</v>
      </c>
      <c r="Z19" s="907" t="s">
        <v>2464</v>
      </c>
      <c r="AA19" t="s">
        <v>2465</v>
      </c>
      <c r="AB19" s="917">
        <v>1263</v>
      </c>
      <c r="AC19" t="s">
        <v>2316</v>
      </c>
      <c r="AD19" s="903" t="s">
        <v>2466</v>
      </c>
      <c r="AE19" s="893" t="s">
        <v>2262</v>
      </c>
      <c r="AF19" s="903" t="s">
        <v>2467</v>
      </c>
      <c r="AG19" t="s">
        <v>2316</v>
      </c>
      <c r="AH19" s="908" t="s">
        <v>2468</v>
      </c>
      <c r="AI19" s="893" t="s">
        <v>2257</v>
      </c>
      <c r="AM19" s="1421"/>
      <c r="AN19" s="934" t="s">
        <v>2469</v>
      </c>
      <c r="AO19" s="934" t="s">
        <v>2290</v>
      </c>
    </row>
    <row r="20" spans="2:41" ht="15.75" x14ac:dyDescent="0.25">
      <c r="B20" s="894" t="s">
        <v>2470</v>
      </c>
      <c r="C20" s="895" t="s">
        <v>2253</v>
      </c>
      <c r="D20" s="894" t="s">
        <v>2471</v>
      </c>
      <c r="E20" s="895" t="s">
        <v>2253</v>
      </c>
      <c r="F20" s="898">
        <v>272</v>
      </c>
      <c r="G20" s="893" t="s">
        <v>2258</v>
      </c>
      <c r="H20" s="898">
        <v>358</v>
      </c>
      <c r="I20" s="895" t="s">
        <v>2253</v>
      </c>
      <c r="J20" s="898">
        <v>470</v>
      </c>
      <c r="K20" s="893" t="s">
        <v>2258</v>
      </c>
      <c r="L20" s="925" t="s">
        <v>2472</v>
      </c>
      <c r="M20" s="893" t="s">
        <v>2257</v>
      </c>
      <c r="N20" s="925">
        <v>671</v>
      </c>
      <c r="O20" s="893" t="s">
        <v>2257</v>
      </c>
      <c r="P20" s="900">
        <v>765</v>
      </c>
      <c r="Q20" s="893" t="s">
        <v>2267</v>
      </c>
      <c r="R20" s="900" t="s">
        <v>2473</v>
      </c>
      <c r="S20" s="893" t="s">
        <v>2270</v>
      </c>
      <c r="T20" s="930" t="s">
        <v>2474</v>
      </c>
      <c r="U20" s="893" t="s">
        <v>2262</v>
      </c>
      <c r="V20" s="901" t="s">
        <v>2463</v>
      </c>
      <c r="W20" s="895" t="s">
        <v>2253</v>
      </c>
      <c r="X20" s="903" t="s">
        <v>2475</v>
      </c>
      <c r="Y20" t="s">
        <v>2279</v>
      </c>
      <c r="Z20" s="905" t="s">
        <v>2476</v>
      </c>
      <c r="AA20" s="893" t="s">
        <v>2267</v>
      </c>
      <c r="AB20" s="922">
        <v>1269</v>
      </c>
      <c r="AC20" t="s">
        <v>2337</v>
      </c>
      <c r="AD20" s="922" t="s">
        <v>2477</v>
      </c>
      <c r="AE20" s="893" t="s">
        <v>2337</v>
      </c>
      <c r="AF20" s="903" t="s">
        <v>2478</v>
      </c>
      <c r="AG20" s="893" t="s">
        <v>2262</v>
      </c>
      <c r="AH20" s="908" t="s">
        <v>2479</v>
      </c>
      <c r="AI20" s="893" t="s">
        <v>2257</v>
      </c>
    </row>
    <row r="21" spans="2:41" ht="15.75" x14ac:dyDescent="0.25">
      <c r="B21" s="894" t="s">
        <v>2480</v>
      </c>
      <c r="C21" s="895" t="s">
        <v>2253</v>
      </c>
      <c r="D21" s="894" t="s">
        <v>2481</v>
      </c>
      <c r="E21" s="893" t="s">
        <v>2258</v>
      </c>
      <c r="F21" s="938">
        <v>274</v>
      </c>
      <c r="G21" s="893" t="s">
        <v>2299</v>
      </c>
      <c r="H21" s="898">
        <v>359</v>
      </c>
      <c r="I21" s="895" t="s">
        <v>2253</v>
      </c>
      <c r="J21" s="894" t="s">
        <v>2482</v>
      </c>
      <c r="K21" s="893" t="s">
        <v>2258</v>
      </c>
      <c r="L21" s="900" t="s">
        <v>2483</v>
      </c>
      <c r="M21" s="893" t="s">
        <v>2270</v>
      </c>
      <c r="N21" s="925">
        <v>676</v>
      </c>
      <c r="O21" s="893" t="s">
        <v>2338</v>
      </c>
      <c r="P21" s="900">
        <v>766</v>
      </c>
      <c r="Q21" s="893" t="s">
        <v>2267</v>
      </c>
      <c r="R21" s="920" t="s">
        <v>2484</v>
      </c>
      <c r="S21" s="893" t="s">
        <v>2262</v>
      </c>
      <c r="T21" s="930" t="s">
        <v>2485</v>
      </c>
      <c r="U21" s="893" t="s">
        <v>2262</v>
      </c>
      <c r="V21" s="930" t="s">
        <v>2475</v>
      </c>
      <c r="W21" s="893" t="s">
        <v>2262</v>
      </c>
      <c r="X21" s="903" t="s">
        <v>2486</v>
      </c>
      <c r="Y21" t="s">
        <v>2279</v>
      </c>
      <c r="Z21" s="907" t="s">
        <v>2487</v>
      </c>
      <c r="AA21" s="893" t="s">
        <v>2488</v>
      </c>
      <c r="AB21" s="919" t="s">
        <v>2489</v>
      </c>
      <c r="AC21" t="s">
        <v>2299</v>
      </c>
      <c r="AD21" s="911" t="s">
        <v>2490</v>
      </c>
      <c r="AE21" s="893" t="s">
        <v>2292</v>
      </c>
      <c r="AF21" s="903" t="s">
        <v>2491</v>
      </c>
      <c r="AG21" s="893" t="s">
        <v>2262</v>
      </c>
      <c r="AH21" s="904" t="s">
        <v>2492</v>
      </c>
      <c r="AI21" s="893" t="s">
        <v>2264</v>
      </c>
      <c r="AM21" s="939" t="s">
        <v>1815</v>
      </c>
      <c r="AN21" t="s">
        <v>2493</v>
      </c>
      <c r="AO21" t="s">
        <v>2304</v>
      </c>
    </row>
    <row r="22" spans="2:41" ht="15.75" x14ac:dyDescent="0.25">
      <c r="B22" s="894" t="s">
        <v>2494</v>
      </c>
      <c r="C22" s="895" t="s">
        <v>2253</v>
      </c>
      <c r="D22" s="894" t="s">
        <v>2495</v>
      </c>
      <c r="E22" s="893" t="s">
        <v>2258</v>
      </c>
      <c r="F22" s="904">
        <v>275</v>
      </c>
      <c r="G22" s="893" t="s">
        <v>2338</v>
      </c>
      <c r="H22" s="898">
        <v>360</v>
      </c>
      <c r="I22" s="893" t="s">
        <v>2258</v>
      </c>
      <c r="J22" s="898">
        <v>472</v>
      </c>
      <c r="K22" s="893" t="s">
        <v>2258</v>
      </c>
      <c r="L22" s="920" t="s">
        <v>2496</v>
      </c>
      <c r="M22" s="893" t="s">
        <v>2262</v>
      </c>
      <c r="N22" s="925">
        <v>679</v>
      </c>
      <c r="O22" s="893" t="s">
        <v>2257</v>
      </c>
      <c r="P22" s="930">
        <v>771</v>
      </c>
      <c r="Q22" t="s">
        <v>2452</v>
      </c>
      <c r="R22" s="915" t="s">
        <v>2497</v>
      </c>
      <c r="S22" s="893" t="s">
        <v>2299</v>
      </c>
      <c r="T22" s="901" t="s">
        <v>2498</v>
      </c>
      <c r="U22" s="893" t="s">
        <v>2333</v>
      </c>
      <c r="V22" s="930" t="s">
        <v>2486</v>
      </c>
      <c r="W22" s="893" t="s">
        <v>2262</v>
      </c>
      <c r="X22" s="903" t="s">
        <v>2499</v>
      </c>
      <c r="Y22" t="s">
        <v>2279</v>
      </c>
      <c r="Z22" s="911" t="s">
        <v>2500</v>
      </c>
      <c r="AA22" t="s">
        <v>2318</v>
      </c>
      <c r="AB22" s="905" t="s">
        <v>2501</v>
      </c>
      <c r="AC22" s="893" t="s">
        <v>2251</v>
      </c>
      <c r="AD22" s="908" t="s">
        <v>2502</v>
      </c>
      <c r="AE22" s="893" t="s">
        <v>2308</v>
      </c>
      <c r="AF22" s="913" t="s">
        <v>2503</v>
      </c>
      <c r="AG22" s="893" t="s">
        <v>2258</v>
      </c>
      <c r="AH22" s="908" t="s">
        <v>2504</v>
      </c>
      <c r="AI22" s="893" t="s">
        <v>2257</v>
      </c>
      <c r="AM22" s="939"/>
      <c r="AN22" t="s">
        <v>2505</v>
      </c>
      <c r="AO22" t="s">
        <v>2251</v>
      </c>
    </row>
    <row r="23" spans="2:41" ht="15.75" x14ac:dyDescent="0.25">
      <c r="B23" s="894" t="s">
        <v>2506</v>
      </c>
      <c r="C23" s="895" t="s">
        <v>2253</v>
      </c>
      <c r="D23" s="894" t="s">
        <v>2507</v>
      </c>
      <c r="E23" s="893" t="s">
        <v>2258</v>
      </c>
      <c r="F23" s="904">
        <v>276</v>
      </c>
      <c r="G23" s="893" t="s">
        <v>2338</v>
      </c>
      <c r="H23" s="898">
        <v>361</v>
      </c>
      <c r="I23" s="893" t="s">
        <v>2258</v>
      </c>
      <c r="J23" s="898">
        <v>473</v>
      </c>
      <c r="K23" s="893" t="s">
        <v>2258</v>
      </c>
      <c r="L23" s="920" t="s">
        <v>2508</v>
      </c>
      <c r="M23" s="893" t="s">
        <v>2262</v>
      </c>
      <c r="N23" s="900">
        <v>683</v>
      </c>
      <c r="O23" s="893" t="s">
        <v>2270</v>
      </c>
      <c r="P23" s="899">
        <v>773</v>
      </c>
      <c r="Q23" s="893" t="s">
        <v>2258</v>
      </c>
      <c r="R23" s="899" t="s">
        <v>2509</v>
      </c>
      <c r="S23" s="893" t="s">
        <v>2258</v>
      </c>
      <c r="T23" s="901" t="s">
        <v>2510</v>
      </c>
      <c r="U23" s="893" t="s">
        <v>2333</v>
      </c>
      <c r="V23" s="930" t="s">
        <v>2499</v>
      </c>
      <c r="W23" s="893" t="s">
        <v>2316</v>
      </c>
      <c r="X23" s="903" t="s">
        <v>2511</v>
      </c>
      <c r="Y23" t="s">
        <v>2279</v>
      </c>
      <c r="Z23" s="903" t="s">
        <v>2512</v>
      </c>
      <c r="AA23" s="893" t="s">
        <v>2262</v>
      </c>
      <c r="AB23" s="905" t="s">
        <v>2513</v>
      </c>
      <c r="AC23" t="s">
        <v>2275</v>
      </c>
      <c r="AD23" s="905" t="s">
        <v>2514</v>
      </c>
      <c r="AE23" t="s">
        <v>2267</v>
      </c>
      <c r="AF23" s="919" t="s">
        <v>2515</v>
      </c>
      <c r="AG23" s="893" t="s">
        <v>2299</v>
      </c>
      <c r="AH23" s="922" t="s">
        <v>2516</v>
      </c>
      <c r="AI23" s="893" t="s">
        <v>2337</v>
      </c>
      <c r="AM23" s="939"/>
      <c r="AN23" t="s">
        <v>2517</v>
      </c>
      <c r="AO23" t="s">
        <v>2270</v>
      </c>
    </row>
    <row r="24" spans="2:41" ht="15.75" x14ac:dyDescent="0.25">
      <c r="B24" s="894" t="s">
        <v>2518</v>
      </c>
      <c r="C24" s="895" t="s">
        <v>2253</v>
      </c>
      <c r="D24" s="940" t="s">
        <v>2519</v>
      </c>
      <c r="F24" s="898">
        <v>293</v>
      </c>
      <c r="G24" s="893" t="s">
        <v>2258</v>
      </c>
      <c r="H24" s="898">
        <v>362</v>
      </c>
      <c r="I24" s="893" t="s">
        <v>2258</v>
      </c>
      <c r="J24" s="898">
        <v>474</v>
      </c>
      <c r="K24" s="893" t="s">
        <v>2258</v>
      </c>
      <c r="L24" s="920" t="s">
        <v>2520</v>
      </c>
      <c r="M24" s="893" t="s">
        <v>2262</v>
      </c>
      <c r="N24" s="915">
        <v>684</v>
      </c>
      <c r="O24" s="893" t="s">
        <v>2299</v>
      </c>
      <c r="P24" s="899">
        <v>775</v>
      </c>
      <c r="Q24" s="893" t="s">
        <v>2258</v>
      </c>
      <c r="R24" s="900" t="s">
        <v>2521</v>
      </c>
      <c r="S24" s="893" t="s">
        <v>2267</v>
      </c>
      <c r="T24" s="901" t="s">
        <v>2522</v>
      </c>
      <c r="U24" s="893" t="s">
        <v>2333</v>
      </c>
      <c r="V24" s="930" t="s">
        <v>2511</v>
      </c>
      <c r="W24" s="893" t="s">
        <v>2262</v>
      </c>
      <c r="X24" s="919" t="s">
        <v>2523</v>
      </c>
      <c r="Y24" t="s">
        <v>2279</v>
      </c>
      <c r="Z24" s="907" t="s">
        <v>2524</v>
      </c>
      <c r="AA24" s="893" t="s">
        <v>2525</v>
      </c>
      <c r="AB24" s="904" t="s">
        <v>2526</v>
      </c>
      <c r="AC24" s="893" t="s">
        <v>2264</v>
      </c>
      <c r="AD24" s="903" t="s">
        <v>2527</v>
      </c>
      <c r="AE24" s="893" t="s">
        <v>2262</v>
      </c>
      <c r="AF24" s="903" t="s">
        <v>2528</v>
      </c>
      <c r="AG24" s="893" t="s">
        <v>2262</v>
      </c>
      <c r="AH24" s="906" t="s">
        <v>2529</v>
      </c>
      <c r="AM24" s="939"/>
      <c r="AN24" t="s">
        <v>2530</v>
      </c>
      <c r="AO24" t="s">
        <v>2276</v>
      </c>
    </row>
    <row r="25" spans="2:41" ht="15.75" x14ac:dyDescent="0.25">
      <c r="B25" s="894" t="s">
        <v>2531</v>
      </c>
      <c r="C25" s="895" t="s">
        <v>2253</v>
      </c>
      <c r="D25" s="894" t="s">
        <v>2532</v>
      </c>
      <c r="E25" s="910" t="s">
        <v>2296</v>
      </c>
      <c r="F25" s="924">
        <v>301</v>
      </c>
      <c r="G25" s="893" t="s">
        <v>2318</v>
      </c>
      <c r="H25" s="896">
        <v>366</v>
      </c>
      <c r="I25" s="893" t="s">
        <v>2251</v>
      </c>
      <c r="J25" s="898">
        <v>475</v>
      </c>
      <c r="K25" s="893" t="s">
        <v>2258</v>
      </c>
      <c r="L25" s="920" t="s">
        <v>2533</v>
      </c>
      <c r="M25" s="893" t="s">
        <v>2262</v>
      </c>
      <c r="N25" s="920">
        <v>685</v>
      </c>
      <c r="O25" s="893" t="s">
        <v>2262</v>
      </c>
      <c r="P25" s="899">
        <v>777</v>
      </c>
      <c r="Q25" s="893" t="s">
        <v>2258</v>
      </c>
      <c r="R25" s="915" t="s">
        <v>2534</v>
      </c>
      <c r="T25" s="901" t="s">
        <v>2535</v>
      </c>
      <c r="U25" s="893" t="s">
        <v>2333</v>
      </c>
      <c r="V25" s="941" t="s">
        <v>2523</v>
      </c>
      <c r="W25" s="893" t="s">
        <v>2299</v>
      </c>
      <c r="X25" s="917">
        <v>1094</v>
      </c>
      <c r="Y25" s="893" t="s">
        <v>2536</v>
      </c>
      <c r="Z25" s="903" t="s">
        <v>2537</v>
      </c>
      <c r="AA25" s="893" t="s">
        <v>2262</v>
      </c>
      <c r="AB25" s="904" t="s">
        <v>2538</v>
      </c>
      <c r="AC25" s="893" t="s">
        <v>2264</v>
      </c>
      <c r="AD25" s="903" t="s">
        <v>2539</v>
      </c>
      <c r="AE25" s="893" t="s">
        <v>2262</v>
      </c>
      <c r="AF25" s="905" t="s">
        <v>2540</v>
      </c>
      <c r="AG25" t="s">
        <v>2275</v>
      </c>
      <c r="AH25" s="906" t="s">
        <v>2541</v>
      </c>
      <c r="AM25" s="939"/>
      <c r="AN25" t="s">
        <v>1587</v>
      </c>
      <c r="AO25" t="s">
        <v>2275</v>
      </c>
    </row>
    <row r="26" spans="2:41" x14ac:dyDescent="0.25">
      <c r="AM26" s="939"/>
      <c r="AN26" t="s">
        <v>2542</v>
      </c>
      <c r="AO26" t="s">
        <v>2255</v>
      </c>
    </row>
    <row r="27" spans="2:41" x14ac:dyDescent="0.25">
      <c r="V27" s="735" t="s">
        <v>2272</v>
      </c>
      <c r="AM27" s="939"/>
      <c r="AN27" t="s">
        <v>2543</v>
      </c>
      <c r="AO27" t="s">
        <v>2267</v>
      </c>
    </row>
    <row r="29" spans="2:41" x14ac:dyDescent="0.25">
      <c r="AM29" s="942" t="s">
        <v>535</v>
      </c>
      <c r="AN29" t="s">
        <v>2544</v>
      </c>
      <c r="AO29" t="s">
        <v>2262</v>
      </c>
    </row>
    <row r="30" spans="2:41" x14ac:dyDescent="0.25">
      <c r="AM30" s="942"/>
      <c r="AN30" t="s">
        <v>2545</v>
      </c>
      <c r="AO30" t="s">
        <v>2452</v>
      </c>
    </row>
    <row r="31" spans="2:41" x14ac:dyDescent="0.25">
      <c r="AM31" s="942"/>
      <c r="AN31" t="s">
        <v>2546</v>
      </c>
      <c r="AO31" t="s">
        <v>2316</v>
      </c>
    </row>
    <row r="32" spans="2:41" x14ac:dyDescent="0.25">
      <c r="AM32" s="942"/>
      <c r="AN32" t="s">
        <v>2547</v>
      </c>
      <c r="AO32" t="s">
        <v>2310</v>
      </c>
    </row>
    <row r="33" spans="39:41" x14ac:dyDescent="0.25">
      <c r="AM33" s="942"/>
      <c r="AN33" t="s">
        <v>2548</v>
      </c>
      <c r="AO33" t="s">
        <v>2440</v>
      </c>
    </row>
    <row r="35" spans="39:41" x14ac:dyDescent="0.25">
      <c r="AM35" s="943" t="s">
        <v>2549</v>
      </c>
      <c r="AN35" t="s">
        <v>2550</v>
      </c>
      <c r="AO35" t="s">
        <v>2338</v>
      </c>
    </row>
    <row r="36" spans="39:41" x14ac:dyDescent="0.25">
      <c r="AM36" s="943"/>
      <c r="AN36" t="s">
        <v>2551</v>
      </c>
      <c r="AO36" t="s">
        <v>2257</v>
      </c>
    </row>
    <row r="37" spans="39:41" x14ac:dyDescent="0.25">
      <c r="AM37" s="943"/>
      <c r="AN37" t="s">
        <v>2552</v>
      </c>
      <c r="AO37" t="s">
        <v>2264</v>
      </c>
    </row>
    <row r="38" spans="39:41" x14ac:dyDescent="0.25">
      <c r="AM38" s="943"/>
      <c r="AN38" t="s">
        <v>2553</v>
      </c>
      <c r="AO38" t="s">
        <v>2308</v>
      </c>
    </row>
    <row r="39" spans="39:41" x14ac:dyDescent="0.25">
      <c r="AM39" s="943"/>
      <c r="AN39" t="s">
        <v>1584</v>
      </c>
      <c r="AO39" t="s">
        <v>2285</v>
      </c>
    </row>
    <row r="40" spans="39:41" ht="15" customHeight="1" x14ac:dyDescent="0.25">
      <c r="AM40" s="943"/>
      <c r="AN40" t="s">
        <v>2554</v>
      </c>
      <c r="AO40" t="s">
        <v>2301</v>
      </c>
    </row>
    <row r="41" spans="39:41" ht="15" customHeight="1" x14ac:dyDescent="0.25">
      <c r="AM41" s="943"/>
      <c r="AN41" t="s">
        <v>2555</v>
      </c>
      <c r="AO41" t="s">
        <v>2314</v>
      </c>
    </row>
    <row r="42" spans="39:41" ht="15" customHeight="1" x14ac:dyDescent="0.25"/>
    <row r="43" spans="39:41" ht="15" customHeight="1" x14ac:dyDescent="0.25">
      <c r="AM43" s="944" t="s">
        <v>2556</v>
      </c>
      <c r="AN43" t="s">
        <v>2557</v>
      </c>
      <c r="AO43" t="s">
        <v>2298</v>
      </c>
    </row>
    <row r="44" spans="39:41" ht="15.75" x14ac:dyDescent="0.25">
      <c r="AM44" s="944"/>
      <c r="AN44" t="s">
        <v>2558</v>
      </c>
      <c r="AO44" t="s">
        <v>2318</v>
      </c>
    </row>
    <row r="45" spans="39:41" ht="15.75" x14ac:dyDescent="0.25">
      <c r="AM45" s="944"/>
      <c r="AN45" t="s">
        <v>2559</v>
      </c>
      <c r="AO45" t="s">
        <v>2292</v>
      </c>
    </row>
    <row r="47" spans="39:41" x14ac:dyDescent="0.25">
      <c r="AM47" s="1422" t="s">
        <v>2560</v>
      </c>
      <c r="AN47" t="s">
        <v>2561</v>
      </c>
      <c r="AO47" t="s">
        <v>2412</v>
      </c>
    </row>
    <row r="48" spans="39:41" x14ac:dyDescent="0.25">
      <c r="AM48" s="1422"/>
      <c r="AN48" t="s">
        <v>2562</v>
      </c>
      <c r="AO48" t="s">
        <v>2422</v>
      </c>
    </row>
    <row r="49" spans="39:41" x14ac:dyDescent="0.25">
      <c r="AM49" s="1422"/>
      <c r="AN49" t="s">
        <v>2563</v>
      </c>
      <c r="AO49" t="s">
        <v>2403</v>
      </c>
    </row>
    <row r="50" spans="39:41" x14ac:dyDescent="0.25">
      <c r="AM50" s="1422"/>
      <c r="AN50" t="s">
        <v>2564</v>
      </c>
      <c r="AO50" t="s">
        <v>2425</v>
      </c>
    </row>
    <row r="51" spans="39:41" x14ac:dyDescent="0.25">
      <c r="AM51" s="1422"/>
      <c r="AN51" t="s">
        <v>2565</v>
      </c>
      <c r="AO51" t="s">
        <v>2465</v>
      </c>
    </row>
    <row r="52" spans="39:41" x14ac:dyDescent="0.25">
      <c r="AM52" s="1422"/>
      <c r="AN52" t="s">
        <v>2566</v>
      </c>
      <c r="AO52" t="s">
        <v>2488</v>
      </c>
    </row>
    <row r="53" spans="39:41" x14ac:dyDescent="0.25">
      <c r="AM53" s="1422"/>
      <c r="AN53" t="s">
        <v>2567</v>
      </c>
      <c r="AO53" t="s">
        <v>2525</v>
      </c>
    </row>
    <row r="54" spans="39:41" x14ac:dyDescent="0.25">
      <c r="AM54" s="1422"/>
      <c r="AN54" t="s">
        <v>2568</v>
      </c>
      <c r="AO54" t="s">
        <v>2282</v>
      </c>
    </row>
    <row r="55" spans="39:41" x14ac:dyDescent="0.25">
      <c r="AM55" s="945"/>
      <c r="AN55" t="s">
        <v>2569</v>
      </c>
      <c r="AO55" t="s">
        <v>2385</v>
      </c>
    </row>
    <row r="57" spans="39:41" x14ac:dyDescent="0.25">
      <c r="AM57" s="1423" t="s">
        <v>2570</v>
      </c>
      <c r="AN57" t="s">
        <v>2571</v>
      </c>
      <c r="AO57" t="s">
        <v>2337</v>
      </c>
    </row>
    <row r="58" spans="39:41" x14ac:dyDescent="0.25">
      <c r="AM58" s="1423"/>
      <c r="AN58" t="s">
        <v>2572</v>
      </c>
      <c r="AO58" t="s">
        <v>2383</v>
      </c>
    </row>
  </sheetData>
  <mergeCells count="3">
    <mergeCell ref="AM10:AM19"/>
    <mergeCell ref="AM47:AM54"/>
    <mergeCell ref="AM57:AM58"/>
  </mergeCells>
  <pageMargins left="0.7" right="0.7" top="0.75" bottom="0.75" header="0.3" footer="0.3"/>
  <pageSetup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4706B-D651-424B-B0DB-A5F9DB0AE2E6}">
  <sheetPr codeName="Hoja3"/>
  <dimension ref="A1:L32"/>
  <sheetViews>
    <sheetView workbookViewId="0">
      <selection sqref="A1:F1"/>
    </sheetView>
  </sheetViews>
  <sheetFormatPr baseColWidth="10" defaultColWidth="11.5703125" defaultRowHeight="15" x14ac:dyDescent="0.25"/>
  <cols>
    <col min="1" max="1" width="7" bestFit="1" customWidth="1"/>
    <col min="2" max="2" width="49.85546875" customWidth="1"/>
    <col min="3" max="3" width="18.5703125" customWidth="1"/>
    <col min="4" max="4" width="7.5703125" hidden="1" customWidth="1"/>
    <col min="5" max="6" width="16.42578125" hidden="1" customWidth="1"/>
    <col min="7" max="7" width="16.5703125" customWidth="1"/>
    <col min="8" max="8" width="15.85546875" hidden="1" customWidth="1"/>
    <col min="9" max="10" width="16.42578125" bestFit="1" customWidth="1"/>
    <col min="11" max="11" width="16.140625" customWidth="1"/>
    <col min="12" max="12" width="17.85546875" bestFit="1" customWidth="1"/>
  </cols>
  <sheetData>
    <row r="1" spans="1:12" ht="45" customHeight="1" x14ac:dyDescent="0.35">
      <c r="A1" s="1426" t="s">
        <v>1950</v>
      </c>
      <c r="B1" s="1256"/>
      <c r="C1" s="1256"/>
      <c r="D1" s="1256"/>
      <c r="E1" s="1256"/>
      <c r="F1" s="1256"/>
      <c r="G1" s="1427" t="s">
        <v>1951</v>
      </c>
      <c r="H1" s="1428"/>
      <c r="I1" s="1428"/>
      <c r="J1" s="1428"/>
      <c r="K1" s="1429"/>
    </row>
    <row r="2" spans="1:12" ht="15.75" x14ac:dyDescent="0.25">
      <c r="A2" s="711" t="s">
        <v>1952</v>
      </c>
      <c r="B2" s="711" t="s">
        <v>1953</v>
      </c>
      <c r="C2" s="1430" t="s">
        <v>1954</v>
      </c>
      <c r="D2" s="1431"/>
      <c r="E2" s="711" t="s">
        <v>39</v>
      </c>
      <c r="F2" s="711" t="s">
        <v>181</v>
      </c>
      <c r="G2" s="712" t="s">
        <v>1955</v>
      </c>
      <c r="H2" s="741" t="s">
        <v>1980</v>
      </c>
      <c r="I2" s="712" t="s">
        <v>1956</v>
      </c>
      <c r="J2" s="712" t="s">
        <v>1957</v>
      </c>
      <c r="K2" s="712" t="s">
        <v>1958</v>
      </c>
    </row>
    <row r="3" spans="1:12" s="717" customFormat="1" ht="23.25" customHeight="1" x14ac:dyDescent="0.25">
      <c r="A3" s="713" t="s">
        <v>1959</v>
      </c>
      <c r="B3" s="714" t="s">
        <v>36</v>
      </c>
      <c r="C3" s="715">
        <f>SUM(C4:C6,C10:C16)</f>
        <v>896333600.28857124</v>
      </c>
      <c r="D3" s="716">
        <f>+C3/$C31</f>
        <v>0.89633360028857123</v>
      </c>
      <c r="E3" s="715">
        <f>+SUM(E4:E16)-E7-E8-E9</f>
        <v>599084117.92439222</v>
      </c>
      <c r="F3" s="715">
        <f>+SUM(F4:F16)-F7-F8-F9</f>
        <v>173175305.68000001</v>
      </c>
      <c r="G3" s="715"/>
      <c r="H3" s="715"/>
      <c r="I3" s="715"/>
      <c r="J3" s="715"/>
      <c r="K3" s="715"/>
      <c r="L3" s="740"/>
    </row>
    <row r="4" spans="1:12" ht="30" x14ac:dyDescent="0.25">
      <c r="A4" s="718" t="s">
        <v>1960</v>
      </c>
      <c r="B4" s="719" t="s">
        <v>40</v>
      </c>
      <c r="C4" s="720">
        <f>+'POA 2022 1ER TRIMESTRE'!AH16</f>
        <v>910999.99000000011</v>
      </c>
      <c r="D4" s="721">
        <f>+C4/$C$31</f>
        <v>9.1099999000000007E-4</v>
      </c>
      <c r="E4" s="720">
        <f>+'[2]POA 2022 ANALISIS'!Y17+'[2]POA 2022 ANALISIS'!Y75+'[2]POA 2022 ANALISIS'!Y147</f>
        <v>1742053.35</v>
      </c>
      <c r="F4" s="720">
        <f>+'[2]POA 2022 ANALISIS'!Y149</f>
        <v>0</v>
      </c>
      <c r="G4" s="722"/>
      <c r="H4" s="722"/>
      <c r="I4" s="722"/>
      <c r="J4" s="722"/>
      <c r="K4" s="722"/>
    </row>
    <row r="5" spans="1:12" x14ac:dyDescent="0.25">
      <c r="A5" s="718" t="s">
        <v>1961</v>
      </c>
      <c r="B5" s="719" t="s">
        <v>1962</v>
      </c>
      <c r="C5" s="720">
        <f>+'POA 2022 1ER TRIMESTRE'!AH130</f>
        <v>1025000</v>
      </c>
      <c r="D5" s="721">
        <f>+C5/$C$31</f>
        <v>1.0250000000000001E-3</v>
      </c>
      <c r="E5" s="720">
        <f>+'[2]POA 2022 ANALISIS'!Y170</f>
        <v>1000000</v>
      </c>
      <c r="F5" s="720">
        <v>0</v>
      </c>
      <c r="G5" s="722"/>
      <c r="H5" s="722"/>
      <c r="I5" s="722"/>
      <c r="J5" s="722"/>
      <c r="K5" s="722"/>
    </row>
    <row r="6" spans="1:12" x14ac:dyDescent="0.25">
      <c r="A6" s="718" t="s">
        <v>1963</v>
      </c>
      <c r="B6" s="719" t="s">
        <v>235</v>
      </c>
      <c r="C6" s="720">
        <f>+'POA 2022 1ER TRIMESTRE'!AH136</f>
        <v>751246033.15857124</v>
      </c>
      <c r="D6" s="721">
        <f>+C6/$C$31</f>
        <v>0.75124603315857119</v>
      </c>
      <c r="E6" s="720">
        <f>+'[2]POA 2022 ANALISIS'!Y179+'[2]POA 2022 ANALISIS'!Y183+'[2]POA 2022 ANALISIS'!Y184+'[2]POA 2022 ANALISIS'!Y185+'[2]POA 2022 ANALISIS'!Y186+'[2]POA 2022 ANALISIS'!Y187+'[2]POA 2022 ANALISIS'!Y188+'[2]POA 2022 ANALISIS'!Y189+'[2]POA 2022 ANALISIS'!Y190+'[2]POA 2022 ANALISIS'!Y193+'[2]POA 2022 ANALISIS'!Y194+'[2]POA 2022 ANALISIS'!Y195+'[2]POA 2022 ANALISIS'!Y199+'[2]POA 2022 ANALISIS'!Y203+'[2]POA 2022 ANALISIS'!Y204+'[2]POA 2022 ANALISIS'!Y206+'[2]POA 2022 ANALISIS'!Y207+'[2]POA 2022 ANALISIS'!Y208+'[2]POA 2022 ANALISIS'!Y209+'[2]POA 2022 ANALISIS'!Y210+'[2]POA 2022 ANALISIS'!Y211+'[2]POA 2022 ANALISIS'!Y214+'[2]POA 2022 ANALISIS'!Y215+'[2]POA 2022 ANALISIS'!Y216+'[2]POA 2022 ANALISIS'!Y220+'[2]POA 2022 ANALISIS'!Y224+'[2]POA 2022 ANALISIS'!Y225+'[2]POA 2022 ANALISIS'!Y226+'[2]POA 2022 ANALISIS'!Y227+'[2]POA 2022 ANALISIS'!Y228+'[2]POA 2022 ANALISIS'!Y229+'[2]POA 2022 ANALISIS'!Y230+'[2]POA 2022 ANALISIS'!Y233+'[2]POA 2022 ANALISIS'!Y234+'[2]POA 2022 ANALISIS'!Y235+'[2]POA 2022 ANALISIS'!Y240+'[2]POA 2022 ANALISIS'!Y247+'[2]POA 2022 ANALISIS'!Y248+'[2]POA 2022 ANALISIS'!Y249+'[2]POA 2022 ANALISIS'!Y250+'[2]POA 2022 ANALISIS'!Y251+'[2]POA 2022 ANALISIS'!Y252+'[2]POA 2022 ANALISIS'!Y253+'[2]POA 2022 ANALISIS'!Y256+'[2]POA 2022 ANALISIS'!Y258+'[2]POA 2022 ANALISIS'!Y259+'[2]POA 2022 ANALISIS'!Y265+'[2]POA 2022 ANALISIS'!Y271+'[2]POA 2022 ANALISIS'!Y274+'[2]POA 2022 ANALISIS'!Y275+'[2]POA 2022 ANALISIS'!Y282+'[2]POA 2022 ANALISIS'!Y284+'[2]POA 2022 ANALISIS'!Y285+'[2]POA 2022 ANALISIS'!Y289+'[2]POA 2022 ANALISIS'!Y293+'[2]POA 2022 ANALISIS'!Y295+'[2]POA 2022 ANALISIS'!Y298+'[2]POA 2022 ANALISIS'!Y299+'[2]POA 2022 ANALISIS'!Y303+'[2]POA 2022 ANALISIS'!Y304+'[2]POA 2022 ANALISIS'!Y305+'[2]POA 2022 ANALISIS'!Y309+'[2]POA 2022 ANALISIS'!Y310+'[2]POA 2022 ANALISIS'!Y312+'[2]POA 2022 ANALISIS'!Y313+'[2]POA 2022 ANALISIS'!Y318+'[2]POA 2022 ANALISIS'!Y323+'[2]POA 2022 ANALISIS'!Y324+'[2]POA 2022 ANALISIS'!Y326+'[2]POA 2022 ANALISIS'!Y327+'[2]POA 2022 ANALISIS'!Y328+'[2]POA 2022 ANALISIS'!Y329+'[2]POA 2022 ANALISIS'!Y330+'[2]POA 2022 ANALISIS'!Y333+'[2]POA 2022 ANALISIS'!Y335+'[2]POA 2022 ANALISIS'!Y336+'[2]POA 2022 ANALISIS'!Y339+'[2]POA 2022 ANALISIS'!Y593+'[2]POA 2022 ANALISIS'!Y601</f>
        <v>461004551.86333311</v>
      </c>
      <c r="F6" s="720">
        <f>+'[2]POA 2022 ANALISIS'!Y182+'[2]POA 2022 ANALISIS'!Y202+'[2]POA 2022 ANALISIS'!Y223+'[2]POA 2022 ANALISIS'!Y244+'[2]POA 2022 ANALISIS'!Y270+'[2]POA 2022 ANALISIS'!Y292+'[2]POA 2022 ANALISIS'!Y309+'[2]POA 2022 ANALISIS'!Y322+'[2]POA 2022 ANALISIS'!Y332+'[2]POA 2022 ANALISIS'!Y614+'[2]POA 2022 ANALISIS'!Y622+'[2]POA 2022 ANALISIS'!Y628+'[2]POA 2022 ANALISIS'!Y634+'[2]POA 2022 ANALISIS'!Y640+'[2]POA 2022 ANALISIS'!Y646+'[2]POA 2022 ANALISIS'!Y651+'[2]POA 2022 ANALISIS'!Y656+'[2]POA 2022 ANALISIS'!Y661</f>
        <v>173175305.68000001</v>
      </c>
      <c r="G6" s="722"/>
      <c r="H6" s="722"/>
      <c r="I6" s="722"/>
      <c r="J6" s="722"/>
      <c r="K6" s="722"/>
    </row>
    <row r="7" spans="1:12" x14ac:dyDescent="0.25">
      <c r="A7" s="1424" t="s">
        <v>1964</v>
      </c>
      <c r="B7" s="1425"/>
      <c r="C7" s="723">
        <v>113100000</v>
      </c>
      <c r="D7" s="724"/>
      <c r="E7" s="723"/>
      <c r="F7" s="723"/>
      <c r="G7" s="725"/>
      <c r="H7" s="725"/>
      <c r="I7" s="725"/>
      <c r="J7" s="725"/>
      <c r="K7" s="725"/>
    </row>
    <row r="8" spans="1:12" x14ac:dyDescent="0.25">
      <c r="A8" s="1424" t="s">
        <v>1965</v>
      </c>
      <c r="B8" s="1425"/>
      <c r="C8" s="723">
        <f>+'POA 2022 1ER TRIMESTRE'!AH402+'POA 2022 1ER TRIMESTRE'!AH401+'POA 2022 1ER TRIMESTRE'!AH400+'POA 2022 1ER TRIMESTRE'!AH399+'POA 2022 1ER TRIMESTRE'!AH398+'POA 2022 1ER TRIMESTRE'!AH397+'POA 2022 1ER TRIMESTRE'!AH396+'POA 2022 1ER TRIMESTRE'!AH381+'POA 2022 1ER TRIMESTRE'!AH380+'POA 2022 1ER TRIMESTRE'!AH379+'POA 2022 1ER TRIMESTRE'!AH378+'POA 2022 1ER TRIMESTRE'!AH377+'POA 2022 1ER TRIMESTRE'!AH376+'POA 2022 1ER TRIMESTRE'!AH375+'POA 2022 1ER TRIMESTRE'!AH458+'POA 2022 1ER TRIMESTRE'!AH482+'POA 2022 1ER TRIMESTRE'!AH483+'POA 2022 1ER TRIMESTRE'!AH484+'POA 2022 1ER TRIMESTRE'!AH485+'POA 2022 1ER TRIMESTRE'!AH486+'POA 2022 1ER TRIMESTRE'!AH487+'POA 2022 1ER TRIMESTRE'!AH488+'POA 2022 1ER TRIMESTRE'!AH503+'POA 2022 1ER TRIMESTRE'!AH504</f>
        <v>260824999.99999997</v>
      </c>
      <c r="D8" s="724"/>
      <c r="E8" s="723"/>
      <c r="F8" s="723"/>
      <c r="G8" s="725"/>
      <c r="H8" s="725"/>
      <c r="I8" s="725"/>
      <c r="J8" s="725"/>
      <c r="K8" s="726"/>
    </row>
    <row r="9" spans="1:12" x14ac:dyDescent="0.25">
      <c r="A9" s="1424" t="s">
        <v>1966</v>
      </c>
      <c r="B9" s="1425"/>
      <c r="C9" s="723">
        <f>+'POA 2022 1ER TRIMESTRE'!AH340+'POA 2022 1ER TRIMESTRE'!AH341+'POA 2022 1ER TRIMESTRE'!AH342+'POA 2022 1ER TRIMESTRE'!AH343+'POA 2022 1ER TRIMESTRE'!AH344+'POA 2022 1ER TRIMESTRE'!AH345+'POA 2022 1ER TRIMESTRE'!AH346+'POA 2022 1ER TRIMESTRE'!AH347+'POA 2022 1ER TRIMESTRE'!AH348+'POA 2022 1ER TRIMESTRE'!AH349+'POA 2022 1ER TRIMESTRE'!AH350+'POA 2022 1ER TRIMESTRE'!AH351+'POA 2022 1ER TRIMESTRE'!AH352+'POA 2022 1ER TRIMESTRE'!AH353+'POA 2022 1ER TRIMESTRE'!AH539+'POA 2022 1ER TRIMESTRE'!AH540+'POA 2022 1ER TRIMESTRE'!AH541+'POA 2022 1ER TRIMESTRE'!AH542+'POA 2022 1ER TRIMESTRE'!AH543+'POA 2022 1ER TRIMESTRE'!AH544+'POA 2022 1ER TRIMESTRE'!AH545+'POA 2022 1ER TRIMESTRE'!AH546+'POA 2022 1ER TRIMESTRE'!AH547+'POA 2022 1ER TRIMESTRE'!AH548+'POA 2022 1ER TRIMESTRE'!AH549+'POA 2022 1ER TRIMESTRE'!AH550+'POA 2022 1ER TRIMESTRE'!AH551+'POA 2022 1ER TRIMESTRE'!AH552</f>
        <v>200900000.00857139</v>
      </c>
      <c r="D9" s="724"/>
      <c r="E9" s="723"/>
      <c r="F9" s="723"/>
      <c r="G9" s="725"/>
      <c r="H9" s="725"/>
      <c r="I9" s="725"/>
      <c r="J9" s="725"/>
      <c r="K9" s="726"/>
    </row>
    <row r="10" spans="1:12" ht="30" x14ac:dyDescent="0.25">
      <c r="A10" s="718" t="s">
        <v>1967</v>
      </c>
      <c r="B10" s="719" t="s">
        <v>676</v>
      </c>
      <c r="C10" s="720">
        <f>+'POA 2022 1ER TRIMESTRE'!AH631</f>
        <v>16470800</v>
      </c>
      <c r="D10" s="727">
        <f>+C10/C$31</f>
        <v>1.6470800000000001E-2</v>
      </c>
      <c r="E10" s="720">
        <f>+'[2]POA 2022 ANALISIS'!Y668+'[2]POA 2022 ANALISIS'!Y669+'[2]POA 2022 ANALISIS'!Y670+'[2]POA 2022 ANALISIS'!Y671+'[2]POA 2022 ANALISIS'!Y672+'[2]POA 2022 ANALISIS'!Y673+'[2]POA 2022 ANALISIS'!Y674+'[2]POA 2022 ANALISIS'!Y675+'[2]POA 2022 ANALISIS'!Y677+'[2]POA 2022 ANALISIS'!Y706+'[2]POA 2022 ANALISIS'!Y709+'[2]POA 2022 ANALISIS'!Y712+'[2]POA 2022 ANALISIS'!Y715+'[2]POA 2022 ANALISIS'!Y718+'[2]POA 2022 ANALISIS'!Y721+'[2]POA 2022 ANALISIS'!Y724</f>
        <v>23890857.149999999</v>
      </c>
      <c r="F10" s="720">
        <f>+'[2]POA 2022 ANALISIS'!Y675+'[2]POA 2022 ANALISIS'!Y676+'[2]POA 2022 ANALISIS'!Y727+'[2]POA 2022 ANALISIS'!Y730+'[2]POA 2022 ANALISIS'!Y733+'[2]POA 2022 ANALISIS'!Y736+'[2]POA 2022 ANALISIS'!Y739+'[2]POA 2022 ANALISIS'!Y742+'[2]POA 2022 ANALISIS'!Y745+'[2]POA 2022 ANALISIS'!Y748+'[2]POA 2022 ANALISIS'!Y751</f>
        <v>0</v>
      </c>
      <c r="G10" s="722"/>
      <c r="H10" s="722"/>
      <c r="I10" s="722"/>
      <c r="J10" s="722"/>
      <c r="K10" s="728"/>
    </row>
    <row r="11" spans="1:12" ht="30" x14ac:dyDescent="0.25">
      <c r="A11" s="718" t="s">
        <v>1968</v>
      </c>
      <c r="B11" s="719" t="s">
        <v>726</v>
      </c>
      <c r="C11" s="720">
        <f>+'POA 2022 1ER TRIMESTRE'!AH720</f>
        <v>17019728.640000001</v>
      </c>
      <c r="D11" s="727">
        <f t="shared" ref="D11:D16" si="0">+C11/C$31</f>
        <v>1.7019728640000002E-2</v>
      </c>
      <c r="E11" s="720">
        <f>+'[2]POA 2022 ANALISIS'!Y755+'[2]POA 2022 ANALISIS'!Y766+'[2]POA 2022 ANALISIS'!Y768+'[2]POA 2022 ANALISIS'!Y770+'[2]POA 2022 ANALISIS'!Y792+'[2]POA 2022 ANALISIS'!Y800</f>
        <v>20437499.985000003</v>
      </c>
      <c r="F11" s="729"/>
      <c r="G11" s="722"/>
      <c r="H11" s="722"/>
      <c r="I11" s="722"/>
      <c r="J11" s="722"/>
      <c r="K11" s="728"/>
    </row>
    <row r="12" spans="1:12" ht="45" x14ac:dyDescent="0.25">
      <c r="A12" s="718" t="s">
        <v>1969</v>
      </c>
      <c r="B12" s="719" t="s">
        <v>815</v>
      </c>
      <c r="C12" s="720">
        <f>+'POA 2022 1ER TRIMESTRE'!AH768</f>
        <v>26016800</v>
      </c>
      <c r="D12" s="727">
        <f t="shared" si="0"/>
        <v>2.60168E-2</v>
      </c>
      <c r="E12" s="720">
        <f>+'[2]POA 2022 ANALISIS'!Y803+'[2]POA 2022 ANALISIS'!Y806+'[2]POA 2022 ANALISIS'!Y866+'[2]POA 2022 ANALISIS'!Y870+'[2]POA 2022 ANALISIS'!Y875</f>
        <v>6910684.156059132</v>
      </c>
      <c r="F12" s="720">
        <v>0</v>
      </c>
      <c r="G12" s="722"/>
      <c r="H12" s="722"/>
      <c r="I12" s="722"/>
      <c r="J12" s="722"/>
      <c r="K12" s="728"/>
    </row>
    <row r="13" spans="1:12" x14ac:dyDescent="0.25">
      <c r="A13" s="718" t="s">
        <v>1970</v>
      </c>
      <c r="B13" s="719" t="s">
        <v>903</v>
      </c>
      <c r="C13" s="720">
        <f>+'POA 2022 1ER TRIMESTRE'!AH856</f>
        <v>12644795.949999999</v>
      </c>
      <c r="D13" s="727">
        <f t="shared" si="0"/>
        <v>1.2644795949999999E-2</v>
      </c>
      <c r="E13" s="720">
        <f>+'[2]POA 2022 ANALISIS'!Y891+'[2]POA 2022 ANALISIS'!Y910+'[2]POA 2022 ANALISIS'!Y915</f>
        <v>6211216.5</v>
      </c>
      <c r="F13" s="720">
        <v>0</v>
      </c>
      <c r="G13" s="722"/>
      <c r="H13" s="722"/>
      <c r="I13" s="722"/>
      <c r="J13" s="722"/>
      <c r="K13" s="728"/>
    </row>
    <row r="14" spans="1:12" x14ac:dyDescent="0.25">
      <c r="A14" s="718" t="s">
        <v>1971</v>
      </c>
      <c r="B14" s="719" t="s">
        <v>981</v>
      </c>
      <c r="C14" s="720">
        <f>+'POA 2022 1ER TRIMESTRE'!AH897</f>
        <v>0</v>
      </c>
      <c r="D14" s="727">
        <f t="shared" si="0"/>
        <v>0</v>
      </c>
      <c r="E14" s="720">
        <f>+'[2]POA 2022 ANALISIS'!Y932</f>
        <v>0</v>
      </c>
      <c r="F14" s="720">
        <v>0</v>
      </c>
      <c r="G14" s="722"/>
      <c r="H14" s="722"/>
      <c r="I14" s="722"/>
      <c r="J14" s="722"/>
      <c r="K14" s="728"/>
    </row>
    <row r="15" spans="1:12" ht="15" customHeight="1" x14ac:dyDescent="0.25">
      <c r="A15" s="718" t="s">
        <v>1972</v>
      </c>
      <c r="B15" s="719" t="s">
        <v>1037</v>
      </c>
      <c r="C15" s="720">
        <f>+'POA 2022 1ER TRIMESTRE'!AH930</f>
        <v>0</v>
      </c>
      <c r="D15" s="727">
        <f t="shared" si="0"/>
        <v>0</v>
      </c>
      <c r="E15" s="720">
        <f>+'[2]POA 2022 ANALISIS'!Y965</f>
        <v>0</v>
      </c>
      <c r="F15" s="720">
        <v>0</v>
      </c>
      <c r="G15" s="722"/>
      <c r="H15" s="722"/>
      <c r="I15" s="722"/>
      <c r="J15" s="722"/>
      <c r="K15" s="728"/>
    </row>
    <row r="16" spans="1:12" x14ac:dyDescent="0.25">
      <c r="A16" s="718" t="s">
        <v>1973</v>
      </c>
      <c r="B16" s="719" t="s">
        <v>1044</v>
      </c>
      <c r="C16" s="720">
        <f>+'POA 2022 1ER TRIMESTRE'!AH934</f>
        <v>70999442.549999997</v>
      </c>
      <c r="D16" s="727">
        <f t="shared" si="0"/>
        <v>7.099944255E-2</v>
      </c>
      <c r="E16" s="720">
        <f>+'[2]POA 2022 ANALISIS'!Y970+'[2]POA 2022 ANALISIS'!Y988+'[2]POA 2022 ANALISIS'!Y1000</f>
        <v>77887254.920000002</v>
      </c>
      <c r="F16" s="720">
        <v>0</v>
      </c>
      <c r="G16" s="722"/>
      <c r="H16" s="722"/>
      <c r="I16" s="722"/>
      <c r="J16" s="722"/>
      <c r="K16" s="728"/>
    </row>
    <row r="17" spans="1:12" ht="30" x14ac:dyDescent="0.25">
      <c r="A17" s="713" t="s">
        <v>1974</v>
      </c>
      <c r="B17" s="714" t="s">
        <v>1123</v>
      </c>
      <c r="C17" s="715">
        <f>SUM(G17:K17)</f>
        <v>0</v>
      </c>
      <c r="D17" s="730">
        <f>+C17/C31</f>
        <v>0</v>
      </c>
      <c r="E17" s="715">
        <v>0</v>
      </c>
      <c r="F17" s="715">
        <v>0</v>
      </c>
      <c r="G17" s="715"/>
      <c r="H17" s="715"/>
      <c r="I17" s="715"/>
      <c r="J17" s="715"/>
      <c r="K17" s="715"/>
    </row>
    <row r="18" spans="1:12" s="717" customFormat="1" ht="24.75" customHeight="1" x14ac:dyDescent="0.25">
      <c r="A18" s="713" t="s">
        <v>1975</v>
      </c>
      <c r="B18" s="714" t="s">
        <v>1156</v>
      </c>
      <c r="C18" s="715">
        <f>SUM(C19:C21)</f>
        <v>70695983.649999991</v>
      </c>
      <c r="D18" s="730">
        <f>+C18/C31</f>
        <v>7.0695983649999988E-2</v>
      </c>
      <c r="E18" s="715">
        <f t="shared" ref="E18:F18" si="1">SUM(E19:E21)</f>
        <v>75276913.914999992</v>
      </c>
      <c r="F18" s="715">
        <f t="shared" si="1"/>
        <v>15755612.52</v>
      </c>
      <c r="G18" s="715"/>
      <c r="H18" s="715"/>
      <c r="I18" s="715"/>
      <c r="J18" s="715"/>
      <c r="K18" s="715"/>
    </row>
    <row r="19" spans="1:12" x14ac:dyDescent="0.25">
      <c r="A19" s="718" t="s">
        <v>1960</v>
      </c>
      <c r="B19" s="731" t="s">
        <v>1158</v>
      </c>
      <c r="C19" s="732">
        <f>+'POA 2022 1ER TRIMESTRE'!AH1013</f>
        <v>64445984.429999992</v>
      </c>
      <c r="D19" s="733">
        <f>+C19/C$31</f>
        <v>6.4445984429999992E-2</v>
      </c>
      <c r="E19" s="732">
        <f>+'[2]POA 2022 ANALISIS'!Y1055+'[2]POA 2022 ANALISIS'!Y1056+'[2]POA 2022 ANALISIS'!Y1066+'[2]POA 2022 ANALISIS'!Y1067+'[2]POA 2022 ANALISIS'!Y1071+'[2]POA 2022 ANALISIS'!Y1089+'[2]POA 2022 ANALISIS'!Y1104+'[2]POA 2022 ANALISIS'!Y1106+'[2]POA 2022 ANALISIS'!Y1109+'[2]POA 2022 ANALISIS'!Y1110+'[2]POA 2022 ANALISIS'!Y1111+'[2]POA 2022 ANALISIS'!Y1112+'[2]POA 2022 ANALISIS'!Y1113+'[2]POA 2022 ANALISIS'!Y1114+'[2]POA 2022 ANALISIS'!Y1115+'[2]POA 2022 ANALISIS'!Y1116+'[2]POA 2022 ANALISIS'!Y1121+'[2]POA 2022 ANALISIS'!Y1134+'[2]POA 2022 ANALISIS'!Y1136+'[2]POA 2022 ANALISIS'!Y1138+'[2]POA 2022 ANALISIS'!Y1139+'[2]POA 2022 ANALISIS'!Y1140+'[2]POA 2022 ANALISIS'!Y1141+'[2]POA 2022 ANALISIS'!Y1143+'[2]POA 2022 ANALISIS'!Y1144+'[2]POA 2022 ANALISIS'!Y1145+'[2]POA 2022 ANALISIS'!Y1147+'[2]POA 2022 ANALISIS'!Y1149+'[2]POA 2022 ANALISIS'!Y1151+'[2]POA 2022 ANALISIS'!Y1152</f>
        <v>68041913.914999992</v>
      </c>
      <c r="F19" s="732">
        <f>+'[2]POA 2022 ANALISIS'!Y1057+'[2]POA 2022 ANALISIS'!Y1058+'[2]POA 2022 ANALISIS'!Y1059+'[2]POA 2022 ANALISIS'!Y1060+'[2]POA 2022 ANALISIS'!Y1068+'[2]POA 2022 ANALISIS'!Y1069+'[2]POA 2022 ANALISIS'!Y1070+'[2]POA 2022 ANALISIS'!Y1133+'[2]POA 2022 ANALISIS'!Y1135+'[2]POA 2022 ANALISIS'!Y1137+'[2]POA 2022 ANALISIS'!Y1142+'[2]POA 2022 ANALISIS'!Y1148+'[2]POA 2022 ANALISIS'!Y1150</f>
        <v>12405612.52</v>
      </c>
      <c r="G19" s="728"/>
      <c r="H19" s="728"/>
      <c r="I19" s="728"/>
      <c r="J19" s="728"/>
      <c r="K19" s="728"/>
    </row>
    <row r="20" spans="1:12" x14ac:dyDescent="0.25">
      <c r="A20" s="718" t="s">
        <v>1961</v>
      </c>
      <c r="B20" s="731" t="s">
        <v>1295</v>
      </c>
      <c r="C20" s="732">
        <f>+'POA 2022 1ER TRIMESTRE'!AH1095</f>
        <v>4749999.2200000007</v>
      </c>
      <c r="D20" s="733">
        <f t="shared" ref="D20:D21" si="2">+C20/C$31</f>
        <v>4.7499992200000004E-3</v>
      </c>
      <c r="E20" s="732">
        <f>+'[2]POA 2022 ANALISIS'!Y1200+'[2]POA 2022 ANALISIS'!Y1176+'[2]POA 2022 ANALISIS'!Y1173+'[2]POA 2022 ANALISIS'!Y1154</f>
        <v>7235000</v>
      </c>
      <c r="F20" s="732">
        <f>+'[2]POA 2022 ANALISIS'!Y1160+'[2]POA 2022 ANALISIS'!Y1180+'[2]POA 2022 ANALISIS'!Y1197</f>
        <v>350000</v>
      </c>
      <c r="G20" s="728"/>
      <c r="H20" s="728"/>
      <c r="I20" s="728"/>
      <c r="J20" s="728"/>
      <c r="K20" s="728"/>
    </row>
    <row r="21" spans="1:12" x14ac:dyDescent="0.25">
      <c r="A21" s="718" t="s">
        <v>1963</v>
      </c>
      <c r="B21" s="731" t="s">
        <v>1409</v>
      </c>
      <c r="C21" s="732">
        <f>+'POA 2022 1ER TRIMESTRE'!AH1156</f>
        <v>1500000</v>
      </c>
      <c r="D21" s="733">
        <f t="shared" si="2"/>
        <v>1.5E-3</v>
      </c>
      <c r="E21" s="732">
        <v>0</v>
      </c>
      <c r="F21" s="732">
        <f>+'[2]POA 2022 ANALISIS'!Y1214</f>
        <v>3000000</v>
      </c>
      <c r="G21" s="728"/>
      <c r="H21" s="728"/>
      <c r="I21" s="728"/>
      <c r="J21" s="728"/>
      <c r="K21" s="728"/>
    </row>
    <row r="22" spans="1:12" ht="25.5" customHeight="1" x14ac:dyDescent="0.25">
      <c r="A22" s="713" t="s">
        <v>1976</v>
      </c>
      <c r="B22" s="714" t="s">
        <v>1442</v>
      </c>
      <c r="C22" s="715">
        <f>SUM(C23:C25)</f>
        <v>32970416.060000002</v>
      </c>
      <c r="D22" s="716">
        <f>+C22/C31</f>
        <v>3.297041606E-2</v>
      </c>
      <c r="E22" s="715">
        <f t="shared" ref="E22:F22" si="3">SUM(E23:E25)</f>
        <v>0</v>
      </c>
      <c r="F22" s="715">
        <f t="shared" si="3"/>
        <v>134708049.99999997</v>
      </c>
      <c r="G22" s="715"/>
      <c r="H22" s="715"/>
      <c r="I22" s="715"/>
      <c r="J22" s="715"/>
      <c r="K22" s="715"/>
      <c r="L22" s="739"/>
    </row>
    <row r="23" spans="1:12" ht="33" customHeight="1" x14ac:dyDescent="0.25">
      <c r="A23" s="718" t="s">
        <v>1960</v>
      </c>
      <c r="B23" s="731" t="s">
        <v>1446</v>
      </c>
      <c r="C23" s="732">
        <f>+'POA 2022 1ER TRIMESTRE'!AH1171</f>
        <v>28687616.060000002</v>
      </c>
      <c r="D23" s="733">
        <f>+C23/C$31</f>
        <v>2.8687616060000004E-2</v>
      </c>
      <c r="E23" s="732">
        <v>0</v>
      </c>
      <c r="F23" s="732">
        <f>+'[2]POA 2022 ANALISIS'!Y1230+'[2]POA 2022 ANALISIS'!Y1239+'[2]POA 2022 ANALISIS'!Y1248+'[2]POA 2022 ANALISIS'!Y1257+'[2]POA 2022 ANALISIS'!Y1266+'[2]POA 2022 ANALISIS'!Y1275+'[2]POA 2022 ANALISIS'!Y1284+'[2]POA 2022 ANALISIS'!Y1293+'[2]POA 2022 ANALISIS'!Y1343+'[2]POA 2022 ANALISIS'!Y1348+'[2]POA 2022 ANALISIS'!Y1354+'[2]POA 2022 ANALISIS'!Y1359+'[2]POA 2022 ANALISIS'!Y1364+'[2]POA 2022 ANALISIS'!Y1369</f>
        <v>130186449.99999997</v>
      </c>
      <c r="G23" s="728"/>
      <c r="H23" s="728"/>
      <c r="I23" s="728"/>
      <c r="J23" s="728"/>
      <c r="K23" s="728"/>
    </row>
    <row r="24" spans="1:12" ht="30" x14ac:dyDescent="0.25">
      <c r="A24" s="718" t="s">
        <v>1961</v>
      </c>
      <c r="B24" s="731" t="s">
        <v>1539</v>
      </c>
      <c r="C24" s="732">
        <f>+'POA 2022 1ER TRIMESTRE'!AH1316</f>
        <v>2113800</v>
      </c>
      <c r="D24" s="733">
        <f t="shared" ref="D24:D25" si="4">+C24/C$31</f>
        <v>2.1137999999999999E-3</v>
      </c>
      <c r="E24" s="732">
        <v>0</v>
      </c>
      <c r="F24" s="732">
        <f>+'[2]POA 2022 ANALISIS'!Y1375+'[2]POA 2022 ANALISIS'!Y1398</f>
        <v>2352600</v>
      </c>
      <c r="G24" s="728"/>
      <c r="H24" s="728"/>
      <c r="I24" s="728"/>
      <c r="J24" s="728"/>
      <c r="K24" s="728"/>
    </row>
    <row r="25" spans="1:12" x14ac:dyDescent="0.25">
      <c r="A25" s="718" t="s">
        <v>1963</v>
      </c>
      <c r="B25" s="731" t="s">
        <v>1575</v>
      </c>
      <c r="C25" s="732">
        <f>+'POA 2022 1ER TRIMESTRE'!AH1358</f>
        <v>2169000</v>
      </c>
      <c r="D25" s="733">
        <f t="shared" si="4"/>
        <v>2.1689999999999999E-3</v>
      </c>
      <c r="E25" s="732">
        <v>0</v>
      </c>
      <c r="F25" s="732">
        <f>+'[2]POA 2022 ANALISIS'!Y1417+'[2]POA 2022 ANALISIS'!Y1426+'[2]POA 2022 ANALISIS'!Y1435+'[2]POA 2022 ANALISIS'!Y1444+'[2]POA 2022 ANALISIS'!Y1453+'[2]POA 2022 ANALISIS'!Y1462+'[2]POA 2022 ANALISIS'!Y1471+'[2]POA 2022 ANALISIS'!Y1480</f>
        <v>2169000</v>
      </c>
      <c r="G25" s="728"/>
      <c r="H25" s="728"/>
      <c r="I25" s="728"/>
      <c r="J25" s="728"/>
      <c r="K25" s="728"/>
    </row>
    <row r="26" spans="1:12" x14ac:dyDescent="0.25">
      <c r="A26" s="713" t="s">
        <v>1977</v>
      </c>
      <c r="B26" s="714" t="s">
        <v>1608</v>
      </c>
      <c r="C26" s="715">
        <f>SUM(C27:C28)</f>
        <v>0</v>
      </c>
      <c r="D26" s="730">
        <f>+C26/C31</f>
        <v>0</v>
      </c>
      <c r="E26" s="715">
        <f t="shared" ref="E26:F26" si="5">SUM(E27:E28)</f>
        <v>0</v>
      </c>
      <c r="F26" s="715">
        <f t="shared" si="5"/>
        <v>0</v>
      </c>
      <c r="G26" s="715"/>
      <c r="H26" s="715"/>
      <c r="I26" s="715"/>
      <c r="J26" s="715"/>
      <c r="K26" s="715"/>
    </row>
    <row r="27" spans="1:12" ht="30" x14ac:dyDescent="0.25">
      <c r="A27" s="718" t="s">
        <v>1960</v>
      </c>
      <c r="B27" s="731" t="s">
        <v>1610</v>
      </c>
      <c r="C27" s="732">
        <v>0</v>
      </c>
      <c r="D27" s="734">
        <f>+C27/C$31</f>
        <v>0</v>
      </c>
      <c r="E27" s="732">
        <v>0</v>
      </c>
      <c r="F27" s="732">
        <v>0</v>
      </c>
      <c r="G27" s="728"/>
      <c r="H27" s="728"/>
      <c r="I27" s="728"/>
      <c r="J27" s="728"/>
      <c r="K27" s="728"/>
    </row>
    <row r="28" spans="1:12" ht="30" x14ac:dyDescent="0.25">
      <c r="A28" s="718" t="s">
        <v>1961</v>
      </c>
      <c r="B28" s="731" t="s">
        <v>1646</v>
      </c>
      <c r="C28" s="732">
        <v>0</v>
      </c>
      <c r="D28" s="734">
        <f>+C28/C$31</f>
        <v>0</v>
      </c>
      <c r="E28" s="732">
        <v>0</v>
      </c>
      <c r="F28" s="732">
        <v>0</v>
      </c>
      <c r="G28" s="728"/>
      <c r="H28" s="728"/>
      <c r="I28" s="728"/>
      <c r="J28" s="728"/>
      <c r="K28" s="728"/>
    </row>
    <row r="29" spans="1:12" x14ac:dyDescent="0.25">
      <c r="A29" s="713" t="s">
        <v>1978</v>
      </c>
      <c r="B29" s="714" t="s">
        <v>1650</v>
      </c>
      <c r="C29" s="715">
        <f>SUM(C30)</f>
        <v>0</v>
      </c>
      <c r="D29" s="730">
        <f>+C29/C31</f>
        <v>0</v>
      </c>
      <c r="E29" s="715">
        <f t="shared" ref="E29:F29" si="6">SUM(E30)</f>
        <v>0</v>
      </c>
      <c r="F29" s="715">
        <f t="shared" si="6"/>
        <v>0</v>
      </c>
      <c r="G29" s="715"/>
      <c r="H29" s="715"/>
      <c r="I29" s="715"/>
      <c r="J29" s="715"/>
      <c r="K29" s="715"/>
    </row>
    <row r="30" spans="1:12" x14ac:dyDescent="0.25">
      <c r="A30" s="718" t="s">
        <v>1960</v>
      </c>
      <c r="B30" s="735" t="s">
        <v>1653</v>
      </c>
      <c r="C30" s="732">
        <v>0</v>
      </c>
      <c r="D30" s="734">
        <f>+C30/C31</f>
        <v>0</v>
      </c>
      <c r="E30" s="735"/>
      <c r="F30" s="735"/>
      <c r="G30" s="728"/>
      <c r="H30" s="728"/>
      <c r="I30" s="728"/>
      <c r="J30" s="728"/>
      <c r="K30" s="728"/>
    </row>
    <row r="31" spans="1:12" x14ac:dyDescent="0.25">
      <c r="A31" s="713" t="s">
        <v>1979</v>
      </c>
      <c r="B31" s="735"/>
      <c r="C31" s="736">
        <v>1000000000</v>
      </c>
      <c r="D31" s="732"/>
      <c r="E31" s="732"/>
      <c r="F31" s="732"/>
      <c r="G31" s="728"/>
      <c r="H31" s="728"/>
      <c r="I31" s="728"/>
      <c r="J31" s="728"/>
      <c r="K31" s="728"/>
    </row>
    <row r="32" spans="1:12" x14ac:dyDescent="0.25">
      <c r="C32" s="737">
        <f>+C29+C26+C22+C18+C17+C3</f>
        <v>999999999.99857128</v>
      </c>
      <c r="D32" s="737"/>
      <c r="F32" s="738"/>
    </row>
  </sheetData>
  <mergeCells count="6">
    <mergeCell ref="A9:B9"/>
    <mergeCell ref="A8:B8"/>
    <mergeCell ref="A7:B7"/>
    <mergeCell ref="A1:F1"/>
    <mergeCell ref="G1:K1"/>
    <mergeCell ref="C2:D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05A12958F8F84D98B3B752836BA565" ma:contentTypeVersion="17" ma:contentTypeDescription="Crear nuevo documento." ma:contentTypeScope="" ma:versionID="7d16294202f1f86f6d2caa494be701a3">
  <xsd:schema xmlns:xsd="http://www.w3.org/2001/XMLSchema" xmlns:xs="http://www.w3.org/2001/XMLSchema" xmlns:p="http://schemas.microsoft.com/office/2006/metadata/properties" xmlns:ns2="8ec0c6d7-a948-4134-97c7-651e4d57dc44" xmlns:ns3="8e7cc9d6-ff3a-4d8a-a6d9-8f0510578a7e" targetNamespace="http://schemas.microsoft.com/office/2006/metadata/properties" ma:root="true" ma:fieldsID="2ae52ff4823c49b922f6f06756328486" ns2:_="" ns3:_="">
    <xsd:import namespace="8ec0c6d7-a948-4134-97c7-651e4d57dc44"/>
    <xsd:import namespace="8e7cc9d6-ff3a-4d8a-a6d9-8f0510578a7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0c6d7-a948-4134-97c7-651e4d57dc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5ed6e7c5-dab6-41df-9d57-938cb6d3634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7cc9d6-ff3a-4d8a-a6d9-8f0510578a7e"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ea0649-dbb0-4992-843a-2d87dc1c4b36}" ma:internalName="TaxCatchAll" ma:showField="CatchAllData" ma:web="8e7cc9d6-ff3a-4d8a-a6d9-8f0510578a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e7cc9d6-ff3a-4d8a-a6d9-8f0510578a7e" xsi:nil="true"/>
    <lcf76f155ced4ddcb4097134ff3c332f xmlns="8ec0c6d7-a948-4134-97c7-651e4d57dc4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7DD1E-712E-4815-9AD9-6A82F15F73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0c6d7-a948-4134-97c7-651e4d57dc44"/>
    <ds:schemaRef ds:uri="8e7cc9d6-ff3a-4d8a-a6d9-8f0510578a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BB08F5-5820-4C53-83E9-AFD0AC8F683E}">
  <ds:schemaRefs>
    <ds:schemaRef ds:uri="8e7cc9d6-ff3a-4d8a-a6d9-8f0510578a7e"/>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8ec0c6d7-a948-4134-97c7-651e4d57dc44"/>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1BC8BDE-2B83-452A-A3C9-113E33C579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1.0MM</vt:lpstr>
      <vt:lpstr>POA 2023 (2)</vt:lpstr>
      <vt:lpstr>POA 2022 1ER TRIMESTRE</vt:lpstr>
      <vt:lpstr>POA 2022 2DO TRIMESTRE</vt:lpstr>
      <vt:lpstr>Leyenda</vt:lpstr>
      <vt:lpstr>Validación de Libramiento</vt:lpstr>
      <vt:lpstr>Trimestral ESTRATEGIA</vt:lpstr>
      <vt:lpstr>'POA 2022 1ER TRIMESTRE'!Área_de_impresión</vt:lpstr>
      <vt:lpstr>'POA 2022 2DO TRIMESTRE'!Área_de_impresión</vt:lpstr>
      <vt:lpstr>'POA 2023 (2)'!Área_de_impresión</vt:lpstr>
      <vt:lpstr>'Validación de Libramiento'!Área_de_impresión</vt:lpstr>
      <vt:lpstr>'POA 2022 1ER TRIMESTRE'!Títulos_a_imprimir</vt:lpstr>
      <vt:lpstr>'POA 2022 2DO TRIMESTRE'!Títulos_a_imprimir</vt:lpstr>
      <vt:lpstr>'POA 2023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Lorhem Montes de Oca del Orbe</dc:creator>
  <cp:lastModifiedBy>Lina Ledesma Castillo</cp:lastModifiedBy>
  <cp:lastPrinted>2022-03-28T17:48:15Z</cp:lastPrinted>
  <dcterms:created xsi:type="dcterms:W3CDTF">2022-02-28T14:45:17Z</dcterms:created>
  <dcterms:modified xsi:type="dcterms:W3CDTF">2023-07-12T20:54:46Z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0x010100BD05A12958F8F84D98B3B752836BA565</vt:lpwstr>
  </property>
  <property fmtid="{D5CDD505-2E9C-101B-9397-08002B2CF9AE}" pid="3" name="MediaServiceImageTags">
    <vt:lpwstr/>
  </property>
</Properties>
</file>